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Desktop\COLEGIO SANTA ROSA\AMPL.PRES.7 Y AMPL.PLAZ.6S.R\VIII. HOJA DE METRADOS\PARTIDAS NUEVAS\METRADO DE SANITARIAS\"/>
    </mc:Choice>
  </mc:AlternateContent>
  <xr:revisionPtr revIDLastSave="0" documentId="13_ncr:1_{282B2B19-F3B0-46CB-B820-E1B35DB67E6B}" xr6:coauthVersionLast="47" xr6:coauthVersionMax="47" xr10:uidLastSave="{00000000-0000-0000-0000-000000000000}"/>
  <bookViews>
    <workbookView xWindow="-108" yWindow="-108" windowWidth="23256" windowHeight="12576" firstSheet="1" activeTab="1" xr2:uid="{BF9C0481-A3A0-4B97-A2B8-DED5D8BF4497}"/>
  </bookViews>
  <sheets>
    <sheet name="MET-I.S." sheetId="10" state="hidden" r:id="rId1"/>
    <sheet name="RESUMEN_PN" sheetId="34" r:id="rId2"/>
    <sheet name="MET_PN" sheetId="30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 localSheetId="2">#REF!</definedName>
    <definedName name="A" localSheetId="0">#REF!</definedName>
    <definedName name="A" localSheetId="1">#REF!</definedName>
    <definedName name="A">#REF!</definedName>
    <definedName name="_xlnm.Extract">[1]MATERIAL!$U$9:$U$39</definedName>
    <definedName name="_xlnm.Print_Area" localSheetId="2">MET_PN!$B$1:$J$1906</definedName>
    <definedName name="_xlnm.Print_Area" localSheetId="0">'MET-I.S.'!$B$1:$J$171</definedName>
    <definedName name="_xlnm.Print_Area" localSheetId="1">RESUMEN_PN!$B$1:$J$93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 localSheetId="2">#REF!</definedName>
    <definedName name="datos" localSheetId="0">#REF!</definedName>
    <definedName name="datos" localSheetId="1">#REF!</definedName>
    <definedName name="datos">#REF!</definedName>
    <definedName name="DSD">#REF!</definedName>
    <definedName name="DSDS">#REF!</definedName>
    <definedName name="DSDSD">#REF!</definedName>
    <definedName name="DSDSDDSD">#REF!</definedName>
    <definedName name="DSDSDSD">#REF!</definedName>
    <definedName name="Extracción_IM">[1]MATERIAL!$U$9:$U$39</definedName>
    <definedName name="FIERRO" localSheetId="2">#REF!</definedName>
    <definedName name="FIERRO" localSheetId="0">#REF!</definedName>
    <definedName name="FIERRO" localSheetId="1">#REF!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 localSheetId="2">#REF!</definedName>
    <definedName name="MEDIA" localSheetId="0">#REF!</definedName>
    <definedName name="MEDIA" localSheetId="1">#REF!</definedName>
    <definedName name="MEDIA">#REF!</definedName>
    <definedName name="METRADOSTOT">#REF!</definedName>
    <definedName name="NUEVO">[3]SOCTA2!$A$2:$R$57</definedName>
    <definedName name="Pileta" localSheetId="2">#REF!</definedName>
    <definedName name="Pileta" localSheetId="0">#REF!</definedName>
    <definedName name="Pileta" localSheetId="1">#REF!</definedName>
    <definedName name="Pileta">#REF!</definedName>
    <definedName name="SDDSDS">#REF!</definedName>
    <definedName name="SDSD">#REF!</definedName>
    <definedName name="SDSDD">#REF!</definedName>
    <definedName name="_xlnm.Print_Titles" localSheetId="0">'MET-I.S.'!$1:$16</definedName>
    <definedName name="TOTAL" localSheetId="2">#REF!</definedName>
    <definedName name="TOTAL" localSheetId="0">#REF!</definedName>
    <definedName name="TOTAL" localSheetId="1">#REF!</definedName>
    <definedName name="TOTA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16" i="30" l="1"/>
  <c r="H1854" i="30"/>
  <c r="I1853" i="30" s="1"/>
  <c r="H1852" i="30"/>
  <c r="H1851" i="30"/>
  <c r="I1850" i="30" s="1"/>
  <c r="I1710" i="30"/>
  <c r="H1709" i="30"/>
  <c r="H1597" i="30"/>
  <c r="I1596" i="30" s="1"/>
  <c r="F1595" i="30"/>
  <c r="H1595" i="30" s="1"/>
  <c r="F1594" i="30"/>
  <c r="H1594" i="30" s="1"/>
  <c r="H1593" i="30"/>
  <c r="H1490" i="30"/>
  <c r="H1489" i="30"/>
  <c r="H1487" i="30"/>
  <c r="E1486" i="30"/>
  <c r="H1486" i="30" s="1"/>
  <c r="E1494" i="30"/>
  <c r="H1494" i="30" s="1"/>
  <c r="H1397" i="30"/>
  <c r="I1396" i="30" s="1"/>
  <c r="H1399" i="30"/>
  <c r="I1398" i="30" s="1"/>
  <c r="E1403" i="30"/>
  <c r="H1403" i="30" s="1"/>
  <c r="E1404" i="30"/>
  <c r="H1404" i="30" s="1"/>
  <c r="G1406" i="30"/>
  <c r="H1406" i="30" s="1"/>
  <c r="H1301" i="30"/>
  <c r="I1300" i="30" s="1"/>
  <c r="H1299" i="30"/>
  <c r="I1298" i="30" s="1"/>
  <c r="H1217" i="30"/>
  <c r="H1215" i="30"/>
  <c r="I1214" i="30" s="1"/>
  <c r="H1109" i="30"/>
  <c r="H1108" i="30"/>
  <c r="H1106" i="30"/>
  <c r="I1105" i="30" s="1"/>
  <c r="H931" i="30"/>
  <c r="H930" i="30"/>
  <c r="E928" i="30"/>
  <c r="H928" i="30" s="1"/>
  <c r="H927" i="30"/>
  <c r="H926" i="30"/>
  <c r="H925" i="30"/>
  <c r="H711" i="30"/>
  <c r="H710" i="30"/>
  <c r="H709" i="30"/>
  <c r="H708" i="30"/>
  <c r="H707" i="30"/>
  <c r="H706" i="30"/>
  <c r="H705" i="30"/>
  <c r="H704" i="30"/>
  <c r="E702" i="30"/>
  <c r="H702" i="30" s="1"/>
  <c r="H701" i="30"/>
  <c r="H480" i="30"/>
  <c r="I479" i="30" s="1"/>
  <c r="I477" i="30"/>
  <c r="H356" i="30"/>
  <c r="H355" i="30"/>
  <c r="H354" i="30"/>
  <c r="H352" i="30"/>
  <c r="I351" i="30" s="1"/>
  <c r="H196" i="30"/>
  <c r="H195" i="30"/>
  <c r="I1708" i="30" l="1"/>
  <c r="I1488" i="30"/>
  <c r="I1592" i="30"/>
  <c r="I1485" i="30"/>
  <c r="J1494" i="30"/>
  <c r="I1402" i="30"/>
  <c r="I929" i="30"/>
  <c r="I1107" i="30"/>
  <c r="I924" i="30"/>
  <c r="I700" i="30"/>
  <c r="I703" i="30"/>
  <c r="I353" i="30"/>
  <c r="I194" i="30"/>
  <c r="G1121" i="30"/>
  <c r="E748" i="30"/>
  <c r="G748" i="30"/>
  <c r="E762" i="30"/>
  <c r="B17" i="34" l="1"/>
  <c r="B18" i="34"/>
  <c r="B19" i="34"/>
  <c r="B21" i="34"/>
  <c r="B22" i="34"/>
  <c r="B23" i="34"/>
  <c r="B25" i="34"/>
  <c r="B26" i="34"/>
  <c r="B27" i="34"/>
  <c r="B29" i="34"/>
  <c r="B30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5" i="34"/>
  <c r="B46" i="34"/>
  <c r="B47" i="34"/>
  <c r="B49" i="34"/>
  <c r="B51" i="34"/>
  <c r="B58" i="34"/>
  <c r="B61" i="34"/>
  <c r="B62" i="34"/>
  <c r="B66" i="34"/>
  <c r="B67" i="34"/>
  <c r="B69" i="34"/>
  <c r="B70" i="34"/>
  <c r="B71" i="34"/>
  <c r="B73" i="34"/>
  <c r="B74" i="34"/>
  <c r="B76" i="34"/>
  <c r="B79" i="34"/>
  <c r="B80" i="34"/>
  <c r="S50" i="34"/>
  <c r="S51" i="34"/>
  <c r="Y51" i="34"/>
  <c r="Z51" i="34"/>
  <c r="AB55" i="34" s="1"/>
  <c r="AA51" i="34"/>
  <c r="AB51" i="34"/>
  <c r="S53" i="34"/>
  <c r="S54" i="34"/>
  <c r="S55" i="34"/>
  <c r="S56" i="34"/>
  <c r="S58" i="34"/>
  <c r="S59" i="34"/>
  <c r="S64" i="34"/>
  <c r="S65" i="34"/>
  <c r="S66" i="34"/>
  <c r="S67" i="34"/>
  <c r="S69" i="34"/>
  <c r="Z74" i="34"/>
  <c r="AF74" i="34" s="1"/>
  <c r="AH74" i="34" s="1"/>
  <c r="AA74" i="34"/>
  <c r="AC74" i="34"/>
  <c r="AD74" i="34"/>
  <c r="AE74" i="34"/>
  <c r="Z81" i="34"/>
  <c r="AC81" i="34" s="1"/>
  <c r="AC82" i="34"/>
  <c r="AC83" i="34"/>
  <c r="AC84" i="34"/>
  <c r="AC85" i="34"/>
  <c r="AC88" i="34"/>
  <c r="AC89" i="34"/>
  <c r="Z91" i="34"/>
  <c r="AC91" i="34" s="1"/>
  <c r="AB61" i="34" l="1"/>
  <c r="AB63" i="34"/>
  <c r="AB59" i="34"/>
  <c r="AB62" i="34"/>
  <c r="AB54" i="34"/>
  <c r="AB60" i="34"/>
  <c r="AC92" i="34"/>
  <c r="AE92" i="34" s="1"/>
  <c r="AB56" i="34"/>
  <c r="AB53" i="34"/>
  <c r="AB58" i="34"/>
  <c r="AB57" i="34"/>
  <c r="I192" i="30" l="1"/>
  <c r="I130" i="30"/>
  <c r="I128" i="30"/>
  <c r="I126" i="30"/>
  <c r="I123" i="30"/>
  <c r="I121" i="30"/>
  <c r="B52" i="30"/>
  <c r="H1796" i="30"/>
  <c r="I1795" i="30" s="1"/>
  <c r="H1194" i="30"/>
  <c r="I1193" i="30" s="1"/>
  <c r="H448" i="30"/>
  <c r="I447" i="30" s="1"/>
  <c r="H153" i="30"/>
  <c r="I152" i="30" s="1"/>
  <c r="H1183" i="30"/>
  <c r="I1182" i="30" s="1"/>
  <c r="H1778" i="30"/>
  <c r="I1777" i="30" s="1"/>
  <c r="H1680" i="30"/>
  <c r="I1679" i="30" s="1"/>
  <c r="H1559" i="30"/>
  <c r="I1558" i="30" s="1"/>
  <c r="H1453" i="30"/>
  <c r="I1452" i="30" s="1"/>
  <c r="I1365" i="30"/>
  <c r="H1364" i="30"/>
  <c r="I1363" i="30" s="1"/>
  <c r="H1276" i="30"/>
  <c r="I1275" i="30" s="1"/>
  <c r="H1032" i="30"/>
  <c r="I1031" i="30" s="1"/>
  <c r="I841" i="30"/>
  <c r="I596" i="30"/>
  <c r="I433" i="30"/>
  <c r="H300" i="30"/>
  <c r="I298" i="30" s="1"/>
  <c r="H140" i="30"/>
  <c r="I139" i="30" s="1"/>
  <c r="H135" i="30"/>
  <c r="I134" i="30" s="1"/>
  <c r="H430" i="30"/>
  <c r="I429" i="30" s="1"/>
  <c r="H1868" i="30"/>
  <c r="I1867" i="30" s="1"/>
  <c r="G1210" i="30"/>
  <c r="G1207" i="30"/>
  <c r="H1207" i="30" s="1"/>
  <c r="H1205" i="30"/>
  <c r="H1204" i="30"/>
  <c r="F1202" i="30"/>
  <c r="H1202" i="30" s="1"/>
  <c r="H1200" i="30"/>
  <c r="E1199" i="30"/>
  <c r="H1199" i="30" s="1"/>
  <c r="F1197" i="30"/>
  <c r="I1195" i="30"/>
  <c r="G1192" i="30"/>
  <c r="E1192" i="30"/>
  <c r="E1210" i="30" s="1"/>
  <c r="F1190" i="30"/>
  <c r="H1190" i="30" s="1"/>
  <c r="H1187" i="30"/>
  <c r="I1186" i="30" s="1"/>
  <c r="G1185" i="30"/>
  <c r="H1185" i="30" s="1"/>
  <c r="I1184" i="30" s="1"/>
  <c r="F1178" i="30"/>
  <c r="H1178" i="30" s="1"/>
  <c r="H1176" i="30"/>
  <c r="H971" i="30"/>
  <c r="I970" i="30" s="1"/>
  <c r="H973" i="30"/>
  <c r="I972" i="30" s="1"/>
  <c r="H969" i="30"/>
  <c r="E715" i="30"/>
  <c r="H715" i="30" s="1"/>
  <c r="I714" i="30" s="1"/>
  <c r="D717" i="30"/>
  <c r="G717" i="30" s="1"/>
  <c r="E718" i="30"/>
  <c r="G718" i="30" s="1"/>
  <c r="B50" i="34" l="1"/>
  <c r="H1210" i="30"/>
  <c r="I1206" i="30" s="1"/>
  <c r="I1211" i="30" s="1"/>
  <c r="I1198" i="30"/>
  <c r="H1192" i="30"/>
  <c r="I1188" i="30" s="1"/>
  <c r="I1203" i="30"/>
  <c r="I1175" i="30"/>
  <c r="I1179" i="30" s="1"/>
  <c r="I716" i="30"/>
  <c r="G1845" i="30" l="1"/>
  <c r="G1842" i="30"/>
  <c r="G1839" i="30"/>
  <c r="H1839" i="30" s="1"/>
  <c r="G1838" i="30"/>
  <c r="H1838" i="30" s="1"/>
  <c r="G1837" i="30"/>
  <c r="H1837" i="30" s="1"/>
  <c r="H1835" i="30"/>
  <c r="H1834" i="30"/>
  <c r="H1833" i="30"/>
  <c r="H1831" i="30"/>
  <c r="F1828" i="30"/>
  <c r="E1828" i="30"/>
  <c r="F1825" i="30"/>
  <c r="H1825" i="30" s="1"/>
  <c r="F1824" i="30"/>
  <c r="E1824" i="30"/>
  <c r="F1823" i="30"/>
  <c r="H1823" i="30" s="1"/>
  <c r="F1821" i="30"/>
  <c r="H1821" i="30" s="1"/>
  <c r="F1819" i="30"/>
  <c r="H1819" i="30" s="1"/>
  <c r="F1817" i="30"/>
  <c r="H1817" i="30" s="1"/>
  <c r="F1816" i="30"/>
  <c r="H1816" i="30" s="1"/>
  <c r="H1814" i="30"/>
  <c r="E1808" i="30"/>
  <c r="F1805" i="30"/>
  <c r="H1805" i="30" s="1"/>
  <c r="F1804" i="30"/>
  <c r="E1804" i="30"/>
  <c r="F1803" i="30"/>
  <c r="H1803" i="30" s="1"/>
  <c r="G1799" i="30"/>
  <c r="H1799" i="30" s="1"/>
  <c r="G1798" i="30"/>
  <c r="H1798" i="30" s="1"/>
  <c r="G1794" i="30"/>
  <c r="E1792" i="30"/>
  <c r="E1794" i="30" s="1"/>
  <c r="G1790" i="30"/>
  <c r="F1788" i="30"/>
  <c r="H1788" i="30" s="1"/>
  <c r="F1787" i="30"/>
  <c r="E1787" i="30"/>
  <c r="E1790" i="30" s="1"/>
  <c r="F1786" i="30"/>
  <c r="H1786" i="30" s="1"/>
  <c r="H1782" i="30"/>
  <c r="H1781" i="30"/>
  <c r="H1780" i="30"/>
  <c r="G1776" i="30"/>
  <c r="H1776" i="30" s="1"/>
  <c r="I1775" i="30" s="1"/>
  <c r="G1774" i="30"/>
  <c r="G1773" i="30"/>
  <c r="G1830" i="30" s="1"/>
  <c r="H1830" i="30" s="1"/>
  <c r="E1768" i="30"/>
  <c r="F1765" i="30"/>
  <c r="H1765" i="30" s="1"/>
  <c r="F1764" i="30"/>
  <c r="E1764" i="30"/>
  <c r="F1763" i="30"/>
  <c r="H1763" i="30" s="1"/>
  <c r="H1761" i="30"/>
  <c r="H1760" i="30"/>
  <c r="H1759" i="30"/>
  <c r="H1889" i="30"/>
  <c r="H1888" i="30"/>
  <c r="H1887" i="30"/>
  <c r="H1886" i="30"/>
  <c r="H1903" i="30"/>
  <c r="I1902" i="30" s="1"/>
  <c r="J1902" i="30"/>
  <c r="H1900" i="30"/>
  <c r="H1899" i="30"/>
  <c r="H1898" i="30"/>
  <c r="J1897" i="30"/>
  <c r="H1895" i="30"/>
  <c r="I1894" i="30" s="1"/>
  <c r="J1894" i="30"/>
  <c r="H1891" i="30"/>
  <c r="I1890" i="30" s="1"/>
  <c r="H1882" i="30"/>
  <c r="G1881" i="30"/>
  <c r="H1881" i="30" s="1"/>
  <c r="H1880" i="30"/>
  <c r="G1879" i="30"/>
  <c r="H1879" i="30" s="1"/>
  <c r="H1877" i="30"/>
  <c r="G1876" i="30"/>
  <c r="E1876" i="30"/>
  <c r="H1874" i="30"/>
  <c r="I1873" i="30" s="1"/>
  <c r="E1866" i="30"/>
  <c r="G1866" i="30" s="1"/>
  <c r="G1865" i="30"/>
  <c r="H1863" i="30"/>
  <c r="E1861" i="30"/>
  <c r="G1861" i="30" s="1"/>
  <c r="D1860" i="30"/>
  <c r="G1860" i="30" s="1"/>
  <c r="H1858" i="30"/>
  <c r="H1872" i="30"/>
  <c r="E1871" i="30"/>
  <c r="H1871" i="30" s="1"/>
  <c r="H1870" i="30"/>
  <c r="G1704" i="30"/>
  <c r="G1701" i="30"/>
  <c r="H1701" i="30" s="1"/>
  <c r="H1698" i="30"/>
  <c r="H1697" i="30"/>
  <c r="F1694" i="30"/>
  <c r="E1694" i="30"/>
  <c r="F1692" i="30"/>
  <c r="H1692" i="30" s="1"/>
  <c r="E1690" i="30"/>
  <c r="H1690" i="30" s="1"/>
  <c r="I1688" i="30" s="1"/>
  <c r="G1687" i="30"/>
  <c r="H1687" i="30" s="1"/>
  <c r="I1686" i="30" s="1"/>
  <c r="G1685" i="30"/>
  <c r="E1683" i="30"/>
  <c r="H1678" i="30"/>
  <c r="I1677" i="30" s="1"/>
  <c r="G1676" i="30"/>
  <c r="H1676" i="30" s="1"/>
  <c r="I1675" i="30" s="1"/>
  <c r="E1671" i="30"/>
  <c r="H1671" i="30" s="1"/>
  <c r="H1669" i="30"/>
  <c r="H1722" i="30"/>
  <c r="D1721" i="30"/>
  <c r="H1721" i="30" s="1"/>
  <c r="H1717" i="30"/>
  <c r="G1716" i="30"/>
  <c r="H1716" i="30" s="1"/>
  <c r="E1714" i="30"/>
  <c r="H1714" i="30" s="1"/>
  <c r="I1713" i="30" s="1"/>
  <c r="G1588" i="30"/>
  <c r="D1588" i="30"/>
  <c r="G1587" i="30"/>
  <c r="F1587" i="30"/>
  <c r="D1587" i="30"/>
  <c r="G1586" i="30"/>
  <c r="F1586" i="30"/>
  <c r="D1586" i="30"/>
  <c r="G1585" i="30"/>
  <c r="D1585" i="30"/>
  <c r="H1583" i="30"/>
  <c r="H1582" i="30"/>
  <c r="H1581" i="30"/>
  <c r="H1579" i="30"/>
  <c r="G1578" i="30"/>
  <c r="H1578" i="30" s="1"/>
  <c r="H1577" i="30"/>
  <c r="H1576" i="30"/>
  <c r="F1574" i="30"/>
  <c r="H1574" i="30" s="1"/>
  <c r="F1573" i="30"/>
  <c r="H1573" i="30" s="1"/>
  <c r="F1572" i="30"/>
  <c r="H1572" i="30" s="1"/>
  <c r="F1570" i="30"/>
  <c r="H1570" i="30" s="1"/>
  <c r="G1568" i="30"/>
  <c r="F1568" i="30"/>
  <c r="G1567" i="30"/>
  <c r="F1567" i="30"/>
  <c r="G1566" i="30"/>
  <c r="H1566" i="30" s="1"/>
  <c r="F1564" i="30"/>
  <c r="H1564" i="30" s="1"/>
  <c r="F1563" i="30"/>
  <c r="H1563" i="30" s="1"/>
  <c r="H1562" i="30"/>
  <c r="H1561" i="30"/>
  <c r="G1557" i="30"/>
  <c r="H1557" i="30" s="1"/>
  <c r="I1556" i="30" s="1"/>
  <c r="G1555" i="30"/>
  <c r="G1580" i="30" s="1"/>
  <c r="H1580" i="30" s="1"/>
  <c r="F1555" i="30"/>
  <c r="G1554" i="30"/>
  <c r="F1554" i="30"/>
  <c r="G1553" i="30"/>
  <c r="H1553" i="30" s="1"/>
  <c r="H1548" i="30"/>
  <c r="F1547" i="30"/>
  <c r="H1547" i="30" s="1"/>
  <c r="F1546" i="30"/>
  <c r="H1546" i="30" s="1"/>
  <c r="H1545" i="30"/>
  <c r="H1637" i="30"/>
  <c r="I1636" i="30" s="1"/>
  <c r="H1633" i="30"/>
  <c r="G1632" i="30"/>
  <c r="H1632" i="30" s="1"/>
  <c r="H1631" i="30"/>
  <c r="G1630" i="30"/>
  <c r="H1630" i="30" s="1"/>
  <c r="H1629" i="30"/>
  <c r="G1628" i="30"/>
  <c r="H1628" i="30" s="1"/>
  <c r="H1626" i="30"/>
  <c r="G1625" i="30"/>
  <c r="E1625" i="30"/>
  <c r="H1623" i="30"/>
  <c r="I1622" i="30" s="1"/>
  <c r="H1621" i="30"/>
  <c r="I1620" i="30" s="1"/>
  <c r="E1619" i="30"/>
  <c r="G1619" i="30" s="1"/>
  <c r="D1618" i="30"/>
  <c r="G1618" i="30" s="1"/>
  <c r="H1616" i="30"/>
  <c r="E1614" i="30"/>
  <c r="G1614" i="30" s="1"/>
  <c r="G1613" i="30"/>
  <c r="H1611" i="30"/>
  <c r="H1609" i="30"/>
  <c r="I1608" i="30" s="1"/>
  <c r="H1606" i="30"/>
  <c r="H1605" i="30"/>
  <c r="H1604" i="30"/>
  <c r="H1602" i="30"/>
  <c r="H1601" i="30"/>
  <c r="G1481" i="30"/>
  <c r="H1481" i="30" s="1"/>
  <c r="G1480" i="30"/>
  <c r="H1480" i="30" s="1"/>
  <c r="G1479" i="30"/>
  <c r="H1479" i="30" s="1"/>
  <c r="G1478" i="30"/>
  <c r="E1478" i="30"/>
  <c r="H1476" i="30"/>
  <c r="H1475" i="30"/>
  <c r="H1474" i="30"/>
  <c r="H1473" i="30"/>
  <c r="H1472" i="30"/>
  <c r="H1471" i="30"/>
  <c r="H1470" i="30"/>
  <c r="E1469" i="30"/>
  <c r="H1469" i="30" s="1"/>
  <c r="E1466" i="30"/>
  <c r="H1466" i="30" s="1"/>
  <c r="F1464" i="30"/>
  <c r="H1464" i="30" s="1"/>
  <c r="F1463" i="30"/>
  <c r="H1463" i="30" s="1"/>
  <c r="F1462" i="30"/>
  <c r="E1462" i="30"/>
  <c r="G1460" i="30"/>
  <c r="E1460" i="30"/>
  <c r="H1458" i="30"/>
  <c r="H1457" i="30"/>
  <c r="H1456" i="30"/>
  <c r="E1455" i="30"/>
  <c r="H1455" i="30" s="1"/>
  <c r="G1451" i="30"/>
  <c r="H1451" i="30" s="1"/>
  <c r="G1450" i="30"/>
  <c r="H1450" i="30" s="1"/>
  <c r="G1448" i="30"/>
  <c r="H1448" i="30" s="1"/>
  <c r="G1447" i="30"/>
  <c r="E1447" i="30"/>
  <c r="H1442" i="30"/>
  <c r="H1441" i="30"/>
  <c r="H1440" i="30"/>
  <c r="E1439" i="30"/>
  <c r="H1439" i="30" s="1"/>
  <c r="D1514" i="30"/>
  <c r="H1514" i="30" s="1"/>
  <c r="H1513" i="30"/>
  <c r="H1509" i="30"/>
  <c r="G1508" i="30"/>
  <c r="H1508" i="30" s="1"/>
  <c r="H1507" i="30"/>
  <c r="G1506" i="30"/>
  <c r="E1506" i="30"/>
  <c r="H1504" i="30"/>
  <c r="G1503" i="30"/>
  <c r="H1503" i="30" s="1"/>
  <c r="H1502" i="30"/>
  <c r="G1501" i="30"/>
  <c r="H1501" i="30" s="1"/>
  <c r="H1499" i="30"/>
  <c r="H1498" i="30"/>
  <c r="J1497" i="30"/>
  <c r="H1496" i="30"/>
  <c r="I1495" i="30" s="1"/>
  <c r="G1392" i="30"/>
  <c r="H1392" i="30" s="1"/>
  <c r="I1391" i="30" s="1"/>
  <c r="I1393" i="30" s="1"/>
  <c r="H1390" i="30"/>
  <c r="H1389" i="30"/>
  <c r="F1387" i="30"/>
  <c r="H1387" i="30" s="1"/>
  <c r="F1384" i="30"/>
  <c r="E1384" i="30"/>
  <c r="F1383" i="30"/>
  <c r="E1383" i="30"/>
  <c r="F1381" i="30"/>
  <c r="H1381" i="30" s="1"/>
  <c r="H1379" i="30"/>
  <c r="E1376" i="30"/>
  <c r="H1376" i="30" s="1"/>
  <c r="E1375" i="30"/>
  <c r="H1375" i="30" s="1"/>
  <c r="H1371" i="30"/>
  <c r="I1370" i="30" s="1"/>
  <c r="H1368" i="30"/>
  <c r="I1367" i="30" s="1"/>
  <c r="G1362" i="30"/>
  <c r="H1362" i="30" s="1"/>
  <c r="I1361" i="30" s="1"/>
  <c r="H1357" i="30"/>
  <c r="E1354" i="30"/>
  <c r="H1354" i="30" s="1"/>
  <c r="E1353" i="30"/>
  <c r="H1353" i="30" s="1"/>
  <c r="H1351" i="30"/>
  <c r="H1413" i="30"/>
  <c r="H1412" i="30"/>
  <c r="H1411" i="30"/>
  <c r="H1407" i="30"/>
  <c r="I1405" i="30" s="1"/>
  <c r="G1294" i="30"/>
  <c r="H1294" i="30" s="1"/>
  <c r="G1293" i="30"/>
  <c r="H1293" i="30" s="1"/>
  <c r="H1291" i="30"/>
  <c r="H1290" i="30"/>
  <c r="H1289" i="30"/>
  <c r="H1288" i="30"/>
  <c r="F1286" i="30"/>
  <c r="E1286" i="30"/>
  <c r="F1285" i="30"/>
  <c r="H1285" i="30" s="1"/>
  <c r="F1283" i="30"/>
  <c r="E1283" i="30"/>
  <c r="G1281" i="30"/>
  <c r="H1281" i="30" s="1"/>
  <c r="I1280" i="30" s="1"/>
  <c r="H1279" i="30"/>
  <c r="H1278" i="30"/>
  <c r="G1274" i="30"/>
  <c r="H1274" i="30" s="1"/>
  <c r="I1273" i="30" s="1"/>
  <c r="G1271" i="30"/>
  <c r="H1271" i="30" s="1"/>
  <c r="I1270" i="30" s="1"/>
  <c r="H1266" i="30"/>
  <c r="H1265" i="30"/>
  <c r="H1319" i="30"/>
  <c r="H1318" i="30"/>
  <c r="H1316" i="30"/>
  <c r="I1315" i="30" s="1"/>
  <c r="H1313" i="30"/>
  <c r="G1312" i="30"/>
  <c r="H1312" i="30" s="1"/>
  <c r="H1309" i="30"/>
  <c r="G1308" i="30"/>
  <c r="H1308" i="30" s="1"/>
  <c r="H1305" i="30"/>
  <c r="I1304" i="30" s="1"/>
  <c r="H1234" i="30"/>
  <c r="I1233" i="30" s="1"/>
  <c r="H1236" i="30"/>
  <c r="I1235" i="30" s="1"/>
  <c r="H1232" i="30"/>
  <c r="H1231" i="30"/>
  <c r="H1227" i="30"/>
  <c r="G1226" i="30"/>
  <c r="E1226" i="30"/>
  <c r="H1223" i="30"/>
  <c r="I1222" i="30" s="1"/>
  <c r="J1221" i="30"/>
  <c r="J1220" i="30" s="1"/>
  <c r="H1221" i="30"/>
  <c r="I1220" i="30" s="1"/>
  <c r="G1100" i="30"/>
  <c r="G1097" i="30"/>
  <c r="G1094" i="30"/>
  <c r="G1091" i="30"/>
  <c r="H1091" i="30" s="1"/>
  <c r="G1090" i="30"/>
  <c r="H1090" i="30" s="1"/>
  <c r="G1089" i="30"/>
  <c r="H1089" i="30" s="1"/>
  <c r="H1087" i="30"/>
  <c r="H1086" i="30"/>
  <c r="H1085" i="30"/>
  <c r="H1084" i="30"/>
  <c r="H1083" i="30"/>
  <c r="H1082" i="30"/>
  <c r="F1079" i="30"/>
  <c r="H1079" i="30" s="1"/>
  <c r="F1076" i="30"/>
  <c r="H1076" i="30" s="1"/>
  <c r="F1075" i="30"/>
  <c r="H1075" i="30" s="1"/>
  <c r="F1074" i="30"/>
  <c r="E1074" i="30"/>
  <c r="F1071" i="30"/>
  <c r="H1071" i="30" s="1"/>
  <c r="H1069" i="30"/>
  <c r="H1068" i="30"/>
  <c r="H1067" i="30"/>
  <c r="H1066" i="30"/>
  <c r="H1065" i="30"/>
  <c r="E1064" i="30"/>
  <c r="H1064" i="30" s="1"/>
  <c r="H1062" i="30"/>
  <c r="E1058" i="30"/>
  <c r="H1058" i="30" s="1"/>
  <c r="F1055" i="30"/>
  <c r="H1055" i="30" s="1"/>
  <c r="G1052" i="30"/>
  <c r="H1052" i="30" s="1"/>
  <c r="I1051" i="30" s="1"/>
  <c r="G1050" i="30"/>
  <c r="E1050" i="30"/>
  <c r="E1100" i="30" s="1"/>
  <c r="H1048" i="30"/>
  <c r="G1046" i="30"/>
  <c r="E1044" i="30"/>
  <c r="G1042" i="30"/>
  <c r="E1042" i="30"/>
  <c r="E1094" i="30" s="1"/>
  <c r="F1040" i="30"/>
  <c r="H1040" i="30" s="1"/>
  <c r="H1036" i="30"/>
  <c r="H1035" i="30"/>
  <c r="H1034" i="30"/>
  <c r="G1029" i="30"/>
  <c r="H1029" i="30" s="1"/>
  <c r="G1028" i="30"/>
  <c r="H1028" i="30" s="1"/>
  <c r="G1025" i="30"/>
  <c r="H1025" i="30" s="1"/>
  <c r="I1024" i="30" s="1"/>
  <c r="H1020" i="30"/>
  <c r="H1018" i="30"/>
  <c r="H1017" i="30"/>
  <c r="E1016" i="30"/>
  <c r="H1016" i="30" s="1"/>
  <c r="F1013" i="30"/>
  <c r="H1013" i="30" s="1"/>
  <c r="H1012" i="30"/>
  <c r="H1011" i="30"/>
  <c r="H1010" i="30"/>
  <c r="H1009" i="30"/>
  <c r="H1146" i="30"/>
  <c r="I1145" i="30" s="1"/>
  <c r="H1143" i="30"/>
  <c r="I1142" i="30" s="1"/>
  <c r="H1141" i="30"/>
  <c r="I1140" i="30" s="1"/>
  <c r="H1138" i="30"/>
  <c r="I1137" i="30" s="1"/>
  <c r="H1136" i="30"/>
  <c r="H1135" i="30"/>
  <c r="D1133" i="30"/>
  <c r="H1133" i="30" s="1"/>
  <c r="H1132" i="30"/>
  <c r="H1131" i="30"/>
  <c r="H1127" i="30"/>
  <c r="G1126" i="30"/>
  <c r="H1126" i="30" s="1"/>
  <c r="H1124" i="30"/>
  <c r="G1123" i="30"/>
  <c r="E1123" i="30"/>
  <c r="H1122" i="30"/>
  <c r="H1121" i="30"/>
  <c r="H1119" i="30"/>
  <c r="I1118" i="30" s="1"/>
  <c r="H1117" i="30"/>
  <c r="I1116" i="30" s="1"/>
  <c r="H1113" i="30"/>
  <c r="I1112" i="30" s="1"/>
  <c r="J1115" i="30"/>
  <c r="J1114" i="30" s="1"/>
  <c r="H1115" i="30"/>
  <c r="I1114" i="30" s="1"/>
  <c r="G920" i="30"/>
  <c r="G916" i="30"/>
  <c r="G913" i="30"/>
  <c r="G909" i="30"/>
  <c r="H909" i="30" s="1"/>
  <c r="G908" i="30"/>
  <c r="H908" i="30" s="1"/>
  <c r="G907" i="30"/>
  <c r="E907" i="30"/>
  <c r="G906" i="30"/>
  <c r="H906" i="30" s="1"/>
  <c r="G905" i="30"/>
  <c r="H905" i="30" s="1"/>
  <c r="G904" i="30"/>
  <c r="H904" i="30" s="1"/>
  <c r="H902" i="30"/>
  <c r="H901" i="30"/>
  <c r="H900" i="30"/>
  <c r="H899" i="30"/>
  <c r="H898" i="30"/>
  <c r="E897" i="30"/>
  <c r="H897" i="30" s="1"/>
  <c r="H896" i="30"/>
  <c r="H895" i="30"/>
  <c r="H894" i="30"/>
  <c r="H893" i="30"/>
  <c r="H892" i="30"/>
  <c r="H891" i="30"/>
  <c r="H877" i="30"/>
  <c r="E874" i="30"/>
  <c r="H874" i="30" s="1"/>
  <c r="F871" i="30"/>
  <c r="H871" i="30" s="1"/>
  <c r="G863" i="30"/>
  <c r="E863" i="30"/>
  <c r="E920" i="30" s="1"/>
  <c r="H861" i="30"/>
  <c r="G858" i="30"/>
  <c r="E856" i="30"/>
  <c r="G854" i="30"/>
  <c r="E854" i="30"/>
  <c r="E913" i="30" s="1"/>
  <c r="F852" i="30"/>
  <c r="H852" i="30" s="1"/>
  <c r="E849" i="30"/>
  <c r="H849" i="30" s="1"/>
  <c r="H848" i="30"/>
  <c r="H847" i="30"/>
  <c r="H846" i="30"/>
  <c r="H845" i="30"/>
  <c r="H844" i="30"/>
  <c r="F889" i="30"/>
  <c r="H889" i="30" s="1"/>
  <c r="F886" i="30"/>
  <c r="E886" i="30"/>
  <c r="F883" i="30"/>
  <c r="H883" i="30" s="1"/>
  <c r="H881" i="30"/>
  <c r="H880" i="30"/>
  <c r="H879" i="30"/>
  <c r="G868" i="30"/>
  <c r="E868" i="30"/>
  <c r="G867" i="30"/>
  <c r="H867" i="30" s="1"/>
  <c r="G866" i="30"/>
  <c r="H866" i="30" s="1"/>
  <c r="G865" i="30"/>
  <c r="H865" i="30" s="1"/>
  <c r="G840" i="30"/>
  <c r="H840" i="30" s="1"/>
  <c r="G839" i="30"/>
  <c r="H839" i="30" s="1"/>
  <c r="G837" i="30"/>
  <c r="E837" i="30"/>
  <c r="G836" i="30"/>
  <c r="H836" i="30" s="1"/>
  <c r="G835" i="30"/>
  <c r="H835" i="30" s="1"/>
  <c r="G834" i="30"/>
  <c r="H834" i="30" s="1"/>
  <c r="H829" i="30"/>
  <c r="E826" i="30"/>
  <c r="H826" i="30" s="1"/>
  <c r="F823" i="30"/>
  <c r="H823" i="30" s="1"/>
  <c r="H822" i="30"/>
  <c r="H821" i="30"/>
  <c r="H820" i="30"/>
  <c r="E819" i="30"/>
  <c r="H819" i="30" s="1"/>
  <c r="H818" i="30"/>
  <c r="H817" i="30"/>
  <c r="H816" i="30"/>
  <c r="H982" i="30"/>
  <c r="I981" i="30" s="1"/>
  <c r="H980" i="30"/>
  <c r="I979" i="30" s="1"/>
  <c r="H977" i="30"/>
  <c r="I976" i="30" s="1"/>
  <c r="H975" i="30"/>
  <c r="I974" i="30" s="1"/>
  <c r="H968" i="30"/>
  <c r="H967" i="30"/>
  <c r="H966" i="30"/>
  <c r="H962" i="30"/>
  <c r="G961" i="30"/>
  <c r="E961" i="30"/>
  <c r="H960" i="30"/>
  <c r="G959" i="30"/>
  <c r="H959" i="30" s="1"/>
  <c r="H958" i="30"/>
  <c r="G957" i="30"/>
  <c r="H957" i="30" s="1"/>
  <c r="H956" i="30"/>
  <c r="G955" i="30"/>
  <c r="H955" i="30" s="1"/>
  <c r="H953" i="30"/>
  <c r="G952" i="30"/>
  <c r="H952" i="30" s="1"/>
  <c r="H951" i="30"/>
  <c r="G950" i="30"/>
  <c r="E950" i="30"/>
  <c r="H948" i="30"/>
  <c r="H947" i="30"/>
  <c r="H941" i="30"/>
  <c r="H940" i="30"/>
  <c r="E938" i="30"/>
  <c r="G938" i="30" s="1"/>
  <c r="D937" i="30"/>
  <c r="G937" i="30" s="1"/>
  <c r="E935" i="30"/>
  <c r="H935" i="30" s="1"/>
  <c r="E945" i="30"/>
  <c r="H945" i="30" s="1"/>
  <c r="I944" i="30" s="1"/>
  <c r="J943" i="30"/>
  <c r="J942" i="30" s="1"/>
  <c r="H943" i="30"/>
  <c r="I942" i="30" s="1"/>
  <c r="G696" i="30"/>
  <c r="G693" i="30"/>
  <c r="G690" i="30"/>
  <c r="G687" i="30"/>
  <c r="H687" i="30" s="1"/>
  <c r="G686" i="30"/>
  <c r="D686" i="30"/>
  <c r="G685" i="30"/>
  <c r="D685" i="30"/>
  <c r="G684" i="30"/>
  <c r="H684" i="30" s="1"/>
  <c r="G683" i="30"/>
  <c r="H683" i="30" s="1"/>
  <c r="G682" i="30"/>
  <c r="H682" i="30" s="1"/>
  <c r="G681" i="30"/>
  <c r="H681" i="30" s="1"/>
  <c r="G680" i="30"/>
  <c r="H680" i="30" s="1"/>
  <c r="G679" i="30"/>
  <c r="E679" i="30"/>
  <c r="G678" i="30"/>
  <c r="H678" i="30" s="1"/>
  <c r="H676" i="30"/>
  <c r="I674" i="30" s="1"/>
  <c r="H673" i="30"/>
  <c r="H672" i="30"/>
  <c r="H671" i="30"/>
  <c r="H670" i="30"/>
  <c r="H669" i="30"/>
  <c r="H668" i="30"/>
  <c r="H667" i="30"/>
  <c r="H666" i="30"/>
  <c r="H665" i="30"/>
  <c r="H664" i="30"/>
  <c r="H663" i="30"/>
  <c r="H662" i="30"/>
  <c r="H661" i="30"/>
  <c r="H660" i="30"/>
  <c r="H659" i="30"/>
  <c r="H658" i="30"/>
  <c r="H657" i="30"/>
  <c r="E656" i="30"/>
  <c r="H656" i="30" s="1"/>
  <c r="H655" i="30"/>
  <c r="H654" i="30"/>
  <c r="F652" i="30"/>
  <c r="H652" i="30" s="1"/>
  <c r="F651" i="30"/>
  <c r="H651" i="30" s="1"/>
  <c r="F649" i="30"/>
  <c r="H649" i="30" s="1"/>
  <c r="H648" i="30"/>
  <c r="H647" i="30"/>
  <c r="E646" i="30"/>
  <c r="H646" i="30" s="1"/>
  <c r="H644" i="30"/>
  <c r="H643" i="30"/>
  <c r="E642" i="30"/>
  <c r="H642" i="30" s="1"/>
  <c r="H640" i="30"/>
  <c r="H637" i="30"/>
  <c r="H636" i="30"/>
  <c r="F633" i="30"/>
  <c r="H633" i="30" s="1"/>
  <c r="H630" i="30"/>
  <c r="E629" i="30"/>
  <c r="G626" i="30"/>
  <c r="E626" i="30"/>
  <c r="G625" i="30"/>
  <c r="H625" i="30" s="1"/>
  <c r="G623" i="30"/>
  <c r="E623" i="30"/>
  <c r="E696" i="30" s="1"/>
  <c r="H621" i="30"/>
  <c r="H620" i="30"/>
  <c r="G618" i="30"/>
  <c r="E618" i="30"/>
  <c r="E693" i="30" s="1"/>
  <c r="F616" i="30"/>
  <c r="H616" i="30" s="1"/>
  <c r="G614" i="30"/>
  <c r="H612" i="30"/>
  <c r="E611" i="30"/>
  <c r="E614" i="30" s="1"/>
  <c r="H608" i="30"/>
  <c r="H607" i="30"/>
  <c r="H606" i="30"/>
  <c r="H605" i="30"/>
  <c r="H604" i="30"/>
  <c r="H603" i="30"/>
  <c r="H602" i="30"/>
  <c r="H601" i="30"/>
  <c r="E600" i="30"/>
  <c r="H600" i="30" s="1"/>
  <c r="H599" i="30"/>
  <c r="G595" i="30"/>
  <c r="H595" i="30" s="1"/>
  <c r="G594" i="30"/>
  <c r="H594" i="30" s="1"/>
  <c r="G593" i="30"/>
  <c r="H593" i="30" s="1"/>
  <c r="G592" i="30"/>
  <c r="H592" i="30" s="1"/>
  <c r="G591" i="30"/>
  <c r="H591" i="30" s="1"/>
  <c r="G590" i="30"/>
  <c r="H590" i="30" s="1"/>
  <c r="G589" i="30"/>
  <c r="H589" i="30" s="1"/>
  <c r="G588" i="30"/>
  <c r="H588" i="30" s="1"/>
  <c r="G586" i="30"/>
  <c r="E586" i="30"/>
  <c r="G585" i="30"/>
  <c r="H585" i="30" s="1"/>
  <c r="H562" i="30"/>
  <c r="H561" i="30"/>
  <c r="F558" i="30"/>
  <c r="H558" i="30" s="1"/>
  <c r="H557" i="30"/>
  <c r="H556" i="30"/>
  <c r="H555" i="30"/>
  <c r="E554" i="30"/>
  <c r="E552" i="30"/>
  <c r="H552" i="30" s="1"/>
  <c r="H551" i="30"/>
  <c r="H550" i="30"/>
  <c r="H549" i="30"/>
  <c r="H548" i="30"/>
  <c r="H547" i="30"/>
  <c r="H546" i="30"/>
  <c r="H545" i="30"/>
  <c r="H544" i="30"/>
  <c r="H543" i="30"/>
  <c r="E542" i="30"/>
  <c r="H542" i="30" s="1"/>
  <c r="H541" i="30"/>
  <c r="H581" i="30"/>
  <c r="F580" i="30"/>
  <c r="H580" i="30" s="1"/>
  <c r="H575" i="30"/>
  <c r="I575" i="30" s="1"/>
  <c r="H570" i="30"/>
  <c r="I569" i="30" s="1"/>
  <c r="I573" i="30" s="1"/>
  <c r="F567" i="30"/>
  <c r="H567" i="30" s="1"/>
  <c r="I566" i="30" s="1"/>
  <c r="H777" i="30"/>
  <c r="I776" i="30" s="1"/>
  <c r="H775" i="30"/>
  <c r="H774" i="30"/>
  <c r="H773" i="30"/>
  <c r="D772" i="30"/>
  <c r="H772" i="30" s="1"/>
  <c r="H768" i="30"/>
  <c r="G767" i="30"/>
  <c r="E767" i="30"/>
  <c r="H766" i="30"/>
  <c r="G765" i="30"/>
  <c r="H765" i="30" s="1"/>
  <c r="H763" i="30"/>
  <c r="G762" i="30"/>
  <c r="H761" i="30"/>
  <c r="G760" i="30"/>
  <c r="E760" i="30"/>
  <c r="H759" i="30"/>
  <c r="G758" i="30"/>
  <c r="E758" i="30"/>
  <c r="H757" i="30"/>
  <c r="G756" i="30"/>
  <c r="E756" i="30"/>
  <c r="H755" i="30"/>
  <c r="G754" i="30"/>
  <c r="E754" i="30"/>
  <c r="H753" i="30"/>
  <c r="G752" i="30"/>
  <c r="E752" i="30"/>
  <c r="H751" i="30"/>
  <c r="G750" i="30"/>
  <c r="E750" i="30"/>
  <c r="H749" i="30"/>
  <c r="H735" i="30"/>
  <c r="I734" i="30" s="1"/>
  <c r="J734" i="30"/>
  <c r="H744" i="30"/>
  <c r="H743" i="30"/>
  <c r="H742" i="30"/>
  <c r="H741" i="30"/>
  <c r="H746" i="30"/>
  <c r="I745" i="30" s="1"/>
  <c r="H739" i="30"/>
  <c r="H738" i="30"/>
  <c r="H737" i="30"/>
  <c r="H730" i="30"/>
  <c r="I729" i="30" s="1"/>
  <c r="H728" i="30"/>
  <c r="I727" i="30" s="1"/>
  <c r="H726" i="30"/>
  <c r="H725" i="30"/>
  <c r="H724" i="30"/>
  <c r="H722" i="30"/>
  <c r="H721" i="30"/>
  <c r="H720" i="30"/>
  <c r="H733" i="30"/>
  <c r="E732" i="30"/>
  <c r="H732" i="30" s="1"/>
  <c r="G473" i="30"/>
  <c r="G470" i="30"/>
  <c r="G468" i="30"/>
  <c r="H468" i="30" s="1"/>
  <c r="G467" i="30"/>
  <c r="H467" i="30" s="1"/>
  <c r="H465" i="30"/>
  <c r="H464" i="30"/>
  <c r="F462" i="30"/>
  <c r="H462" i="30" s="1"/>
  <c r="E459" i="30"/>
  <c r="H459" i="30" s="1"/>
  <c r="H457" i="30"/>
  <c r="H456" i="30"/>
  <c r="H455" i="30"/>
  <c r="F453" i="30"/>
  <c r="H453" i="30" s="1"/>
  <c r="G451" i="30"/>
  <c r="E451" i="30"/>
  <c r="G446" i="30"/>
  <c r="E446" i="30"/>
  <c r="E473" i="30" s="1"/>
  <c r="F444" i="30"/>
  <c r="H444" i="30" s="1"/>
  <c r="G442" i="30"/>
  <c r="G440" i="30"/>
  <c r="E440" i="30"/>
  <c r="E442" i="30" s="1"/>
  <c r="H437" i="30"/>
  <c r="I436" i="30" s="1"/>
  <c r="G432" i="30"/>
  <c r="H432" i="30" s="1"/>
  <c r="I431" i="30" s="1"/>
  <c r="F424" i="30"/>
  <c r="H424" i="30" s="1"/>
  <c r="E422" i="30"/>
  <c r="H422" i="30" s="1"/>
  <c r="H420" i="30"/>
  <c r="H496" i="30"/>
  <c r="H495" i="30"/>
  <c r="H494" i="30"/>
  <c r="H491" i="30"/>
  <c r="G490" i="30"/>
  <c r="H490" i="30" s="1"/>
  <c r="H484" i="30"/>
  <c r="I483" i="30" s="1"/>
  <c r="H488" i="30"/>
  <c r="I487" i="30" s="1"/>
  <c r="E486" i="30"/>
  <c r="H486" i="30" s="1"/>
  <c r="I485" i="30" s="1"/>
  <c r="G345" i="30"/>
  <c r="G342" i="30"/>
  <c r="H342" i="30" s="1"/>
  <c r="G341" i="30"/>
  <c r="H341" i="30" s="1"/>
  <c r="G340" i="30"/>
  <c r="H340" i="30" s="1"/>
  <c r="H339" i="30"/>
  <c r="F326" i="30"/>
  <c r="E326" i="30"/>
  <c r="H324" i="30"/>
  <c r="E318" i="30"/>
  <c r="H318" i="30" s="1"/>
  <c r="I316" i="30" s="1"/>
  <c r="G315" i="30"/>
  <c r="H315" i="30" s="1"/>
  <c r="I314" i="30" s="1"/>
  <c r="G311" i="30"/>
  <c r="E309" i="30"/>
  <c r="H305" i="30"/>
  <c r="H304" i="30"/>
  <c r="H303" i="30"/>
  <c r="H302" i="30"/>
  <c r="G297" i="30"/>
  <c r="H297" i="30" s="1"/>
  <c r="G296" i="30"/>
  <c r="H296" i="30" s="1"/>
  <c r="G295" i="30"/>
  <c r="H295" i="30" s="1"/>
  <c r="G292" i="30"/>
  <c r="H292" i="30" s="1"/>
  <c r="I291" i="30" s="1"/>
  <c r="H337" i="30"/>
  <c r="H336" i="30"/>
  <c r="H335" i="30"/>
  <c r="H334" i="30"/>
  <c r="H333" i="30"/>
  <c r="H332" i="30"/>
  <c r="H331" i="30"/>
  <c r="H330" i="30"/>
  <c r="F286" i="30"/>
  <c r="E286" i="30"/>
  <c r="E345" i="30" s="1"/>
  <c r="H284" i="30"/>
  <c r="H283" i="30"/>
  <c r="H282" i="30"/>
  <c r="H281" i="30"/>
  <c r="H389" i="30"/>
  <c r="I388" i="30" s="1"/>
  <c r="H386" i="30"/>
  <c r="I385" i="30" s="1"/>
  <c r="D383" i="30"/>
  <c r="H383" i="30" s="1"/>
  <c r="I382" i="30" s="1"/>
  <c r="H379" i="30"/>
  <c r="G378" i="30"/>
  <c r="H378" i="30" s="1"/>
  <c r="H376" i="30"/>
  <c r="G375" i="30"/>
  <c r="H375" i="30" s="1"/>
  <c r="H374" i="30"/>
  <c r="G373" i="30"/>
  <c r="H373" i="30" s="1"/>
  <c r="H372" i="30"/>
  <c r="G371" i="30"/>
  <c r="H371" i="30" s="1"/>
  <c r="H367" i="30"/>
  <c r="H366" i="30"/>
  <c r="H365" i="30"/>
  <c r="H361" i="30"/>
  <c r="H360" i="30"/>
  <c r="E363" i="30"/>
  <c r="H363" i="30" s="1"/>
  <c r="H233" i="30"/>
  <c r="I232" i="30" s="1"/>
  <c r="H230" i="30"/>
  <c r="I229" i="30" s="1"/>
  <c r="H227" i="30"/>
  <c r="I226" i="30" s="1"/>
  <c r="H224" i="30"/>
  <c r="I223" i="30" s="1"/>
  <c r="H222" i="30"/>
  <c r="I221" i="30" s="1"/>
  <c r="H219" i="30"/>
  <c r="H218" i="30"/>
  <c r="H217" i="30"/>
  <c r="H216" i="30"/>
  <c r="H215" i="30"/>
  <c r="H211" i="30"/>
  <c r="G210" i="30"/>
  <c r="H210" i="30" s="1"/>
  <c r="H209" i="30"/>
  <c r="G208" i="30"/>
  <c r="H208" i="30" s="1"/>
  <c r="E203" i="30"/>
  <c r="H203" i="30" s="1"/>
  <c r="E202" i="30"/>
  <c r="H202" i="30" s="1"/>
  <c r="E200" i="30"/>
  <c r="H200" i="30" s="1"/>
  <c r="I199" i="30" s="1"/>
  <c r="H206" i="30"/>
  <c r="H205" i="30"/>
  <c r="G186" i="30"/>
  <c r="G183" i="30"/>
  <c r="H183" i="30" s="1"/>
  <c r="G182" i="30"/>
  <c r="H182" i="30" s="1"/>
  <c r="H178" i="30"/>
  <c r="H177" i="30"/>
  <c r="H176" i="30"/>
  <c r="H175" i="30"/>
  <c r="F171" i="30"/>
  <c r="E171" i="30"/>
  <c r="F170" i="30"/>
  <c r="E170" i="30"/>
  <c r="E167" i="30"/>
  <c r="H167" i="30" s="1"/>
  <c r="F165" i="30"/>
  <c r="E165" i="30"/>
  <c r="F164" i="30"/>
  <c r="E164" i="30"/>
  <c r="F163" i="30"/>
  <c r="H163" i="30" s="1"/>
  <c r="F162" i="30"/>
  <c r="E162" i="30"/>
  <c r="E157" i="30"/>
  <c r="H157" i="30" s="1"/>
  <c r="E156" i="30"/>
  <c r="H156" i="30" s="1"/>
  <c r="G150" i="30"/>
  <c r="E148" i="30"/>
  <c r="H148" i="30" s="1"/>
  <c r="E147" i="30"/>
  <c r="H147" i="30" s="1"/>
  <c r="H143" i="30"/>
  <c r="H142" i="30"/>
  <c r="G138" i="30"/>
  <c r="H138" i="30" s="1"/>
  <c r="G137" i="30"/>
  <c r="H137" i="30" s="1"/>
  <c r="E117" i="30"/>
  <c r="H117" i="30" s="1"/>
  <c r="E116" i="30"/>
  <c r="H116" i="30" s="1"/>
  <c r="H114" i="30"/>
  <c r="H113" i="30"/>
  <c r="AG95" i="30"/>
  <c r="AF95" i="30"/>
  <c r="AE95" i="30"/>
  <c r="AB95" i="30" s="1"/>
  <c r="AD95" i="30"/>
  <c r="AC95" i="30"/>
  <c r="AA95" i="30"/>
  <c r="Z95" i="30"/>
  <c r="Y95" i="30"/>
  <c r="Z93" i="30"/>
  <c r="AC93" i="30" s="1"/>
  <c r="AC91" i="30"/>
  <c r="AC90" i="30"/>
  <c r="B90" i="30"/>
  <c r="B89" i="30"/>
  <c r="B88" i="30"/>
  <c r="AC87" i="30"/>
  <c r="B87" i="30"/>
  <c r="AC86" i="30"/>
  <c r="B86" i="30"/>
  <c r="AC85" i="30"/>
  <c r="B85" i="30"/>
  <c r="AC84" i="30"/>
  <c r="B84" i="30"/>
  <c r="Z83" i="30"/>
  <c r="AC83" i="30" s="1"/>
  <c r="B83" i="30"/>
  <c r="B80" i="30"/>
  <c r="B79" i="30"/>
  <c r="B77" i="30"/>
  <c r="AC76" i="30"/>
  <c r="AA76" i="30"/>
  <c r="Z76" i="30"/>
  <c r="S71" i="30"/>
  <c r="B70" i="30"/>
  <c r="S69" i="30"/>
  <c r="S68" i="30"/>
  <c r="S67" i="30"/>
  <c r="B67" i="30"/>
  <c r="S66" i="30"/>
  <c r="B66" i="30"/>
  <c r="B65" i="30"/>
  <c r="B62" i="30"/>
  <c r="S61" i="30"/>
  <c r="B61" i="30"/>
  <c r="S60" i="30"/>
  <c r="B59" i="30"/>
  <c r="S58" i="30"/>
  <c r="B58" i="30"/>
  <c r="S57" i="30"/>
  <c r="B57" i="30"/>
  <c r="S56" i="30"/>
  <c r="B56" i="30"/>
  <c r="S55" i="30"/>
  <c r="B55" i="30"/>
  <c r="B54" i="30"/>
  <c r="AB53" i="30"/>
  <c r="AA53" i="30"/>
  <c r="Z53" i="30"/>
  <c r="Y53" i="30"/>
  <c r="S53" i="30"/>
  <c r="S52" i="30"/>
  <c r="B18" i="30"/>
  <c r="I934" i="30" l="1"/>
  <c r="B54" i="34"/>
  <c r="B56" i="34"/>
  <c r="B59" i="34"/>
  <c r="B64" i="34"/>
  <c r="B77" i="34"/>
  <c r="B82" i="34"/>
  <c r="B84" i="34"/>
  <c r="B86" i="34"/>
  <c r="B52" i="34"/>
  <c r="B78" i="34"/>
  <c r="B87" i="34"/>
  <c r="B53" i="34"/>
  <c r="B55" i="34"/>
  <c r="B57" i="34"/>
  <c r="B60" i="34"/>
  <c r="B65" i="34"/>
  <c r="B68" i="34"/>
  <c r="B81" i="34"/>
  <c r="B83" i="34"/>
  <c r="B85" i="34"/>
  <c r="B88" i="34"/>
  <c r="B63" i="34"/>
  <c r="B75" i="34"/>
  <c r="C18" i="30"/>
  <c r="B16" i="34"/>
  <c r="I1512" i="30"/>
  <c r="I1317" i="30"/>
  <c r="I1230" i="30"/>
  <c r="I1130" i="30"/>
  <c r="I965" i="30"/>
  <c r="I771" i="30"/>
  <c r="J63" i="30"/>
  <c r="J69" i="30"/>
  <c r="J68" i="30"/>
  <c r="I493" i="30"/>
  <c r="J64" i="30"/>
  <c r="J67" i="30"/>
  <c r="H693" i="30"/>
  <c r="I377" i="30"/>
  <c r="I141" i="30"/>
  <c r="H345" i="30"/>
  <c r="I338" i="30" s="1"/>
  <c r="I348" i="30" s="1"/>
  <c r="I1720" i="30"/>
  <c r="H1768" i="30"/>
  <c r="H837" i="30"/>
  <c r="I833" i="30" s="1"/>
  <c r="H473" i="30"/>
  <c r="H626" i="30"/>
  <c r="I624" i="30" s="1"/>
  <c r="H686" i="30"/>
  <c r="I1033" i="30"/>
  <c r="H1286" i="30"/>
  <c r="H1694" i="30"/>
  <c r="I1691" i="30" s="1"/>
  <c r="H170" i="30"/>
  <c r="I1610" i="30"/>
  <c r="H171" i="30"/>
  <c r="I731" i="30"/>
  <c r="H1625" i="30"/>
  <c r="I1624" i="30" s="1"/>
  <c r="H1567" i="30"/>
  <c r="H1808" i="30"/>
  <c r="I154" i="30"/>
  <c r="I204" i="30"/>
  <c r="I201" i="30"/>
  <c r="L192" i="30" s="1"/>
  <c r="H451" i="30"/>
  <c r="I449" i="30" s="1"/>
  <c r="I463" i="30"/>
  <c r="H950" i="30"/>
  <c r="I949" i="30" s="1"/>
  <c r="H907" i="30"/>
  <c r="H1383" i="30"/>
  <c r="I1497" i="30"/>
  <c r="H1555" i="30"/>
  <c r="I1779" i="30"/>
  <c r="AD76" i="30"/>
  <c r="H164" i="30"/>
  <c r="I740" i="30"/>
  <c r="I838" i="30"/>
  <c r="I869" i="30"/>
  <c r="I1264" i="30"/>
  <c r="I1267" i="30" s="1"/>
  <c r="I1612" i="30"/>
  <c r="H1585" i="30"/>
  <c r="I1715" i="30"/>
  <c r="H1876" i="30"/>
  <c r="I1875" i="30" s="1"/>
  <c r="AC98" i="30"/>
  <c r="H162" i="30"/>
  <c r="H326" i="30"/>
  <c r="I323" i="30" s="1"/>
  <c r="I419" i="30"/>
  <c r="I425" i="30" s="1"/>
  <c r="H586" i="30"/>
  <c r="I584" i="30" s="1"/>
  <c r="I1277" i="30"/>
  <c r="AE76" i="30"/>
  <c r="H748" i="30"/>
  <c r="H756" i="30"/>
  <c r="H611" i="30"/>
  <c r="H629" i="30"/>
  <c r="I627" i="30" s="1"/>
  <c r="H679" i="30"/>
  <c r="I1053" i="30"/>
  <c r="I1081" i="30"/>
  <c r="I719" i="30"/>
  <c r="I736" i="30"/>
  <c r="I1569" i="30"/>
  <c r="H1568" i="30"/>
  <c r="H1506" i="30"/>
  <c r="I1505" i="30" s="1"/>
  <c r="H1478" i="30"/>
  <c r="I1477" i="30" s="1"/>
  <c r="I1482" i="30" s="1"/>
  <c r="H1787" i="30"/>
  <c r="H1804" i="30"/>
  <c r="H1828" i="30"/>
  <c r="I174" i="30"/>
  <c r="I364" i="30"/>
  <c r="I370" i="30"/>
  <c r="H286" i="30"/>
  <c r="I280" i="30" s="1"/>
  <c r="I288" i="30" s="1"/>
  <c r="I489" i="30"/>
  <c r="H446" i="30"/>
  <c r="H752" i="30"/>
  <c r="H760" i="30"/>
  <c r="H767" i="30"/>
  <c r="I764" i="30" s="1"/>
  <c r="I578" i="30"/>
  <c r="H554" i="30"/>
  <c r="I540" i="30" s="1"/>
  <c r="I563" i="30" s="1"/>
  <c r="H696" i="30"/>
  <c r="H886" i="30"/>
  <c r="I878" i="30" s="1"/>
  <c r="I1125" i="30"/>
  <c r="H1094" i="30"/>
  <c r="H1074" i="30"/>
  <c r="I1063" i="30" s="1"/>
  <c r="I1410" i="30"/>
  <c r="H1462" i="30"/>
  <c r="I1461" i="30" s="1"/>
  <c r="I1560" i="30"/>
  <c r="H1792" i="30"/>
  <c r="H1824" i="30"/>
  <c r="I641" i="30"/>
  <c r="I653" i="30"/>
  <c r="H614" i="30"/>
  <c r="E690" i="30"/>
  <c r="H690" i="30" s="1"/>
  <c r="AB64" i="30"/>
  <c r="AB61" i="30"/>
  <c r="AF76" i="30"/>
  <c r="AH76" i="30" s="1"/>
  <c r="E150" i="30"/>
  <c r="H150" i="30" s="1"/>
  <c r="I145" i="30" s="1"/>
  <c r="H165" i="30"/>
  <c r="I301" i="30"/>
  <c r="H309" i="30"/>
  <c r="E311" i="30"/>
  <c r="H311" i="30" s="1"/>
  <c r="H440" i="30"/>
  <c r="I587" i="30"/>
  <c r="I598" i="30"/>
  <c r="H685" i="30"/>
  <c r="AB56" i="30"/>
  <c r="I136" i="30"/>
  <c r="I294" i="30"/>
  <c r="I214" i="30"/>
  <c r="L194" i="30" s="1"/>
  <c r="I359" i="30"/>
  <c r="I454" i="30"/>
  <c r="I723" i="30"/>
  <c r="H754" i="30"/>
  <c r="H762" i="30"/>
  <c r="J1493" i="30"/>
  <c r="J62" i="30" s="1"/>
  <c r="I1493" i="30"/>
  <c r="I1008" i="30"/>
  <c r="I1021" i="30" s="1"/>
  <c r="I1500" i="30"/>
  <c r="I1454" i="30"/>
  <c r="I1468" i="30"/>
  <c r="H1587" i="30"/>
  <c r="I1857" i="30"/>
  <c r="G1832" i="30"/>
  <c r="H1832" i="30" s="1"/>
  <c r="I1829" i="30" s="1"/>
  <c r="H1774" i="30"/>
  <c r="I207" i="30"/>
  <c r="H750" i="30"/>
  <c r="H758" i="30"/>
  <c r="I946" i="30"/>
  <c r="H961" i="30"/>
  <c r="I954" i="30" s="1"/>
  <c r="I815" i="30"/>
  <c r="I830" i="30" s="1"/>
  <c r="I1292" i="30"/>
  <c r="I1295" i="30" s="1"/>
  <c r="I1373" i="30"/>
  <c r="I1859" i="30"/>
  <c r="H868" i="30"/>
  <c r="I864" i="30" s="1"/>
  <c r="H854" i="30"/>
  <c r="H920" i="30"/>
  <c r="H1384" i="30"/>
  <c r="I1388" i="30"/>
  <c r="I1600" i="30"/>
  <c r="H1588" i="30"/>
  <c r="I1668" i="30"/>
  <c r="I1672" i="30" s="1"/>
  <c r="I1864" i="30"/>
  <c r="H1764" i="30"/>
  <c r="I843" i="30"/>
  <c r="H913" i="30"/>
  <c r="I1134" i="30"/>
  <c r="I1027" i="30"/>
  <c r="H1100" i="30"/>
  <c r="H1226" i="30"/>
  <c r="I1225" i="30" s="1"/>
  <c r="I1311" i="30"/>
  <c r="H1283" i="30"/>
  <c r="I1350" i="30"/>
  <c r="I1358" i="30" s="1"/>
  <c r="I1438" i="30"/>
  <c r="I1443" i="30" s="1"/>
  <c r="H1447" i="30"/>
  <c r="I1446" i="30" s="1"/>
  <c r="I1449" i="30"/>
  <c r="I1603" i="30"/>
  <c r="I1617" i="30"/>
  <c r="H1586" i="30"/>
  <c r="I1696" i="30"/>
  <c r="I1869" i="30"/>
  <c r="I112" i="30"/>
  <c r="AB98" i="30"/>
  <c r="AB99" i="30"/>
  <c r="AC99" i="30" s="1"/>
  <c r="AB97" i="30"/>
  <c r="AC97" i="30" s="1"/>
  <c r="E470" i="30"/>
  <c r="H470" i="30" s="1"/>
  <c r="H442" i="30"/>
  <c r="I329" i="30"/>
  <c r="AB57" i="30"/>
  <c r="AB63" i="30"/>
  <c r="AB65" i="30"/>
  <c r="H623" i="30"/>
  <c r="I939" i="30"/>
  <c r="H1123" i="30"/>
  <c r="I1120" i="30" s="1"/>
  <c r="AB58" i="30"/>
  <c r="AB59" i="30"/>
  <c r="H618" i="30"/>
  <c r="H1044" i="30"/>
  <c r="E1046" i="30"/>
  <c r="AB55" i="30"/>
  <c r="AB60" i="30"/>
  <c r="AB62" i="30"/>
  <c r="I936" i="30"/>
  <c r="E858" i="30"/>
  <c r="H856" i="30"/>
  <c r="I890" i="30"/>
  <c r="H863" i="30"/>
  <c r="I1307" i="30"/>
  <c r="I1287" i="30"/>
  <c r="H1794" i="30"/>
  <c r="E1845" i="30"/>
  <c r="H1845" i="30" s="1"/>
  <c r="H1050" i="30"/>
  <c r="H1042" i="30"/>
  <c r="H1460" i="30"/>
  <c r="I1459" i="30" s="1"/>
  <c r="E1685" i="30"/>
  <c r="H1683" i="30"/>
  <c r="I1878" i="30"/>
  <c r="I1897" i="30"/>
  <c r="I1797" i="30"/>
  <c r="I1544" i="30"/>
  <c r="I1549" i="30" s="1"/>
  <c r="I1575" i="30"/>
  <c r="H1790" i="30"/>
  <c r="E1842" i="30"/>
  <c r="H1842" i="30" s="1"/>
  <c r="I1627" i="30"/>
  <c r="H1554" i="30"/>
  <c r="I1885" i="30"/>
  <c r="H1773" i="30"/>
  <c r="I1772" i="30" s="1"/>
  <c r="I49" i="30" l="1"/>
  <c r="I47" i="34" s="1"/>
  <c r="I48" i="30"/>
  <c r="I307" i="30"/>
  <c r="I438" i="30"/>
  <c r="I466" i="30"/>
  <c r="I474" i="30" s="1"/>
  <c r="I1380" i="30"/>
  <c r="I1758" i="30"/>
  <c r="I1769" i="30" s="1"/>
  <c r="E186" i="30"/>
  <c r="H186" i="30" s="1"/>
  <c r="I181" i="30" s="1"/>
  <c r="I189" i="30" s="1"/>
  <c r="I1552" i="30"/>
  <c r="I1813" i="30"/>
  <c r="I1565" i="30"/>
  <c r="I1282" i="30"/>
  <c r="I677" i="30"/>
  <c r="I697" i="30" s="1"/>
  <c r="I160" i="30"/>
  <c r="I1801" i="30"/>
  <c r="I747" i="30"/>
  <c r="I1836" i="30"/>
  <c r="I1847" i="30" s="1"/>
  <c r="I609" i="30"/>
  <c r="I1784" i="30"/>
  <c r="I1584" i="30"/>
  <c r="I1589" i="30" s="1"/>
  <c r="E1704" i="30"/>
  <c r="H1704" i="30" s="1"/>
  <c r="I1700" i="30" s="1"/>
  <c r="I1705" i="30" s="1"/>
  <c r="H1685" i="30"/>
  <c r="I1681" i="30" s="1"/>
  <c r="I118" i="30"/>
  <c r="E1097" i="30"/>
  <c r="H1097" i="30" s="1"/>
  <c r="I1088" i="30" s="1"/>
  <c r="I1102" i="30" s="1"/>
  <c r="H1046" i="30"/>
  <c r="I1038" i="30" s="1"/>
  <c r="E916" i="30"/>
  <c r="H916" i="30" s="1"/>
  <c r="I903" i="30" s="1"/>
  <c r="I921" i="30" s="1"/>
  <c r="H858" i="30"/>
  <c r="I850" i="30" s="1"/>
  <c r="I57" i="30" l="1"/>
  <c r="I55" i="34" s="1"/>
  <c r="I38" i="30"/>
  <c r="I36" i="34" s="1"/>
  <c r="I45" i="30"/>
  <c r="I43" i="34" s="1"/>
  <c r="I41" i="30"/>
  <c r="I39" i="34" s="1"/>
  <c r="I29" i="30"/>
  <c r="I27" i="34" s="1"/>
  <c r="I72" i="30"/>
  <c r="I70" i="34" s="1"/>
  <c r="I42" i="30"/>
  <c r="I40" i="34" s="1"/>
  <c r="I53" i="30"/>
  <c r="I51" i="34" s="1"/>
  <c r="I85" i="30"/>
  <c r="I83" i="34" s="1"/>
  <c r="I61" i="30"/>
  <c r="I59" i="34" s="1"/>
  <c r="I65" i="30"/>
  <c r="I63" i="34" s="1"/>
  <c r="I64" i="30"/>
  <c r="I62" i="34" s="1"/>
  <c r="I73" i="30"/>
  <c r="I71" i="34" s="1"/>
  <c r="I43" i="30"/>
  <c r="I41" i="34" s="1"/>
  <c r="I68" i="30"/>
  <c r="I66" i="34" s="1"/>
  <c r="I70" i="30"/>
  <c r="I68" i="34" s="1"/>
  <c r="I52" i="30"/>
  <c r="I50" i="34" s="1"/>
  <c r="I24" i="30"/>
  <c r="I22" i="34" s="1"/>
  <c r="I40" i="30"/>
  <c r="I38" i="34" s="1"/>
  <c r="I44" i="30"/>
  <c r="I42" i="34" s="1"/>
  <c r="I81" i="30"/>
  <c r="I79" i="34" s="1"/>
  <c r="I32" i="30"/>
  <c r="I30" i="34" s="1"/>
  <c r="I71" i="30"/>
  <c r="I69" i="34" s="1"/>
  <c r="I67" i="30"/>
  <c r="I65" i="34" s="1"/>
  <c r="I59" i="30"/>
  <c r="I57" i="34" s="1"/>
  <c r="I79" i="30"/>
  <c r="I77" i="34" s="1"/>
  <c r="I87" i="30"/>
  <c r="I85" i="34" s="1"/>
  <c r="I54" i="30"/>
  <c r="I52" i="34" s="1"/>
  <c r="I86" i="30"/>
  <c r="I84" i="34" s="1"/>
  <c r="I84" i="30"/>
  <c r="I82" i="34" s="1"/>
  <c r="I77" i="30"/>
  <c r="I75" i="34" s="1"/>
  <c r="I25" i="30"/>
  <c r="I23" i="34" s="1"/>
  <c r="I66" i="30"/>
  <c r="I64" i="34" s="1"/>
  <c r="I83" i="30"/>
  <c r="I81" i="34" s="1"/>
  <c r="I20" i="30"/>
  <c r="I18" i="34" s="1"/>
  <c r="I37" i="30"/>
  <c r="I35" i="34" s="1"/>
  <c r="I21" i="30"/>
  <c r="I19" i="34" s="1"/>
  <c r="I88" i="30"/>
  <c r="I86" i="34" s="1"/>
  <c r="I56" i="30"/>
  <c r="I54" i="34" s="1"/>
  <c r="I60" i="30"/>
  <c r="I58" i="34" s="1"/>
  <c r="I69" i="30"/>
  <c r="I67" i="34" s="1"/>
  <c r="I39" i="30"/>
  <c r="I37" i="34" s="1"/>
  <c r="I58" i="30"/>
  <c r="I56" i="34" s="1"/>
  <c r="I90" i="30"/>
  <c r="I88" i="34" s="1"/>
  <c r="I80" i="30"/>
  <c r="I78" i="34" s="1"/>
  <c r="I55" i="30"/>
  <c r="I53" i="34" s="1"/>
  <c r="I78" i="30"/>
  <c r="I76" i="34" s="1"/>
  <c r="I63" i="30"/>
  <c r="I61" i="34" s="1"/>
  <c r="I82" i="30"/>
  <c r="I80" i="34" s="1"/>
  <c r="I36" i="30"/>
  <c r="I34" i="34" s="1"/>
  <c r="I35" i="30"/>
  <c r="I33" i="34" s="1"/>
  <c r="I76" i="30"/>
  <c r="I74" i="34" s="1"/>
  <c r="I46" i="34"/>
  <c r="I28" i="30"/>
  <c r="I26" i="34" s="1"/>
  <c r="I62" i="30"/>
  <c r="I60" i="34" s="1"/>
  <c r="I89" i="30"/>
  <c r="I87" i="34" s="1"/>
  <c r="J17" i="10" l="1"/>
  <c r="I17" i="10"/>
  <c r="B17" i="10" l="1"/>
  <c r="C17" i="10" l="1"/>
  <c r="L80" i="34" l="1"/>
  <c r="L74" i="34"/>
  <c r="L83" i="34" l="1"/>
  <c r="L47" i="34"/>
  <c r="L67" i="34"/>
  <c r="L53" i="34"/>
  <c r="L75" i="34"/>
  <c r="L65" i="34"/>
  <c r="L46" i="34"/>
  <c r="L87" i="34"/>
  <c r="Q60" i="34"/>
  <c r="S60" i="34" s="1"/>
  <c r="L54" i="34"/>
  <c r="L88" i="34"/>
  <c r="L82" i="34"/>
  <c r="L56" i="34"/>
  <c r="L58" i="34"/>
  <c r="L55" i="34"/>
  <c r="L69" i="34"/>
  <c r="L78" i="34"/>
  <c r="L61" i="34"/>
  <c r="Q62" i="34"/>
  <c r="S62" i="34" s="1"/>
  <c r="L51" i="34"/>
  <c r="L85" i="34"/>
  <c r="L52" i="34"/>
  <c r="L66" i="34"/>
  <c r="L64" i="34"/>
  <c r="Q61" i="34"/>
  <c r="S61" i="34" s="1"/>
  <c r="L59" i="34"/>
  <c r="L86" i="34"/>
  <c r="Q63" i="34"/>
  <c r="S63" i="34" s="1"/>
  <c r="L81" i="34"/>
  <c r="L60" i="34"/>
  <c r="L50" i="34"/>
  <c r="L63" i="34"/>
  <c r="L62" i="34"/>
  <c r="L57" i="34"/>
  <c r="L79" i="34"/>
  <c r="L77" i="34"/>
  <c r="L84" i="34"/>
  <c r="L88" i="30"/>
  <c r="L84" i="30"/>
  <c r="L82" i="30"/>
  <c r="L87" i="30"/>
  <c r="L83" i="30"/>
  <c r="L86" i="30"/>
  <c r="L85" i="30"/>
  <c r="L90" i="30"/>
  <c r="L89" i="30"/>
  <c r="L52" i="30"/>
  <c r="L62" i="30"/>
  <c r="L53" i="30"/>
  <c r="L54" i="30"/>
  <c r="Q65" i="30"/>
  <c r="S65" i="30" s="1"/>
  <c r="L66" i="30"/>
  <c r="L61" i="30"/>
  <c r="L49" i="30"/>
  <c r="Q62" i="30"/>
  <c r="S62" i="30" s="1"/>
  <c r="L48" i="30"/>
  <c r="L59" i="30"/>
  <c r="L58" i="30"/>
  <c r="L60" i="30"/>
  <c r="L63" i="30"/>
  <c r="Q64" i="30"/>
  <c r="S64" i="30" s="1"/>
  <c r="L65" i="30"/>
  <c r="L56" i="30"/>
  <c r="Q63" i="30"/>
  <c r="S63" i="30" s="1"/>
  <c r="L64" i="30"/>
  <c r="L55" i="30"/>
  <c r="L57" i="30"/>
  <c r="L77" i="30"/>
  <c r="L81" i="30"/>
  <c r="L69" i="30"/>
  <c r="L76" i="30"/>
  <c r="L79" i="30"/>
  <c r="L71" i="30"/>
  <c r="L67" i="30"/>
  <c r="L80" i="30"/>
  <c r="L68" i="30"/>
</calcChain>
</file>

<file path=xl/sharedStrings.xml><?xml version="1.0" encoding="utf-8"?>
<sst xmlns="http://schemas.openxmlformats.org/spreadsheetml/2006/main" count="3200" uniqueCount="724">
  <si>
    <t>Gobierno Regional de Apurímac</t>
  </si>
  <si>
    <t>Gerencia Regional de Infraestructura</t>
  </si>
  <si>
    <t>Sub Gerencia de Estudios Definitivos</t>
  </si>
  <si>
    <t>“Año del Buen Servicio al Ciudadano”</t>
  </si>
  <si>
    <t>METRADO DE INSTALACIONES SANITARIAS</t>
  </si>
  <si>
    <t>RESUMEN DE HOJA DE METRADOS INSTALACIONES SANITARIAS</t>
  </si>
  <si>
    <t>PROYECTO: “Mejoramiento del Servicio Educativo en la I.E.P. N° 54002 Santa Rosa e I.E.S. Santa Rosa del Distrito de Abancay, Provincia de Abancay-Región Apurímac”</t>
  </si>
  <si>
    <t>Propietario        :</t>
  </si>
  <si>
    <t>GOBIERNO REGIONAL DE APURÍMAC</t>
  </si>
  <si>
    <t>Fecha        :</t>
  </si>
  <si>
    <t xml:space="preserve">Localidad          : </t>
  </si>
  <si>
    <t>ABANCAY</t>
  </si>
  <si>
    <t xml:space="preserve">Distrito                 : </t>
  </si>
  <si>
    <t xml:space="preserve">Provincia           :  </t>
  </si>
  <si>
    <t xml:space="preserve">Departamento :  </t>
  </si>
  <si>
    <t>APURIMAC</t>
  </si>
  <si>
    <t xml:space="preserve">Elaborado           :  </t>
  </si>
  <si>
    <t>ING. SUMAQ CHASKA PILLACA FARFAN</t>
  </si>
  <si>
    <t>Revisado            :</t>
  </si>
  <si>
    <t>SGDE</t>
  </si>
  <si>
    <t>PARTIDA</t>
  </si>
  <si>
    <t>DESCRIPCION</t>
  </si>
  <si>
    <t>TOTAL</t>
  </si>
  <si>
    <t>UNID.</t>
  </si>
  <si>
    <t>04.01</t>
  </si>
  <si>
    <t>APARATOS SANITARIOS Y ACCESORIOS</t>
  </si>
  <si>
    <t>04.01.01</t>
  </si>
  <si>
    <t>SUMINISTRO DE APARATOS SANITARIOS</t>
  </si>
  <si>
    <t>04.01.01.01</t>
  </si>
  <si>
    <t>INODORO TANQUE BAJO DE CERÁMICA VITRIFICADA BLANCO</t>
  </si>
  <si>
    <t>und</t>
  </si>
  <si>
    <t>04.01.01.02</t>
  </si>
  <si>
    <t>URINARIO DE LOSA VITRIFICADA BLANCO</t>
  </si>
  <si>
    <t>04.01.01.03</t>
  </si>
  <si>
    <t>LAVATORIO DE PARED DE CERAMICA VITRIFICADA BLANCO -ADOSADO</t>
  </si>
  <si>
    <t>04.01.01.04</t>
  </si>
  <si>
    <t>LAVATORIO OVALIN DE CERAMICA VITRIFICADA BLANCO EMPOTRADO</t>
  </si>
  <si>
    <t>04.01.01.05</t>
  </si>
  <si>
    <t>LAVADERO DE ACERO INOXIDABLE 1 POZA CON 01 ESCURRIDERO</t>
  </si>
  <si>
    <t>04.01.01.06</t>
  </si>
  <si>
    <t>LAVADERO DE ACERO INOXIDABLE 1 POZA CON  02 ESCURRIDERO</t>
  </si>
  <si>
    <t>04.01.01.07</t>
  </si>
  <si>
    <t>LAVADERO DE ACERO INOXIDABLE 1 POZA SIN ESCURRIDOR</t>
  </si>
  <si>
    <t>04.01.02</t>
  </si>
  <si>
    <t>SUMINISTRO  ACCESORIOS SANITARIOS</t>
  </si>
  <si>
    <t>04.01.02.01</t>
  </si>
  <si>
    <t>LLAVE DE LAVATORIO TEMPORIZADA, CROMADA</t>
  </si>
  <si>
    <t>04.01.02.02</t>
  </si>
  <si>
    <t>LLAVE DE LAVADERO PARA COCINA MONOCOMANDO, CROMADA</t>
  </si>
  <si>
    <t>04.01.02.03</t>
  </si>
  <si>
    <t>LLAVE DE LAVADERO PARA COCINA MONOCOMANDO CON RESORTE, CROMADA</t>
  </si>
  <si>
    <t>04.01.02.04</t>
  </si>
  <si>
    <t>GRIFOS ESFERICOS DOBLE MANGUERA</t>
  </si>
  <si>
    <t>04.01.02.05</t>
  </si>
  <si>
    <t>DIFUSOR DE DUCHA CROMADA DE 1 LLAVE</t>
  </si>
  <si>
    <t>04.01.02.06</t>
  </si>
  <si>
    <t>DIFUSOR DE DUCHA TELEFONO CON SOPORTE BARRA REGULABLE</t>
  </si>
  <si>
    <t>04.01.02.07</t>
  </si>
  <si>
    <t>DIFUSOR DE DUCHA   Y LAVAOJOS DE EMERGENCIAS</t>
  </si>
  <si>
    <t>04.01.02.08</t>
  </si>
  <si>
    <t>SOPORTE PORTA PAPEL HIGIENICO CROMADO</t>
  </si>
  <si>
    <t>04.01.02.09</t>
  </si>
  <si>
    <t>TACHO DE ACERO INOXIDABLE DE 7 L, CON TAPA Y SISTEMA PEDAL</t>
  </si>
  <si>
    <t>04.01.02.10</t>
  </si>
  <si>
    <t>DOSIFICADOR DE JABON AUTOMATICO CROMADO-EMPOTRADO</t>
  </si>
  <si>
    <t>04.01.02.11</t>
  </si>
  <si>
    <t>DISPENSADOR DE JABON LIQUIDO DE 1000ml, ADOSADO</t>
  </si>
  <si>
    <t>04.01.02.12</t>
  </si>
  <si>
    <t>SECADOR DE MANOS AUTOMATICO DE PARED DE ACERO INOXIDABLE</t>
  </si>
  <si>
    <t>04.01.02.13</t>
  </si>
  <si>
    <t xml:space="preserve">ESPEJO BISELADO DE 0.45 x 0.75 m, e = 4 mm </t>
  </si>
  <si>
    <t>04.01.02.14</t>
  </si>
  <si>
    <t>BARRA DE SEGURIDAD DE ACERO INOXIDABLE L = 0.90m</t>
  </si>
  <si>
    <t>04.01.02.15</t>
  </si>
  <si>
    <t>PERCHA SIMPLE CROMADA, ADOSADA</t>
  </si>
  <si>
    <t>04.01.02.16</t>
  </si>
  <si>
    <t>PERCHERO DE ALUMINIO CON 4 GANCHOS</t>
  </si>
  <si>
    <t>04.01.02.17</t>
  </si>
  <si>
    <t>PORTA JABÓN CROMADO, ADOSADO</t>
  </si>
  <si>
    <t>04.01.02.18</t>
  </si>
  <si>
    <t>SILLA REBATIBLE PARA DUCHA</t>
  </si>
  <si>
    <t>04.01.03</t>
  </si>
  <si>
    <t>INSTALACIONES DE APARATOS SANITARIOS</t>
  </si>
  <si>
    <t>04.01.03.01</t>
  </si>
  <si>
    <t>INSTALACION DE APARATOS SANITARIOS</t>
  </si>
  <si>
    <t>04.01.04</t>
  </si>
  <si>
    <t>INSTALACIONES DE ACCESORIOS SANITARIOS</t>
  </si>
  <si>
    <t>04.01.04.01</t>
  </si>
  <si>
    <t>INSTALACION DE ACCESORIOS SANITARIOS</t>
  </si>
  <si>
    <t>04.02</t>
  </si>
  <si>
    <t>SISTEMA DE AGUA FRIA</t>
  </si>
  <si>
    <t>04.02.01</t>
  </si>
  <si>
    <t>SALIDA DE AGUA FRÍA</t>
  </si>
  <si>
    <t>04.02.01.01</t>
  </si>
  <si>
    <t>SALIDA DE AGUA FRIA  CON TUBERÍA DE PVC SAP C-10 Ø 1/2"</t>
  </si>
  <si>
    <t>Pto</t>
  </si>
  <si>
    <t>04.02.01.02</t>
  </si>
  <si>
    <t>SALIDA DE AGUA FRIA CON TUBERÍA DE PVC SAP C-10  Ø 1"</t>
  </si>
  <si>
    <t>04.02.02</t>
  </si>
  <si>
    <t>RED DE DISTRIBUCION</t>
  </si>
  <si>
    <t>04.02.02.01</t>
  </si>
  <si>
    <t>TUBERÍA DE PVC SAP C-10 Ø 1/2" SP</t>
  </si>
  <si>
    <t>ml</t>
  </si>
  <si>
    <t>04.02.02.02</t>
  </si>
  <si>
    <t>TUBERÍA DE PVC SAP C-10 Ø 3/4" SP</t>
  </si>
  <si>
    <t>04.02.02.03</t>
  </si>
  <si>
    <t>TUBERÍA DE PVC SAP C-10 Ø 1" SP</t>
  </si>
  <si>
    <t>04.02.02.04</t>
  </si>
  <si>
    <t>TUBERÍA DE PVC SAP C-10 Ø 1 1/2" SP</t>
  </si>
  <si>
    <t>04.02.02.05</t>
  </si>
  <si>
    <t>TUBERÍA DE PVC SAP C-10 Ø 2" SP</t>
  </si>
  <si>
    <t>04.02.02.06</t>
  </si>
  <si>
    <t xml:space="preserve">TUBERÍA DE F°G° C/R  Ø 2" </t>
  </si>
  <si>
    <t>04.02.03</t>
  </si>
  <si>
    <t>REDES DE ALIMENTACIÓN</t>
  </si>
  <si>
    <t>04.02.03.01</t>
  </si>
  <si>
    <t>TUBERÍA DE PVC C-10 Ø 2" SP</t>
  </si>
  <si>
    <t>04.02.04</t>
  </si>
  <si>
    <t>ACCESORIOS DE REDES DE AGUA</t>
  </si>
  <si>
    <t>04.02.04.01</t>
  </si>
  <si>
    <t>CODO DE PVC Ø 1/2" x 90° SP</t>
  </si>
  <si>
    <t>04.02.04.02</t>
  </si>
  <si>
    <t>CODO DE PVC Ø 3/4" x 90° SP</t>
  </si>
  <si>
    <t>04.02.04.03</t>
  </si>
  <si>
    <t>CODO DE PVC Ø 1" x 90° SP</t>
  </si>
  <si>
    <t>04.02.04.04</t>
  </si>
  <si>
    <t>CODO DE PVC Ø 1 1/2" x 90° SP</t>
  </si>
  <si>
    <t>04.02.04.05</t>
  </si>
  <si>
    <t>CODO DE PVC Ø 2" x 90° SP</t>
  </si>
  <si>
    <t>04.02.04.06</t>
  </si>
  <si>
    <t>CODO DE F°G°   Ø 2" X 90°</t>
  </si>
  <si>
    <t>04.02.04.07</t>
  </si>
  <si>
    <t>TEE DE PVC Ø 1/2" SP</t>
  </si>
  <si>
    <t>04.02.04.08</t>
  </si>
  <si>
    <t>TEE DE PVC Ø 3/4" SP</t>
  </si>
  <si>
    <t>04.02.04.09</t>
  </si>
  <si>
    <t>TEE DE PVC Ø 1" SP</t>
  </si>
  <si>
    <t>04.02.04.10</t>
  </si>
  <si>
    <t>TEE DE PVC Ø 1 1/2" SP</t>
  </si>
  <si>
    <t>04.02.04.11</t>
  </si>
  <si>
    <t>TEE DE PVC Ø 2" SP</t>
  </si>
  <si>
    <t>04.02.04.12</t>
  </si>
  <si>
    <t>REDUCCIÓN DE PVC Ø 3/4" A 1/2" SP</t>
  </si>
  <si>
    <t>04.02.04.13</t>
  </si>
  <si>
    <t>REDUCCIÓN DE PVC Ø 1" A 1/2" SP</t>
  </si>
  <si>
    <t>04.02.04.14</t>
  </si>
  <si>
    <t>REDUCCIÓN DE PVC Ø 1" A 3/4" SP</t>
  </si>
  <si>
    <t>04.02.04.15</t>
  </si>
  <si>
    <t>REDUCCIÓN DE PVC Ø 1 1/2" A 3/4" SP</t>
  </si>
  <si>
    <t>04.02.04.16</t>
  </si>
  <si>
    <t>REDUCCIÓN DE PVC Ø 1 1/2" A 1" SP</t>
  </si>
  <si>
    <t>04.02.04.17</t>
  </si>
  <si>
    <t>UNION DE PVC SAP  Ø 1/2"</t>
  </si>
  <si>
    <t>04.02.04.18</t>
  </si>
  <si>
    <t>UNION DE PVC SAP  Ø 3/4"</t>
  </si>
  <si>
    <t>04.02.04.19</t>
  </si>
  <si>
    <t>UNION DE PVC SAP  Ø 1"</t>
  </si>
  <si>
    <t>04.02.04.20</t>
  </si>
  <si>
    <t>UNION DE PVC SAP  Ø 1 1/2"</t>
  </si>
  <si>
    <t>04.02.04.21</t>
  </si>
  <si>
    <t>UNION DE PVC SAP  Ø 2"</t>
  </si>
  <si>
    <t>04.02.05</t>
  </si>
  <si>
    <t>VÁLVULAS</t>
  </si>
  <si>
    <t>04.02.05.01</t>
  </si>
  <si>
    <t>VÁLVULA COMPUERTA DE BRONCE Ø 1/2"</t>
  </si>
  <si>
    <t>04.02.05.02</t>
  </si>
  <si>
    <t>VÁLVULA COMPUERTA DE BRONCE Ø 3/4"</t>
  </si>
  <si>
    <t>04.02.05.03</t>
  </si>
  <si>
    <t>VÁLVULA COMPUERTA DE BRONCE Ø 1 "</t>
  </si>
  <si>
    <t>04.02.06</t>
  </si>
  <si>
    <t>ALMACENAMIENTO DE AGUA</t>
  </si>
  <si>
    <t>04.02.06.01</t>
  </si>
  <si>
    <t>ACCESORIOS TANQUE ELEVADO</t>
  </si>
  <si>
    <t>Glb</t>
  </si>
  <si>
    <t>04.02.06.02</t>
  </si>
  <si>
    <t>ACCESORIOS TANQUE CISTERNA</t>
  </si>
  <si>
    <t>04.02.07</t>
  </si>
  <si>
    <t>EQUIPOS Y OTRAS INSTALACIONES</t>
  </si>
  <si>
    <t>04.02.07.01</t>
  </si>
  <si>
    <t>INSTALACIÓN DE ELECTROBOMBAS</t>
  </si>
  <si>
    <t>04.02.07.02</t>
  </si>
  <si>
    <t>INSTALACIÓN DE ACCESORIOS DEL SISTEMA DE BOMBEO</t>
  </si>
  <si>
    <t>SISTEMA DE DRENAJE PLUVIAL</t>
  </si>
  <si>
    <t>04.03.01</t>
  </si>
  <si>
    <t>RED DE RAMALES DE COLECTORES</t>
  </si>
  <si>
    <t>04.03.01.01</t>
  </si>
  <si>
    <t>CANALETA DE EVACUACION PLUVIAL</t>
  </si>
  <si>
    <t>04.03.01.02</t>
  </si>
  <si>
    <t>CANAL DE CONCRETO EN TECHO A=25cm, H=10 cm, E=5cm</t>
  </si>
  <si>
    <t>04.03.01.03</t>
  </si>
  <si>
    <t>CANAL DE CONCRETO DRAMIX EN TECHO 30X30CM, E=10cm</t>
  </si>
  <si>
    <t>04.03.01.04</t>
  </si>
  <si>
    <t>MONTANTE DE TUB. PVC SAP C-10 Ø 3" EMBEBIDA EN TABIQUERIA</t>
  </si>
  <si>
    <t>04.03.01.05</t>
  </si>
  <si>
    <t>MONTANTE DE TUB. PVC SAP C-10 Ø 3" ADOSADA</t>
  </si>
  <si>
    <t>04.03.01.06</t>
  </si>
  <si>
    <t>MONTANTE DE TUB. PVC SAP C-10 Ø 4" ADOSADA</t>
  </si>
  <si>
    <t>04.03.01.07</t>
  </si>
  <si>
    <t>COLUMNETAS DE CONCRETO F´C=175 KG/CM2 PARA  BAJANTES</t>
  </si>
  <si>
    <t>04.03.01.08</t>
  </si>
  <si>
    <t>DADO DE CONCRETO F´C=175 KG/CM2 PARA  BAJANTES</t>
  </si>
  <si>
    <t>04.03.02</t>
  </si>
  <si>
    <t xml:space="preserve">RED DE RECOLECCION </t>
  </si>
  <si>
    <t>04.03.02.01</t>
  </si>
  <si>
    <t>CANAL RANURADO MODULAR</t>
  </si>
  <si>
    <t>04.03.02.02</t>
  </si>
  <si>
    <t>CANAL DE CONCRETO EN PISO A=20 CM H=VARIABLE, E=10cm</t>
  </si>
  <si>
    <t>04.03.02.03</t>
  </si>
  <si>
    <t>CANAL DE CONCRETO EN PISO A=30 CM H=VARIABLE, E=10cm</t>
  </si>
  <si>
    <t>04.03.02.04</t>
  </si>
  <si>
    <t>CANAL DE CONCRETO EN PISO A=50 CM H=VARIABLE, E=15cm</t>
  </si>
  <si>
    <t>04.03.02.05</t>
  </si>
  <si>
    <t>REJILLA METALICA TIPO I A=30cm</t>
  </si>
  <si>
    <t>04.03.02.06</t>
  </si>
  <si>
    <t>REJILLA METALICA TIPO II A=40cm</t>
  </si>
  <si>
    <t>04.03.02.07</t>
  </si>
  <si>
    <t>REJILLA METALICA TIPO III A=70cm</t>
  </si>
  <si>
    <t>04.03.02.08</t>
  </si>
  <si>
    <t>TAPA DE CONCRETO 70x50x5cm f'c=175kg/cm2</t>
  </si>
  <si>
    <t>04.03.02.09</t>
  </si>
  <si>
    <t>RED RECOLECTORA TUBERÍA PVC UF Ø DE 8"</t>
  </si>
  <si>
    <t>04.03.02.10</t>
  </si>
  <si>
    <t>RED RECOLECTORA TUBERÍA PVC UF Ø DE 10"</t>
  </si>
  <si>
    <t>04.03.02.11</t>
  </si>
  <si>
    <t>RED RECOLECTORA TUBERÍA PVC UF Ø DE 12"</t>
  </si>
  <si>
    <t>04.03.02.12</t>
  </si>
  <si>
    <t>RED RECOLECTORA TUBERÍA PVC UF Ø DE 14"</t>
  </si>
  <si>
    <t>04.03.02.13</t>
  </si>
  <si>
    <t>CAJAS DE INSPECCIÓN TIPO I A=1.00M L=1.00M H=VARIABLE</t>
  </si>
  <si>
    <t>04.03.02.14</t>
  </si>
  <si>
    <t>CAJAS DE INSPECCIÓN TIPO II A=0.60M L=1.00M H=VARIABLE</t>
  </si>
  <si>
    <t>04.03.02.15</t>
  </si>
  <si>
    <t>CAJAS DE INSPECCIÓN TIPO III A=1.45M L=4.50M H=VARIABLE</t>
  </si>
  <si>
    <t>04.03.03</t>
  </si>
  <si>
    <t>ACCESORIOS</t>
  </si>
  <si>
    <t>04.03.03.01</t>
  </si>
  <si>
    <t>SUMIDEROS SIFONICO INOXIDABLE 200X200 CON DIAMETRO DE SALIDA DE 3"</t>
  </si>
  <si>
    <t>04.03.03.02</t>
  </si>
  <si>
    <t>ABRAZADERA DE FIJACION DE MONTANTE TUBO DE 3"</t>
  </si>
  <si>
    <t>04.03.03.03</t>
  </si>
  <si>
    <t>ABRAZADERA DE FIJACION DE MONTANTE TUBO DE 4"</t>
  </si>
  <si>
    <t>04.03.03.04</t>
  </si>
  <si>
    <t>CONEXIONES A LA RED RECOLECTORA TUBERÍA PVC UF Ø DE 8"</t>
  </si>
  <si>
    <t>04.03.03.05</t>
  </si>
  <si>
    <t>CONEXIONES A LA RED RECOLECTORA TUBERÍA PVC UF Ø DE 10"</t>
  </si>
  <si>
    <t>SISTEMA DE DESAGUE Y VENTILACIÓN</t>
  </si>
  <si>
    <t>04.04.01</t>
  </si>
  <si>
    <t>SALIDAS DE DESAGUE</t>
  </si>
  <si>
    <t>04.04.01.01</t>
  </si>
  <si>
    <t>SALIDAS DE DESAGÜE Ø 2"</t>
  </si>
  <si>
    <t>04.04.01.02</t>
  </si>
  <si>
    <t>SALIDAS DE DESAGÜE Ø 3"</t>
  </si>
  <si>
    <t>04.04.01.03</t>
  </si>
  <si>
    <t>SALIDAS DE DESAGÜE Ø 4"</t>
  </si>
  <si>
    <t>04.04.01.04</t>
  </si>
  <si>
    <t>SALIDAS DE VENTILACIÓN Ø 2"</t>
  </si>
  <si>
    <t>04.04.02</t>
  </si>
  <si>
    <t>REDES DE DERIVACIÓN</t>
  </si>
  <si>
    <t>04.04.02.01</t>
  </si>
  <si>
    <t>TUBERÍA PVC SAL Ø 2"</t>
  </si>
  <si>
    <t>04.04.02.02</t>
  </si>
  <si>
    <t>TUBERÍA PVC SAL Ø 3"</t>
  </si>
  <si>
    <t>04.04.02.03</t>
  </si>
  <si>
    <t>TUBERÍA PVC SAL Ø 4"</t>
  </si>
  <si>
    <t>04.04.02.04</t>
  </si>
  <si>
    <t>MONTANTE PVC SAL Ø 2"</t>
  </si>
  <si>
    <t>04.04.02.05</t>
  </si>
  <si>
    <t>MONTANTE PVC SAL Ø 4"</t>
  </si>
  <si>
    <t>04.04.03</t>
  </si>
  <si>
    <t>REDES COLECTORAS</t>
  </si>
  <si>
    <t>04.04.03.01</t>
  </si>
  <si>
    <t>04.04.03.02</t>
  </si>
  <si>
    <t>TUBERÍA PVC UF  Ø 6"</t>
  </si>
  <si>
    <t>04.04.04</t>
  </si>
  <si>
    <t xml:space="preserve">ACCESORIOS DE REDES DE DESAGÜE </t>
  </si>
  <si>
    <t>04.04.04.01</t>
  </si>
  <si>
    <t xml:space="preserve">CODO DE PVC Ø 2" x 45° </t>
  </si>
  <si>
    <t>04.04.04.02</t>
  </si>
  <si>
    <t xml:space="preserve">CODO DE PVC Ø 3" x 45° </t>
  </si>
  <si>
    <t>04.04.04.03</t>
  </si>
  <si>
    <t xml:space="preserve">CODO DE PVC Ø 4" x 45° </t>
  </si>
  <si>
    <t>04.04.04.04</t>
  </si>
  <si>
    <t xml:space="preserve">YEE DE PVC Ø 2" </t>
  </si>
  <si>
    <t>04.04.04.05</t>
  </si>
  <si>
    <t xml:space="preserve">YEE DE PVC Ø 3" </t>
  </si>
  <si>
    <t>04.04.04.06</t>
  </si>
  <si>
    <t xml:space="preserve">YEE DE PVC Ø 4" </t>
  </si>
  <si>
    <t>04.04.04.07</t>
  </si>
  <si>
    <t xml:space="preserve">YEE CON REDUCCIÓN DE PVC Ø 3" A 2" </t>
  </si>
  <si>
    <t>04.04.04.08</t>
  </si>
  <si>
    <t xml:space="preserve">YEE CON REDUCCIÓN DE PVC Ø 4" A 2" </t>
  </si>
  <si>
    <t>04.04.04.09</t>
  </si>
  <si>
    <t xml:space="preserve">YEE CON REDUCCIÓN DE PVC Ø 4" A 3" </t>
  </si>
  <si>
    <t>04.04.04.10</t>
  </si>
  <si>
    <t xml:space="preserve">REDUCCIÓN DE PVC Ø 3" A 2" </t>
  </si>
  <si>
    <t>04.04.04.11</t>
  </si>
  <si>
    <t xml:space="preserve">REDUCCIÓN DE PVC Ø 4" A 2" </t>
  </si>
  <si>
    <t>04.04.04.12</t>
  </si>
  <si>
    <t xml:space="preserve">SUMIDERO Ø 2" </t>
  </si>
  <si>
    <t>04.04.04.13</t>
  </si>
  <si>
    <t xml:space="preserve">SUMIDERO Ø 3" </t>
  </si>
  <si>
    <t>04.04.04.14</t>
  </si>
  <si>
    <t>SUMIDERO SIFONICO DE ACERO INOXIDABLE</t>
  </si>
  <si>
    <t>04.04.04.15</t>
  </si>
  <si>
    <t xml:space="preserve">REGISTRO ROSCADO Ø 4" </t>
  </si>
  <si>
    <t>04.04.04.16</t>
  </si>
  <si>
    <t xml:space="preserve">SOMBRERO DE VENTILACIÓN DE  Ø 2" </t>
  </si>
  <si>
    <t>04.04.04.17</t>
  </si>
  <si>
    <t xml:space="preserve">SOMBRERO DE VENTILACIÓN DE  Ø 4" </t>
  </si>
  <si>
    <t>04.04.05</t>
  </si>
  <si>
    <t>CAJAS DE INSPECCIÓN</t>
  </si>
  <si>
    <t>04.04.05.01</t>
  </si>
  <si>
    <t>CAJA DE REGISTRO DE 12" x 24"</t>
  </si>
  <si>
    <t>04.04.05.02</t>
  </si>
  <si>
    <t>BUZONETAS DE D=0.60M E=0.15M H=VARIABLE</t>
  </si>
  <si>
    <t>04.04.05.03</t>
  </si>
  <si>
    <t xml:space="preserve">BUZON  TIPO I DE D=1.20M E=0.15M H=1.20 </t>
  </si>
  <si>
    <t>04.04.05.04</t>
  </si>
  <si>
    <t>BUZON  TIPO II DE D=1.20M E=0.15M H&gt;3.00M</t>
  </si>
  <si>
    <t>04.04.06</t>
  </si>
  <si>
    <t>INSTALACIONES ESPECIALES</t>
  </si>
  <si>
    <t>04.04.06.01</t>
  </si>
  <si>
    <t>TRAMPA DE GRASAS 0.30X0.60m H=0.6M</t>
  </si>
  <si>
    <t>04.04.07</t>
  </si>
  <si>
    <t>VARIOS</t>
  </si>
  <si>
    <t>04.04.07.01</t>
  </si>
  <si>
    <t>PRUEBA HIDRAULICA TUBERIA DE AGUA FRIA</t>
  </si>
  <si>
    <t>GBL</t>
  </si>
  <si>
    <t>04.04.07.02</t>
  </si>
  <si>
    <t>PRUEBA HIDRAULICA TUBERIA DE DESAGUE</t>
  </si>
  <si>
    <t>INSTALACIONES SANITARIAS</t>
  </si>
  <si>
    <t>TRABAJOS PRELIMINARES</t>
  </si>
  <si>
    <t>LIMPIEZA DE TERRENO MANUAL</t>
  </si>
  <si>
    <t>m2</t>
  </si>
  <si>
    <t>TRAZO Y REPLANTEO PRELIMINAR</t>
  </si>
  <si>
    <t>REMOCIONES</t>
  </si>
  <si>
    <t>DEMOLICIÓN DE CANAL EXISTENTE</t>
  </si>
  <si>
    <t>m3</t>
  </si>
  <si>
    <t xml:space="preserve">DEMOLICIÒN DE PISO DE CONCRETO </t>
  </si>
  <si>
    <t>REPOSICIONES</t>
  </si>
  <si>
    <t>REPOSICIÓN DE PISO DE CONCRETO SIN ACABADO</t>
  </si>
  <si>
    <t xml:space="preserve">REPOSICIÓN DE PISO CON PORCELANATO 60 X60 CM CELIMA </t>
  </si>
  <si>
    <t>ELIMINACIÓN DE MATERIAL PROVENIENTE DE DEMOLICIÓN</t>
  </si>
  <si>
    <t>ELIMINACIÓN DE DESMONTE PROVENIENTE DE DEMOLICIÓN C/EQUIPO</t>
  </si>
  <si>
    <t>04.03.04</t>
  </si>
  <si>
    <t>MOVIMIENTO DE TIERRAS</t>
  </si>
  <si>
    <t>04.03.04.01</t>
  </si>
  <si>
    <t>EXCAVACIÓN MANUAL EN TERRENO NORMAL PARA CANALES</t>
  </si>
  <si>
    <t>EXCAVACIÓN MANUAL EN TERRENO NORMAL PARA CAJAS DE INSPECCIÓN</t>
  </si>
  <si>
    <t>EXCAVACION CON MAQUINARIA EN TERRENO NORMAL &gt;4M</t>
  </si>
  <si>
    <t xml:space="preserve">COMPACTADO DE SUBRASANTE DE CAJAS Y CANALES </t>
  </si>
  <si>
    <t>RELLENO Y COMPACTADO CON MATERIAL PROPIO CERNIDO</t>
  </si>
  <si>
    <t>REFINE Y NIVELACION DE ZANJA EN TERRENO NORMAL PARA CANALES</t>
  </si>
  <si>
    <t>REFINE Y NIVELACION DE ZANJA EN TERRENO NORMAL PARA TUBERÍAS</t>
  </si>
  <si>
    <t>ACARREO DE TUBERÌAS(D=60m)</t>
  </si>
  <si>
    <t>kg</t>
  </si>
  <si>
    <t>ACARREO DE CONCRETO MEZCLADO EN TROMPO PARA CAJAS Y CANALES</t>
  </si>
  <si>
    <t>ACARREO DE MATERIAL EXCEDENTE</t>
  </si>
  <si>
    <t>ELIMINACIÓN DE MATERIAL EXCEDENTE</t>
  </si>
  <si>
    <t>04.03.05</t>
  </si>
  <si>
    <t>CONCRETO SIMPLE</t>
  </si>
  <si>
    <t>04.03.05.01</t>
  </si>
  <si>
    <t>SOLADO EN CANAL DE CONCRETO EN PISO f'c= 80 kg/cm2 E=10CM</t>
  </si>
  <si>
    <t>04.03.05.02</t>
  </si>
  <si>
    <t>SOLADO PARA CAJAS DE INSPECCIÒN  f'c= 80 kg/cm2 E=10CM</t>
  </si>
  <si>
    <t>04.03.06</t>
  </si>
  <si>
    <t>04.03.06.01</t>
  </si>
  <si>
    <t>04.03.06.02</t>
  </si>
  <si>
    <t>04.03.07</t>
  </si>
  <si>
    <t>04.03.07.01</t>
  </si>
  <si>
    <t>04.03.07.02</t>
  </si>
  <si>
    <t>04.03.07.03</t>
  </si>
  <si>
    <t>04.03.07.04</t>
  </si>
  <si>
    <t>04.03.07.05</t>
  </si>
  <si>
    <t>04.03.07.06</t>
  </si>
  <si>
    <t>04.03.07.07</t>
  </si>
  <si>
    <t>04.03.07.08</t>
  </si>
  <si>
    <t>04.03.07.09</t>
  </si>
  <si>
    <t>04.03.07.10</t>
  </si>
  <si>
    <t>04.03.07.11</t>
  </si>
  <si>
    <t>04.03.07.12</t>
  </si>
  <si>
    <t>04.03.07.13</t>
  </si>
  <si>
    <t>04.03.07.14</t>
  </si>
  <si>
    <t>04.03.07.15</t>
  </si>
  <si>
    <t>04.03.07.16</t>
  </si>
  <si>
    <t>CANAL DE CONCRETO ARMADO EN PISO A=30 CM H=VARIABLE, E=15cm</t>
  </si>
  <si>
    <t>04.03.07.17</t>
  </si>
  <si>
    <t>CANAL DE CONCRETO ARMADO EN PISO A=34 CM H=VARIABLE, E=15cm</t>
  </si>
  <si>
    <t>04.03.07.18</t>
  </si>
  <si>
    <t>REJILLA METALICA TIPO IV A=50cm</t>
  </si>
  <si>
    <t>04.03.07.19</t>
  </si>
  <si>
    <t>TAPA DE CONCRETO 70x70x5cm f'c=175kg/cm2</t>
  </si>
  <si>
    <t>04.03.07.20</t>
  </si>
  <si>
    <t>TAPA DE CONCRETO 100x70x5cm f'c=175kg/cm2</t>
  </si>
  <si>
    <t>04.03.07.21</t>
  </si>
  <si>
    <t>TAPA DE REJILLA  30x30cm</t>
  </si>
  <si>
    <t>04.03.07.22</t>
  </si>
  <si>
    <t>TAPA DE REJILLA  70x50cm</t>
  </si>
  <si>
    <t>TAPA DE REJILLA  70x70cm</t>
  </si>
  <si>
    <t>TAPA DE REJILLA  70x110cm</t>
  </si>
  <si>
    <t>TAPA DE REJILLA  140x570cm</t>
  </si>
  <si>
    <t xml:space="preserve">RED RECOLECTORA TUBERÍA PVC SAL Ø DE 3" </t>
  </si>
  <si>
    <t xml:space="preserve">RED RECOLECTORA TUBERÍA PVC UF Ø DE 4" </t>
  </si>
  <si>
    <t xml:space="preserve">RED RECOLECTORA TUBERÍA PVC UF Ø DE 6" </t>
  </si>
  <si>
    <t>RED COLECTORA TUBERÌA PVC UF Ø DE 16"</t>
  </si>
  <si>
    <t>CAJAS DE INSPECCIÓN TIPO IA A=0.20M L=0.20M</t>
  </si>
  <si>
    <t>CAJAS DE INSPECCIÓN TIPO II A=0.60M L=0.40M H=VARIABLE</t>
  </si>
  <si>
    <t>CAJAS DE INSPECCIÓN TIPO III A=0.60M L=0.60M H=VARIABLE</t>
  </si>
  <si>
    <t>CAJAS DE INSPECCIÓN TIPO IV A=0.60M L=0.90M H=VARIABLE</t>
  </si>
  <si>
    <t>CAJAS DE INSPECCIÓN TIPO V A=0.60M L=1.20M H=VARIABLE</t>
  </si>
  <si>
    <t>CAJAS DE INSPECCIÓN TIPO VIIA DESARENADOR A=1.30 L=5.50M H=VARIABLE</t>
  </si>
  <si>
    <t>TARRAJEO EN CAJAS INCL. ARISTAS</t>
  </si>
  <si>
    <t>TARRAJEO EN CANALES INCL. ARISTAS</t>
  </si>
  <si>
    <t>04.03.08</t>
  </si>
  <si>
    <t>04.03.08.01</t>
  </si>
  <si>
    <t>04.03.08.02</t>
  </si>
  <si>
    <t>04.03.08.03</t>
  </si>
  <si>
    <t>04.03.08.04</t>
  </si>
  <si>
    <t>04.03.08.05</t>
  </si>
  <si>
    <t>04.03.08.06</t>
  </si>
  <si>
    <t>04.03.08.07</t>
  </si>
  <si>
    <t>04.03.08.08</t>
  </si>
  <si>
    <t>CODO PVC SAP C-10 Ø 3" x 45°</t>
  </si>
  <si>
    <t>04.03.08.09</t>
  </si>
  <si>
    <t>CODO PVC SAP C-10 Ø 4" x 45°</t>
  </si>
  <si>
    <t>04.03.08.10</t>
  </si>
  <si>
    <t>CODO PVC SAP C-10 Ø 3" x 90°</t>
  </si>
  <si>
    <t>04.03.08.11</t>
  </si>
  <si>
    <t>CODO DE PVC UF Ø 4" x 45°</t>
  </si>
  <si>
    <t>04.03.08.12</t>
  </si>
  <si>
    <t>CODO DE PVC UF Ø 6" x 45°</t>
  </si>
  <si>
    <t>04.03.08.13</t>
  </si>
  <si>
    <t>CODO DE PVC UF Ø 8" x 45°</t>
  </si>
  <si>
    <t>04.03.08.14</t>
  </si>
  <si>
    <t>CODO DE PVC UF Ø 10" x 45°</t>
  </si>
  <si>
    <t>04.03.08.15</t>
  </si>
  <si>
    <t>CODO DE PVC UF Ø 6" x 90°</t>
  </si>
  <si>
    <t>CODO DE PVC UF Ø 10" x 90°</t>
  </si>
  <si>
    <t>YEE DE PVC SAP C-10 Ø 3"</t>
  </si>
  <si>
    <t>YEE DE PVC UF Ø 4"</t>
  </si>
  <si>
    <t>YEE DE PVC UF Ø 6"</t>
  </si>
  <si>
    <t>REDUCCIÓN DE PVC UF Ø 4" A 3"</t>
  </si>
  <si>
    <t>REDUCCIÓN DE PVC UF Ø 6" A 3"</t>
  </si>
  <si>
    <t>REDUCCIÓN DE PVC  UFØ 6" A 4"</t>
  </si>
  <si>
    <t>MET. E XP.</t>
  </si>
  <si>
    <t xml:space="preserve">BASE </t>
  </si>
  <si>
    <t>M3</t>
  </si>
  <si>
    <t>BLS</t>
  </si>
  <si>
    <t>0.3*1</t>
  </si>
  <si>
    <t>0.4*1</t>
  </si>
  <si>
    <t>0.7*1</t>
  </si>
  <si>
    <t>0.3*0.3</t>
  </si>
  <si>
    <t>0.5*0.7</t>
  </si>
  <si>
    <t>0.7*1.1</t>
  </si>
  <si>
    <t>1.4*5.7</t>
  </si>
  <si>
    <t>SOLDADURA</t>
  </si>
  <si>
    <t>PLATINA</t>
  </si>
  <si>
    <t>ANGULAR</t>
  </si>
  <si>
    <t>HOJA DE METRADOS INSTALACIONES SANITARIAS</t>
  </si>
  <si>
    <t>BLOQUE 01</t>
  </si>
  <si>
    <t>VECES</t>
  </si>
  <si>
    <t>LONG.</t>
  </si>
  <si>
    <t>ANCHO</t>
  </si>
  <si>
    <t>ALTURA</t>
  </si>
  <si>
    <t>SUB-TOTAL</t>
  </si>
  <si>
    <t>Entre bloque1 y 11</t>
  </si>
  <si>
    <t>Entre bloque 1 y av. Garcilazo</t>
  </si>
  <si>
    <t>BLOQUE 02</t>
  </si>
  <si>
    <t>Patio  al lado de bloque 2</t>
  </si>
  <si>
    <t>BLOQUE 03</t>
  </si>
  <si>
    <t>Escalera metálica entre bloque 3 y 4</t>
  </si>
  <si>
    <t>Tuberìa hacia caja</t>
  </si>
  <si>
    <t>Montante Derivación hacia canales</t>
  </si>
  <si>
    <t>BLOQUE 04</t>
  </si>
  <si>
    <t>Montante en escalera</t>
  </si>
  <si>
    <t>Escalera metalica hacia caja</t>
  </si>
  <si>
    <t>Canal entre bloque 4 y desarenador</t>
  </si>
  <si>
    <t>Canal entre bloque 3 y 4</t>
  </si>
  <si>
    <t>Entre bloque 4 y patio primaria</t>
  </si>
  <si>
    <t>BLOQUE 05</t>
  </si>
  <si>
    <t>Montantes bloque 5</t>
  </si>
  <si>
    <t>Escalera Bloque 5</t>
  </si>
  <si>
    <t>Montante escalera hacia canal</t>
  </si>
  <si>
    <t>Sotano</t>
  </si>
  <si>
    <t>Canal llegada camino curvo</t>
  </si>
  <si>
    <t>D(")=</t>
  </si>
  <si>
    <t>BLOQUE 06</t>
  </si>
  <si>
    <t>Techo escalera/Entre bloque 5 y 6</t>
  </si>
  <si>
    <t>Techo escalera sobre rampa</t>
  </si>
  <si>
    <t>Montante en muro perimetral</t>
  </si>
  <si>
    <t>Canal entre bloque 6 y muro perimetral</t>
  </si>
  <si>
    <t>BLOQUE 07</t>
  </si>
  <si>
    <t>Techo escalera Sobre ingreso de sòtano</t>
  </si>
  <si>
    <t>Tuberìa montante de canaleta hacia caja</t>
  </si>
  <si>
    <t>BLOQUE 08</t>
  </si>
  <si>
    <t>Detrás bloque 7 y 8</t>
  </si>
  <si>
    <t>BLOQUE 09</t>
  </si>
  <si>
    <t xml:space="preserve">Montante </t>
  </si>
  <si>
    <t>Inicio de rampa bloque 9</t>
  </si>
  <si>
    <t>BLOQUE 10</t>
  </si>
  <si>
    <t>Montante de canaleta hacia canal</t>
  </si>
  <si>
    <t>BLOQUE 11 INGRESO SECUNADRIA</t>
  </si>
  <si>
    <t>1er nivel</t>
  </si>
  <si>
    <t>Montante</t>
  </si>
  <si>
    <t>Derivación hacia canales</t>
  </si>
  <si>
    <t>2do nivel</t>
  </si>
  <si>
    <t>3er nivel</t>
  </si>
  <si>
    <t>Llegada de gradería de ingreso principal</t>
  </si>
  <si>
    <t>BLOQUE 12 INGRESO PRIMARIA</t>
  </si>
  <si>
    <t>Montante  quiesco primaria</t>
  </si>
  <si>
    <t>BLOQUE CANCHAS DEPORTIVAS</t>
  </si>
  <si>
    <t>Canal de concreto en piso A:30cm: Patio, entre losas deportivas</t>
  </si>
  <si>
    <t>RESUMEN DE HOJA DE METRADOS DE SISTEMA DE DRENAJE PLUVIAL</t>
  </si>
  <si>
    <t>REPOSICIÓN DE PISO DE CONCRETO ACABADO FROTACHADO</t>
  </si>
  <si>
    <t>ELIMINACIÓN DE MATERIAL PROVENIENTE DE DEMOLICIÓN C/EQUIPO</t>
  </si>
  <si>
    <t>EXCAVACION CON MAQUINARIA EN TERRENO NORMAL H&gt;4M</t>
  </si>
  <si>
    <t>RELLENO Y COMPACTADO CON MATERIAL SELECCIONADO PARA INSTALACIÓN DE RED COLECTORA</t>
  </si>
  <si>
    <r>
      <t>ACARREO MANUAL DE TUBERÌAS(D</t>
    </r>
    <r>
      <rPr>
        <sz val="10"/>
        <rFont val="Calibri"/>
        <family val="2"/>
      </rPr>
      <t>≥</t>
    </r>
    <r>
      <rPr>
        <sz val="10"/>
        <rFont val="Arial"/>
        <family val="2"/>
      </rPr>
      <t>60m)</t>
    </r>
  </si>
  <si>
    <t>ACARREO DE MEZCLA DE CONCRETO PARA CAJAS Y CANALES</t>
  </si>
  <si>
    <t>ACARREO MANUAL INTERNO DE MATERIAL EXCEDENTE PROVENIENTE DE EXCAVACIONES</t>
  </si>
  <si>
    <t>ACUMULADO</t>
  </si>
  <si>
    <t>SALDO</t>
  </si>
  <si>
    <t>Deductivo para valorizar</t>
  </si>
  <si>
    <t>0.6*1</t>
  </si>
  <si>
    <t>1*1</t>
  </si>
  <si>
    <t>1.45*4.5</t>
  </si>
  <si>
    <t>1.3*5.5</t>
  </si>
  <si>
    <t>0.4*0.4</t>
  </si>
  <si>
    <t>0.6*0.4</t>
  </si>
  <si>
    <t>0.6*0.6</t>
  </si>
  <si>
    <t>0.6*0.9</t>
  </si>
  <si>
    <t>0.6*1.20</t>
  </si>
  <si>
    <t>ALAMBRE</t>
  </si>
  <si>
    <t>CLAVOS</t>
  </si>
  <si>
    <t>ACERO</t>
  </si>
  <si>
    <t>PIEDRA</t>
  </si>
  <si>
    <t>AGUA</t>
  </si>
  <si>
    <t>ARENA</t>
  </si>
  <si>
    <t>CEMENTO</t>
  </si>
  <si>
    <t>RED COLECTORA TUBERÍA PVC SAP C-10 Ø DE 3"</t>
  </si>
  <si>
    <t>MADERA</t>
  </si>
  <si>
    <t>HERR. MAN.</t>
  </si>
  <si>
    <t>MEZCLADORA</t>
  </si>
  <si>
    <t>VIBRADDORA</t>
  </si>
  <si>
    <t>ANGULA</t>
  </si>
  <si>
    <t>TARRAJEO Y FROTACHADO EN SECCIÓN DE CAJAS INCL. ARISTAS</t>
  </si>
  <si>
    <t>TARRAJEO Y FROTACHADO EN SECCIÓN DE CANALES INCL. ARISTAS</t>
  </si>
  <si>
    <t>ACERO 1/2" DESARENADOR</t>
  </si>
  <si>
    <t>CONCRETO 210 kg/cm2 DESARENADOR</t>
  </si>
  <si>
    <t>LONGITUDINAL</t>
  </si>
  <si>
    <t>N° veces</t>
  </si>
  <si>
    <t>Long</t>
  </si>
  <si>
    <t>Ancho</t>
  </si>
  <si>
    <t>Altura</t>
  </si>
  <si>
    <t>TRANSVERSAL</t>
  </si>
  <si>
    <t>04.03.05.03</t>
  </si>
  <si>
    <t>04.03.05.04</t>
  </si>
  <si>
    <t>04.03.05.05</t>
  </si>
  <si>
    <t>04.03.05.06</t>
  </si>
  <si>
    <t>04.03.05.07</t>
  </si>
  <si>
    <t>04.03.05.08</t>
  </si>
  <si>
    <t>04.03.05.09</t>
  </si>
  <si>
    <t>04.03.05.10</t>
  </si>
  <si>
    <t>04.03.05.11</t>
  </si>
  <si>
    <t>Caja 9</t>
  </si>
  <si>
    <t>Caja 12</t>
  </si>
  <si>
    <t>RED RECOLECTORA TUBERÍA PVC UF Ø DE 6"</t>
  </si>
  <si>
    <t>Detrás del bloque 1</t>
  </si>
  <si>
    <t>Entre bloque patio y bloque 1,2, 3</t>
  </si>
  <si>
    <t>Volumen de tuberìa</t>
  </si>
  <si>
    <t>Àrea=</t>
  </si>
  <si>
    <t>Kg/m</t>
  </si>
  <si>
    <t>Detrás bloque 1, de 2do a 1er nivel</t>
  </si>
  <si>
    <t>Entre bloque 1 y Av. Garcilazo</t>
  </si>
  <si>
    <t>FACTOR</t>
  </si>
  <si>
    <t>Montante Entre bloque1 y 11</t>
  </si>
  <si>
    <t>Montante Entre bloque 1 y av. Garcilazo</t>
  </si>
  <si>
    <t>Montante 2do nivel a 1er nivel, detrás bloque 1</t>
  </si>
  <si>
    <t xml:space="preserve">         CODO DE PVC SAL Ø 6" x 45°</t>
  </si>
  <si>
    <t>Detrás bloque 1</t>
  </si>
  <si>
    <t xml:space="preserve">         YEE DE PVC Ø 3"</t>
  </si>
  <si>
    <t>2do  nivel, entre bloque 1 y av. Garcilazo</t>
  </si>
  <si>
    <t xml:space="preserve">         YEE DE PVC UF Ø 6"</t>
  </si>
  <si>
    <t>Tuberia entre  bloque 1 y 11</t>
  </si>
  <si>
    <t xml:space="preserve">         REDUCCIÓN DE PVC UF Ø 6" A 3"</t>
  </si>
  <si>
    <t xml:space="preserve">         REDUCCIÓN DE PVC  UFØ 6" A 4"</t>
  </si>
  <si>
    <t>Canal Patio  al lado de bloque 2</t>
  </si>
  <si>
    <t>Caja 10</t>
  </si>
  <si>
    <t>Caja rejilla 2</t>
  </si>
  <si>
    <t>Caja rejilla 3</t>
  </si>
  <si>
    <t>Detrás del bloque 2</t>
  </si>
  <si>
    <t>Caja rejilla 4</t>
  </si>
  <si>
    <t>RED RECOLECTORA TUBERÍA PVC UF Ø DE 3"</t>
  </si>
  <si>
    <t>1er nivel, bloque 3</t>
  </si>
  <si>
    <t>Tuberia bloque 3 hacia bloque 4</t>
  </si>
  <si>
    <t>Tuberia 1er nivel</t>
  </si>
  <si>
    <t>Caja 8</t>
  </si>
  <si>
    <t>Caja 11</t>
  </si>
  <si>
    <t>Caja 14</t>
  </si>
  <si>
    <t>Caja rejilla 1 exterior</t>
  </si>
  <si>
    <t>Caja 13</t>
  </si>
  <si>
    <t>Cajas salida de  colegio Av. Seona</t>
  </si>
  <si>
    <t>Cajas salida de  colegio Av. Apurimac</t>
  </si>
  <si>
    <t>Desarenador</t>
  </si>
  <si>
    <t>Bloque 4 , deba de escalera metálica</t>
  </si>
  <si>
    <t>Bloque 4 y muro  perimetral</t>
  </si>
  <si>
    <t>Llegada a desarenador</t>
  </si>
  <si>
    <t>Tubería salida de colegio</t>
  </si>
  <si>
    <t>AREA</t>
  </si>
  <si>
    <t>CANAL EXISTENTE BLOQUE 4</t>
  </si>
  <si>
    <t>Piso salida de colegio</t>
  </si>
  <si>
    <t>REPOSICION DE PISO CON CERÀMICO ANTIDESLIZANTE 0.45X0.45m</t>
  </si>
  <si>
    <t>M2</t>
  </si>
  <si>
    <t>AREA SECCION</t>
  </si>
  <si>
    <t>RED COLECTORA TUBERÌA PVC UF Ø DE 16" INC/EXCAVACIÓN Y RELLENO</t>
  </si>
  <si>
    <t>Tubería salida de colegio hacia av, Seoane</t>
  </si>
  <si>
    <t>Tuberia enterrada con llega a  sotáno bloque 5</t>
  </si>
  <si>
    <r>
      <t xml:space="preserve">Acero en Canal de concreto en piso A=30cm H=Variable, E= 15cm, </t>
    </r>
    <r>
      <rPr>
        <sz val="10"/>
        <rFont val="Calibri"/>
        <family val="2"/>
      </rPr>
      <t>φ</t>
    </r>
    <r>
      <rPr>
        <sz val="8.5"/>
        <rFont val="Arial"/>
        <family val="2"/>
      </rPr>
      <t>=1/4"</t>
    </r>
  </si>
  <si>
    <t>Peso φ=1/4"</t>
  </si>
  <si>
    <t>kg/m</t>
  </si>
  <si>
    <t>Acero longitudinal</t>
  </si>
  <si>
    <t>Acero transversal</t>
  </si>
  <si>
    <t>Caja rejilla 1 EXTERIOR</t>
  </si>
  <si>
    <t>Caja rejilla desarenador</t>
  </si>
  <si>
    <t>CAJAS DE INSPECCIÓN TIPO III A=0.60M L=0.90M H=VARIABLE</t>
  </si>
  <si>
    <t>CAJAS DE INSPECCIÓN TIPO I A=0.60M L=0.60M H=VARIABLE</t>
  </si>
  <si>
    <t>CAJAS DE INSPECCIÓN TIPO III A=1.30M L=5.50M H=VARIABLE</t>
  </si>
  <si>
    <t>Montantes bloque 4</t>
  </si>
  <si>
    <t>Entre bloque 4 y 5, deba de escalera metálica</t>
  </si>
  <si>
    <t>Bloque 4 , debajo de escalera metálica</t>
  </si>
  <si>
    <t xml:space="preserve"> Canal Sotano bloque 5  tramo 1</t>
  </si>
  <si>
    <t>Canal Sotano bloque 5  tramo 2</t>
  </si>
  <si>
    <t xml:space="preserve"> Canal Sotano</t>
  </si>
  <si>
    <t>Canal entre losa secundaria y bloque 5</t>
  </si>
  <si>
    <t>Caja 7</t>
  </si>
  <si>
    <t>Caja 15</t>
  </si>
  <si>
    <t>RED RECOLECTORA TUBERÍA PVC UF Ø DE 4"</t>
  </si>
  <si>
    <t>Sótano, bloque 5</t>
  </si>
  <si>
    <t>Caja sotano y salida de colegio</t>
  </si>
  <si>
    <t>Sotano bloque 5  tramo 1</t>
  </si>
  <si>
    <t>Sotano bloque 5  tramo 2</t>
  </si>
  <si>
    <t>Canal Sotano bloque 5  tramo 1</t>
  </si>
  <si>
    <t>Canal Sotano</t>
  </si>
  <si>
    <t xml:space="preserve"> Canal Sotano bloque 5  tramo 2</t>
  </si>
  <si>
    <t>Escalera metalica hacia canal</t>
  </si>
  <si>
    <t>Montante hacia canal</t>
  </si>
  <si>
    <t xml:space="preserve">         CODO DE PVC UF Ø 4" x 45°</t>
  </si>
  <si>
    <t>Tuberia enterrada en sótano</t>
  </si>
  <si>
    <t>Conexión canal -caja</t>
  </si>
  <si>
    <t xml:space="preserve">         YEE DE PVC UF Ø 4"</t>
  </si>
  <si>
    <t>Sòtano</t>
  </si>
  <si>
    <t xml:space="preserve">         REDUCCIÓN DE PVC UF Ø 4" A 3"</t>
  </si>
  <si>
    <t>Caja 5</t>
  </si>
  <si>
    <t>Caja 6</t>
  </si>
  <si>
    <t>Recepción montantes bloque 6</t>
  </si>
  <si>
    <t>Tubería profunda enterrada detrás bloque 6</t>
  </si>
  <si>
    <t>Montante bloque 6 en muro perimetral</t>
  </si>
  <si>
    <t>Montante hacia caja</t>
  </si>
  <si>
    <t>SALIDA DE COLEGIO HACIA AV. APURIMAC</t>
  </si>
  <si>
    <t>Montante con derivacion hacia tubería</t>
  </si>
  <si>
    <t>Tubería detrás bloque 6</t>
  </si>
  <si>
    <t xml:space="preserve">         CODO DE PVC SAL Ø 10" x 45°</t>
  </si>
  <si>
    <t xml:space="preserve">         CODO DE PVC UF Ø 10" x 90°</t>
  </si>
  <si>
    <t>Conexiones montante t uberìa detrás de bloque 6</t>
  </si>
  <si>
    <t>Caja 4</t>
  </si>
  <si>
    <t>Tuberìa por debajo de rampa</t>
  </si>
  <si>
    <t xml:space="preserve">         CODO DE PVC SAL Ø 8" x 45°</t>
  </si>
  <si>
    <t xml:space="preserve"> Canal Detrás bloque 7 y 8</t>
  </si>
  <si>
    <t>Caja 3</t>
  </si>
  <si>
    <t>Montane con erivación hacia canales</t>
  </si>
  <si>
    <t>En rampa, conexión  canal 1 hacia canal detrás bloque 7 y 8</t>
  </si>
  <si>
    <t>En rampa, conexión  canal 2 hacia canal detrás bloque 7 y 8</t>
  </si>
  <si>
    <t>Canal Detrás bloque 7 y 8</t>
  </si>
  <si>
    <t xml:space="preserve">         CODO DE PVC UF Ø 6" x 90°</t>
  </si>
  <si>
    <t xml:space="preserve"> Canal Inicio de rampa bloque 9</t>
  </si>
  <si>
    <t>Tuberia montante 1 hacia canal</t>
  </si>
  <si>
    <t>Tuberia montante 2 hacia canal</t>
  </si>
  <si>
    <t>Tuberìa entre bloque 8 y 9</t>
  </si>
  <si>
    <t>Canal Inicio de rampa bloque 9</t>
  </si>
  <si>
    <t xml:space="preserve"> Canal Detrás bloque 10</t>
  </si>
  <si>
    <t>Canal ingreso de escalera principal</t>
  </si>
  <si>
    <t>Caja 1</t>
  </si>
  <si>
    <t>Caja 2</t>
  </si>
  <si>
    <t>Canal Detrás bloque 10</t>
  </si>
  <si>
    <t>Detrás bloque 10</t>
  </si>
  <si>
    <t>Tuberia hacia calle av. Garcilazo</t>
  </si>
  <si>
    <t>CAJAS DE INSPECCIÓN TIPO I A=0.20M L=0.20M</t>
  </si>
  <si>
    <t>Caja rejilla base de muro curvo</t>
  </si>
  <si>
    <t xml:space="preserve"> Canal Llegada de gradería de ingreso principal</t>
  </si>
  <si>
    <t>Canal ingreso de rampa e ingreso de sótano</t>
  </si>
  <si>
    <t>Canal en rampa vehicular</t>
  </si>
  <si>
    <t>Cajas bajo muro perimetral curvo</t>
  </si>
  <si>
    <t>canal ingreso de rampa e ingreso de sótano</t>
  </si>
  <si>
    <t>Canal ingreso principal hacia la calle</t>
  </si>
  <si>
    <t>Nivel 3, rejilla hacia la calle</t>
  </si>
  <si>
    <t>Canal ingreso vehicular  hacia la calle</t>
  </si>
  <si>
    <r>
      <t xml:space="preserve">Acero en Canal de concreto en piso A=34cm H=Variable, E= 15cm, </t>
    </r>
    <r>
      <rPr>
        <sz val="10"/>
        <rFont val="Calibri"/>
        <family val="2"/>
      </rPr>
      <t>φ</t>
    </r>
    <r>
      <rPr>
        <sz val="8.5"/>
        <rFont val="Arial"/>
        <family val="2"/>
      </rPr>
      <t>=1/2"</t>
    </r>
  </si>
  <si>
    <t>Peso φ=3/8"</t>
  </si>
  <si>
    <t>Tuberia hacia calle</t>
  </si>
  <si>
    <t>Inicio de rampa bloque 11</t>
  </si>
  <si>
    <t>Quiesco primara caja</t>
  </si>
  <si>
    <t>Canal Inicio de rampa bloque 11</t>
  </si>
  <si>
    <t>Montante Derivación hacia ctuberìa</t>
  </si>
  <si>
    <t>Tuberìa en quiesco</t>
  </si>
  <si>
    <t>Caja rejilla 1</t>
  </si>
  <si>
    <t>Canal base escalera hacia tuberìa</t>
  </si>
  <si>
    <t>CAnal base escalera hacia canal</t>
  </si>
  <si>
    <t>Canal tuberìa en patio</t>
  </si>
  <si>
    <t>Canal hacia caja en patio</t>
  </si>
  <si>
    <t>CAJAS DE INSPECCIÓN TIPO II A=0.60M L=1.20M H=VARIABLE</t>
  </si>
  <si>
    <t>Montantes losa secundaria</t>
  </si>
  <si>
    <t>Montantes losa secundaria en piso</t>
  </si>
  <si>
    <t>Montantes losa primaria</t>
  </si>
  <si>
    <t>Montantes losa primaria en piso</t>
  </si>
  <si>
    <t>Salida de canal de escalera principal</t>
  </si>
  <si>
    <t>Canal hacia canal en patio</t>
  </si>
  <si>
    <t>Losa secundaria</t>
  </si>
  <si>
    <t>Losa primaaria</t>
  </si>
  <si>
    <t>METRADOS DE PARTIDAS NUEVAS</t>
  </si>
  <si>
    <t>“Año del Fortalecimiento de la Soberanía Nacional”.</t>
  </si>
  <si>
    <t>Ubicación</t>
  </si>
  <si>
    <t>ABANCAY - ABANCAY - APURIMAC</t>
  </si>
  <si>
    <t>MODALIDAD</t>
  </si>
  <si>
    <t>ADMINISTRACION 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</si>
</sst>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_)"/>
    <numFmt numFmtId="166" formatCode="[$-80A]d&quot; de &quot;mmmm&quot; de &quot;yyyy;@"/>
    <numFmt numFmtId="167" formatCode="#,##0.0000"/>
    <numFmt numFmtId="168" formatCode="#,##0.000"/>
  </numFmts>
  <fonts count="2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u/>
      <sz val="12"/>
      <name val="Arial"/>
      <family val="2"/>
    </font>
    <font>
      <b/>
      <u/>
      <sz val="16"/>
      <name val="Arial"/>
      <family val="2"/>
    </font>
    <font>
      <i/>
      <sz val="10"/>
      <name val="Arial"/>
      <family val="2"/>
    </font>
    <font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8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62">
    <xf numFmtId="0" fontId="0" fillId="0" borderId="0" xfId="0"/>
    <xf numFmtId="0" fontId="2" fillId="0" borderId="0" xfId="0" applyFont="1"/>
    <xf numFmtId="165" fontId="3" fillId="0" borderId="16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166" fontId="2" fillId="0" borderId="17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166" fontId="4" fillId="0" borderId="0" xfId="2" applyNumberFormat="1" applyFont="1" applyAlignment="1">
      <alignment horizontal="left" vertical="center"/>
    </xf>
    <xf numFmtId="166" fontId="4" fillId="0" borderId="17" xfId="2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/>
    <xf numFmtId="165" fontId="3" fillId="0" borderId="19" xfId="0" applyNumberFormat="1" applyFont="1" applyBorder="1" applyAlignment="1">
      <alignment horizontal="left" vertical="center"/>
    </xf>
    <xf numFmtId="165" fontId="3" fillId="0" borderId="19" xfId="0" applyNumberFormat="1" applyFont="1" applyBorder="1" applyAlignment="1">
      <alignment vertical="center"/>
    </xf>
    <xf numFmtId="166" fontId="4" fillId="0" borderId="19" xfId="2" applyNumberFormat="1" applyFont="1" applyBorder="1" applyAlignment="1">
      <alignment horizontal="left" vertical="center"/>
    </xf>
    <xf numFmtId="166" fontId="4" fillId="0" borderId="20" xfId="2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left" vertical="center"/>
    </xf>
    <xf numFmtId="166" fontId="4" fillId="0" borderId="8" xfId="2" applyNumberFormat="1" applyFont="1" applyBorder="1" applyAlignment="1">
      <alignment horizontal="center" vertical="center"/>
    </xf>
    <xf numFmtId="4" fontId="4" fillId="3" borderId="5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4" fontId="3" fillId="0" borderId="0" xfId="2" applyNumberFormat="1" applyFont="1" applyAlignment="1">
      <alignment vertical="center"/>
    </xf>
    <xf numFmtId="4" fontId="3" fillId="0" borderId="8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horizontal="center" vertical="center"/>
    </xf>
    <xf numFmtId="4" fontId="4" fillId="0" borderId="6" xfId="2" applyNumberFormat="1" applyFont="1" applyBorder="1" applyAlignment="1">
      <alignment vertical="center"/>
    </xf>
    <xf numFmtId="4" fontId="3" fillId="0" borderId="7" xfId="2" applyNumberFormat="1" applyFont="1" applyBorder="1" applyAlignment="1">
      <alignment horizontal="left" vertical="center"/>
    </xf>
    <xf numFmtId="4" fontId="4" fillId="0" borderId="0" xfId="2" applyNumberFormat="1" applyFont="1" applyAlignment="1">
      <alignment vertical="center"/>
    </xf>
    <xf numFmtId="4" fontId="4" fillId="0" borderId="8" xfId="2" applyNumberFormat="1" applyFont="1" applyBorder="1" applyAlignment="1">
      <alignment vertical="center"/>
    </xf>
    <xf numFmtId="4" fontId="4" fillId="0" borderId="6" xfId="2" applyNumberFormat="1" applyFont="1" applyBorder="1" applyAlignment="1">
      <alignment horizontal="center" vertical="center"/>
    </xf>
    <xf numFmtId="4" fontId="3" fillId="0" borderId="10" xfId="2" applyNumberFormat="1" applyFont="1" applyBorder="1" applyAlignment="1">
      <alignment vertical="center"/>
    </xf>
    <xf numFmtId="4" fontId="3" fillId="0" borderId="11" xfId="2" applyNumberFormat="1" applyFont="1" applyBorder="1" applyAlignment="1">
      <alignment horizontal="left" vertical="center"/>
    </xf>
    <xf numFmtId="4" fontId="3" fillId="0" borderId="12" xfId="2" applyNumberFormat="1" applyFont="1" applyBorder="1" applyAlignment="1">
      <alignment vertical="center"/>
    </xf>
    <xf numFmtId="4" fontId="3" fillId="0" borderId="13" xfId="2" applyNumberFormat="1" applyFont="1" applyBorder="1" applyAlignment="1">
      <alignment vertical="center"/>
    </xf>
    <xf numFmtId="4" fontId="3" fillId="0" borderId="10" xfId="2" applyNumberFormat="1" applyFont="1" applyBorder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4" fontId="3" fillId="0" borderId="14" xfId="2" applyNumberFormat="1" applyFont="1" applyBorder="1" applyAlignment="1">
      <alignment horizontal="right" vertical="center"/>
    </xf>
    <xf numFmtId="4" fontId="3" fillId="0" borderId="14" xfId="2" applyNumberFormat="1" applyFont="1" applyBorder="1" applyAlignment="1">
      <alignment vertical="center"/>
    </xf>
    <xf numFmtId="4" fontId="3" fillId="0" borderId="14" xfId="2" applyNumberFormat="1" applyFont="1" applyBorder="1" applyAlignment="1">
      <alignment horizontal="center" vertical="center"/>
    </xf>
    <xf numFmtId="4" fontId="3" fillId="0" borderId="14" xfId="1" applyNumberFormat="1" applyFont="1" applyBorder="1" applyAlignment="1">
      <alignment horizontal="right" vertical="center"/>
    </xf>
    <xf numFmtId="4" fontId="3" fillId="0" borderId="14" xfId="1" applyNumberFormat="1" applyFont="1" applyBorder="1" applyAlignment="1">
      <alignment vertical="center"/>
    </xf>
    <xf numFmtId="4" fontId="4" fillId="0" borderId="14" xfId="1" applyNumberFormat="1" applyFont="1" applyBorder="1" applyAlignment="1">
      <alignment vertical="center"/>
    </xf>
    <xf numFmtId="4" fontId="4" fillId="0" borderId="14" xfId="2" applyNumberFormat="1" applyFont="1" applyBorder="1" applyAlignment="1">
      <alignment horizontal="center" vertical="center"/>
    </xf>
    <xf numFmtId="4" fontId="3" fillId="0" borderId="14" xfId="2" applyNumberFormat="1" applyFont="1" applyBorder="1" applyAlignment="1">
      <alignment horizontal="left" vertical="center"/>
    </xf>
    <xf numFmtId="4" fontId="4" fillId="2" borderId="5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" fontId="9" fillId="0" borderId="14" xfId="1" applyNumberFormat="1" applyFont="1" applyBorder="1" applyAlignment="1">
      <alignment horizontal="left" vertical="center"/>
    </xf>
    <xf numFmtId="4" fontId="9" fillId="0" borderId="14" xfId="1" applyNumberFormat="1" applyFont="1" applyBorder="1" applyAlignment="1">
      <alignment vertical="center"/>
    </xf>
    <xf numFmtId="4" fontId="11" fillId="0" borderId="14" xfId="1" applyNumberFormat="1" applyFont="1" applyBorder="1" applyAlignment="1">
      <alignment horizontal="left" vertical="center"/>
    </xf>
    <xf numFmtId="4" fontId="11" fillId="0" borderId="14" xfId="1" applyNumberFormat="1" applyFont="1" applyBorder="1" applyAlignment="1">
      <alignment vertical="center"/>
    </xf>
    <xf numFmtId="4" fontId="3" fillId="0" borderId="9" xfId="2" applyNumberFormat="1" applyFont="1" applyBorder="1" applyAlignment="1">
      <alignment horizontal="right" vertical="center"/>
    </xf>
    <xf numFmtId="4" fontId="3" fillId="0" borderId="9" xfId="2" applyNumberFormat="1" applyFont="1" applyBorder="1" applyAlignment="1">
      <alignment vertical="center"/>
    </xf>
    <xf numFmtId="4" fontId="10" fillId="0" borderId="0" xfId="1" applyNumberFormat="1" applyFont="1" applyAlignment="1">
      <alignment vertical="center"/>
    </xf>
    <xf numFmtId="4" fontId="9" fillId="0" borderId="0" xfId="1" applyNumberFormat="1" applyFont="1" applyAlignment="1">
      <alignment vertical="center"/>
    </xf>
    <xf numFmtId="4" fontId="11" fillId="0" borderId="0" xfId="1" applyNumberFormat="1" applyFont="1" applyAlignment="1">
      <alignment vertical="center"/>
    </xf>
    <xf numFmtId="4" fontId="4" fillId="2" borderId="1" xfId="1" applyNumberFormat="1" applyFont="1" applyFill="1" applyBorder="1" applyAlignment="1">
      <alignment horizontal="center" vertical="center"/>
    </xf>
    <xf numFmtId="4" fontId="3" fillId="0" borderId="0" xfId="2" applyNumberFormat="1" applyFont="1" applyAlignment="1">
      <alignment horizontal="left" vertical="center"/>
    </xf>
    <xf numFmtId="4" fontId="3" fillId="0" borderId="7" xfId="1" applyNumberFormat="1" applyFont="1" applyBorder="1" applyAlignment="1">
      <alignment vertical="center"/>
    </xf>
    <xf numFmtId="4" fontId="3" fillId="0" borderId="0" xfId="2" applyNumberFormat="1" applyFont="1" applyAlignment="1">
      <alignment horizontal="center" vertical="center"/>
    </xf>
    <xf numFmtId="4" fontId="10" fillId="0" borderId="6" xfId="1" applyNumberFormat="1" applyFont="1" applyBorder="1" applyAlignment="1">
      <alignment horizontal="left" vertical="center"/>
    </xf>
    <xf numFmtId="4" fontId="9" fillId="0" borderId="6" xfId="1" applyNumberFormat="1" applyFont="1" applyBorder="1" applyAlignment="1">
      <alignment horizontal="left" vertical="center"/>
    </xf>
    <xf numFmtId="4" fontId="11" fillId="0" borderId="6" xfId="1" applyNumberFormat="1" applyFont="1" applyBorder="1" applyAlignment="1">
      <alignment horizontal="left" vertical="center"/>
    </xf>
    <xf numFmtId="4" fontId="9" fillId="0" borderId="6" xfId="2" applyNumberFormat="1" applyFont="1" applyBorder="1" applyAlignment="1">
      <alignment horizontal="left" vertical="center"/>
    </xf>
    <xf numFmtId="4" fontId="9" fillId="0" borderId="7" xfId="2" applyNumberFormat="1" applyFont="1" applyBorder="1" applyAlignment="1">
      <alignment horizontal="left" vertical="center"/>
    </xf>
    <xf numFmtId="4" fontId="11" fillId="0" borderId="6" xfId="2" applyNumberFormat="1" applyFont="1" applyBorder="1" applyAlignment="1">
      <alignment vertical="center"/>
    </xf>
    <xf numFmtId="4" fontId="11" fillId="0" borderId="7" xfId="2" applyNumberFormat="1" applyFont="1" applyBorder="1" applyAlignment="1">
      <alignment horizontal="left" vertical="center"/>
    </xf>
    <xf numFmtId="4" fontId="14" fillId="0" borderId="14" xfId="2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12" xfId="0" applyFont="1" applyBorder="1"/>
    <xf numFmtId="0" fontId="2" fillId="0" borderId="13" xfId="0" applyFont="1" applyBorder="1"/>
    <xf numFmtId="4" fontId="3" fillId="4" borderId="14" xfId="2" applyNumberFormat="1" applyFont="1" applyFill="1" applyBorder="1" applyAlignment="1">
      <alignment vertical="center"/>
    </xf>
    <xf numFmtId="4" fontId="3" fillId="0" borderId="6" xfId="2" applyNumberFormat="1" applyFont="1" applyBorder="1" applyAlignment="1">
      <alignment horizontal="right" vertical="center"/>
    </xf>
    <xf numFmtId="165" fontId="7" fillId="0" borderId="21" xfId="0" applyNumberFormat="1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left" vertical="center" wrapText="1"/>
    </xf>
    <xf numFmtId="165" fontId="7" fillId="0" borderId="2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4" fontId="15" fillId="0" borderId="6" xfId="2" applyNumberFormat="1" applyFont="1" applyBorder="1" applyAlignment="1">
      <alignment vertical="center"/>
    </xf>
    <xf numFmtId="4" fontId="3" fillId="0" borderId="0" xfId="2" applyNumberFormat="1" applyFont="1" applyAlignment="1">
      <alignment horizontal="right" vertical="center"/>
    </xf>
    <xf numFmtId="0" fontId="17" fillId="0" borderId="0" xfId="0" applyFont="1"/>
    <xf numFmtId="4" fontId="15" fillId="0" borderId="7" xfId="2" applyNumberFormat="1" applyFont="1" applyBorder="1" applyAlignment="1">
      <alignment horizontal="left" vertical="center"/>
    </xf>
    <xf numFmtId="4" fontId="3" fillId="0" borderId="6" xfId="1" applyNumberFormat="1" applyFont="1" applyBorder="1" applyAlignment="1">
      <alignment vertical="center"/>
    </xf>
    <xf numFmtId="165" fontId="7" fillId="0" borderId="25" xfId="0" applyNumberFormat="1" applyFont="1" applyBorder="1" applyAlignment="1">
      <alignment horizontal="left" vertical="center" wrapText="1"/>
    </xf>
    <xf numFmtId="165" fontId="7" fillId="0" borderId="23" xfId="0" applyNumberFormat="1" applyFont="1" applyBorder="1" applyAlignment="1">
      <alignment horizontal="left" vertical="center" wrapText="1"/>
    </xf>
    <xf numFmtId="165" fontId="7" fillId="0" borderId="26" xfId="0" applyNumberFormat="1" applyFont="1" applyBorder="1" applyAlignment="1">
      <alignment horizontal="left" vertical="center" wrapText="1"/>
    </xf>
    <xf numFmtId="0" fontId="13" fillId="5" borderId="27" xfId="2" applyFont="1" applyFill="1" applyBorder="1" applyAlignment="1">
      <alignment horizontal="center" vertical="center"/>
    </xf>
    <xf numFmtId="0" fontId="13" fillId="5" borderId="28" xfId="2" applyFont="1" applyFill="1" applyBorder="1" applyAlignment="1">
      <alignment horizontal="center" vertical="center"/>
    </xf>
    <xf numFmtId="0" fontId="13" fillId="5" borderId="29" xfId="2" applyFont="1" applyFill="1" applyBorder="1" applyAlignment="1">
      <alignment horizontal="center" vertical="center"/>
    </xf>
    <xf numFmtId="4" fontId="3" fillId="0" borderId="7" xfId="2" applyNumberFormat="1" applyFont="1" applyBorder="1" applyAlignment="1">
      <alignment horizontal="right" vertical="center"/>
    </xf>
    <xf numFmtId="4" fontId="3" fillId="4" borderId="14" xfId="2" applyNumberFormat="1" applyFont="1" applyFill="1" applyBorder="1" applyAlignment="1">
      <alignment horizontal="right" vertical="center"/>
    </xf>
    <xf numFmtId="0" fontId="15" fillId="0" borderId="0" xfId="0" applyFont="1"/>
    <xf numFmtId="0" fontId="0" fillId="4" borderId="0" xfId="0" applyFill="1"/>
    <xf numFmtId="0" fontId="0" fillId="6" borderId="0" xfId="0" applyFill="1"/>
    <xf numFmtId="168" fontId="3" fillId="0" borderId="14" xfId="2" applyNumberFormat="1" applyFont="1" applyBorder="1" applyAlignment="1">
      <alignment horizontal="left" vertical="center" indent="10"/>
    </xf>
    <xf numFmtId="4" fontId="3" fillId="0" borderId="6" xfId="2" applyNumberFormat="1" applyFont="1" applyBorder="1" applyAlignment="1">
      <alignment horizontal="left" vertical="center"/>
    </xf>
    <xf numFmtId="168" fontId="3" fillId="0" borderId="14" xfId="2" applyNumberFormat="1" applyFont="1" applyBorder="1" applyAlignment="1">
      <alignment vertical="center"/>
    </xf>
    <xf numFmtId="167" fontId="3" fillId="0" borderId="14" xfId="2" applyNumberFormat="1" applyFont="1" applyBorder="1" applyAlignment="1">
      <alignment vertical="center"/>
    </xf>
    <xf numFmtId="4" fontId="2" fillId="0" borderId="6" xfId="2" applyNumberFormat="1" applyFont="1" applyBorder="1" applyAlignment="1">
      <alignment vertical="center"/>
    </xf>
    <xf numFmtId="4" fontId="2" fillId="0" borderId="7" xfId="2" applyNumberFormat="1" applyFont="1" applyBorder="1" applyAlignment="1">
      <alignment horizontal="left" vertical="center"/>
    </xf>
    <xf numFmtId="11" fontId="2" fillId="0" borderId="0" xfId="0" applyNumberFormat="1" applyFont="1"/>
    <xf numFmtId="4" fontId="3" fillId="0" borderId="14" xfId="1" applyNumberFormat="1" applyFont="1" applyBorder="1" applyAlignment="1">
      <alignment horizontal="left" vertical="center" indent="3"/>
    </xf>
    <xf numFmtId="4" fontId="4" fillId="0" borderId="14" xfId="1" applyNumberFormat="1" applyFont="1" applyBorder="1" applyAlignment="1">
      <alignment horizontal="left" vertical="center"/>
    </xf>
    <xf numFmtId="0" fontId="3" fillId="0" borderId="0" xfId="0" applyFont="1"/>
    <xf numFmtId="0" fontId="3" fillId="0" borderId="8" xfId="0" applyFont="1" applyBorder="1"/>
    <xf numFmtId="4" fontId="3" fillId="0" borderId="14" xfId="1" applyNumberFormat="1" applyFont="1" applyBorder="1" applyAlignment="1">
      <alignment horizontal="left" vertical="center"/>
    </xf>
    <xf numFmtId="0" fontId="3" fillId="0" borderId="7" xfId="0" applyFont="1" applyBorder="1"/>
    <xf numFmtId="0" fontId="3" fillId="0" borderId="12" xfId="0" applyFont="1" applyBorder="1"/>
    <xf numFmtId="0" fontId="3" fillId="0" borderId="13" xfId="0" applyFont="1" applyBorder="1"/>
    <xf numFmtId="4" fontId="2" fillId="0" borderId="0" xfId="0" applyNumberFormat="1" applyFont="1"/>
    <xf numFmtId="4" fontId="3" fillId="0" borderId="12" xfId="2" applyNumberFormat="1" applyFont="1" applyBorder="1" applyAlignment="1">
      <alignment horizontal="left" vertical="center"/>
    </xf>
    <xf numFmtId="165" fontId="7" fillId="0" borderId="21" xfId="0" applyNumberFormat="1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left" vertical="center" wrapText="1"/>
    </xf>
    <xf numFmtId="165" fontId="7" fillId="0" borderId="22" xfId="0" applyNumberFormat="1" applyFont="1" applyBorder="1" applyAlignment="1">
      <alignment horizontal="left" vertical="center" wrapText="1"/>
    </xf>
    <xf numFmtId="166" fontId="2" fillId="0" borderId="0" xfId="0" applyNumberFormat="1" applyFont="1" applyAlignment="1">
      <alignment horizontal="left" vertical="center"/>
    </xf>
    <xf numFmtId="0" fontId="12" fillId="0" borderId="0" xfId="2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13" fillId="5" borderId="2" xfId="2" applyFont="1" applyFill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4" fontId="9" fillId="0" borderId="30" xfId="2" applyNumberFormat="1" applyFont="1" applyBorder="1" applyAlignment="1">
      <alignment horizontal="left" vertical="center"/>
    </xf>
    <xf numFmtId="4" fontId="9" fillId="0" borderId="31" xfId="2" applyNumberFormat="1" applyFont="1" applyBorder="1" applyAlignment="1">
      <alignment horizontal="left" vertical="center"/>
    </xf>
    <xf numFmtId="4" fontId="3" fillId="0" borderId="31" xfId="2" applyNumberFormat="1" applyFont="1" applyBorder="1" applyAlignment="1">
      <alignment vertical="center"/>
    </xf>
    <xf numFmtId="4" fontId="3" fillId="0" borderId="32" xfId="2" applyNumberFormat="1" applyFont="1" applyBorder="1" applyAlignment="1">
      <alignment horizontal="center" vertical="center"/>
    </xf>
    <xf numFmtId="4" fontId="9" fillId="0" borderId="33" xfId="2" applyNumberFormat="1" applyFont="1" applyBorder="1" applyAlignment="1">
      <alignment horizontal="left" vertical="center"/>
    </xf>
    <xf numFmtId="4" fontId="9" fillId="0" borderId="34" xfId="2" applyNumberFormat="1" applyFont="1" applyBorder="1" applyAlignment="1">
      <alignment horizontal="left" vertical="center"/>
    </xf>
    <xf numFmtId="4" fontId="3" fillId="0" borderId="34" xfId="2" applyNumberFormat="1" applyFont="1" applyBorder="1" applyAlignment="1">
      <alignment vertical="center"/>
    </xf>
    <xf numFmtId="4" fontId="3" fillId="0" borderId="35" xfId="2" applyNumberFormat="1" applyFont="1" applyBorder="1" applyAlignment="1">
      <alignment horizontal="center" vertical="center"/>
    </xf>
    <xf numFmtId="4" fontId="11" fillId="0" borderId="33" xfId="2" applyNumberFormat="1" applyFont="1" applyBorder="1" applyAlignment="1">
      <alignment vertical="center"/>
    </xf>
    <xf numFmtId="4" fontId="11" fillId="0" borderId="34" xfId="2" applyNumberFormat="1" applyFont="1" applyBorder="1" applyAlignment="1">
      <alignment horizontal="left" vertical="center"/>
    </xf>
    <xf numFmtId="4" fontId="3" fillId="0" borderId="33" xfId="2" applyNumberFormat="1" applyFont="1" applyBorder="1" applyAlignment="1">
      <alignment vertical="center"/>
    </xf>
    <xf numFmtId="0" fontId="3" fillId="0" borderId="34" xfId="0" applyFont="1" applyBorder="1"/>
    <xf numFmtId="4" fontId="3" fillId="0" borderId="34" xfId="2" applyNumberFormat="1" applyFont="1" applyBorder="1" applyAlignment="1">
      <alignment horizontal="left" vertical="center"/>
    </xf>
    <xf numFmtId="4" fontId="3" fillId="0" borderId="33" xfId="1" applyNumberFormat="1" applyFont="1" applyBorder="1" applyAlignment="1">
      <alignment vertical="center"/>
    </xf>
    <xf numFmtId="4" fontId="15" fillId="0" borderId="33" xfId="2" applyNumberFormat="1" applyFont="1" applyBorder="1" applyAlignment="1">
      <alignment vertical="center"/>
    </xf>
    <xf numFmtId="4" fontId="4" fillId="0" borderId="34" xfId="2" applyNumberFormat="1" applyFont="1" applyBorder="1" applyAlignment="1">
      <alignment vertical="center"/>
    </xf>
    <xf numFmtId="4" fontId="3" fillId="0" borderId="36" xfId="2" applyNumberFormat="1" applyFont="1" applyBorder="1" applyAlignment="1">
      <alignment vertical="center"/>
    </xf>
    <xf numFmtId="4" fontId="3" fillId="0" borderId="37" xfId="2" applyNumberFormat="1" applyFont="1" applyBorder="1" applyAlignment="1">
      <alignment horizontal="left" vertical="center"/>
    </xf>
    <xf numFmtId="4" fontId="3" fillId="0" borderId="37" xfId="2" applyNumberFormat="1" applyFont="1" applyBorder="1" applyAlignment="1">
      <alignment vertical="center"/>
    </xf>
    <xf numFmtId="4" fontId="3" fillId="0" borderId="38" xfId="2" applyNumberFormat="1" applyFont="1" applyBorder="1" applyAlignment="1">
      <alignment horizontal="center" vertical="center"/>
    </xf>
  </cellXfs>
  <cellStyles count="8">
    <cellStyle name="Millares 2" xfId="5" xr:uid="{00000000-0005-0000-0000-000000000000}"/>
    <cellStyle name="Normal" xfId="0" builtinId="0"/>
    <cellStyle name="Normal 10 32" xfId="4" xr:uid="{00000000-0005-0000-0000-000003000000}"/>
    <cellStyle name="Normal 2" xfId="3" xr:uid="{00000000-0005-0000-0000-000004000000}"/>
    <cellStyle name="Normal 2 2" xfId="7" xr:uid="{00000000-0005-0000-0000-000005000000}"/>
    <cellStyle name="Normal_Hoja1" xfId="2" xr:uid="{00000000-0005-0000-0000-000006000000}"/>
    <cellStyle name="Normal_RESERVO1" xfId="1" xr:uid="{00000000-0005-0000-0000-000007000000}"/>
    <cellStyle name="Porcentaje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7C4E6B78-14FF-4B2F-9747-B3A0439E5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25313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683558</xdr:colOff>
      <xdr:row>0</xdr:row>
      <xdr:rowOff>11207</xdr:rowOff>
    </xdr:from>
    <xdr:to>
      <xdr:col>9</xdr:col>
      <xdr:colOff>253999</xdr:colOff>
      <xdr:row>6</xdr:row>
      <xdr:rowOff>114301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F091B0A8-AF27-4863-9DCA-673514B9C64F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760758" y="11207"/>
          <a:ext cx="1500841" cy="11698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7CB26302-B5D3-4E45-B4E1-DFD9821F3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25313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94</xdr:row>
      <xdr:rowOff>44823</xdr:rowOff>
    </xdr:from>
    <xdr:to>
      <xdr:col>2</xdr:col>
      <xdr:colOff>563967</xdr:colOff>
      <xdr:row>98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31AEBDA4-BAFB-4906-AB70-F6A0E376F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4952698"/>
          <a:ext cx="1253130" cy="839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262</xdr:row>
      <xdr:rowOff>44823</xdr:rowOff>
    </xdr:from>
    <xdr:to>
      <xdr:col>2</xdr:col>
      <xdr:colOff>563967</xdr:colOff>
      <xdr:row>266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9E217127-7F1F-49BD-9A4D-E5E7DACB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6374802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262</xdr:row>
      <xdr:rowOff>44823</xdr:rowOff>
    </xdr:from>
    <xdr:to>
      <xdr:col>9</xdr:col>
      <xdr:colOff>278360</xdr:colOff>
      <xdr:row>267</xdr:row>
      <xdr:rowOff>111363</xdr:rowOff>
    </xdr:to>
    <xdr:pic>
      <xdr:nvPicPr>
        <xdr:cNvPr id="5" name="Imagen 6" descr="C:\Users\user5\Desktop\estudios definitivos.jpg">
          <a:extLst>
            <a:ext uri="{FF2B5EF4-FFF2-40B4-BE49-F238E27FC236}">
              <a16:creationId xmlns:a16="http://schemas.microsoft.com/office/drawing/2014/main" id="{2E4C7B16-1B6D-4E2F-A06E-DF897F185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6374802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401</xdr:row>
      <xdr:rowOff>44823</xdr:rowOff>
    </xdr:from>
    <xdr:to>
      <xdr:col>2</xdr:col>
      <xdr:colOff>563967</xdr:colOff>
      <xdr:row>405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E9767E5D-9379-4ED0-8044-5C2DF48C3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916197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401</xdr:row>
      <xdr:rowOff>44823</xdr:rowOff>
    </xdr:from>
    <xdr:to>
      <xdr:col>9</xdr:col>
      <xdr:colOff>278360</xdr:colOff>
      <xdr:row>406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46F47002-4D13-4ECA-A2CD-29D8FEF7B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9916197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522</xdr:row>
      <xdr:rowOff>44823</xdr:rowOff>
    </xdr:from>
    <xdr:to>
      <xdr:col>2</xdr:col>
      <xdr:colOff>563967</xdr:colOff>
      <xdr:row>526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81FD5C3A-7A8B-4D6B-9722-255BD1B98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134661648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522</xdr:row>
      <xdr:rowOff>44823</xdr:rowOff>
    </xdr:from>
    <xdr:to>
      <xdr:col>9</xdr:col>
      <xdr:colOff>278360</xdr:colOff>
      <xdr:row>527</xdr:row>
      <xdr:rowOff>111363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5F8ABAF7-3110-45E7-BC6C-2139FC280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13466164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797</xdr:row>
      <xdr:rowOff>44823</xdr:rowOff>
    </xdr:from>
    <xdr:to>
      <xdr:col>2</xdr:col>
      <xdr:colOff>563967</xdr:colOff>
      <xdr:row>801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72C626A3-80BE-4DC3-ADD9-906E9A4B0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00041248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797</xdr:row>
      <xdr:rowOff>44823</xdr:rowOff>
    </xdr:from>
    <xdr:to>
      <xdr:col>9</xdr:col>
      <xdr:colOff>278360</xdr:colOff>
      <xdr:row>802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5CF83FBF-46CB-4DC4-A9C3-EAC5C042B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0004124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984</xdr:row>
      <xdr:rowOff>91336</xdr:rowOff>
    </xdr:from>
    <xdr:to>
      <xdr:col>2</xdr:col>
      <xdr:colOff>563967</xdr:colOff>
      <xdr:row>994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A4261205-9D0D-4BB9-91C8-EFEEEB436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49646336"/>
          <a:ext cx="1253130" cy="1707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984</xdr:row>
      <xdr:rowOff>26095</xdr:rowOff>
    </xdr:from>
    <xdr:to>
      <xdr:col>9</xdr:col>
      <xdr:colOff>278360</xdr:colOff>
      <xdr:row>994</xdr:row>
      <xdr:rowOff>111362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74B8559A-57C9-4E0F-973E-C0715E02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49581095"/>
          <a:ext cx="1381578" cy="17045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1157</xdr:row>
      <xdr:rowOff>44823</xdr:rowOff>
    </xdr:from>
    <xdr:to>
      <xdr:col>2</xdr:col>
      <xdr:colOff>563967</xdr:colOff>
      <xdr:row>1161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DB73B3D7-4089-4FC0-9E14-0B4F4CD8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9711052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1157</xdr:row>
      <xdr:rowOff>44823</xdr:rowOff>
    </xdr:from>
    <xdr:to>
      <xdr:col>9</xdr:col>
      <xdr:colOff>278360</xdr:colOff>
      <xdr:row>1162</xdr:row>
      <xdr:rowOff>111363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649B5D4E-FBA1-47B6-BE1B-C2975634F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9711052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1246</xdr:row>
      <xdr:rowOff>44823</xdr:rowOff>
    </xdr:from>
    <xdr:to>
      <xdr:col>2</xdr:col>
      <xdr:colOff>563967</xdr:colOff>
      <xdr:row>1250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53E2F8CC-31A5-4AF8-8193-A87C0E5C6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28885923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1246</xdr:row>
      <xdr:rowOff>44823</xdr:rowOff>
    </xdr:from>
    <xdr:to>
      <xdr:col>9</xdr:col>
      <xdr:colOff>278360</xdr:colOff>
      <xdr:row>1251</xdr:row>
      <xdr:rowOff>111363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CB2B31BF-10A5-48CA-A1CA-4FAD9D2F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28885923"/>
          <a:ext cx="1381578" cy="113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1332</xdr:row>
      <xdr:rowOff>44823</xdr:rowOff>
    </xdr:from>
    <xdr:to>
      <xdr:col>2</xdr:col>
      <xdr:colOff>563967</xdr:colOff>
      <xdr:row>1336</xdr:row>
      <xdr:rowOff>179294</xdr:rowOff>
    </xdr:to>
    <xdr:pic>
      <xdr:nvPicPr>
        <xdr:cNvPr id="18" name="Imagen 6" descr="C:\Users\user5\Desktop\estudios definitivos.jpg">
          <a:extLst>
            <a:ext uri="{FF2B5EF4-FFF2-40B4-BE49-F238E27FC236}">
              <a16:creationId xmlns:a16="http://schemas.microsoft.com/office/drawing/2014/main" id="{5A51709D-8A7E-4989-A848-1C8C30B1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59946948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1332</xdr:row>
      <xdr:rowOff>44823</xdr:rowOff>
    </xdr:from>
    <xdr:to>
      <xdr:col>9</xdr:col>
      <xdr:colOff>278360</xdr:colOff>
      <xdr:row>1337</xdr:row>
      <xdr:rowOff>111363</xdr:rowOff>
    </xdr:to>
    <xdr:pic>
      <xdr:nvPicPr>
        <xdr:cNvPr id="19" name="Imagen 6" descr="C:\Users\user5\Desktop\estudios definitivos.jpg">
          <a:extLst>
            <a:ext uri="{FF2B5EF4-FFF2-40B4-BE49-F238E27FC236}">
              <a16:creationId xmlns:a16="http://schemas.microsoft.com/office/drawing/2014/main" id="{BFC072F2-1DFD-48F1-8E38-5BF0A37B2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59946948"/>
          <a:ext cx="1381578" cy="113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1420</xdr:row>
      <xdr:rowOff>44823</xdr:rowOff>
    </xdr:from>
    <xdr:to>
      <xdr:col>2</xdr:col>
      <xdr:colOff>563967</xdr:colOff>
      <xdr:row>1424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86136EA1-00C0-413B-AC28-2C2F6C1FD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91027023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1420</xdr:row>
      <xdr:rowOff>44823</xdr:rowOff>
    </xdr:from>
    <xdr:to>
      <xdr:col>9</xdr:col>
      <xdr:colOff>278360</xdr:colOff>
      <xdr:row>1425</xdr:row>
      <xdr:rowOff>111363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47082B43-1DAD-4535-9454-6F5353CF8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91027023"/>
          <a:ext cx="1381578" cy="1076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1526</xdr:row>
      <xdr:rowOff>11205</xdr:rowOff>
    </xdr:from>
    <xdr:to>
      <xdr:col>2</xdr:col>
      <xdr:colOff>530350</xdr:colOff>
      <xdr:row>1530</xdr:row>
      <xdr:rowOff>126626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ADA6F8DC-037B-4642-901E-DC3A62682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27521780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1526</xdr:row>
      <xdr:rowOff>44823</xdr:rowOff>
    </xdr:from>
    <xdr:to>
      <xdr:col>9</xdr:col>
      <xdr:colOff>278360</xdr:colOff>
      <xdr:row>1531</xdr:row>
      <xdr:rowOff>111363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765B6107-A86E-4A69-BC83-479815319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2755539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1650</xdr:row>
      <xdr:rowOff>11205</xdr:rowOff>
    </xdr:from>
    <xdr:to>
      <xdr:col>2</xdr:col>
      <xdr:colOff>530350</xdr:colOff>
      <xdr:row>1654</xdr:row>
      <xdr:rowOff>126626</xdr:rowOff>
    </xdr:to>
    <xdr:pic>
      <xdr:nvPicPr>
        <xdr:cNvPr id="24" name="Imagen 6" descr="C:\Users\user5\Desktop\estudios definitivos.jpg">
          <a:extLst>
            <a:ext uri="{FF2B5EF4-FFF2-40B4-BE49-F238E27FC236}">
              <a16:creationId xmlns:a16="http://schemas.microsoft.com/office/drawing/2014/main" id="{00D2EC98-3E74-4339-945D-971E13496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64745480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1650</xdr:row>
      <xdr:rowOff>44823</xdr:rowOff>
    </xdr:from>
    <xdr:to>
      <xdr:col>9</xdr:col>
      <xdr:colOff>278360</xdr:colOff>
      <xdr:row>1655</xdr:row>
      <xdr:rowOff>111363</xdr:rowOff>
    </xdr:to>
    <xdr:pic>
      <xdr:nvPicPr>
        <xdr:cNvPr id="25" name="Imagen 6" descr="C:\Users\user5\Desktop\estudios definitivos.jpg">
          <a:extLst>
            <a:ext uri="{FF2B5EF4-FFF2-40B4-BE49-F238E27FC236}">
              <a16:creationId xmlns:a16="http://schemas.microsoft.com/office/drawing/2014/main" id="{AD779D65-05D3-4751-BE68-2DBB34DAE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6477909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1740</xdr:row>
      <xdr:rowOff>11205</xdr:rowOff>
    </xdr:from>
    <xdr:to>
      <xdr:col>2</xdr:col>
      <xdr:colOff>530350</xdr:colOff>
      <xdr:row>1744</xdr:row>
      <xdr:rowOff>126626</xdr:rowOff>
    </xdr:to>
    <xdr:pic>
      <xdr:nvPicPr>
        <xdr:cNvPr id="26" name="Imagen 6" descr="C:\Users\user5\Desktop\estudios definitivos.jpg">
          <a:extLst>
            <a:ext uri="{FF2B5EF4-FFF2-40B4-BE49-F238E27FC236}">
              <a16:creationId xmlns:a16="http://schemas.microsoft.com/office/drawing/2014/main" id="{72C65171-2DF8-4E06-BA01-C67F8AE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97025705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1740</xdr:row>
      <xdr:rowOff>44823</xdr:rowOff>
    </xdr:from>
    <xdr:to>
      <xdr:col>9</xdr:col>
      <xdr:colOff>278360</xdr:colOff>
      <xdr:row>1745</xdr:row>
      <xdr:rowOff>111363</xdr:rowOff>
    </xdr:to>
    <xdr:pic>
      <xdr:nvPicPr>
        <xdr:cNvPr id="27" name="Imagen 6" descr="C:\Users\user5\Desktop\estudios definitivos.jpg">
          <a:extLst>
            <a:ext uri="{FF2B5EF4-FFF2-40B4-BE49-F238E27FC236}">
              <a16:creationId xmlns:a16="http://schemas.microsoft.com/office/drawing/2014/main" id="{61D6807C-9D64-4A01-A528-BA82EEFC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97059323"/>
          <a:ext cx="1381578" cy="1076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11206</xdr:rowOff>
    </xdr:from>
    <xdr:to>
      <xdr:col>8</xdr:col>
      <xdr:colOff>277589</xdr:colOff>
      <xdr:row>8</xdr:row>
      <xdr:rowOff>104165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6B245C35-AB46-4945-98BC-CAFF1C049232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41684" y="11206"/>
          <a:ext cx="356996" cy="135970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J170"/>
  <sheetViews>
    <sheetView workbookViewId="0"/>
  </sheetViews>
  <sheetFormatPr baseColWidth="10" defaultColWidth="11.44140625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128" t="s">
        <v>0</v>
      </c>
      <c r="D1" s="128"/>
      <c r="E1" s="128"/>
      <c r="F1" s="128"/>
      <c r="G1" s="128"/>
      <c r="H1" s="128"/>
    </row>
    <row r="2" spans="2:10" x14ac:dyDescent="0.3">
      <c r="C2" s="128" t="s">
        <v>1</v>
      </c>
      <c r="D2" s="128"/>
      <c r="E2" s="128"/>
      <c r="F2" s="128"/>
      <c r="G2" s="128"/>
      <c r="H2" s="128"/>
    </row>
    <row r="3" spans="2:10" x14ac:dyDescent="0.3">
      <c r="C3" s="128" t="s">
        <v>2</v>
      </c>
      <c r="D3" s="128"/>
      <c r="E3" s="128"/>
      <c r="F3" s="128"/>
      <c r="G3" s="128"/>
      <c r="H3" s="128"/>
    </row>
    <row r="4" spans="2:10" x14ac:dyDescent="0.3">
      <c r="C4" s="129" t="s">
        <v>3</v>
      </c>
      <c r="D4" s="129"/>
      <c r="E4" s="129"/>
      <c r="F4" s="129"/>
      <c r="G4" s="129"/>
      <c r="H4" s="129"/>
    </row>
    <row r="5" spans="2:10" x14ac:dyDescent="0.3">
      <c r="C5" s="52"/>
      <c r="D5" s="52"/>
      <c r="E5" s="52"/>
      <c r="F5" s="52"/>
      <c r="G5" s="52"/>
      <c r="H5" s="52"/>
    </row>
    <row r="6" spans="2:10" ht="15.6" x14ac:dyDescent="0.3">
      <c r="B6" s="130" t="s">
        <v>4</v>
      </c>
      <c r="C6" s="131"/>
      <c r="D6" s="131"/>
      <c r="E6" s="131"/>
      <c r="F6" s="131"/>
      <c r="G6" s="131"/>
      <c r="H6" s="131"/>
      <c r="I6" s="131"/>
      <c r="J6" s="132"/>
    </row>
    <row r="8" spans="2:10" ht="15.6" x14ac:dyDescent="0.3">
      <c r="B8" s="127" t="s">
        <v>5</v>
      </c>
      <c r="C8" s="127"/>
      <c r="D8" s="127"/>
      <c r="E8" s="127"/>
      <c r="F8" s="127"/>
      <c r="G8" s="127"/>
      <c r="H8" s="127"/>
      <c r="I8" s="127"/>
      <c r="J8" s="127"/>
    </row>
    <row r="9" spans="2:10" ht="15" thickBot="1" x14ac:dyDescent="0.35">
      <c r="B9" s="53"/>
      <c r="C9" s="53"/>
      <c r="D9" s="53"/>
      <c r="E9" s="53"/>
      <c r="F9" s="53"/>
      <c r="G9" s="53"/>
      <c r="H9" s="53"/>
      <c r="I9" s="53"/>
      <c r="J9" s="53"/>
    </row>
    <row r="10" spans="2:10" ht="31.5" customHeight="1" x14ac:dyDescent="0.3">
      <c r="B10" s="123" t="s">
        <v>6</v>
      </c>
      <c r="C10" s="124"/>
      <c r="D10" s="124"/>
      <c r="E10" s="124"/>
      <c r="F10" s="124"/>
      <c r="G10" s="124"/>
      <c r="H10" s="124"/>
      <c r="I10" s="124"/>
      <c r="J10" s="125"/>
    </row>
    <row r="11" spans="2:10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126">
        <v>42887</v>
      </c>
      <c r="I11" s="126"/>
      <c r="J11" s="7"/>
    </row>
    <row r="12" spans="2:10" x14ac:dyDescent="0.3">
      <c r="B12" s="2" t="s">
        <v>10</v>
      </c>
      <c r="C12" s="3" t="s">
        <v>11</v>
      </c>
      <c r="F12" s="3"/>
      <c r="G12" s="8" t="s">
        <v>12</v>
      </c>
      <c r="H12" s="4" t="s">
        <v>11</v>
      </c>
      <c r="I12" s="9"/>
      <c r="J12" s="10"/>
    </row>
    <row r="13" spans="2:10" x14ac:dyDescent="0.3">
      <c r="B13" s="2" t="s">
        <v>13</v>
      </c>
      <c r="C13" s="3" t="s">
        <v>11</v>
      </c>
      <c r="F13" s="3"/>
      <c r="G13" s="8" t="s">
        <v>14</v>
      </c>
      <c r="H13" s="4" t="s">
        <v>15</v>
      </c>
      <c r="I13" s="9"/>
      <c r="J13" s="10"/>
    </row>
    <row r="14" spans="2:10" ht="15" thickBot="1" x14ac:dyDescent="0.35">
      <c r="B14" s="11" t="s">
        <v>16</v>
      </c>
      <c r="C14" s="12" t="s">
        <v>17</v>
      </c>
      <c r="D14" s="13"/>
      <c r="E14" s="13"/>
      <c r="F14" s="12"/>
      <c r="G14" s="14" t="s">
        <v>18</v>
      </c>
      <c r="H14" s="15" t="s">
        <v>19</v>
      </c>
      <c r="I14" s="16"/>
      <c r="J14" s="17"/>
    </row>
    <row r="15" spans="2:10" x14ac:dyDescent="0.3">
      <c r="B15" s="18"/>
      <c r="C15" s="3"/>
      <c r="F15" s="3"/>
      <c r="G15" s="8"/>
      <c r="H15" s="4"/>
      <c r="I15" s="9"/>
      <c r="J15" s="19"/>
    </row>
    <row r="16" spans="2:10" x14ac:dyDescent="0.3">
      <c r="B16" s="63" t="s">
        <v>20</v>
      </c>
      <c r="C16" s="47" t="s">
        <v>21</v>
      </c>
      <c r="D16" s="48"/>
      <c r="E16" s="48"/>
      <c r="F16" s="48"/>
      <c r="G16" s="48"/>
      <c r="H16" s="49"/>
      <c r="I16" s="50" t="s">
        <v>22</v>
      </c>
      <c r="J16" s="50" t="s">
        <v>23</v>
      </c>
    </row>
    <row r="17" spans="2:10" x14ac:dyDescent="0.3">
      <c r="B17" s="67" t="e">
        <f>+#REF!</f>
        <v>#REF!</v>
      </c>
      <c r="C17" s="60" t="e">
        <f>+#REF!</f>
        <v>#REF!</v>
      </c>
      <c r="D17" s="22"/>
      <c r="E17" s="22"/>
      <c r="F17" s="22"/>
      <c r="G17" s="22"/>
      <c r="H17" s="23"/>
      <c r="I17" s="24" t="e">
        <f>+#REF!</f>
        <v>#REF!</v>
      </c>
      <c r="J17" s="25" t="e">
        <f>+#REF!</f>
        <v>#REF!</v>
      </c>
    </row>
    <row r="18" spans="2:10" x14ac:dyDescent="0.3">
      <c r="B18" s="68" t="s">
        <v>24</v>
      </c>
      <c r="C18" s="61" t="s">
        <v>25</v>
      </c>
      <c r="D18" s="22"/>
      <c r="E18" s="22"/>
      <c r="F18" s="22"/>
      <c r="G18" s="22"/>
      <c r="H18" s="23"/>
      <c r="I18" s="24"/>
      <c r="J18" s="25"/>
    </row>
    <row r="19" spans="2:10" x14ac:dyDescent="0.3">
      <c r="B19" s="69" t="s">
        <v>26</v>
      </c>
      <c r="C19" s="62" t="s">
        <v>27</v>
      </c>
      <c r="D19" s="22"/>
      <c r="E19" s="22"/>
      <c r="F19" s="22"/>
      <c r="G19" s="22"/>
      <c r="H19" s="23"/>
      <c r="I19" s="24"/>
      <c r="J19" s="25"/>
    </row>
    <row r="20" spans="2:10" x14ac:dyDescent="0.3">
      <c r="B20" s="27" t="s">
        <v>28</v>
      </c>
      <c r="C20" s="65" t="s">
        <v>29</v>
      </c>
      <c r="D20" s="22"/>
      <c r="E20" s="22"/>
      <c r="F20" s="22"/>
      <c r="G20" s="22"/>
      <c r="H20" s="23"/>
      <c r="I20" s="23">
        <v>2</v>
      </c>
      <c r="J20" s="25" t="s">
        <v>30</v>
      </c>
    </row>
    <row r="21" spans="2:10" x14ac:dyDescent="0.3">
      <c r="B21" s="27" t="s">
        <v>31</v>
      </c>
      <c r="C21" s="65" t="s">
        <v>32</v>
      </c>
      <c r="D21" s="22"/>
      <c r="E21" s="22"/>
      <c r="F21" s="22"/>
      <c r="G21" s="22"/>
      <c r="H21" s="23"/>
      <c r="I21" s="23">
        <v>0</v>
      </c>
      <c r="J21" s="25" t="s">
        <v>30</v>
      </c>
    </row>
    <row r="22" spans="2:10" x14ac:dyDescent="0.3">
      <c r="B22" s="27" t="s">
        <v>33</v>
      </c>
      <c r="C22" s="65" t="s">
        <v>34</v>
      </c>
      <c r="D22" s="22"/>
      <c r="E22" s="22"/>
      <c r="F22" s="22"/>
      <c r="G22" s="22"/>
      <c r="H22" s="23"/>
      <c r="I22" s="23">
        <v>1</v>
      </c>
      <c r="J22" s="25" t="s">
        <v>30</v>
      </c>
    </row>
    <row r="23" spans="2:10" x14ac:dyDescent="0.3">
      <c r="B23" s="27" t="s">
        <v>35</v>
      </c>
      <c r="C23" s="65" t="s">
        <v>36</v>
      </c>
      <c r="D23" s="22"/>
      <c r="E23" s="22"/>
      <c r="F23" s="22"/>
      <c r="G23" s="22"/>
      <c r="H23" s="23"/>
      <c r="I23" s="23">
        <v>10</v>
      </c>
      <c r="J23" s="25" t="s">
        <v>30</v>
      </c>
    </row>
    <row r="24" spans="2:10" x14ac:dyDescent="0.3">
      <c r="B24" s="27" t="s">
        <v>37</v>
      </c>
      <c r="C24" s="65" t="s">
        <v>38</v>
      </c>
      <c r="D24" s="22"/>
      <c r="E24" s="22"/>
      <c r="F24" s="22"/>
      <c r="G24" s="22"/>
      <c r="H24" s="23"/>
      <c r="I24" s="23">
        <v>1</v>
      </c>
      <c r="J24" s="25" t="s">
        <v>30</v>
      </c>
    </row>
    <row r="25" spans="2:10" x14ac:dyDescent="0.3">
      <c r="B25" s="27" t="s">
        <v>39</v>
      </c>
      <c r="C25" s="65" t="s">
        <v>40</v>
      </c>
      <c r="D25" s="22"/>
      <c r="E25" s="22"/>
      <c r="F25" s="22"/>
      <c r="G25" s="22"/>
      <c r="H25" s="23"/>
      <c r="I25" s="23">
        <v>1</v>
      </c>
      <c r="J25" s="25" t="s">
        <v>30</v>
      </c>
    </row>
    <row r="26" spans="2:10" x14ac:dyDescent="0.3">
      <c r="B26" s="27" t="s">
        <v>41</v>
      </c>
      <c r="C26" s="65" t="s">
        <v>42</v>
      </c>
      <c r="D26" s="22"/>
      <c r="E26" s="22"/>
      <c r="F26" s="22"/>
      <c r="G26" s="22"/>
      <c r="H26" s="23"/>
      <c r="I26" s="23">
        <v>2</v>
      </c>
      <c r="J26" s="25" t="s">
        <v>30</v>
      </c>
    </row>
    <row r="27" spans="2:10" x14ac:dyDescent="0.3">
      <c r="B27" s="69" t="s">
        <v>43</v>
      </c>
      <c r="C27" s="62" t="s">
        <v>44</v>
      </c>
      <c r="D27" s="22"/>
      <c r="E27" s="22"/>
      <c r="F27" s="22"/>
      <c r="G27" s="22"/>
      <c r="H27" s="23"/>
      <c r="I27" s="23"/>
      <c r="J27" s="25"/>
    </row>
    <row r="28" spans="2:10" x14ac:dyDescent="0.3">
      <c r="B28" s="27" t="s">
        <v>45</v>
      </c>
      <c r="C28" s="65" t="s">
        <v>46</v>
      </c>
      <c r="D28" s="22"/>
      <c r="E28" s="22"/>
      <c r="F28" s="22"/>
      <c r="G28" s="22"/>
      <c r="H28" s="23"/>
      <c r="I28" s="23">
        <v>11</v>
      </c>
      <c r="J28" s="25" t="s">
        <v>30</v>
      </c>
    </row>
    <row r="29" spans="2:10" x14ac:dyDescent="0.3">
      <c r="B29" s="27" t="s">
        <v>47</v>
      </c>
      <c r="C29" s="65" t="s">
        <v>48</v>
      </c>
      <c r="D29" s="22"/>
      <c r="E29" s="22"/>
      <c r="F29" s="22"/>
      <c r="G29" s="22"/>
      <c r="H29" s="23"/>
      <c r="I29" s="23">
        <v>3</v>
      </c>
      <c r="J29" s="25" t="s">
        <v>30</v>
      </c>
    </row>
    <row r="30" spans="2:10" x14ac:dyDescent="0.3">
      <c r="B30" s="27" t="s">
        <v>49</v>
      </c>
      <c r="C30" s="65" t="s">
        <v>50</v>
      </c>
      <c r="D30" s="22"/>
      <c r="E30" s="22"/>
      <c r="F30" s="22"/>
      <c r="G30" s="22"/>
      <c r="H30" s="23"/>
      <c r="I30" s="23">
        <v>1</v>
      </c>
      <c r="J30" s="25" t="s">
        <v>30</v>
      </c>
    </row>
    <row r="31" spans="2:10" x14ac:dyDescent="0.3">
      <c r="B31" s="27" t="s">
        <v>51</v>
      </c>
      <c r="C31" s="65" t="s">
        <v>52</v>
      </c>
      <c r="D31" s="22"/>
      <c r="E31" s="22"/>
      <c r="F31" s="22"/>
      <c r="G31" s="22"/>
      <c r="H31" s="23"/>
      <c r="I31" s="23">
        <v>2</v>
      </c>
      <c r="J31" s="25" t="s">
        <v>30</v>
      </c>
    </row>
    <row r="32" spans="2:10" x14ac:dyDescent="0.3">
      <c r="B32" s="27" t="s">
        <v>53</v>
      </c>
      <c r="C32" s="65" t="s">
        <v>54</v>
      </c>
      <c r="D32" s="22"/>
      <c r="E32" s="22"/>
      <c r="F32" s="22"/>
      <c r="G32" s="22"/>
      <c r="H32" s="23"/>
      <c r="I32" s="23">
        <v>3</v>
      </c>
      <c r="J32" s="25" t="s">
        <v>30</v>
      </c>
    </row>
    <row r="33" spans="2:10" x14ac:dyDescent="0.3">
      <c r="B33" s="27" t="s">
        <v>55</v>
      </c>
      <c r="C33" s="65" t="s">
        <v>56</v>
      </c>
      <c r="D33" s="22"/>
      <c r="E33" s="22"/>
      <c r="F33" s="22"/>
      <c r="G33" s="22"/>
      <c r="H33" s="23"/>
      <c r="I33" s="23">
        <v>1</v>
      </c>
      <c r="J33" s="25" t="s">
        <v>30</v>
      </c>
    </row>
    <row r="34" spans="2:10" x14ac:dyDescent="0.3">
      <c r="B34" s="27" t="s">
        <v>57</v>
      </c>
      <c r="C34" s="65" t="s">
        <v>58</v>
      </c>
      <c r="D34" s="22"/>
      <c r="E34" s="22"/>
      <c r="F34" s="22"/>
      <c r="G34" s="22"/>
      <c r="H34" s="23"/>
      <c r="I34" s="23">
        <v>0</v>
      </c>
      <c r="J34" s="25" t="s">
        <v>30</v>
      </c>
    </row>
    <row r="35" spans="2:10" x14ac:dyDescent="0.3">
      <c r="B35" s="27" t="s">
        <v>59</v>
      </c>
      <c r="C35" s="65" t="s">
        <v>60</v>
      </c>
      <c r="D35" s="22"/>
      <c r="E35" s="22"/>
      <c r="F35" s="22"/>
      <c r="G35" s="22"/>
      <c r="H35" s="23"/>
      <c r="I35" s="23">
        <v>2</v>
      </c>
      <c r="J35" s="25" t="s">
        <v>30</v>
      </c>
    </row>
    <row r="36" spans="2:10" x14ac:dyDescent="0.3">
      <c r="B36" s="27" t="s">
        <v>61</v>
      </c>
      <c r="C36" s="65" t="s">
        <v>62</v>
      </c>
      <c r="D36" s="22"/>
      <c r="E36" s="22"/>
      <c r="F36" s="22"/>
      <c r="G36" s="22"/>
      <c r="H36" s="23"/>
      <c r="I36" s="23">
        <v>2</v>
      </c>
      <c r="J36" s="25" t="s">
        <v>30</v>
      </c>
    </row>
    <row r="37" spans="2:10" x14ac:dyDescent="0.3">
      <c r="B37" s="27" t="s">
        <v>63</v>
      </c>
      <c r="C37" s="65" t="s">
        <v>64</v>
      </c>
      <c r="D37" s="22"/>
      <c r="E37" s="22"/>
      <c r="F37" s="22"/>
      <c r="G37" s="22"/>
      <c r="H37" s="23"/>
      <c r="I37" s="23">
        <v>4</v>
      </c>
      <c r="J37" s="25" t="s">
        <v>30</v>
      </c>
    </row>
    <row r="38" spans="2:10" x14ac:dyDescent="0.3">
      <c r="B38" s="27" t="s">
        <v>65</v>
      </c>
      <c r="C38" s="65" t="s">
        <v>66</v>
      </c>
      <c r="D38" s="22"/>
      <c r="E38" s="22"/>
      <c r="F38" s="22"/>
      <c r="G38" s="22"/>
      <c r="H38" s="23"/>
      <c r="I38" s="23">
        <v>1</v>
      </c>
      <c r="J38" s="25" t="s">
        <v>30</v>
      </c>
    </row>
    <row r="39" spans="2:10" x14ac:dyDescent="0.3">
      <c r="B39" s="27" t="s">
        <v>67</v>
      </c>
      <c r="C39" s="65" t="s">
        <v>68</v>
      </c>
      <c r="D39" s="22"/>
      <c r="E39" s="22"/>
      <c r="F39" s="22"/>
      <c r="G39" s="22"/>
      <c r="H39" s="23"/>
      <c r="I39" s="23">
        <v>1</v>
      </c>
      <c r="J39" s="25" t="s">
        <v>30</v>
      </c>
    </row>
    <row r="40" spans="2:10" x14ac:dyDescent="0.3">
      <c r="B40" s="27" t="s">
        <v>69</v>
      </c>
      <c r="C40" s="65" t="s">
        <v>70</v>
      </c>
      <c r="D40" s="22"/>
      <c r="E40" s="22"/>
      <c r="F40" s="22"/>
      <c r="G40" s="22"/>
      <c r="H40" s="23"/>
      <c r="I40" s="23">
        <v>3</v>
      </c>
      <c r="J40" s="25" t="s">
        <v>30</v>
      </c>
    </row>
    <row r="41" spans="2:10" x14ac:dyDescent="0.3">
      <c r="B41" s="27" t="s">
        <v>71</v>
      </c>
      <c r="C41" s="65" t="s">
        <v>72</v>
      </c>
      <c r="D41" s="22"/>
      <c r="E41" s="22"/>
      <c r="F41" s="22"/>
      <c r="G41" s="22"/>
      <c r="H41" s="23"/>
      <c r="I41" s="23">
        <v>3</v>
      </c>
      <c r="J41" s="25" t="s">
        <v>30</v>
      </c>
    </row>
    <row r="42" spans="2:10" x14ac:dyDescent="0.3">
      <c r="B42" s="27" t="s">
        <v>73</v>
      </c>
      <c r="C42" s="65" t="s">
        <v>74</v>
      </c>
      <c r="D42" s="22"/>
      <c r="E42" s="22"/>
      <c r="F42" s="22"/>
      <c r="G42" s="22"/>
      <c r="H42" s="23"/>
      <c r="I42" s="23">
        <v>2</v>
      </c>
      <c r="J42" s="25" t="s">
        <v>30</v>
      </c>
    </row>
    <row r="43" spans="2:10" x14ac:dyDescent="0.3">
      <c r="B43" s="27" t="s">
        <v>75</v>
      </c>
      <c r="C43" s="65" t="s">
        <v>76</v>
      </c>
      <c r="D43" s="22"/>
      <c r="E43" s="22"/>
      <c r="F43" s="22"/>
      <c r="G43" s="22"/>
      <c r="H43" s="23"/>
      <c r="I43" s="23">
        <v>10</v>
      </c>
      <c r="J43" s="25" t="s">
        <v>30</v>
      </c>
    </row>
    <row r="44" spans="2:10" x14ac:dyDescent="0.3">
      <c r="B44" s="27" t="s">
        <v>77</v>
      </c>
      <c r="C44" s="65" t="s">
        <v>78</v>
      </c>
      <c r="D44" s="22"/>
      <c r="E44" s="22"/>
      <c r="F44" s="22"/>
      <c r="G44" s="22"/>
      <c r="H44" s="23"/>
      <c r="I44" s="23">
        <v>3</v>
      </c>
      <c r="J44" s="25" t="s">
        <v>30</v>
      </c>
    </row>
    <row r="45" spans="2:10" x14ac:dyDescent="0.3">
      <c r="B45" s="27" t="s">
        <v>79</v>
      </c>
      <c r="C45" s="65" t="s">
        <v>80</v>
      </c>
      <c r="D45" s="22"/>
      <c r="E45" s="22"/>
      <c r="F45" s="22"/>
      <c r="G45" s="22"/>
      <c r="H45" s="23"/>
      <c r="I45" s="23">
        <v>1</v>
      </c>
      <c r="J45" s="25" t="s">
        <v>30</v>
      </c>
    </row>
    <row r="46" spans="2:10" x14ac:dyDescent="0.3">
      <c r="B46" s="69" t="s">
        <v>81</v>
      </c>
      <c r="C46" s="62" t="s">
        <v>82</v>
      </c>
      <c r="D46" s="22"/>
      <c r="E46" s="22"/>
      <c r="F46" s="22"/>
      <c r="G46" s="22"/>
      <c r="H46" s="23"/>
      <c r="I46" s="23"/>
      <c r="J46" s="25"/>
    </row>
    <row r="47" spans="2:10" x14ac:dyDescent="0.3">
      <c r="B47" s="24" t="s">
        <v>83</v>
      </c>
      <c r="C47" s="27" t="s">
        <v>84</v>
      </c>
      <c r="D47" s="22"/>
      <c r="E47" s="22"/>
      <c r="F47" s="22"/>
      <c r="G47" s="22"/>
      <c r="H47" s="23"/>
      <c r="I47" s="24">
        <v>17</v>
      </c>
      <c r="J47" s="25" t="s">
        <v>30</v>
      </c>
    </row>
    <row r="48" spans="2:10" x14ac:dyDescent="0.3">
      <c r="B48" s="69" t="s">
        <v>85</v>
      </c>
      <c r="C48" s="62" t="s">
        <v>86</v>
      </c>
      <c r="D48" s="22"/>
      <c r="E48" s="22"/>
      <c r="F48" s="22"/>
      <c r="G48" s="22"/>
      <c r="H48" s="23"/>
      <c r="I48" s="24"/>
      <c r="J48" s="25"/>
    </row>
    <row r="49" spans="2:10" x14ac:dyDescent="0.3">
      <c r="B49" s="24" t="s">
        <v>87</v>
      </c>
      <c r="C49" s="27" t="s">
        <v>88</v>
      </c>
      <c r="D49" s="22"/>
      <c r="E49" s="22"/>
      <c r="F49" s="22"/>
      <c r="G49" s="22"/>
      <c r="H49" s="23"/>
      <c r="I49" s="24">
        <v>59</v>
      </c>
      <c r="J49" s="25" t="s">
        <v>30</v>
      </c>
    </row>
    <row r="50" spans="2:10" x14ac:dyDescent="0.3">
      <c r="B50" s="69" t="s">
        <v>87</v>
      </c>
      <c r="C50" s="62" t="s">
        <v>88</v>
      </c>
      <c r="D50" s="28"/>
      <c r="E50" s="28"/>
      <c r="F50" s="28"/>
      <c r="G50" s="28"/>
      <c r="H50" s="29"/>
      <c r="I50" s="26"/>
      <c r="J50" s="30"/>
    </row>
    <row r="51" spans="2:10" x14ac:dyDescent="0.3">
      <c r="B51" s="68" t="s">
        <v>89</v>
      </c>
      <c r="C51" s="61" t="s">
        <v>90</v>
      </c>
      <c r="D51" s="22"/>
      <c r="E51" s="22"/>
      <c r="F51" s="22"/>
      <c r="G51" s="22"/>
      <c r="H51" s="23"/>
      <c r="I51" s="24"/>
      <c r="J51" s="25"/>
    </row>
    <row r="52" spans="2:10" x14ac:dyDescent="0.3">
      <c r="B52" s="69" t="s">
        <v>91</v>
      </c>
      <c r="C52" s="62" t="s">
        <v>92</v>
      </c>
      <c r="D52" s="28"/>
      <c r="E52" s="28"/>
      <c r="F52" s="28"/>
      <c r="G52" s="28"/>
      <c r="H52" s="29"/>
      <c r="I52" s="26"/>
      <c r="J52" s="30"/>
    </row>
    <row r="53" spans="2:10" x14ac:dyDescent="0.3">
      <c r="B53" s="24" t="s">
        <v>93</v>
      </c>
      <c r="C53" s="27" t="s">
        <v>94</v>
      </c>
      <c r="D53" s="22"/>
      <c r="E53" s="22"/>
      <c r="F53" s="22"/>
      <c r="G53" s="22"/>
      <c r="H53" s="23"/>
      <c r="I53" s="24">
        <v>23</v>
      </c>
      <c r="J53" s="25" t="s">
        <v>95</v>
      </c>
    </row>
    <row r="54" spans="2:10" x14ac:dyDescent="0.3">
      <c r="B54" s="24" t="s">
        <v>96</v>
      </c>
      <c r="C54" s="27" t="s">
        <v>97</v>
      </c>
      <c r="D54" s="22"/>
      <c r="E54" s="22"/>
      <c r="F54" s="22"/>
      <c r="G54" s="22"/>
      <c r="H54" s="23"/>
      <c r="I54" s="24">
        <v>0</v>
      </c>
      <c r="J54" s="25" t="s">
        <v>95</v>
      </c>
    </row>
    <row r="55" spans="2:10" x14ac:dyDescent="0.3">
      <c r="B55" s="69" t="s">
        <v>98</v>
      </c>
      <c r="C55" s="62" t="s">
        <v>99</v>
      </c>
      <c r="D55" s="22"/>
      <c r="E55" s="22"/>
      <c r="F55" s="22"/>
      <c r="G55" s="22"/>
      <c r="H55" s="23"/>
      <c r="I55" s="24"/>
      <c r="J55" s="25"/>
    </row>
    <row r="56" spans="2:10" x14ac:dyDescent="0.3">
      <c r="B56" s="24" t="s">
        <v>100</v>
      </c>
      <c r="C56" s="27" t="s">
        <v>101</v>
      </c>
      <c r="D56" s="22"/>
      <c r="E56" s="22"/>
      <c r="F56" s="22"/>
      <c r="G56" s="22"/>
      <c r="H56" s="23"/>
      <c r="I56" s="24">
        <v>19.889999999999997</v>
      </c>
      <c r="J56" s="25" t="s">
        <v>102</v>
      </c>
    </row>
    <row r="57" spans="2:10" x14ac:dyDescent="0.3">
      <c r="B57" s="24" t="s">
        <v>103</v>
      </c>
      <c r="C57" s="27" t="s">
        <v>104</v>
      </c>
      <c r="D57" s="22"/>
      <c r="E57" s="22"/>
      <c r="F57" s="22"/>
      <c r="G57" s="22"/>
      <c r="H57" s="23"/>
      <c r="I57" s="24">
        <v>29.709999999999997</v>
      </c>
      <c r="J57" s="25" t="s">
        <v>102</v>
      </c>
    </row>
    <row r="58" spans="2:10" x14ac:dyDescent="0.3">
      <c r="B58" s="24" t="s">
        <v>105</v>
      </c>
      <c r="C58" s="27" t="s">
        <v>106</v>
      </c>
      <c r="D58" s="22"/>
      <c r="E58" s="22"/>
      <c r="F58" s="22"/>
      <c r="G58" s="22"/>
      <c r="H58" s="23"/>
      <c r="I58" s="24">
        <v>28.76</v>
      </c>
      <c r="J58" s="25" t="s">
        <v>102</v>
      </c>
    </row>
    <row r="59" spans="2:10" x14ac:dyDescent="0.3">
      <c r="B59" s="24" t="s">
        <v>107</v>
      </c>
      <c r="C59" s="27" t="s">
        <v>108</v>
      </c>
      <c r="D59" s="22"/>
      <c r="E59" s="22"/>
      <c r="F59" s="22"/>
      <c r="G59" s="22"/>
      <c r="H59" s="23"/>
      <c r="I59" s="24">
        <v>3.25</v>
      </c>
      <c r="J59" s="25" t="s">
        <v>102</v>
      </c>
    </row>
    <row r="60" spans="2:10" x14ac:dyDescent="0.3">
      <c r="B60" s="24" t="s">
        <v>109</v>
      </c>
      <c r="C60" s="27" t="s">
        <v>110</v>
      </c>
      <c r="D60" s="22"/>
      <c r="E60" s="22"/>
      <c r="F60" s="22"/>
      <c r="G60" s="22"/>
      <c r="H60" s="23"/>
      <c r="I60" s="24">
        <v>0</v>
      </c>
      <c r="J60" s="25" t="s">
        <v>102</v>
      </c>
    </row>
    <row r="61" spans="2:10" x14ac:dyDescent="0.3">
      <c r="B61" s="24" t="s">
        <v>111</v>
      </c>
      <c r="C61" s="27" t="s">
        <v>112</v>
      </c>
      <c r="D61" s="22"/>
      <c r="E61" s="22"/>
      <c r="F61" s="22"/>
      <c r="G61" s="22"/>
      <c r="H61" s="23"/>
      <c r="I61" s="24">
        <v>62.74</v>
      </c>
      <c r="J61" s="25" t="s">
        <v>102</v>
      </c>
    </row>
    <row r="62" spans="2:10" x14ac:dyDescent="0.3">
      <c r="B62" s="69" t="s">
        <v>113</v>
      </c>
      <c r="C62" s="62" t="s">
        <v>114</v>
      </c>
      <c r="D62" s="22"/>
      <c r="E62" s="22"/>
      <c r="F62" s="22"/>
      <c r="G62" s="22"/>
      <c r="H62" s="23"/>
      <c r="I62" s="24"/>
      <c r="J62" s="25"/>
    </row>
    <row r="63" spans="2:10" x14ac:dyDescent="0.3">
      <c r="B63" s="24" t="s">
        <v>115</v>
      </c>
      <c r="C63" s="27" t="s">
        <v>116</v>
      </c>
      <c r="D63" s="22"/>
      <c r="E63" s="22"/>
      <c r="F63" s="22"/>
      <c r="G63" s="22"/>
      <c r="H63" s="23"/>
      <c r="I63" s="24">
        <v>0</v>
      </c>
      <c r="J63" s="25" t="s">
        <v>102</v>
      </c>
    </row>
    <row r="64" spans="2:10" x14ac:dyDescent="0.3">
      <c r="B64" s="69" t="s">
        <v>117</v>
      </c>
      <c r="C64" s="62" t="s">
        <v>118</v>
      </c>
      <c r="D64" s="22"/>
      <c r="E64" s="22"/>
      <c r="F64" s="22"/>
      <c r="G64" s="22"/>
      <c r="H64" s="23"/>
      <c r="I64" s="24"/>
      <c r="J64" s="25"/>
    </row>
    <row r="65" spans="2:10" x14ac:dyDescent="0.3">
      <c r="B65" s="24" t="s">
        <v>119</v>
      </c>
      <c r="C65" s="27" t="s">
        <v>120</v>
      </c>
      <c r="D65" s="22"/>
      <c r="E65" s="22"/>
      <c r="F65" s="22"/>
      <c r="G65" s="22"/>
      <c r="H65" s="23"/>
      <c r="I65" s="24">
        <v>26</v>
      </c>
      <c r="J65" s="25" t="s">
        <v>30</v>
      </c>
    </row>
    <row r="66" spans="2:10" x14ac:dyDescent="0.3">
      <c r="B66" s="24" t="s">
        <v>121</v>
      </c>
      <c r="C66" s="27" t="s">
        <v>122</v>
      </c>
      <c r="D66" s="22"/>
      <c r="E66" s="22"/>
      <c r="F66" s="22"/>
      <c r="G66" s="22"/>
      <c r="H66" s="23"/>
      <c r="I66" s="24">
        <v>15</v>
      </c>
      <c r="J66" s="25" t="s">
        <v>30</v>
      </c>
    </row>
    <row r="67" spans="2:10" x14ac:dyDescent="0.3">
      <c r="B67" s="24" t="s">
        <v>123</v>
      </c>
      <c r="C67" s="27" t="s">
        <v>124</v>
      </c>
      <c r="D67" s="22"/>
      <c r="E67" s="22"/>
      <c r="F67" s="22"/>
      <c r="G67" s="22"/>
      <c r="H67" s="23"/>
      <c r="I67" s="24">
        <v>9</v>
      </c>
      <c r="J67" s="25" t="s">
        <v>30</v>
      </c>
    </row>
    <row r="68" spans="2:10" x14ac:dyDescent="0.3">
      <c r="B68" s="24" t="s">
        <v>125</v>
      </c>
      <c r="C68" s="27" t="s">
        <v>126</v>
      </c>
      <c r="D68" s="22"/>
      <c r="E68" s="22"/>
      <c r="F68" s="22"/>
      <c r="G68" s="22"/>
      <c r="H68" s="23"/>
      <c r="I68" s="24">
        <v>0</v>
      </c>
      <c r="J68" s="25" t="s">
        <v>30</v>
      </c>
    </row>
    <row r="69" spans="2:10" x14ac:dyDescent="0.3">
      <c r="B69" s="24" t="s">
        <v>127</v>
      </c>
      <c r="C69" s="27" t="s">
        <v>128</v>
      </c>
      <c r="D69" s="22"/>
      <c r="E69" s="22"/>
      <c r="F69" s="22"/>
      <c r="G69" s="22"/>
      <c r="H69" s="23"/>
      <c r="I69" s="24">
        <v>0</v>
      </c>
      <c r="J69" s="25" t="s">
        <v>30</v>
      </c>
    </row>
    <row r="70" spans="2:10" x14ac:dyDescent="0.3">
      <c r="B70" s="24" t="s">
        <v>129</v>
      </c>
      <c r="C70" s="27" t="s">
        <v>130</v>
      </c>
      <c r="D70" s="22"/>
      <c r="E70" s="22"/>
      <c r="F70" s="22"/>
      <c r="G70" s="22"/>
      <c r="H70" s="23"/>
      <c r="I70" s="24">
        <v>4</v>
      </c>
      <c r="J70" s="25" t="s">
        <v>30</v>
      </c>
    </row>
    <row r="71" spans="2:10" x14ac:dyDescent="0.3">
      <c r="B71" s="24" t="s">
        <v>131</v>
      </c>
      <c r="C71" s="27" t="s">
        <v>132</v>
      </c>
      <c r="D71" s="22"/>
      <c r="E71" s="22"/>
      <c r="F71" s="22"/>
      <c r="G71" s="22"/>
      <c r="H71" s="23"/>
      <c r="I71" s="24">
        <v>0</v>
      </c>
      <c r="J71" s="25" t="s">
        <v>30</v>
      </c>
    </row>
    <row r="72" spans="2:10" x14ac:dyDescent="0.3">
      <c r="B72" s="24" t="s">
        <v>133</v>
      </c>
      <c r="C72" s="27" t="s">
        <v>134</v>
      </c>
      <c r="D72" s="22"/>
      <c r="E72" s="22"/>
      <c r="F72" s="22"/>
      <c r="G72" s="22"/>
      <c r="H72" s="23"/>
      <c r="I72" s="24">
        <v>12</v>
      </c>
      <c r="J72" s="25" t="s">
        <v>30</v>
      </c>
    </row>
    <row r="73" spans="2:10" x14ac:dyDescent="0.3">
      <c r="B73" s="24" t="s">
        <v>135</v>
      </c>
      <c r="C73" s="27" t="s">
        <v>136</v>
      </c>
      <c r="D73" s="22"/>
      <c r="E73" s="22"/>
      <c r="F73" s="22"/>
      <c r="G73" s="22"/>
      <c r="H73" s="23"/>
      <c r="I73" s="24">
        <v>10</v>
      </c>
      <c r="J73" s="25" t="s">
        <v>30</v>
      </c>
    </row>
    <row r="74" spans="2:10" x14ac:dyDescent="0.3">
      <c r="B74" s="24" t="s">
        <v>137</v>
      </c>
      <c r="C74" s="27" t="s">
        <v>138</v>
      </c>
      <c r="D74" s="22"/>
      <c r="E74" s="22"/>
      <c r="F74" s="22"/>
      <c r="G74" s="22"/>
      <c r="H74" s="23"/>
      <c r="I74" s="24">
        <v>0</v>
      </c>
      <c r="J74" s="25" t="s">
        <v>30</v>
      </c>
    </row>
    <row r="75" spans="2:10" x14ac:dyDescent="0.3">
      <c r="B75" s="24" t="s">
        <v>139</v>
      </c>
      <c r="C75" s="27" t="s">
        <v>140</v>
      </c>
      <c r="D75" s="22"/>
      <c r="E75" s="22"/>
      <c r="F75" s="22"/>
      <c r="G75" s="22"/>
      <c r="H75" s="23"/>
      <c r="I75" s="24">
        <v>0</v>
      </c>
      <c r="J75" s="25" t="s">
        <v>30</v>
      </c>
    </row>
    <row r="76" spans="2:10" x14ac:dyDescent="0.3">
      <c r="B76" s="24" t="s">
        <v>141</v>
      </c>
      <c r="C76" s="27" t="s">
        <v>142</v>
      </c>
      <c r="D76" s="22"/>
      <c r="E76" s="22"/>
      <c r="F76" s="22"/>
      <c r="G76" s="22"/>
      <c r="H76" s="23"/>
      <c r="I76" s="24">
        <v>15</v>
      </c>
      <c r="J76" s="25" t="s">
        <v>30</v>
      </c>
    </row>
    <row r="77" spans="2:10" x14ac:dyDescent="0.3">
      <c r="B77" s="24" t="s">
        <v>143</v>
      </c>
      <c r="C77" s="27" t="s">
        <v>144</v>
      </c>
      <c r="D77" s="22"/>
      <c r="E77" s="22"/>
      <c r="F77" s="22"/>
      <c r="G77" s="22"/>
      <c r="H77" s="23"/>
      <c r="I77" s="24">
        <v>7</v>
      </c>
      <c r="J77" s="25" t="s">
        <v>30</v>
      </c>
    </row>
    <row r="78" spans="2:10" x14ac:dyDescent="0.3">
      <c r="B78" s="24" t="s">
        <v>145</v>
      </c>
      <c r="C78" s="27" t="s">
        <v>146</v>
      </c>
      <c r="D78" s="22"/>
      <c r="E78" s="22"/>
      <c r="F78" s="22"/>
      <c r="G78" s="22"/>
      <c r="H78" s="23"/>
      <c r="I78" s="24">
        <v>3</v>
      </c>
      <c r="J78" s="25" t="s">
        <v>30</v>
      </c>
    </row>
    <row r="79" spans="2:10" x14ac:dyDescent="0.3">
      <c r="B79" s="24" t="s">
        <v>147</v>
      </c>
      <c r="C79" s="27" t="s">
        <v>148</v>
      </c>
      <c r="D79" s="22"/>
      <c r="E79" s="22"/>
      <c r="F79" s="22"/>
      <c r="G79" s="22"/>
      <c r="H79" s="23"/>
      <c r="I79" s="24">
        <v>0</v>
      </c>
      <c r="J79" s="25" t="s">
        <v>30</v>
      </c>
    </row>
    <row r="80" spans="2:10" x14ac:dyDescent="0.3">
      <c r="B80" s="24" t="s">
        <v>149</v>
      </c>
      <c r="C80" s="27" t="s">
        <v>150</v>
      </c>
      <c r="D80" s="22"/>
      <c r="E80" s="22"/>
      <c r="F80" s="22"/>
      <c r="G80" s="22"/>
      <c r="H80" s="23"/>
      <c r="I80" s="24">
        <v>0</v>
      </c>
      <c r="J80" s="25" t="s">
        <v>30</v>
      </c>
    </row>
    <row r="81" spans="2:10" x14ac:dyDescent="0.3">
      <c r="B81" s="24" t="s">
        <v>151</v>
      </c>
      <c r="C81" s="27" t="s">
        <v>152</v>
      </c>
      <c r="D81" s="22"/>
      <c r="E81" s="22"/>
      <c r="F81" s="22"/>
      <c r="G81" s="22"/>
      <c r="H81" s="23"/>
      <c r="I81" s="24">
        <v>4</v>
      </c>
      <c r="J81" s="25" t="s">
        <v>30</v>
      </c>
    </row>
    <row r="82" spans="2:10" x14ac:dyDescent="0.3">
      <c r="B82" s="24" t="s">
        <v>153</v>
      </c>
      <c r="C82" s="27" t="s">
        <v>154</v>
      </c>
      <c r="D82" s="22"/>
      <c r="E82" s="22"/>
      <c r="F82" s="22"/>
      <c r="G82" s="22"/>
      <c r="H82" s="23"/>
      <c r="I82" s="24">
        <v>6</v>
      </c>
      <c r="J82" s="25" t="s">
        <v>30</v>
      </c>
    </row>
    <row r="83" spans="2:10" x14ac:dyDescent="0.3">
      <c r="B83" s="24" t="s">
        <v>155</v>
      </c>
      <c r="C83" s="27" t="s">
        <v>156</v>
      </c>
      <c r="D83" s="22"/>
      <c r="E83" s="22"/>
      <c r="F83" s="22"/>
      <c r="G83" s="22"/>
      <c r="H83" s="23"/>
      <c r="I83" s="24">
        <v>6</v>
      </c>
      <c r="J83" s="25" t="s">
        <v>30</v>
      </c>
    </row>
    <row r="84" spans="2:10" x14ac:dyDescent="0.3">
      <c r="B84" s="24" t="s">
        <v>157</v>
      </c>
      <c r="C84" s="27" t="s">
        <v>158</v>
      </c>
      <c r="D84" s="22"/>
      <c r="E84" s="22"/>
      <c r="F84" s="22"/>
      <c r="G84" s="22"/>
      <c r="H84" s="23"/>
      <c r="I84" s="24">
        <v>2</v>
      </c>
      <c r="J84" s="25" t="s">
        <v>30</v>
      </c>
    </row>
    <row r="85" spans="2:10" x14ac:dyDescent="0.3">
      <c r="B85" s="24" t="s">
        <v>159</v>
      </c>
      <c r="C85" s="27" t="s">
        <v>160</v>
      </c>
      <c r="D85" s="22"/>
      <c r="E85" s="22"/>
      <c r="F85" s="22"/>
      <c r="G85" s="22"/>
      <c r="H85" s="23"/>
      <c r="I85" s="24">
        <v>0</v>
      </c>
      <c r="J85" s="25" t="s">
        <v>30</v>
      </c>
    </row>
    <row r="86" spans="2:10" x14ac:dyDescent="0.3">
      <c r="B86" s="69" t="s">
        <v>161</v>
      </c>
      <c r="C86" s="62" t="s">
        <v>162</v>
      </c>
      <c r="D86" s="22"/>
      <c r="E86" s="22"/>
      <c r="F86" s="22"/>
      <c r="G86" s="22"/>
      <c r="H86" s="23"/>
      <c r="I86" s="24"/>
      <c r="J86" s="25"/>
    </row>
    <row r="87" spans="2:10" x14ac:dyDescent="0.3">
      <c r="B87" s="24" t="s">
        <v>163</v>
      </c>
      <c r="C87" s="27" t="s">
        <v>164</v>
      </c>
      <c r="D87" s="22"/>
      <c r="E87" s="22"/>
      <c r="F87" s="22"/>
      <c r="G87" s="22"/>
      <c r="H87" s="23"/>
      <c r="I87" s="24">
        <v>0</v>
      </c>
      <c r="J87" s="25" t="s">
        <v>30</v>
      </c>
    </row>
    <row r="88" spans="2:10" x14ac:dyDescent="0.3">
      <c r="B88" s="24" t="s">
        <v>165</v>
      </c>
      <c r="C88" s="27" t="s">
        <v>166</v>
      </c>
      <c r="D88" s="22"/>
      <c r="E88" s="22"/>
      <c r="F88" s="22"/>
      <c r="G88" s="22"/>
      <c r="H88" s="23"/>
      <c r="I88" s="24">
        <v>4</v>
      </c>
      <c r="J88" s="25" t="s">
        <v>30</v>
      </c>
    </row>
    <row r="89" spans="2:10" x14ac:dyDescent="0.3">
      <c r="B89" s="24" t="s">
        <v>167</v>
      </c>
      <c r="C89" s="27" t="s">
        <v>168</v>
      </c>
      <c r="D89" s="22"/>
      <c r="E89" s="22"/>
      <c r="F89" s="22"/>
      <c r="G89" s="22"/>
      <c r="H89" s="23"/>
      <c r="I89" s="24">
        <v>4</v>
      </c>
      <c r="J89" s="25" t="s">
        <v>30</v>
      </c>
    </row>
    <row r="90" spans="2:10" x14ac:dyDescent="0.3">
      <c r="B90" s="69" t="s">
        <v>169</v>
      </c>
      <c r="C90" s="62" t="s">
        <v>170</v>
      </c>
      <c r="D90" s="22"/>
      <c r="E90" s="22"/>
      <c r="F90" s="22"/>
      <c r="G90" s="22"/>
      <c r="H90" s="23"/>
      <c r="I90" s="24"/>
      <c r="J90" s="25"/>
    </row>
    <row r="91" spans="2:10" x14ac:dyDescent="0.3">
      <c r="B91" s="24" t="s">
        <v>171</v>
      </c>
      <c r="C91" s="27" t="s">
        <v>172</v>
      </c>
      <c r="D91" s="22"/>
      <c r="E91" s="22"/>
      <c r="F91" s="22"/>
      <c r="G91" s="22"/>
      <c r="H91" s="23"/>
      <c r="I91" s="24">
        <v>0</v>
      </c>
      <c r="J91" s="25" t="s">
        <v>173</v>
      </c>
    </row>
    <row r="92" spans="2:10" x14ac:dyDescent="0.3">
      <c r="B92" s="24" t="s">
        <v>174</v>
      </c>
      <c r="C92" s="27" t="s">
        <v>175</v>
      </c>
      <c r="D92" s="22"/>
      <c r="E92" s="22"/>
      <c r="F92" s="22"/>
      <c r="G92" s="22"/>
      <c r="H92" s="23"/>
      <c r="I92" s="24">
        <v>0</v>
      </c>
      <c r="J92" s="25" t="s">
        <v>173</v>
      </c>
    </row>
    <row r="93" spans="2:10" x14ac:dyDescent="0.3">
      <c r="B93" s="69" t="s">
        <v>176</v>
      </c>
      <c r="C93" s="62" t="s">
        <v>177</v>
      </c>
      <c r="D93" s="22"/>
      <c r="E93" s="22"/>
      <c r="F93" s="22"/>
      <c r="G93" s="22"/>
      <c r="H93" s="23"/>
      <c r="I93" s="24"/>
      <c r="J93" s="25"/>
    </row>
    <row r="94" spans="2:10" x14ac:dyDescent="0.3">
      <c r="B94" s="24" t="s">
        <v>178</v>
      </c>
      <c r="C94" s="27" t="s">
        <v>179</v>
      </c>
      <c r="D94" s="22"/>
      <c r="E94" s="22"/>
      <c r="F94" s="22"/>
      <c r="G94" s="22"/>
      <c r="H94" s="23"/>
      <c r="I94" s="24">
        <v>0</v>
      </c>
      <c r="J94" s="25" t="s">
        <v>30</v>
      </c>
    </row>
    <row r="95" spans="2:10" x14ac:dyDescent="0.3">
      <c r="B95" s="31" t="s">
        <v>180</v>
      </c>
      <c r="C95" s="32" t="s">
        <v>181</v>
      </c>
      <c r="D95" s="33"/>
      <c r="E95" s="33"/>
      <c r="F95" s="33"/>
      <c r="G95" s="33"/>
      <c r="H95" s="34"/>
      <c r="I95" s="31">
        <v>0</v>
      </c>
      <c r="J95" s="35" t="s">
        <v>173</v>
      </c>
    </row>
    <row r="96" spans="2:10" x14ac:dyDescent="0.3">
      <c r="B96" s="70">
        <v>4.03</v>
      </c>
      <c r="C96" s="71" t="s">
        <v>182</v>
      </c>
      <c r="D96" s="22"/>
      <c r="E96" s="22"/>
      <c r="F96" s="22"/>
      <c r="G96" s="22"/>
      <c r="H96" s="23"/>
      <c r="I96" s="24"/>
      <c r="J96" s="25"/>
    </row>
    <row r="97" spans="2:10" x14ac:dyDescent="0.3">
      <c r="B97" s="72" t="s">
        <v>183</v>
      </c>
      <c r="C97" s="73" t="s">
        <v>184</v>
      </c>
      <c r="D97" s="22"/>
      <c r="E97" s="22"/>
      <c r="F97" s="22"/>
      <c r="G97" s="22"/>
      <c r="H97" s="23"/>
      <c r="I97" s="24"/>
      <c r="J97" s="25"/>
    </row>
    <row r="98" spans="2:10" x14ac:dyDescent="0.3">
      <c r="B98" s="24" t="s">
        <v>185</v>
      </c>
      <c r="C98" s="27" t="s">
        <v>186</v>
      </c>
      <c r="D98" s="22"/>
      <c r="E98" s="22"/>
      <c r="F98" s="22"/>
      <c r="G98" s="22"/>
      <c r="H98" s="23"/>
      <c r="I98" s="24">
        <v>27.1</v>
      </c>
      <c r="J98" s="25" t="s">
        <v>102</v>
      </c>
    </row>
    <row r="99" spans="2:10" x14ac:dyDescent="0.3">
      <c r="B99" s="24" t="s">
        <v>187</v>
      </c>
      <c r="C99" s="27" t="s">
        <v>188</v>
      </c>
      <c r="D99" s="22"/>
      <c r="E99" s="22"/>
      <c r="F99" s="22"/>
      <c r="G99" s="22"/>
      <c r="H99" s="23"/>
      <c r="I99" s="24">
        <v>27.1</v>
      </c>
      <c r="J99" s="25" t="s">
        <v>102</v>
      </c>
    </row>
    <row r="100" spans="2:10" x14ac:dyDescent="0.3">
      <c r="B100" s="24" t="s">
        <v>189</v>
      </c>
      <c r="C100" s="27" t="s">
        <v>190</v>
      </c>
      <c r="D100" s="22"/>
      <c r="E100" s="22"/>
      <c r="F100" s="22"/>
      <c r="G100" s="22"/>
      <c r="H100" s="23"/>
      <c r="I100" s="24">
        <v>0</v>
      </c>
      <c r="J100" s="25" t="s">
        <v>102</v>
      </c>
    </row>
    <row r="101" spans="2:10" x14ac:dyDescent="0.3">
      <c r="B101" s="24" t="s">
        <v>191</v>
      </c>
      <c r="C101" s="27" t="s">
        <v>192</v>
      </c>
      <c r="D101" s="22"/>
      <c r="E101" s="22"/>
      <c r="F101" s="22"/>
      <c r="G101" s="22"/>
      <c r="H101" s="23"/>
      <c r="I101" s="24">
        <v>12.25</v>
      </c>
      <c r="J101" s="25" t="s">
        <v>102</v>
      </c>
    </row>
    <row r="102" spans="2:10" x14ac:dyDescent="0.3">
      <c r="B102" s="24" t="s">
        <v>193</v>
      </c>
      <c r="C102" s="27" t="s">
        <v>194</v>
      </c>
      <c r="D102" s="22"/>
      <c r="E102" s="22"/>
      <c r="F102" s="22"/>
      <c r="G102" s="22"/>
      <c r="H102" s="23"/>
      <c r="I102" s="24">
        <v>0</v>
      </c>
      <c r="J102" s="25" t="s">
        <v>102</v>
      </c>
    </row>
    <row r="103" spans="2:10" x14ac:dyDescent="0.3">
      <c r="B103" s="24" t="s">
        <v>195</v>
      </c>
      <c r="C103" s="27" t="s">
        <v>196</v>
      </c>
      <c r="D103" s="22"/>
      <c r="E103" s="22"/>
      <c r="F103" s="22"/>
      <c r="G103" s="22"/>
      <c r="H103" s="23"/>
      <c r="I103" s="24">
        <v>0</v>
      </c>
      <c r="J103" s="25" t="s">
        <v>102</v>
      </c>
    </row>
    <row r="104" spans="2:10" x14ac:dyDescent="0.3">
      <c r="B104" s="24" t="s">
        <v>197</v>
      </c>
      <c r="C104" s="27" t="s">
        <v>198</v>
      </c>
      <c r="D104" s="22"/>
      <c r="E104" s="22"/>
      <c r="F104" s="22"/>
      <c r="G104" s="22"/>
      <c r="H104" s="23"/>
      <c r="I104" s="24">
        <v>0</v>
      </c>
      <c r="J104" s="25" t="s">
        <v>102</v>
      </c>
    </row>
    <row r="105" spans="2:10" x14ac:dyDescent="0.3">
      <c r="B105" s="24" t="s">
        <v>199</v>
      </c>
      <c r="C105" s="27" t="s">
        <v>200</v>
      </c>
      <c r="D105" s="22"/>
      <c r="E105" s="22"/>
      <c r="F105" s="22"/>
      <c r="G105" s="22"/>
      <c r="H105" s="23"/>
      <c r="I105" s="24">
        <v>0</v>
      </c>
      <c r="J105" s="25" t="s">
        <v>102</v>
      </c>
    </row>
    <row r="106" spans="2:10" x14ac:dyDescent="0.3">
      <c r="B106" s="72" t="s">
        <v>201</v>
      </c>
      <c r="C106" s="73" t="s">
        <v>202</v>
      </c>
      <c r="D106" s="22"/>
      <c r="E106" s="22"/>
      <c r="F106" s="22"/>
      <c r="G106" s="22"/>
      <c r="H106" s="23"/>
      <c r="I106" s="24"/>
      <c r="J106" s="25"/>
    </row>
    <row r="107" spans="2:10" x14ac:dyDescent="0.3">
      <c r="B107" s="24" t="s">
        <v>203</v>
      </c>
      <c r="C107" s="27" t="s">
        <v>204</v>
      </c>
      <c r="D107" s="22"/>
      <c r="E107" s="22"/>
      <c r="F107" s="22"/>
      <c r="G107" s="22"/>
      <c r="H107" s="23"/>
      <c r="I107" s="24">
        <v>30</v>
      </c>
      <c r="J107" s="25" t="s">
        <v>102</v>
      </c>
    </row>
    <row r="108" spans="2:10" x14ac:dyDescent="0.3">
      <c r="B108" s="24" t="s">
        <v>205</v>
      </c>
      <c r="C108" s="27" t="s">
        <v>206</v>
      </c>
      <c r="D108" s="22"/>
      <c r="E108" s="22"/>
      <c r="F108" s="22"/>
      <c r="G108" s="22"/>
      <c r="H108" s="23"/>
      <c r="I108" s="24">
        <v>10</v>
      </c>
      <c r="J108" s="25" t="s">
        <v>102</v>
      </c>
    </row>
    <row r="109" spans="2:10" x14ac:dyDescent="0.3">
      <c r="B109" s="24" t="s">
        <v>207</v>
      </c>
      <c r="C109" s="27" t="s">
        <v>208</v>
      </c>
      <c r="D109" s="22"/>
      <c r="E109" s="22"/>
      <c r="F109" s="22"/>
      <c r="G109" s="22"/>
      <c r="H109" s="23"/>
      <c r="I109" s="24">
        <v>10</v>
      </c>
      <c r="J109" s="25" t="s">
        <v>102</v>
      </c>
    </row>
    <row r="110" spans="2:10" x14ac:dyDescent="0.3">
      <c r="B110" s="24" t="s">
        <v>209</v>
      </c>
      <c r="C110" s="27" t="s">
        <v>210</v>
      </c>
      <c r="D110" s="22"/>
      <c r="E110" s="22"/>
      <c r="F110" s="22"/>
      <c r="G110" s="22"/>
      <c r="H110" s="23"/>
      <c r="I110" s="24">
        <v>10</v>
      </c>
      <c r="J110" s="25" t="s">
        <v>102</v>
      </c>
    </row>
    <row r="111" spans="2:10" x14ac:dyDescent="0.3">
      <c r="B111" s="24" t="s">
        <v>211</v>
      </c>
      <c r="C111" s="27" t="s">
        <v>212</v>
      </c>
      <c r="D111" s="22"/>
      <c r="E111" s="22"/>
      <c r="F111" s="22"/>
      <c r="G111" s="22"/>
      <c r="H111" s="23"/>
      <c r="I111" s="24">
        <v>10</v>
      </c>
      <c r="J111" s="25" t="s">
        <v>102</v>
      </c>
    </row>
    <row r="112" spans="2:10" x14ac:dyDescent="0.3">
      <c r="B112" s="24" t="s">
        <v>213</v>
      </c>
      <c r="C112" s="27" t="s">
        <v>214</v>
      </c>
      <c r="D112" s="22"/>
      <c r="E112" s="22"/>
      <c r="F112" s="22"/>
      <c r="G112" s="22"/>
      <c r="H112" s="23"/>
      <c r="I112" s="24">
        <v>10</v>
      </c>
      <c r="J112" s="25" t="s">
        <v>102</v>
      </c>
    </row>
    <row r="113" spans="2:10" x14ac:dyDescent="0.3">
      <c r="B113" s="24" t="s">
        <v>215</v>
      </c>
      <c r="C113" s="27" t="s">
        <v>216</v>
      </c>
      <c r="D113" s="22"/>
      <c r="E113" s="22"/>
      <c r="F113" s="22"/>
      <c r="G113" s="22"/>
      <c r="H113" s="23"/>
      <c r="I113" s="24">
        <v>10</v>
      </c>
      <c r="J113" s="25" t="s">
        <v>102</v>
      </c>
    </row>
    <row r="114" spans="2:10" x14ac:dyDescent="0.3">
      <c r="B114" s="24" t="s">
        <v>217</v>
      </c>
      <c r="C114" s="27" t="s">
        <v>218</v>
      </c>
      <c r="D114" s="22"/>
      <c r="E114" s="22"/>
      <c r="F114" s="22"/>
      <c r="G114" s="22"/>
      <c r="H114" s="23"/>
      <c r="I114" s="24">
        <v>10</v>
      </c>
      <c r="J114" s="25" t="s">
        <v>102</v>
      </c>
    </row>
    <row r="115" spans="2:10" x14ac:dyDescent="0.3">
      <c r="B115" s="24" t="s">
        <v>219</v>
      </c>
      <c r="C115" s="27" t="s">
        <v>220</v>
      </c>
      <c r="D115" s="22"/>
      <c r="E115" s="22"/>
      <c r="F115" s="22"/>
      <c r="G115" s="22"/>
      <c r="H115" s="23"/>
      <c r="I115" s="24">
        <v>20</v>
      </c>
      <c r="J115" s="25" t="s">
        <v>102</v>
      </c>
    </row>
    <row r="116" spans="2:10" x14ac:dyDescent="0.3">
      <c r="B116" s="24" t="s">
        <v>221</v>
      </c>
      <c r="C116" s="27" t="s">
        <v>222</v>
      </c>
      <c r="D116" s="22"/>
      <c r="E116" s="22"/>
      <c r="F116" s="22"/>
      <c r="G116" s="22"/>
      <c r="H116" s="23"/>
      <c r="I116" s="24">
        <v>20</v>
      </c>
      <c r="J116" s="25" t="s">
        <v>102</v>
      </c>
    </row>
    <row r="117" spans="2:10" x14ac:dyDescent="0.3">
      <c r="B117" s="24" t="s">
        <v>223</v>
      </c>
      <c r="C117" s="27" t="s">
        <v>224</v>
      </c>
      <c r="D117" s="22"/>
      <c r="E117" s="22"/>
      <c r="F117" s="22"/>
      <c r="G117" s="22"/>
      <c r="H117" s="23"/>
      <c r="I117" s="24">
        <v>20</v>
      </c>
      <c r="J117" s="25" t="s">
        <v>102</v>
      </c>
    </row>
    <row r="118" spans="2:10" x14ac:dyDescent="0.3">
      <c r="B118" s="24" t="s">
        <v>225</v>
      </c>
      <c r="C118" s="27" t="s">
        <v>226</v>
      </c>
      <c r="D118" s="22"/>
      <c r="E118" s="22"/>
      <c r="F118" s="22"/>
      <c r="G118" s="22"/>
      <c r="H118" s="23"/>
      <c r="I118" s="24">
        <v>20</v>
      </c>
      <c r="J118" s="25" t="s">
        <v>102</v>
      </c>
    </row>
    <row r="119" spans="2:10" x14ac:dyDescent="0.3">
      <c r="B119" s="24" t="s">
        <v>227</v>
      </c>
      <c r="C119" s="27" t="s">
        <v>228</v>
      </c>
      <c r="D119" s="22"/>
      <c r="E119" s="22"/>
      <c r="F119" s="22"/>
      <c r="G119" s="22"/>
      <c r="H119" s="23"/>
      <c r="I119" s="24">
        <v>20</v>
      </c>
      <c r="J119" s="25" t="s">
        <v>102</v>
      </c>
    </row>
    <row r="120" spans="2:10" x14ac:dyDescent="0.3">
      <c r="B120" s="24" t="s">
        <v>229</v>
      </c>
      <c r="C120" s="27" t="s">
        <v>230</v>
      </c>
      <c r="D120" s="22"/>
      <c r="E120" s="22"/>
      <c r="F120" s="22"/>
      <c r="G120" s="22"/>
      <c r="H120" s="23"/>
      <c r="I120" s="24">
        <v>20</v>
      </c>
      <c r="J120" s="25" t="s">
        <v>102</v>
      </c>
    </row>
    <row r="121" spans="2:10" x14ac:dyDescent="0.3">
      <c r="B121" s="24" t="s">
        <v>231</v>
      </c>
      <c r="C121" s="27" t="s">
        <v>232</v>
      </c>
      <c r="D121" s="22"/>
      <c r="E121" s="22"/>
      <c r="F121" s="22"/>
      <c r="G121" s="22"/>
      <c r="H121" s="23"/>
      <c r="I121" s="24">
        <v>20</v>
      </c>
      <c r="J121" s="25" t="s">
        <v>102</v>
      </c>
    </row>
    <row r="122" spans="2:10" x14ac:dyDescent="0.3">
      <c r="B122" s="72" t="s">
        <v>233</v>
      </c>
      <c r="C122" s="73" t="s">
        <v>234</v>
      </c>
      <c r="D122" s="22"/>
      <c r="E122" s="22"/>
      <c r="F122" s="22"/>
      <c r="G122" s="22"/>
      <c r="H122" s="23"/>
      <c r="I122" s="24"/>
      <c r="J122" s="25"/>
    </row>
    <row r="123" spans="2:10" x14ac:dyDescent="0.3">
      <c r="B123" s="24" t="s">
        <v>235</v>
      </c>
      <c r="C123" s="27" t="s">
        <v>236</v>
      </c>
      <c r="D123" s="22"/>
      <c r="E123" s="22"/>
      <c r="F123" s="22"/>
      <c r="G123" s="22"/>
      <c r="H123" s="23"/>
      <c r="I123" s="24">
        <v>2</v>
      </c>
      <c r="J123" s="25" t="s">
        <v>30</v>
      </c>
    </row>
    <row r="124" spans="2:10" x14ac:dyDescent="0.3">
      <c r="B124" s="24" t="s">
        <v>237</v>
      </c>
      <c r="C124" s="27" t="s">
        <v>238</v>
      </c>
      <c r="D124" s="22"/>
      <c r="E124" s="22"/>
      <c r="F124" s="22"/>
      <c r="G124" s="22"/>
      <c r="H124" s="23"/>
      <c r="I124" s="24">
        <v>1</v>
      </c>
      <c r="J124" s="25" t="s">
        <v>30</v>
      </c>
    </row>
    <row r="125" spans="2:10" x14ac:dyDescent="0.3">
      <c r="B125" s="24" t="s">
        <v>239</v>
      </c>
      <c r="C125" s="27" t="s">
        <v>240</v>
      </c>
      <c r="D125" s="28"/>
      <c r="E125" s="28"/>
      <c r="F125" s="28"/>
      <c r="G125" s="28"/>
      <c r="H125" s="29"/>
      <c r="I125" s="24">
        <v>1</v>
      </c>
      <c r="J125" s="25" t="s">
        <v>30</v>
      </c>
    </row>
    <row r="126" spans="2:10" x14ac:dyDescent="0.3">
      <c r="B126" s="24" t="s">
        <v>241</v>
      </c>
      <c r="C126" s="27" t="s">
        <v>242</v>
      </c>
      <c r="D126" s="22"/>
      <c r="E126" s="22"/>
      <c r="F126" s="22"/>
      <c r="G126" s="22"/>
      <c r="H126" s="23"/>
      <c r="I126" s="24">
        <v>1</v>
      </c>
      <c r="J126" s="25" t="s">
        <v>30</v>
      </c>
    </row>
    <row r="127" spans="2:10" x14ac:dyDescent="0.3">
      <c r="B127" s="31" t="s">
        <v>243</v>
      </c>
      <c r="C127" s="32" t="s">
        <v>244</v>
      </c>
      <c r="D127" s="33"/>
      <c r="E127" s="33"/>
      <c r="F127" s="33"/>
      <c r="G127" s="33"/>
      <c r="H127" s="34"/>
      <c r="I127" s="31">
        <v>1</v>
      </c>
      <c r="J127" s="35" t="s">
        <v>30</v>
      </c>
    </row>
    <row r="128" spans="2:10" x14ac:dyDescent="0.3">
      <c r="B128" s="68">
        <v>4.04</v>
      </c>
      <c r="C128" s="61" t="s">
        <v>245</v>
      </c>
      <c r="D128" s="22"/>
      <c r="E128" s="22"/>
      <c r="F128" s="22"/>
      <c r="G128" s="22"/>
      <c r="H128" s="23"/>
      <c r="I128" s="24"/>
      <c r="J128" s="25"/>
    </row>
    <row r="129" spans="2:10" x14ac:dyDescent="0.3">
      <c r="B129" s="69" t="s">
        <v>246</v>
      </c>
      <c r="C129" s="62" t="s">
        <v>247</v>
      </c>
      <c r="D129" s="22"/>
      <c r="E129" s="22"/>
      <c r="F129" s="22"/>
      <c r="G129" s="22"/>
      <c r="H129" s="23"/>
      <c r="I129" s="24"/>
      <c r="J129" s="25"/>
    </row>
    <row r="130" spans="2:10" x14ac:dyDescent="0.3">
      <c r="B130" s="27" t="s">
        <v>248</v>
      </c>
      <c r="C130" s="65" t="s">
        <v>249</v>
      </c>
      <c r="D130" s="22"/>
      <c r="E130" s="22"/>
      <c r="F130" s="22"/>
      <c r="G130" s="22"/>
      <c r="H130" s="23"/>
      <c r="I130" s="23">
        <v>4</v>
      </c>
      <c r="J130" s="25" t="s">
        <v>30</v>
      </c>
    </row>
    <row r="131" spans="2:10" x14ac:dyDescent="0.3">
      <c r="B131" s="27" t="s">
        <v>250</v>
      </c>
      <c r="C131" s="65" t="s">
        <v>251</v>
      </c>
      <c r="D131" s="22"/>
      <c r="E131" s="22"/>
      <c r="F131" s="22"/>
      <c r="G131" s="22"/>
      <c r="H131" s="23"/>
      <c r="I131" s="23">
        <v>4</v>
      </c>
      <c r="J131" s="25" t="s">
        <v>30</v>
      </c>
    </row>
    <row r="132" spans="2:10" x14ac:dyDescent="0.3">
      <c r="B132" s="27" t="s">
        <v>252</v>
      </c>
      <c r="C132" s="65" t="s">
        <v>253</v>
      </c>
      <c r="D132" s="22"/>
      <c r="E132" s="22"/>
      <c r="F132" s="22"/>
      <c r="G132" s="22"/>
      <c r="H132" s="23"/>
      <c r="I132" s="23">
        <v>2</v>
      </c>
      <c r="J132" s="25" t="s">
        <v>30</v>
      </c>
    </row>
    <row r="133" spans="2:10" x14ac:dyDescent="0.3">
      <c r="B133" s="27" t="s">
        <v>254</v>
      </c>
      <c r="C133" s="65" t="s">
        <v>255</v>
      </c>
      <c r="D133" s="22"/>
      <c r="E133" s="22"/>
      <c r="F133" s="22"/>
      <c r="G133" s="22"/>
      <c r="H133" s="23"/>
      <c r="I133" s="23">
        <v>1</v>
      </c>
      <c r="J133" s="25" t="s">
        <v>30</v>
      </c>
    </row>
    <row r="134" spans="2:10" x14ac:dyDescent="0.3">
      <c r="B134" s="69" t="s">
        <v>256</v>
      </c>
      <c r="C134" s="62" t="s">
        <v>257</v>
      </c>
      <c r="D134" s="22"/>
      <c r="E134" s="22"/>
      <c r="F134" s="22"/>
      <c r="G134" s="22"/>
      <c r="H134" s="23"/>
      <c r="I134" s="23"/>
      <c r="J134" s="25"/>
    </row>
    <row r="135" spans="2:10" x14ac:dyDescent="0.3">
      <c r="B135" s="27" t="s">
        <v>258</v>
      </c>
      <c r="C135" s="65" t="s">
        <v>259</v>
      </c>
      <c r="D135" s="22"/>
      <c r="E135" s="22"/>
      <c r="F135" s="22"/>
      <c r="G135" s="22"/>
      <c r="H135" s="23"/>
      <c r="I135" s="23">
        <v>11</v>
      </c>
      <c r="J135" s="25" t="s">
        <v>30</v>
      </c>
    </row>
    <row r="136" spans="2:10" x14ac:dyDescent="0.3">
      <c r="B136" s="27" t="s">
        <v>260</v>
      </c>
      <c r="C136" s="65" t="s">
        <v>261</v>
      </c>
      <c r="D136" s="22"/>
      <c r="E136" s="22"/>
      <c r="F136" s="22"/>
      <c r="G136" s="22"/>
      <c r="H136" s="23"/>
      <c r="I136" s="23">
        <v>3</v>
      </c>
      <c r="J136" s="25" t="s">
        <v>30</v>
      </c>
    </row>
    <row r="137" spans="2:10" x14ac:dyDescent="0.3">
      <c r="B137" s="27" t="s">
        <v>262</v>
      </c>
      <c r="C137" s="65" t="s">
        <v>263</v>
      </c>
      <c r="D137" s="22"/>
      <c r="E137" s="22"/>
      <c r="F137" s="22"/>
      <c r="G137" s="22"/>
      <c r="H137" s="23"/>
      <c r="I137" s="23">
        <v>1</v>
      </c>
      <c r="J137" s="25" t="s">
        <v>30</v>
      </c>
    </row>
    <row r="138" spans="2:10" x14ac:dyDescent="0.3">
      <c r="B138" s="27" t="s">
        <v>264</v>
      </c>
      <c r="C138" s="65" t="s">
        <v>265</v>
      </c>
      <c r="D138" s="22"/>
      <c r="E138" s="22"/>
      <c r="F138" s="22"/>
      <c r="G138" s="22"/>
      <c r="H138" s="23"/>
      <c r="I138" s="23">
        <v>2</v>
      </c>
      <c r="J138" s="25" t="s">
        <v>30</v>
      </c>
    </row>
    <row r="139" spans="2:10" x14ac:dyDescent="0.3">
      <c r="B139" s="27" t="s">
        <v>266</v>
      </c>
      <c r="C139" s="65" t="s">
        <v>267</v>
      </c>
      <c r="D139" s="22"/>
      <c r="E139" s="22"/>
      <c r="F139" s="22"/>
      <c r="G139" s="22"/>
      <c r="H139" s="23"/>
      <c r="I139" s="23">
        <v>3</v>
      </c>
      <c r="J139" s="25" t="s">
        <v>30</v>
      </c>
    </row>
    <row r="140" spans="2:10" x14ac:dyDescent="0.3">
      <c r="B140" s="69" t="s">
        <v>268</v>
      </c>
      <c r="C140" s="62" t="s">
        <v>269</v>
      </c>
      <c r="D140" s="22"/>
      <c r="E140" s="22"/>
      <c r="F140" s="22"/>
      <c r="G140" s="22"/>
      <c r="H140" s="23"/>
      <c r="I140" s="23"/>
      <c r="J140" s="25"/>
    </row>
    <row r="141" spans="2:10" x14ac:dyDescent="0.3">
      <c r="B141" s="24" t="s">
        <v>270</v>
      </c>
      <c r="C141" s="27" t="s">
        <v>263</v>
      </c>
      <c r="D141" s="22"/>
      <c r="E141" s="22"/>
      <c r="F141" s="22"/>
      <c r="G141" s="22"/>
      <c r="H141" s="23"/>
      <c r="I141" s="24">
        <v>2</v>
      </c>
      <c r="J141" s="25" t="s">
        <v>30</v>
      </c>
    </row>
    <row r="142" spans="2:10" x14ac:dyDescent="0.3">
      <c r="B142" s="24" t="s">
        <v>271</v>
      </c>
      <c r="C142" s="27" t="s">
        <v>272</v>
      </c>
      <c r="D142" s="22"/>
      <c r="E142" s="22"/>
      <c r="F142" s="22"/>
      <c r="G142" s="22"/>
      <c r="H142" s="23"/>
      <c r="I142" s="24">
        <v>2</v>
      </c>
      <c r="J142" s="25" t="s">
        <v>30</v>
      </c>
    </row>
    <row r="143" spans="2:10" x14ac:dyDescent="0.3">
      <c r="B143" s="69" t="s">
        <v>273</v>
      </c>
      <c r="C143" s="62" t="s">
        <v>274</v>
      </c>
      <c r="D143" s="22"/>
      <c r="E143" s="22"/>
      <c r="F143" s="22"/>
      <c r="G143" s="22"/>
      <c r="H143" s="23"/>
      <c r="I143" s="24"/>
      <c r="J143" s="25"/>
    </row>
    <row r="144" spans="2:10" x14ac:dyDescent="0.3">
      <c r="B144" s="24" t="s">
        <v>275</v>
      </c>
      <c r="C144" s="27" t="s">
        <v>276</v>
      </c>
      <c r="D144" s="22"/>
      <c r="E144" s="22"/>
      <c r="F144" s="22"/>
      <c r="G144" s="22"/>
      <c r="H144" s="23"/>
      <c r="I144" s="24">
        <v>8</v>
      </c>
      <c r="J144" s="25" t="s">
        <v>30</v>
      </c>
    </row>
    <row r="145" spans="2:10" x14ac:dyDescent="0.3">
      <c r="B145" s="24" t="s">
        <v>277</v>
      </c>
      <c r="C145" s="27" t="s">
        <v>278</v>
      </c>
      <c r="D145" s="22"/>
      <c r="E145" s="22"/>
      <c r="F145" s="22"/>
      <c r="G145" s="22"/>
      <c r="H145" s="23"/>
      <c r="I145" s="24">
        <v>0</v>
      </c>
      <c r="J145" s="25" t="s">
        <v>30</v>
      </c>
    </row>
    <row r="146" spans="2:10" x14ac:dyDescent="0.3">
      <c r="B146" s="24" t="s">
        <v>279</v>
      </c>
      <c r="C146" s="27" t="s">
        <v>280</v>
      </c>
      <c r="D146" s="22"/>
      <c r="E146" s="22"/>
      <c r="F146" s="22"/>
      <c r="G146" s="22"/>
      <c r="H146" s="23"/>
      <c r="I146" s="24">
        <v>2</v>
      </c>
      <c r="J146" s="25" t="s">
        <v>30</v>
      </c>
    </row>
    <row r="147" spans="2:10" x14ac:dyDescent="0.3">
      <c r="B147" s="24" t="s">
        <v>281</v>
      </c>
      <c r="C147" s="27" t="s">
        <v>282</v>
      </c>
      <c r="D147" s="22"/>
      <c r="E147" s="22"/>
      <c r="F147" s="22"/>
      <c r="G147" s="22"/>
      <c r="H147" s="23"/>
      <c r="I147" s="24">
        <v>3</v>
      </c>
      <c r="J147" s="25" t="s">
        <v>30</v>
      </c>
    </row>
    <row r="148" spans="2:10" x14ac:dyDescent="0.3">
      <c r="B148" s="24" t="s">
        <v>283</v>
      </c>
      <c r="C148" s="27" t="s">
        <v>284</v>
      </c>
      <c r="D148" s="22"/>
      <c r="E148" s="22"/>
      <c r="F148" s="22"/>
      <c r="G148" s="22"/>
      <c r="H148" s="23"/>
      <c r="I148" s="24">
        <v>2</v>
      </c>
      <c r="J148" s="25" t="s">
        <v>30</v>
      </c>
    </row>
    <row r="149" spans="2:10" x14ac:dyDescent="0.3">
      <c r="B149" s="24" t="s">
        <v>285</v>
      </c>
      <c r="C149" s="27" t="s">
        <v>286</v>
      </c>
      <c r="D149" s="22"/>
      <c r="E149" s="22"/>
      <c r="F149" s="22"/>
      <c r="G149" s="22"/>
      <c r="H149" s="23"/>
      <c r="I149" s="24">
        <v>1</v>
      </c>
      <c r="J149" s="25" t="s">
        <v>30</v>
      </c>
    </row>
    <row r="150" spans="2:10" x14ac:dyDescent="0.3">
      <c r="B150" s="24" t="s">
        <v>287</v>
      </c>
      <c r="C150" s="27" t="s">
        <v>288</v>
      </c>
      <c r="D150" s="22"/>
      <c r="E150" s="22"/>
      <c r="F150" s="22"/>
      <c r="G150" s="22"/>
      <c r="H150" s="23"/>
      <c r="I150" s="24">
        <v>0</v>
      </c>
      <c r="J150" s="25" t="s">
        <v>30</v>
      </c>
    </row>
    <row r="151" spans="2:10" x14ac:dyDescent="0.3">
      <c r="B151" s="24" t="s">
        <v>289</v>
      </c>
      <c r="C151" s="27" t="s">
        <v>290</v>
      </c>
      <c r="D151" s="22"/>
      <c r="E151" s="22"/>
      <c r="F151" s="22"/>
      <c r="G151" s="22"/>
      <c r="H151" s="23"/>
      <c r="I151" s="24">
        <v>8</v>
      </c>
      <c r="J151" s="25" t="s">
        <v>30</v>
      </c>
    </row>
    <row r="152" spans="2:10" x14ac:dyDescent="0.3">
      <c r="B152" s="24" t="s">
        <v>291</v>
      </c>
      <c r="C152" s="27" t="s">
        <v>292</v>
      </c>
      <c r="D152" s="22"/>
      <c r="E152" s="22"/>
      <c r="F152" s="22"/>
      <c r="G152" s="22"/>
      <c r="H152" s="23"/>
      <c r="I152" s="24">
        <v>4</v>
      </c>
      <c r="J152" s="25" t="s">
        <v>30</v>
      </c>
    </row>
    <row r="153" spans="2:10" x14ac:dyDescent="0.3">
      <c r="B153" s="24" t="s">
        <v>293</v>
      </c>
      <c r="C153" s="27" t="s">
        <v>294</v>
      </c>
      <c r="D153" s="22"/>
      <c r="E153" s="22"/>
      <c r="F153" s="22"/>
      <c r="G153" s="22"/>
      <c r="H153" s="23"/>
      <c r="I153" s="24">
        <v>0</v>
      </c>
      <c r="J153" s="25" t="s">
        <v>30</v>
      </c>
    </row>
    <row r="154" spans="2:10" x14ac:dyDescent="0.3">
      <c r="B154" s="24" t="s">
        <v>295</v>
      </c>
      <c r="C154" s="27" t="s">
        <v>296</v>
      </c>
      <c r="D154" s="22"/>
      <c r="E154" s="22"/>
      <c r="F154" s="22"/>
      <c r="G154" s="22"/>
      <c r="H154" s="23"/>
      <c r="I154" s="24">
        <v>0</v>
      </c>
      <c r="J154" s="25" t="s">
        <v>30</v>
      </c>
    </row>
    <row r="155" spans="2:10" x14ac:dyDescent="0.3">
      <c r="B155" s="24" t="s">
        <v>297</v>
      </c>
      <c r="C155" s="27" t="s">
        <v>298</v>
      </c>
      <c r="D155" s="22"/>
      <c r="E155" s="22"/>
      <c r="F155" s="22"/>
      <c r="G155" s="22"/>
      <c r="H155" s="23"/>
      <c r="I155" s="24">
        <v>4</v>
      </c>
      <c r="J155" s="25" t="s">
        <v>30</v>
      </c>
    </row>
    <row r="156" spans="2:10" x14ac:dyDescent="0.3">
      <c r="B156" s="24" t="s">
        <v>299</v>
      </c>
      <c r="C156" s="27" t="s">
        <v>300</v>
      </c>
      <c r="D156" s="22"/>
      <c r="E156" s="22"/>
      <c r="F156" s="22"/>
      <c r="G156" s="22"/>
      <c r="H156" s="23"/>
      <c r="I156" s="24">
        <v>4</v>
      </c>
      <c r="J156" s="25" t="s">
        <v>30</v>
      </c>
    </row>
    <row r="157" spans="2:10" x14ac:dyDescent="0.3">
      <c r="B157" s="24" t="s">
        <v>301</v>
      </c>
      <c r="C157" s="27" t="s">
        <v>302</v>
      </c>
      <c r="D157" s="22"/>
      <c r="E157" s="22"/>
      <c r="F157" s="22"/>
      <c r="G157" s="22"/>
      <c r="H157" s="23"/>
      <c r="I157" s="24">
        <v>1</v>
      </c>
      <c r="J157" s="25" t="s">
        <v>30</v>
      </c>
    </row>
    <row r="158" spans="2:10" x14ac:dyDescent="0.3">
      <c r="B158" s="24" t="s">
        <v>303</v>
      </c>
      <c r="C158" s="27" t="s">
        <v>304</v>
      </c>
      <c r="D158" s="22"/>
      <c r="E158" s="22"/>
      <c r="F158" s="22"/>
      <c r="G158" s="22"/>
      <c r="H158" s="23"/>
      <c r="I158" s="24">
        <v>2</v>
      </c>
      <c r="J158" s="25" t="s">
        <v>30</v>
      </c>
    </row>
    <row r="159" spans="2:10" x14ac:dyDescent="0.3">
      <c r="B159" s="24" t="s">
        <v>305</v>
      </c>
      <c r="C159" s="27" t="s">
        <v>306</v>
      </c>
      <c r="D159" s="22"/>
      <c r="E159" s="22"/>
      <c r="F159" s="22"/>
      <c r="G159" s="22"/>
      <c r="H159" s="23"/>
      <c r="I159" s="24">
        <v>2</v>
      </c>
      <c r="J159" s="25" t="s">
        <v>30</v>
      </c>
    </row>
    <row r="160" spans="2:10" x14ac:dyDescent="0.3">
      <c r="B160" s="24" t="s">
        <v>307</v>
      </c>
      <c r="C160" s="27" t="s">
        <v>308</v>
      </c>
      <c r="D160" s="22"/>
      <c r="E160" s="22"/>
      <c r="F160" s="22"/>
      <c r="G160" s="22"/>
      <c r="H160" s="23"/>
      <c r="I160" s="24">
        <v>2</v>
      </c>
      <c r="J160" s="25" t="s">
        <v>30</v>
      </c>
    </row>
    <row r="161" spans="2:10" x14ac:dyDescent="0.3">
      <c r="B161" s="69" t="s">
        <v>309</v>
      </c>
      <c r="C161" s="62" t="s">
        <v>310</v>
      </c>
      <c r="D161" s="22"/>
      <c r="E161" s="22"/>
      <c r="F161" s="22"/>
      <c r="G161" s="22"/>
      <c r="H161" s="23"/>
      <c r="I161" s="24"/>
      <c r="J161" s="25"/>
    </row>
    <row r="162" spans="2:10" x14ac:dyDescent="0.3">
      <c r="B162" s="24" t="s">
        <v>311</v>
      </c>
      <c r="C162" s="27" t="s">
        <v>312</v>
      </c>
      <c r="D162" s="22"/>
      <c r="E162" s="22"/>
      <c r="F162" s="22"/>
      <c r="G162" s="22"/>
      <c r="H162" s="23"/>
      <c r="I162" s="24">
        <v>2</v>
      </c>
      <c r="J162" s="25" t="s">
        <v>30</v>
      </c>
    </row>
    <row r="163" spans="2:10" x14ac:dyDescent="0.3">
      <c r="B163" s="24" t="s">
        <v>313</v>
      </c>
      <c r="C163" s="27" t="s">
        <v>314</v>
      </c>
      <c r="D163" s="22"/>
      <c r="E163" s="22"/>
      <c r="F163" s="22"/>
      <c r="G163" s="22"/>
      <c r="H163" s="23"/>
      <c r="I163" s="24">
        <v>4</v>
      </c>
      <c r="J163" s="25" t="s">
        <v>30</v>
      </c>
    </row>
    <row r="164" spans="2:10" x14ac:dyDescent="0.3">
      <c r="B164" s="24" t="s">
        <v>315</v>
      </c>
      <c r="C164" s="27" t="s">
        <v>316</v>
      </c>
      <c r="D164" s="22"/>
      <c r="E164" s="22"/>
      <c r="F164" s="22"/>
      <c r="G164" s="22"/>
      <c r="H164" s="23"/>
      <c r="I164" s="24">
        <v>2</v>
      </c>
      <c r="J164" s="25" t="s">
        <v>30</v>
      </c>
    </row>
    <row r="165" spans="2:10" x14ac:dyDescent="0.3">
      <c r="B165" s="24" t="s">
        <v>317</v>
      </c>
      <c r="C165" s="27" t="s">
        <v>318</v>
      </c>
      <c r="D165" s="22"/>
      <c r="E165" s="22"/>
      <c r="F165" s="22"/>
      <c r="G165" s="22"/>
      <c r="H165" s="23"/>
      <c r="I165" s="24">
        <v>2</v>
      </c>
      <c r="J165" s="25" t="s">
        <v>30</v>
      </c>
    </row>
    <row r="166" spans="2:10" x14ac:dyDescent="0.3">
      <c r="B166" s="69" t="s">
        <v>319</v>
      </c>
      <c r="C166" s="62" t="s">
        <v>320</v>
      </c>
      <c r="D166" s="22"/>
      <c r="E166" s="22"/>
      <c r="F166" s="22"/>
      <c r="G166" s="22"/>
      <c r="H166" s="23"/>
      <c r="I166" s="24"/>
      <c r="J166" s="25"/>
    </row>
    <row r="167" spans="2:10" x14ac:dyDescent="0.3">
      <c r="B167" s="24" t="s">
        <v>321</v>
      </c>
      <c r="C167" s="27" t="s">
        <v>322</v>
      </c>
      <c r="D167" s="22"/>
      <c r="E167" s="22"/>
      <c r="F167" s="22"/>
      <c r="G167" s="22"/>
      <c r="H167" s="23"/>
      <c r="I167" s="24">
        <v>2</v>
      </c>
      <c r="J167" s="25" t="s">
        <v>30</v>
      </c>
    </row>
    <row r="168" spans="2:10" x14ac:dyDescent="0.3">
      <c r="B168" s="69" t="s">
        <v>323</v>
      </c>
      <c r="C168" s="62" t="s">
        <v>324</v>
      </c>
      <c r="D168" s="22"/>
      <c r="E168" s="22"/>
      <c r="F168" s="22"/>
      <c r="G168" s="22"/>
      <c r="H168" s="23"/>
      <c r="I168" s="24"/>
      <c r="J168" s="25"/>
    </row>
    <row r="169" spans="2:10" x14ac:dyDescent="0.3">
      <c r="B169" s="24" t="s">
        <v>325</v>
      </c>
      <c r="C169" s="27" t="s">
        <v>326</v>
      </c>
      <c r="D169" s="22"/>
      <c r="E169" s="22"/>
      <c r="F169" s="22"/>
      <c r="G169" s="22"/>
      <c r="H169" s="23"/>
      <c r="I169" s="24">
        <v>1</v>
      </c>
      <c r="J169" s="25" t="s">
        <v>327</v>
      </c>
    </row>
    <row r="170" spans="2:10" x14ac:dyDescent="0.3">
      <c r="B170" s="31" t="s">
        <v>328</v>
      </c>
      <c r="C170" s="32" t="s">
        <v>329</v>
      </c>
      <c r="D170" s="33"/>
      <c r="E170" s="33"/>
      <c r="F170" s="33"/>
      <c r="G170" s="33"/>
      <c r="H170" s="34"/>
      <c r="I170" s="31">
        <v>1</v>
      </c>
      <c r="J170" s="35" t="s">
        <v>327</v>
      </c>
    </row>
  </sheetData>
  <mergeCells count="8">
    <mergeCell ref="B10:J10"/>
    <mergeCell ref="H11:I11"/>
    <mergeCell ref="B8:J8"/>
    <mergeCell ref="C1:H1"/>
    <mergeCell ref="C2:H2"/>
    <mergeCell ref="C3:H3"/>
    <mergeCell ref="C4:H4"/>
    <mergeCell ref="B6:J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2982-7171-4A33-A55A-9639E07930C7}">
  <sheetPr>
    <tabColor theme="4" tint="0.59999389629810485"/>
  </sheetPr>
  <dimension ref="B1:AI93"/>
  <sheetViews>
    <sheetView tabSelected="1" view="pageBreakPreview" zoomScale="81" zoomScaleNormal="100" zoomScaleSheetLayoutView="81" workbookViewId="0">
      <selection activeCell="B15" sqref="B15:J88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48.6640625" style="1" customWidth="1"/>
    <col min="4" max="4" width="11.44140625" style="1"/>
    <col min="5" max="5" width="8" style="1" customWidth="1"/>
    <col min="6" max="6" width="11.44140625" style="1" customWidth="1"/>
    <col min="7" max="7" width="20.44140625" style="1" customWidth="1"/>
    <col min="8" max="8" width="11.44140625" style="1" customWidth="1"/>
    <col min="9" max="9" width="16.6640625" style="1" customWidth="1"/>
    <col min="10" max="10" width="8.88671875" style="1" customWidth="1"/>
    <col min="25" max="27" width="11.44140625" customWidth="1"/>
    <col min="28" max="28" width="16.5546875" bestFit="1" customWidth="1"/>
  </cols>
  <sheetData>
    <row r="1" spans="2:11" x14ac:dyDescent="0.3">
      <c r="C1" s="128" t="s">
        <v>0</v>
      </c>
      <c r="D1" s="128"/>
      <c r="E1" s="128"/>
      <c r="F1" s="128"/>
      <c r="G1" s="128"/>
      <c r="H1" s="128"/>
    </row>
    <row r="2" spans="2:11" x14ac:dyDescent="0.3">
      <c r="C2" s="128" t="s">
        <v>1</v>
      </c>
      <c r="D2" s="128"/>
      <c r="E2" s="128"/>
      <c r="F2" s="128"/>
      <c r="G2" s="128"/>
      <c r="H2" s="128"/>
    </row>
    <row r="3" spans="2:11" x14ac:dyDescent="0.3">
      <c r="C3" s="128" t="s">
        <v>2</v>
      </c>
      <c r="D3" s="128"/>
      <c r="E3" s="128"/>
      <c r="F3" s="128"/>
      <c r="G3" s="128"/>
      <c r="H3" s="128"/>
    </row>
    <row r="4" spans="2:11" x14ac:dyDescent="0.3">
      <c r="C4" s="129" t="s">
        <v>719</v>
      </c>
      <c r="D4" s="129"/>
      <c r="E4" s="129"/>
      <c r="F4" s="129"/>
      <c r="G4" s="129"/>
      <c r="H4" s="129"/>
    </row>
    <row r="5" spans="2:11" x14ac:dyDescent="0.3">
      <c r="C5" s="52"/>
      <c r="D5" s="52"/>
      <c r="E5" s="52"/>
      <c r="F5" s="52"/>
      <c r="G5" s="52"/>
      <c r="H5" s="52"/>
    </row>
    <row r="6" spans="2:11" x14ac:dyDescent="0.3">
      <c r="B6" s="133" t="s">
        <v>4</v>
      </c>
      <c r="C6" s="134"/>
      <c r="D6" s="134"/>
      <c r="E6" s="134"/>
      <c r="F6" s="134"/>
      <c r="G6" s="134"/>
      <c r="H6" s="134"/>
      <c r="I6" s="134"/>
      <c r="J6" s="135"/>
    </row>
    <row r="8" spans="2:11" x14ac:dyDescent="0.3">
      <c r="B8" s="136" t="s">
        <v>512</v>
      </c>
      <c r="C8" s="136"/>
      <c r="D8" s="136"/>
      <c r="E8" s="136"/>
      <c r="F8" s="136"/>
      <c r="G8" s="136"/>
      <c r="H8" s="136"/>
      <c r="I8" s="136"/>
      <c r="J8" s="136"/>
    </row>
    <row r="9" spans="2:11" ht="15" thickBot="1" x14ac:dyDescent="0.35">
      <c r="B9" s="53"/>
      <c r="C9" s="137" t="s">
        <v>718</v>
      </c>
      <c r="D9" s="137"/>
      <c r="E9" s="137"/>
      <c r="F9" s="137"/>
      <c r="G9" s="137"/>
      <c r="H9" s="53"/>
      <c r="I9" s="53"/>
      <c r="J9" s="53"/>
    </row>
    <row r="10" spans="2:11" ht="31.5" customHeight="1" x14ac:dyDescent="0.3">
      <c r="B10" s="123" t="s">
        <v>6</v>
      </c>
      <c r="C10" s="124"/>
      <c r="D10" s="124"/>
      <c r="E10" s="124"/>
      <c r="F10" s="124"/>
      <c r="G10" s="124"/>
      <c r="H10" s="124"/>
      <c r="I10" s="124"/>
      <c r="J10" s="125"/>
    </row>
    <row r="11" spans="2:11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126">
        <v>44608</v>
      </c>
      <c r="I11" s="126"/>
      <c r="J11" s="7"/>
    </row>
    <row r="12" spans="2:11" x14ac:dyDescent="0.3">
      <c r="B12" s="2" t="s">
        <v>720</v>
      </c>
      <c r="C12" s="3" t="s">
        <v>721</v>
      </c>
      <c r="F12" s="3"/>
      <c r="G12" s="8" t="s">
        <v>722</v>
      </c>
      <c r="H12" s="4" t="s">
        <v>723</v>
      </c>
      <c r="I12" s="9"/>
      <c r="J12" s="10"/>
    </row>
    <row r="13" spans="2:11" x14ac:dyDescent="0.3">
      <c r="B13" s="18"/>
      <c r="C13" s="3"/>
      <c r="F13" s="3"/>
      <c r="G13" s="8"/>
      <c r="H13" s="4"/>
      <c r="I13" s="9"/>
      <c r="J13" s="19"/>
    </row>
    <row r="14" spans="2:11" x14ac:dyDescent="0.3">
      <c r="B14" s="46" t="s">
        <v>20</v>
      </c>
      <c r="C14" s="47" t="s">
        <v>21</v>
      </c>
      <c r="D14" s="48"/>
      <c r="E14" s="48"/>
      <c r="F14" s="48"/>
      <c r="G14" s="48"/>
      <c r="H14" s="49"/>
      <c r="I14" s="50" t="s">
        <v>22</v>
      </c>
      <c r="J14" s="50" t="s">
        <v>23</v>
      </c>
      <c r="K14" t="s">
        <v>444</v>
      </c>
    </row>
    <row r="15" spans="2:11" x14ac:dyDescent="0.3">
      <c r="B15" s="142">
        <v>4</v>
      </c>
      <c r="C15" s="143" t="s">
        <v>330</v>
      </c>
      <c r="D15" s="144"/>
      <c r="E15" s="144"/>
      <c r="F15" s="144"/>
      <c r="G15" s="144"/>
      <c r="H15" s="144"/>
      <c r="I15" s="144"/>
      <c r="J15" s="145"/>
    </row>
    <row r="16" spans="2:11" x14ac:dyDescent="0.3">
      <c r="B16" s="146">
        <f>+MET_PN!B18</f>
        <v>4.03</v>
      </c>
      <c r="C16" s="147" t="s">
        <v>182</v>
      </c>
      <c r="D16" s="148"/>
      <c r="E16" s="148"/>
      <c r="F16" s="148"/>
      <c r="G16" s="148"/>
      <c r="H16" s="148"/>
      <c r="I16" s="148"/>
      <c r="J16" s="149"/>
    </row>
    <row r="17" spans="2:10" x14ac:dyDescent="0.3">
      <c r="B17" s="150" t="str">
        <f>+MET_PN!B19</f>
        <v>04.03.01</v>
      </c>
      <c r="C17" s="151" t="s">
        <v>331</v>
      </c>
      <c r="D17" s="148"/>
      <c r="E17" s="148"/>
      <c r="F17" s="148"/>
      <c r="G17" s="148"/>
      <c r="H17" s="148"/>
      <c r="I17" s="148"/>
      <c r="J17" s="149"/>
    </row>
    <row r="18" spans="2:10" x14ac:dyDescent="0.3">
      <c r="B18" s="152" t="str">
        <f>+MET_PN!B20</f>
        <v>04.03.01.01</v>
      </c>
      <c r="C18" s="148" t="s">
        <v>332</v>
      </c>
      <c r="D18" s="148"/>
      <c r="E18" s="148"/>
      <c r="F18" s="148"/>
      <c r="G18" s="148"/>
      <c r="H18" s="148"/>
      <c r="I18" s="148">
        <f ca="1">+MET_PN!I20</f>
        <v>422.18134000000003</v>
      </c>
      <c r="J18" s="149" t="s">
        <v>333</v>
      </c>
    </row>
    <row r="19" spans="2:10" x14ac:dyDescent="0.3">
      <c r="B19" s="152" t="str">
        <f>+MET_PN!B21</f>
        <v>04.03.01.02</v>
      </c>
      <c r="C19" s="148" t="s">
        <v>334</v>
      </c>
      <c r="D19" s="148"/>
      <c r="E19" s="148"/>
      <c r="F19" s="148"/>
      <c r="G19" s="148"/>
      <c r="H19" s="148"/>
      <c r="I19" s="148">
        <f ca="1">+MET_PN!I21</f>
        <v>422.18134000000003</v>
      </c>
      <c r="J19" s="149" t="s">
        <v>333</v>
      </c>
    </row>
    <row r="20" spans="2:10" x14ac:dyDescent="0.3">
      <c r="B20" s="146"/>
      <c r="C20" s="148"/>
      <c r="D20" s="148"/>
      <c r="E20" s="148"/>
      <c r="F20" s="148"/>
      <c r="G20" s="148"/>
      <c r="H20" s="148"/>
      <c r="I20" s="148"/>
      <c r="J20" s="149"/>
    </row>
    <row r="21" spans="2:10" x14ac:dyDescent="0.3">
      <c r="B21" s="150" t="str">
        <f>+MET_PN!B23</f>
        <v>04.03.02</v>
      </c>
      <c r="C21" s="151" t="s">
        <v>335</v>
      </c>
      <c r="D21" s="148"/>
      <c r="E21" s="148"/>
      <c r="F21" s="148"/>
      <c r="G21" s="148"/>
      <c r="H21" s="148"/>
      <c r="I21" s="148"/>
      <c r="J21" s="149"/>
    </row>
    <row r="22" spans="2:10" x14ac:dyDescent="0.3">
      <c r="B22" s="152" t="str">
        <f>+MET_PN!B24</f>
        <v>04.03.02.01</v>
      </c>
      <c r="C22" s="148" t="s">
        <v>336</v>
      </c>
      <c r="D22" s="148"/>
      <c r="E22" s="148"/>
      <c r="F22" s="148"/>
      <c r="G22" s="148"/>
      <c r="H22" s="148"/>
      <c r="I22" s="148">
        <f ca="1">+MET_PN!I24</f>
        <v>20.625</v>
      </c>
      <c r="J22" s="149" t="s">
        <v>337</v>
      </c>
    </row>
    <row r="23" spans="2:10" x14ac:dyDescent="0.3">
      <c r="B23" s="152" t="str">
        <f>+MET_PN!B25</f>
        <v>04.03.02.02</v>
      </c>
      <c r="C23" s="148" t="s">
        <v>338</v>
      </c>
      <c r="D23" s="148"/>
      <c r="E23" s="148"/>
      <c r="F23" s="148"/>
      <c r="G23" s="148"/>
      <c r="H23" s="148"/>
      <c r="I23" s="148">
        <f ca="1">+MET_PN!I25</f>
        <v>108</v>
      </c>
      <c r="J23" s="149" t="s">
        <v>333</v>
      </c>
    </row>
    <row r="24" spans="2:10" x14ac:dyDescent="0.3">
      <c r="B24" s="146"/>
      <c r="C24" s="148"/>
      <c r="D24" s="148"/>
      <c r="E24" s="148"/>
      <c r="F24" s="148"/>
      <c r="G24" s="148"/>
      <c r="H24" s="148"/>
      <c r="I24" s="148"/>
      <c r="J24" s="149"/>
    </row>
    <row r="25" spans="2:10" x14ac:dyDescent="0.3">
      <c r="B25" s="150" t="str">
        <f>+MET_PN!B27</f>
        <v>04.03.03</v>
      </c>
      <c r="C25" s="151" t="s">
        <v>339</v>
      </c>
      <c r="D25" s="148"/>
      <c r="E25" s="148"/>
      <c r="F25" s="148"/>
      <c r="G25" s="148"/>
      <c r="H25" s="148"/>
      <c r="I25" s="148"/>
      <c r="J25" s="149"/>
    </row>
    <row r="26" spans="2:10" x14ac:dyDescent="0.3">
      <c r="B26" s="152" t="str">
        <f>+MET_PN!B28</f>
        <v>04.03.03.01</v>
      </c>
      <c r="C26" s="148" t="s">
        <v>513</v>
      </c>
      <c r="D26" s="148"/>
      <c r="E26" s="148"/>
      <c r="F26" s="148"/>
      <c r="G26" s="148"/>
      <c r="H26" s="148"/>
      <c r="I26" s="148">
        <f ca="1">+MET_PN!I28</f>
        <v>108</v>
      </c>
      <c r="J26" s="149" t="s">
        <v>333</v>
      </c>
    </row>
    <row r="27" spans="2:10" x14ac:dyDescent="0.3">
      <c r="B27" s="152" t="str">
        <f>+MET_PN!B29</f>
        <v>04.03.03.02</v>
      </c>
      <c r="C27" s="148" t="s">
        <v>341</v>
      </c>
      <c r="D27" s="148"/>
      <c r="E27" s="148"/>
      <c r="F27" s="148"/>
      <c r="G27" s="148"/>
      <c r="H27" s="148"/>
      <c r="I27" s="148">
        <f ca="1">+MET_PN!I29</f>
        <v>18</v>
      </c>
      <c r="J27" s="149" t="s">
        <v>333</v>
      </c>
    </row>
    <row r="28" spans="2:10" x14ac:dyDescent="0.3">
      <c r="B28" s="146"/>
      <c r="C28" s="148"/>
      <c r="D28" s="148"/>
      <c r="E28" s="148"/>
      <c r="F28" s="148"/>
      <c r="G28" s="148"/>
      <c r="H28" s="148"/>
      <c r="I28" s="148"/>
      <c r="J28" s="149"/>
    </row>
    <row r="29" spans="2:10" x14ac:dyDescent="0.3">
      <c r="B29" s="150" t="str">
        <f>+MET_PN!B31</f>
        <v>04.03.04</v>
      </c>
      <c r="C29" s="151" t="s">
        <v>342</v>
      </c>
      <c r="D29" s="148"/>
      <c r="E29" s="148"/>
      <c r="F29" s="148"/>
      <c r="G29" s="148"/>
      <c r="H29" s="148"/>
      <c r="I29" s="148"/>
      <c r="J29" s="149"/>
    </row>
    <row r="30" spans="2:10" x14ac:dyDescent="0.3">
      <c r="B30" s="152" t="str">
        <f>+MET_PN!B32</f>
        <v>04.03.04.01</v>
      </c>
      <c r="C30" s="148" t="s">
        <v>514</v>
      </c>
      <c r="D30" s="148"/>
      <c r="E30" s="148"/>
      <c r="F30" s="148"/>
      <c r="G30" s="148"/>
      <c r="H30" s="148"/>
      <c r="I30" s="148">
        <f ca="1">+MET_PN!I32</f>
        <v>31.425000000000001</v>
      </c>
      <c r="J30" s="149" t="s">
        <v>337</v>
      </c>
    </row>
    <row r="31" spans="2:10" x14ac:dyDescent="0.3">
      <c r="B31" s="146"/>
      <c r="C31" s="148"/>
      <c r="D31" s="148"/>
      <c r="E31" s="148"/>
      <c r="F31" s="148"/>
      <c r="G31" s="148"/>
      <c r="H31" s="148"/>
      <c r="I31" s="148"/>
      <c r="J31" s="149"/>
    </row>
    <row r="32" spans="2:10" x14ac:dyDescent="0.3">
      <c r="B32" s="150" t="str">
        <f>+MET_PN!B34</f>
        <v>04.03.05</v>
      </c>
      <c r="C32" s="151" t="s">
        <v>345</v>
      </c>
      <c r="D32" s="148"/>
      <c r="E32" s="148"/>
      <c r="F32" s="148"/>
      <c r="G32" s="148"/>
      <c r="H32" s="148"/>
      <c r="I32" s="148"/>
      <c r="J32" s="149"/>
    </row>
    <row r="33" spans="2:15" x14ac:dyDescent="0.3">
      <c r="B33" s="152" t="str">
        <f>+MET_PN!B35</f>
        <v>04.03.05.01</v>
      </c>
      <c r="C33" s="148" t="s">
        <v>347</v>
      </c>
      <c r="D33" s="148"/>
      <c r="E33" s="148"/>
      <c r="F33" s="148"/>
      <c r="G33" s="148"/>
      <c r="H33" s="148"/>
      <c r="I33" s="148">
        <f ca="1">+MET_PN!I35</f>
        <v>61.972930000000012</v>
      </c>
      <c r="J33" s="149" t="s">
        <v>337</v>
      </c>
    </row>
    <row r="34" spans="2:15" x14ac:dyDescent="0.3">
      <c r="B34" s="152" t="str">
        <f>+MET_PN!B36</f>
        <v>04.03.05.02</v>
      </c>
      <c r="C34" s="148" t="s">
        <v>348</v>
      </c>
      <c r="D34" s="148"/>
      <c r="E34" s="148"/>
      <c r="F34" s="148"/>
      <c r="G34" s="148"/>
      <c r="H34" s="148"/>
      <c r="I34" s="148">
        <f ca="1">+MET_PN!I36</f>
        <v>38.437900000000006</v>
      </c>
      <c r="J34" s="149" t="s">
        <v>337</v>
      </c>
    </row>
    <row r="35" spans="2:15" x14ac:dyDescent="0.3">
      <c r="B35" s="152" t="str">
        <f>+MET_PN!B37</f>
        <v>04.03.05.03</v>
      </c>
      <c r="C35" s="148" t="s">
        <v>515</v>
      </c>
      <c r="D35" s="148"/>
      <c r="E35" s="148"/>
      <c r="F35" s="148"/>
      <c r="G35" s="148"/>
      <c r="H35" s="148"/>
      <c r="I35" s="148">
        <f ca="1">+MET_PN!I37</f>
        <v>96</v>
      </c>
      <c r="J35" s="149" t="s">
        <v>337</v>
      </c>
    </row>
    <row r="36" spans="2:15" x14ac:dyDescent="0.3">
      <c r="B36" s="152" t="str">
        <f>+MET_PN!B38</f>
        <v>04.03.05.04</v>
      </c>
      <c r="C36" s="153" t="s">
        <v>350</v>
      </c>
      <c r="D36" s="148"/>
      <c r="E36" s="148"/>
      <c r="F36" s="148"/>
      <c r="G36" s="148"/>
      <c r="H36" s="148"/>
      <c r="I36" s="148">
        <f ca="1">+MET_PN!I38</f>
        <v>127.25600000000003</v>
      </c>
      <c r="J36" s="149" t="s">
        <v>333</v>
      </c>
    </row>
    <row r="37" spans="2:15" x14ac:dyDescent="0.3">
      <c r="B37" s="152" t="str">
        <f>+MET_PN!B39</f>
        <v>04.03.05.05</v>
      </c>
      <c r="C37" s="153" t="s">
        <v>516</v>
      </c>
      <c r="D37" s="148"/>
      <c r="E37" s="148"/>
      <c r="F37" s="148"/>
      <c r="G37" s="148"/>
      <c r="H37" s="148"/>
      <c r="I37" s="148">
        <f ca="1">+MET_PN!I39</f>
        <v>264.95115091843331</v>
      </c>
      <c r="J37" s="149" t="s">
        <v>337</v>
      </c>
    </row>
    <row r="38" spans="2:15" x14ac:dyDescent="0.3">
      <c r="B38" s="152" t="str">
        <f>+MET_PN!B40</f>
        <v>04.03.05.06</v>
      </c>
      <c r="C38" s="154" t="s">
        <v>352</v>
      </c>
      <c r="D38" s="148"/>
      <c r="E38" s="148"/>
      <c r="F38" s="148"/>
      <c r="G38" s="148"/>
      <c r="H38" s="148"/>
      <c r="I38" s="148">
        <f ca="1">+MET_PN!I40</f>
        <v>297.56200000000001</v>
      </c>
      <c r="J38" s="149" t="s">
        <v>333</v>
      </c>
    </row>
    <row r="39" spans="2:15" x14ac:dyDescent="0.3">
      <c r="B39" s="152" t="str">
        <f>+MET_PN!B41</f>
        <v>04.03.05.07</v>
      </c>
      <c r="C39" s="154" t="s">
        <v>353</v>
      </c>
      <c r="D39" s="148"/>
      <c r="E39" s="148"/>
      <c r="F39" s="148"/>
      <c r="G39" s="148"/>
      <c r="H39" s="148"/>
      <c r="I39" s="148">
        <f ca="1">+MET_PN!I41</f>
        <v>1081.1380799999999</v>
      </c>
      <c r="J39" s="149" t="s">
        <v>333</v>
      </c>
    </row>
    <row r="40" spans="2:15" x14ac:dyDescent="0.3">
      <c r="B40" s="152" t="str">
        <f>+MET_PN!B42</f>
        <v>04.03.05.08</v>
      </c>
      <c r="C40" s="154" t="s">
        <v>517</v>
      </c>
      <c r="D40" s="148"/>
      <c r="E40" s="148"/>
      <c r="F40" s="148"/>
      <c r="G40" s="148"/>
      <c r="H40" s="148"/>
      <c r="I40" s="148">
        <f ca="1">+MET_PN!I42</f>
        <v>5273.9133047079522</v>
      </c>
      <c r="J40" s="149" t="s">
        <v>355</v>
      </c>
    </row>
    <row r="41" spans="2:15" x14ac:dyDescent="0.3">
      <c r="B41" s="152" t="str">
        <f>+MET_PN!B43</f>
        <v>04.03.05.09</v>
      </c>
      <c r="C41" s="154" t="s">
        <v>518</v>
      </c>
      <c r="D41" s="148"/>
      <c r="E41" s="148"/>
      <c r="F41" s="148"/>
      <c r="G41" s="148"/>
      <c r="H41" s="148"/>
      <c r="I41" s="148">
        <f ca="1">+MET_PN!I43</f>
        <v>56.607799999999997</v>
      </c>
      <c r="J41" s="149" t="s">
        <v>337</v>
      </c>
    </row>
    <row r="42" spans="2:15" x14ac:dyDescent="0.3">
      <c r="B42" s="152" t="str">
        <f>+MET_PN!B44</f>
        <v>04.03.05.10</v>
      </c>
      <c r="C42" s="154" t="s">
        <v>519</v>
      </c>
      <c r="D42" s="148"/>
      <c r="E42" s="148"/>
      <c r="F42" s="148"/>
      <c r="G42" s="148"/>
      <c r="H42" s="148"/>
      <c r="I42" s="148">
        <f ca="1">+MET_PN!I44</f>
        <v>152.36280296822446</v>
      </c>
      <c r="J42" s="149" t="s">
        <v>337</v>
      </c>
    </row>
    <row r="43" spans="2:15" x14ac:dyDescent="0.3">
      <c r="B43" s="152" t="str">
        <f>+MET_PN!B45</f>
        <v>04.03.05.11</v>
      </c>
      <c r="C43" s="154" t="s">
        <v>358</v>
      </c>
      <c r="D43" s="148"/>
      <c r="E43" s="148"/>
      <c r="F43" s="148"/>
      <c r="G43" s="148"/>
      <c r="H43" s="148"/>
      <c r="I43" s="148">
        <f ca="1">+MET_PN!I45</f>
        <v>152.36280296822446</v>
      </c>
      <c r="J43" s="149" t="s">
        <v>337</v>
      </c>
    </row>
    <row r="44" spans="2:15" x14ac:dyDescent="0.3">
      <c r="B44" s="146"/>
      <c r="C44" s="154"/>
      <c r="D44" s="148"/>
      <c r="E44" s="148"/>
      <c r="F44" s="148"/>
      <c r="G44" s="148"/>
      <c r="H44" s="148"/>
      <c r="I44" s="148"/>
      <c r="J44" s="149"/>
    </row>
    <row r="45" spans="2:15" x14ac:dyDescent="0.3">
      <c r="B45" s="150" t="str">
        <f>+MET_PN!B47</f>
        <v>04.03.06</v>
      </c>
      <c r="C45" s="151" t="s">
        <v>360</v>
      </c>
      <c r="D45" s="148"/>
      <c r="E45" s="148"/>
      <c r="F45" s="148"/>
      <c r="G45" s="148"/>
      <c r="H45" s="148"/>
      <c r="I45" s="148"/>
      <c r="J45" s="149"/>
    </row>
    <row r="46" spans="2:15" x14ac:dyDescent="0.3">
      <c r="B46" s="152" t="str">
        <f>+MET_PN!B48</f>
        <v>04.03.06.01</v>
      </c>
      <c r="C46" s="154" t="s">
        <v>362</v>
      </c>
      <c r="D46" s="148"/>
      <c r="E46" s="148"/>
      <c r="F46" s="148"/>
      <c r="G46" s="148"/>
      <c r="H46" s="148"/>
      <c r="I46" s="148">
        <f ca="1">+MET_PN!I48</f>
        <v>93.915999999999997</v>
      </c>
      <c r="J46" s="149" t="s">
        <v>333</v>
      </c>
      <c r="K46">
        <v>0</v>
      </c>
      <c r="L46" s="51">
        <f ca="1">+I46-K46</f>
        <v>93.915999999999997</v>
      </c>
    </row>
    <row r="47" spans="2:15" x14ac:dyDescent="0.3">
      <c r="B47" s="152" t="str">
        <f>+MET_PN!B49</f>
        <v>04.03.06.02</v>
      </c>
      <c r="C47" s="154" t="s">
        <v>364</v>
      </c>
      <c r="D47" s="148"/>
      <c r="E47" s="148"/>
      <c r="F47" s="148"/>
      <c r="G47" s="148"/>
      <c r="H47" s="148"/>
      <c r="I47" s="148">
        <f ca="1">+MET_PN!I49</f>
        <v>33.340000000000003</v>
      </c>
      <c r="J47" s="149" t="s">
        <v>333</v>
      </c>
      <c r="K47">
        <v>0</v>
      </c>
      <c r="L47" s="51">
        <f ca="1">+I47-K47</f>
        <v>33.340000000000003</v>
      </c>
    </row>
    <row r="48" spans="2:15" x14ac:dyDescent="0.3">
      <c r="B48" s="146"/>
      <c r="C48" s="154"/>
      <c r="D48" s="148"/>
      <c r="E48" s="148"/>
      <c r="F48" s="148"/>
      <c r="G48" s="148"/>
      <c r="H48" s="148"/>
      <c r="I48" s="148"/>
      <c r="J48" s="149"/>
      <c r="M48" t="s">
        <v>520</v>
      </c>
      <c r="N48" t="s">
        <v>521</v>
      </c>
      <c r="O48" t="s">
        <v>522</v>
      </c>
    </row>
    <row r="49" spans="2:35" x14ac:dyDescent="0.3">
      <c r="B49" s="150" t="str">
        <f>+MET_PN!B51</f>
        <v>04.03.07</v>
      </c>
      <c r="C49" s="151" t="s">
        <v>202</v>
      </c>
      <c r="D49" s="148"/>
      <c r="E49" s="148"/>
      <c r="F49" s="148"/>
      <c r="G49" s="148"/>
      <c r="H49" s="148"/>
      <c r="I49" s="148"/>
      <c r="J49" s="149"/>
      <c r="L49" s="51"/>
    </row>
    <row r="50" spans="2:35" x14ac:dyDescent="0.3">
      <c r="B50" s="155" t="str">
        <f>+MET_PN!B52</f>
        <v>04.03.07.01</v>
      </c>
      <c r="C50" s="154" t="s">
        <v>385</v>
      </c>
      <c r="D50" s="148"/>
      <c r="E50" s="148"/>
      <c r="F50" s="148"/>
      <c r="G50" s="148"/>
      <c r="H50" s="148"/>
      <c r="I50" s="148">
        <f ca="1">+MET_PN!I52</f>
        <v>55.55</v>
      </c>
      <c r="J50" s="149" t="s">
        <v>102</v>
      </c>
      <c r="K50">
        <v>0</v>
      </c>
      <c r="L50" s="51">
        <f t="shared" ref="L50:L67" ca="1" si="0">+I50-K50</f>
        <v>55.55</v>
      </c>
      <c r="S50" t="e">
        <f>+Q50*R50*#REF!</f>
        <v>#REF!</v>
      </c>
      <c r="Y50" t="s">
        <v>523</v>
      </c>
      <c r="Z50" t="s">
        <v>524</v>
      </c>
      <c r="AA50" t="s">
        <v>525</v>
      </c>
      <c r="AB50" t="s">
        <v>526</v>
      </c>
      <c r="AD50" t="s">
        <v>527</v>
      </c>
      <c r="AE50" t="s">
        <v>528</v>
      </c>
      <c r="AF50" t="s">
        <v>529</v>
      </c>
      <c r="AG50" t="s">
        <v>530</v>
      </c>
      <c r="AH50" t="s">
        <v>531</v>
      </c>
      <c r="AI50" t="s">
        <v>526</v>
      </c>
    </row>
    <row r="51" spans="2:35" x14ac:dyDescent="0.3">
      <c r="B51" s="155" t="str">
        <f>+MET_PN!B53</f>
        <v>04.03.07.02</v>
      </c>
      <c r="C51" s="154" t="s">
        <v>387</v>
      </c>
      <c r="D51" s="148"/>
      <c r="E51" s="148"/>
      <c r="F51" s="148"/>
      <c r="G51" s="148"/>
      <c r="H51" s="148"/>
      <c r="I51" s="148">
        <f ca="1">+MET_PN!I53</f>
        <v>24.4</v>
      </c>
      <c r="J51" s="149" t="s">
        <v>102</v>
      </c>
      <c r="K51">
        <v>0</v>
      </c>
      <c r="L51" s="51">
        <f t="shared" ca="1" si="0"/>
        <v>24.4</v>
      </c>
      <c r="S51" t="e">
        <f>+Q51*R51*#REF!</f>
        <v>#REF!</v>
      </c>
      <c r="Y51">
        <f>0.6*1</f>
        <v>0.6</v>
      </c>
      <c r="Z51">
        <f>1*1</f>
        <v>1</v>
      </c>
      <c r="AA51">
        <f>1.45*4.5</f>
        <v>6.5249999999999995</v>
      </c>
      <c r="AB51">
        <f>1.3*5.5</f>
        <v>7.15</v>
      </c>
      <c r="AD51">
        <v>4.0000000000000008E-2</v>
      </c>
      <c r="AE51">
        <v>0.24</v>
      </c>
      <c r="AF51">
        <v>0.36</v>
      </c>
      <c r="AG51">
        <v>0.54</v>
      </c>
      <c r="AH51">
        <v>0.72</v>
      </c>
      <c r="AI51">
        <v>7.15</v>
      </c>
    </row>
    <row r="52" spans="2:35" x14ac:dyDescent="0.3">
      <c r="B52" s="155" t="str">
        <f>+MET_PN!B54</f>
        <v>04.03.07.03</v>
      </c>
      <c r="C52" s="148" t="s">
        <v>389</v>
      </c>
      <c r="D52" s="148"/>
      <c r="E52" s="148"/>
      <c r="F52" s="148"/>
      <c r="G52" s="148"/>
      <c r="H52" s="148"/>
      <c r="I52" s="148">
        <f ca="1">+MET_PN!I54</f>
        <v>24.4</v>
      </c>
      <c r="J52" s="149" t="s">
        <v>102</v>
      </c>
      <c r="K52">
        <v>0</v>
      </c>
      <c r="L52" s="51">
        <f t="shared" ca="1" si="0"/>
        <v>24.4</v>
      </c>
    </row>
    <row r="53" spans="2:35" x14ac:dyDescent="0.3">
      <c r="B53" s="152" t="str">
        <f>+MET_PN!B55</f>
        <v>04.03.07.04</v>
      </c>
      <c r="C53" s="148" t="s">
        <v>391</v>
      </c>
      <c r="D53" s="148"/>
      <c r="E53" s="148"/>
      <c r="F53" s="148"/>
      <c r="G53" s="148"/>
      <c r="H53" s="148"/>
      <c r="I53" s="148">
        <f ca="1">+MET_PN!I55</f>
        <v>7.7</v>
      </c>
      <c r="J53" s="149" t="s">
        <v>30</v>
      </c>
      <c r="K53">
        <v>0</v>
      </c>
      <c r="L53" s="51">
        <f t="shared" ca="1" si="0"/>
        <v>7.7</v>
      </c>
      <c r="S53" t="e">
        <f>+Q53*R53*#REF!</f>
        <v>#REF!</v>
      </c>
      <c r="W53" t="s">
        <v>532</v>
      </c>
      <c r="Y53">
        <v>0.57410000000000005</v>
      </c>
      <c r="Z53">
        <v>0.73409999999999997</v>
      </c>
      <c r="AA53">
        <v>3.4666999999999999</v>
      </c>
      <c r="AB53">
        <f t="shared" ref="AB53:AB63" si="1">+(($AB$51-$Z$51)/($AA$51-$Z$51))*(AA53-Z53)+Z53</f>
        <v>3.7758176470588243</v>
      </c>
      <c r="AD53">
        <v>0.35010000000000019</v>
      </c>
      <c r="AE53">
        <v>0.43010000000000015</v>
      </c>
      <c r="AF53">
        <v>0.47810000000000008</v>
      </c>
      <c r="AG53">
        <v>0.55010000000000003</v>
      </c>
      <c r="AH53">
        <v>0.62209999999999999</v>
      </c>
      <c r="AI53">
        <v>3.7758176470588243</v>
      </c>
    </row>
    <row r="54" spans="2:35" x14ac:dyDescent="0.3">
      <c r="B54" s="152" t="str">
        <f>+MET_PN!B56</f>
        <v>04.03.07.05</v>
      </c>
      <c r="C54" s="148" t="s">
        <v>393</v>
      </c>
      <c r="D54" s="148"/>
      <c r="E54" s="148"/>
      <c r="F54" s="148"/>
      <c r="G54" s="148"/>
      <c r="H54" s="148"/>
      <c r="I54" s="148">
        <f ca="1">+MET_PN!I56</f>
        <v>6</v>
      </c>
      <c r="J54" s="149" t="s">
        <v>30</v>
      </c>
      <c r="K54">
        <v>0</v>
      </c>
      <c r="L54" s="51">
        <f t="shared" ca="1" si="0"/>
        <v>6</v>
      </c>
      <c r="S54" t="e">
        <f>+Q54*R54*#REF!</f>
        <v>#REF!</v>
      </c>
      <c r="W54" t="s">
        <v>533</v>
      </c>
      <c r="Y54">
        <v>0.57410000000000005</v>
      </c>
      <c r="Z54">
        <v>0.73409999999999997</v>
      </c>
      <c r="AA54">
        <v>3.4666999999999999</v>
      </c>
      <c r="AB54">
        <f t="shared" si="1"/>
        <v>3.7758176470588243</v>
      </c>
      <c r="AD54">
        <v>0.35010000000000019</v>
      </c>
      <c r="AE54">
        <v>0.43010000000000015</v>
      </c>
      <c r="AF54">
        <v>0.47810000000000008</v>
      </c>
      <c r="AG54">
        <v>0.55010000000000003</v>
      </c>
      <c r="AH54">
        <v>0.62209999999999999</v>
      </c>
      <c r="AI54">
        <v>3.7758176470588243</v>
      </c>
    </row>
    <row r="55" spans="2:35" x14ac:dyDescent="0.3">
      <c r="B55" s="155" t="str">
        <f>+MET_PN!B57</f>
        <v>04.03.07.06</v>
      </c>
      <c r="C55" s="148" t="s">
        <v>395</v>
      </c>
      <c r="D55" s="148"/>
      <c r="E55" s="148"/>
      <c r="F55" s="148"/>
      <c r="G55" s="148"/>
      <c r="H55" s="148"/>
      <c r="I55" s="148">
        <f ca="1">+MET_PN!I57</f>
        <v>0.89999999999999991</v>
      </c>
      <c r="J55" s="149" t="s">
        <v>102</v>
      </c>
      <c r="K55">
        <v>0</v>
      </c>
      <c r="L55" s="51">
        <f t="shared" ca="1" si="0"/>
        <v>0.89999999999999991</v>
      </c>
      <c r="S55" t="e">
        <f>+Q55*R55*#REF!</f>
        <v>#REF!</v>
      </c>
      <c r="W55" t="s">
        <v>534</v>
      </c>
      <c r="Y55">
        <v>70.790000000000006</v>
      </c>
      <c r="Z55">
        <v>80.69</v>
      </c>
      <c r="AA55">
        <v>416.3</v>
      </c>
      <c r="AB55">
        <f t="shared" si="1"/>
        <v>454.26493212669692</v>
      </c>
      <c r="AD55">
        <v>56.930000000000021</v>
      </c>
      <c r="AE55">
        <v>61.880000000000017</v>
      </c>
      <c r="AF55">
        <v>64.850000000000009</v>
      </c>
      <c r="AG55">
        <v>69.305000000000007</v>
      </c>
      <c r="AH55">
        <v>73.760000000000005</v>
      </c>
      <c r="AI55">
        <v>454.26493212669692</v>
      </c>
    </row>
    <row r="56" spans="2:35" x14ac:dyDescent="0.3">
      <c r="B56" s="155" t="str">
        <f>+MET_PN!B58</f>
        <v>04.03.07.07</v>
      </c>
      <c r="C56" s="148" t="s">
        <v>397</v>
      </c>
      <c r="D56" s="148"/>
      <c r="E56" s="148"/>
      <c r="F56" s="148"/>
      <c r="G56" s="148"/>
      <c r="H56" s="148"/>
      <c r="I56" s="148">
        <f ca="1">+MET_PN!I58</f>
        <v>1.5</v>
      </c>
      <c r="J56" s="149" t="s">
        <v>102</v>
      </c>
      <c r="K56">
        <v>0</v>
      </c>
      <c r="L56" s="51">
        <f t="shared" ca="1" si="0"/>
        <v>1.5</v>
      </c>
      <c r="S56" t="e">
        <f>+Q56*R56*#REF!</f>
        <v>#REF!</v>
      </c>
      <c r="W56" t="s">
        <v>535</v>
      </c>
      <c r="Y56">
        <v>0.53959999999999997</v>
      </c>
      <c r="Z56">
        <v>0.69</v>
      </c>
      <c r="AA56">
        <v>3.2587000000000002</v>
      </c>
      <c r="AB56">
        <f t="shared" si="1"/>
        <v>3.5492769230769241</v>
      </c>
      <c r="AD56">
        <v>0.32904000000000005</v>
      </c>
      <c r="AE56">
        <v>0.40423999999999999</v>
      </c>
      <c r="AF56">
        <v>0.44935999999999998</v>
      </c>
      <c r="AG56">
        <v>0.51703999999999994</v>
      </c>
      <c r="AH56">
        <v>0.58471999999999991</v>
      </c>
      <c r="AI56">
        <v>3.5492769230769241</v>
      </c>
    </row>
    <row r="57" spans="2:35" s="1" customFormat="1" x14ac:dyDescent="0.3">
      <c r="B57" s="155" t="str">
        <f>+MET_PN!B59</f>
        <v>04.03.07.08</v>
      </c>
      <c r="C57" s="148" t="s">
        <v>398</v>
      </c>
      <c r="D57" s="148"/>
      <c r="E57" s="148"/>
      <c r="F57" s="148"/>
      <c r="G57" s="148"/>
      <c r="H57" s="148"/>
      <c r="I57" s="148">
        <f ca="1">+MET_PN!I59</f>
        <v>0.7</v>
      </c>
      <c r="J57" s="149" t="s">
        <v>102</v>
      </c>
      <c r="K57" s="1">
        <v>0</v>
      </c>
      <c r="L57" s="1">
        <f t="shared" ca="1" si="0"/>
        <v>0.7</v>
      </c>
      <c r="M57"/>
      <c r="W57" t="s">
        <v>536</v>
      </c>
      <c r="Y57" s="1">
        <v>0.17449999999999999</v>
      </c>
      <c r="Z57" s="1">
        <v>0.22320000000000001</v>
      </c>
      <c r="AA57" s="1">
        <v>1.0539000000000001</v>
      </c>
      <c r="AB57">
        <f t="shared" si="1"/>
        <v>1.1478705882352944</v>
      </c>
      <c r="AD57" s="1">
        <v>0.10631999999999997</v>
      </c>
      <c r="AE57" s="1">
        <v>0.13066999999999998</v>
      </c>
      <c r="AF57" s="1">
        <v>0.14527999999999996</v>
      </c>
      <c r="AG57" s="1">
        <v>0.16719499999999998</v>
      </c>
      <c r="AH57" s="1">
        <v>0.18911</v>
      </c>
      <c r="AI57" s="1">
        <v>1.1478705882352944</v>
      </c>
    </row>
    <row r="58" spans="2:35" x14ac:dyDescent="0.3">
      <c r="B58" s="155" t="str">
        <f>+MET_PN!B60</f>
        <v>04.03.07.09</v>
      </c>
      <c r="C58" s="148" t="s">
        <v>399</v>
      </c>
      <c r="D58" s="148"/>
      <c r="E58" s="148"/>
      <c r="F58" s="148"/>
      <c r="G58" s="148"/>
      <c r="H58" s="148"/>
      <c r="I58" s="148">
        <f ca="1">+MET_PN!I60</f>
        <v>1.1000000000000001</v>
      </c>
      <c r="J58" s="149" t="s">
        <v>102</v>
      </c>
      <c r="K58">
        <v>0</v>
      </c>
      <c r="L58" s="51">
        <f t="shared" ca="1" si="0"/>
        <v>1.1000000000000001</v>
      </c>
      <c r="S58" t="e">
        <f>+Q58*R58*#REF!</f>
        <v>#REF!</v>
      </c>
      <c r="W58" s="1" t="s">
        <v>537</v>
      </c>
      <c r="Y58">
        <v>0.49259999999999998</v>
      </c>
      <c r="Z58">
        <v>0.62980000000000003</v>
      </c>
      <c r="AA58">
        <v>2.9744000000000002</v>
      </c>
      <c r="AB58">
        <f t="shared" si="1"/>
        <v>3.2396262443438921</v>
      </c>
      <c r="AD58">
        <v>0.30051999999999995</v>
      </c>
      <c r="AE58">
        <v>0.36911999999999995</v>
      </c>
      <c r="AF58">
        <v>0.41027999999999998</v>
      </c>
      <c r="AG58">
        <v>0.47202</v>
      </c>
      <c r="AH58">
        <v>0.53376000000000001</v>
      </c>
      <c r="AI58">
        <v>3.2396262443438921</v>
      </c>
    </row>
    <row r="59" spans="2:35" x14ac:dyDescent="0.3">
      <c r="B59" s="155" t="str">
        <f>+MET_PN!B61</f>
        <v>04.03.07.10</v>
      </c>
      <c r="C59" s="148" t="s">
        <v>400</v>
      </c>
      <c r="D59" s="148"/>
      <c r="E59" s="148"/>
      <c r="F59" s="148"/>
      <c r="G59" s="148"/>
      <c r="H59" s="148"/>
      <c r="I59" s="148">
        <f ca="1">+MET_PN!I61</f>
        <v>5.7</v>
      </c>
      <c r="J59" s="149" t="s">
        <v>102</v>
      </c>
      <c r="K59">
        <v>0</v>
      </c>
      <c r="L59" s="51">
        <f t="shared" ca="1" si="0"/>
        <v>5.7</v>
      </c>
      <c r="S59" t="e">
        <f>+Q59*R59*#REF!</f>
        <v>#REF!</v>
      </c>
      <c r="W59" t="s">
        <v>538</v>
      </c>
      <c r="Y59">
        <v>7.5968</v>
      </c>
      <c r="Z59">
        <v>9.7141000000000002</v>
      </c>
      <c r="AA59">
        <v>45.874400000000001</v>
      </c>
      <c r="AB59">
        <f t="shared" si="1"/>
        <v>49.964931674208152</v>
      </c>
      <c r="AD59">
        <v>4.6325800000000008</v>
      </c>
      <c r="AE59">
        <v>5.69123</v>
      </c>
      <c r="AF59">
        <v>6.3264199999999997</v>
      </c>
      <c r="AG59">
        <v>7.2792050000000001</v>
      </c>
      <c r="AH59">
        <v>8.2319899999999997</v>
      </c>
      <c r="AI59">
        <v>49.964931674208152</v>
      </c>
    </row>
    <row r="60" spans="2:35" x14ac:dyDescent="0.3">
      <c r="B60" s="152" t="str">
        <f>+MET_PN!B62</f>
        <v>04.03.07.11</v>
      </c>
      <c r="C60" s="148" t="s">
        <v>539</v>
      </c>
      <c r="D60" s="148"/>
      <c r="E60" s="148"/>
      <c r="F60" s="148"/>
      <c r="G60" s="148"/>
      <c r="H60" s="148"/>
      <c r="I60" s="148">
        <f ca="1">+MET_PN!I62</f>
        <v>108.88000000000001</v>
      </c>
      <c r="J60" s="149" t="s">
        <v>102</v>
      </c>
      <c r="K60">
        <v>0</v>
      </c>
      <c r="L60" s="51">
        <f t="shared" ca="1" si="0"/>
        <v>108.88000000000001</v>
      </c>
      <c r="Q60" s="51">
        <f ca="1">+I60</f>
        <v>108.88000000000001</v>
      </c>
      <c r="R60">
        <v>3</v>
      </c>
      <c r="S60" t="e">
        <f ca="1">+Q60*R60*#REF!</f>
        <v>#REF!</v>
      </c>
      <c r="W60" t="s">
        <v>540</v>
      </c>
      <c r="Y60">
        <v>24.0397</v>
      </c>
      <c r="Z60">
        <v>30.739699999999999</v>
      </c>
      <c r="AA60">
        <v>145.16669999999999</v>
      </c>
      <c r="AB60">
        <f t="shared" si="1"/>
        <v>158.11093076923078</v>
      </c>
      <c r="AD60">
        <v>14.659700000000003</v>
      </c>
      <c r="AE60">
        <v>18.009700000000002</v>
      </c>
      <c r="AF60">
        <v>20.0197</v>
      </c>
      <c r="AG60">
        <v>23.034700000000001</v>
      </c>
      <c r="AH60">
        <v>26.049700000000001</v>
      </c>
      <c r="AI60">
        <v>158.11093076923078</v>
      </c>
    </row>
    <row r="61" spans="2:35" x14ac:dyDescent="0.3">
      <c r="B61" s="152" t="str">
        <f>+MET_PN!B63</f>
        <v>04.03.07.12</v>
      </c>
      <c r="C61" s="148" t="s">
        <v>402</v>
      </c>
      <c r="D61" s="148"/>
      <c r="E61" s="148"/>
      <c r="F61" s="148"/>
      <c r="G61" s="148"/>
      <c r="H61" s="148"/>
      <c r="I61" s="148">
        <f ca="1">+MET_PN!I63</f>
        <v>57.9</v>
      </c>
      <c r="J61" s="149" t="s">
        <v>102</v>
      </c>
      <c r="K61">
        <v>0</v>
      </c>
      <c r="L61" s="51">
        <f t="shared" ca="1" si="0"/>
        <v>57.9</v>
      </c>
      <c r="Q61" s="51">
        <f ca="1">+I61</f>
        <v>57.9</v>
      </c>
      <c r="R61">
        <v>4</v>
      </c>
      <c r="S61" t="e">
        <f ca="1">+Q61*R61*#REF!</f>
        <v>#REF!</v>
      </c>
      <c r="W61" t="s">
        <v>541</v>
      </c>
      <c r="Y61">
        <v>3</v>
      </c>
      <c r="Z61">
        <v>3</v>
      </c>
      <c r="AA61">
        <v>3</v>
      </c>
      <c r="AB61">
        <f t="shared" si="1"/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</row>
    <row r="62" spans="2:35" x14ac:dyDescent="0.3">
      <c r="B62" s="152" t="str">
        <f>+MET_PN!B64</f>
        <v>04.03.07.13</v>
      </c>
      <c r="C62" s="148" t="s">
        <v>403</v>
      </c>
      <c r="D62" s="148"/>
      <c r="E62" s="148"/>
      <c r="F62" s="148"/>
      <c r="G62" s="148"/>
      <c r="H62" s="148"/>
      <c r="I62" s="148">
        <f ca="1">+MET_PN!I64</f>
        <v>74.06</v>
      </c>
      <c r="J62" s="149" t="s">
        <v>102</v>
      </c>
      <c r="K62">
        <v>0</v>
      </c>
      <c r="L62" s="51">
        <f t="shared" ca="1" si="0"/>
        <v>74.06</v>
      </c>
      <c r="Q62" s="51">
        <f ca="1">+I62</f>
        <v>74.06</v>
      </c>
      <c r="R62">
        <v>6</v>
      </c>
      <c r="S62" t="e">
        <f ca="1">+Q62*R62*#REF!</f>
        <v>#REF!</v>
      </c>
      <c r="W62" t="s">
        <v>542</v>
      </c>
      <c r="Y62">
        <v>0.57140000000000002</v>
      </c>
      <c r="Z62">
        <v>0.2286</v>
      </c>
      <c r="AA62">
        <v>8</v>
      </c>
      <c r="AB62">
        <f t="shared" si="1"/>
        <v>8.8791176470588251</v>
      </c>
      <c r="AD62">
        <v>1.05132</v>
      </c>
      <c r="AE62">
        <v>0.87992000000000004</v>
      </c>
      <c r="AF62">
        <v>0.77707999999999999</v>
      </c>
      <c r="AG62">
        <v>0.62281999999999993</v>
      </c>
      <c r="AH62">
        <v>0.46856000000000003</v>
      </c>
      <c r="AI62">
        <v>8.8791176470588251</v>
      </c>
    </row>
    <row r="63" spans="2:35" x14ac:dyDescent="0.3">
      <c r="B63" s="152" t="str">
        <f>+MET_PN!B65</f>
        <v>04.03.07.14</v>
      </c>
      <c r="C63" s="148" t="s">
        <v>404</v>
      </c>
      <c r="D63" s="148"/>
      <c r="E63" s="148"/>
      <c r="F63" s="148"/>
      <c r="G63" s="148"/>
      <c r="H63" s="148"/>
      <c r="I63" s="148">
        <f ca="1">+MET_PN!I65</f>
        <v>125</v>
      </c>
      <c r="J63" s="149" t="s">
        <v>30</v>
      </c>
      <c r="K63">
        <v>0</v>
      </c>
      <c r="L63" s="51">
        <f t="shared" ca="1" si="0"/>
        <v>125</v>
      </c>
      <c r="Q63" s="51">
        <f ca="1">+I63</f>
        <v>125</v>
      </c>
      <c r="R63">
        <v>16</v>
      </c>
      <c r="S63" t="e">
        <f ca="1">+Q63*R63*#REF!</f>
        <v>#REF!</v>
      </c>
      <c r="W63" t="s">
        <v>543</v>
      </c>
      <c r="Y63">
        <v>0.57140000000000002</v>
      </c>
      <c r="Z63">
        <v>0.2286</v>
      </c>
      <c r="AA63">
        <v>8</v>
      </c>
      <c r="AB63">
        <f t="shared" si="1"/>
        <v>8.8791176470588251</v>
      </c>
      <c r="AD63">
        <v>1.05132</v>
      </c>
      <c r="AE63">
        <v>0.87992000000000004</v>
      </c>
      <c r="AF63">
        <v>0.77707999999999999</v>
      </c>
      <c r="AG63">
        <v>0.62281999999999993</v>
      </c>
      <c r="AH63">
        <v>0.46856000000000003</v>
      </c>
      <c r="AI63">
        <v>8.8791176470588251</v>
      </c>
    </row>
    <row r="64" spans="2:35" x14ac:dyDescent="0.3">
      <c r="B64" s="152" t="str">
        <f>+MET_PN!B66</f>
        <v>04.03.07.15</v>
      </c>
      <c r="C64" s="148" t="s">
        <v>405</v>
      </c>
      <c r="D64" s="148"/>
      <c r="E64" s="148"/>
      <c r="F64" s="148"/>
      <c r="G64" s="148"/>
      <c r="H64" s="148"/>
      <c r="I64" s="148">
        <f ca="1">+MET_PN!I66</f>
        <v>3</v>
      </c>
      <c r="J64" s="149" t="s">
        <v>30</v>
      </c>
      <c r="K64">
        <v>0</v>
      </c>
      <c r="L64" s="51">
        <f t="shared" ca="1" si="0"/>
        <v>3</v>
      </c>
      <c r="S64" t="e">
        <f>+Q64*R64*#REF!</f>
        <v>#REF!</v>
      </c>
    </row>
    <row r="65" spans="2:34" x14ac:dyDescent="0.3">
      <c r="B65" s="152" t="str">
        <f>+MET_PN!B67</f>
        <v>04.03.07.16</v>
      </c>
      <c r="C65" s="148" t="s">
        <v>406</v>
      </c>
      <c r="D65" s="148"/>
      <c r="E65" s="148"/>
      <c r="F65" s="148"/>
      <c r="G65" s="148"/>
      <c r="H65" s="148"/>
      <c r="I65" s="148">
        <f ca="1">+MET_PN!I67</f>
        <v>11</v>
      </c>
      <c r="J65" s="149" t="s">
        <v>102</v>
      </c>
      <c r="K65">
        <v>0</v>
      </c>
      <c r="L65" s="51">
        <f t="shared" ca="1" si="0"/>
        <v>11</v>
      </c>
      <c r="S65" t="e">
        <f>+Q65*R65*#REF!</f>
        <v>#REF!</v>
      </c>
      <c r="W65" t="s">
        <v>455</v>
      </c>
      <c r="AA65">
        <v>3</v>
      </c>
    </row>
    <row r="66" spans="2:34" x14ac:dyDescent="0.3">
      <c r="B66" s="152" t="str">
        <f>+MET_PN!B68</f>
        <v>04.03.07.17</v>
      </c>
      <c r="C66" s="148" t="s">
        <v>407</v>
      </c>
      <c r="D66" s="148"/>
      <c r="E66" s="148"/>
      <c r="F66" s="148"/>
      <c r="G66" s="148"/>
      <c r="H66" s="148"/>
      <c r="I66" s="148">
        <f ca="1">+MET_PN!I68</f>
        <v>12</v>
      </c>
      <c r="J66" s="149" t="s">
        <v>102</v>
      </c>
      <c r="K66">
        <v>0</v>
      </c>
      <c r="L66" s="51">
        <f t="shared" ca="1" si="0"/>
        <v>12</v>
      </c>
      <c r="S66" t="e">
        <f>+Q66*R66*#REF!</f>
        <v>#REF!</v>
      </c>
      <c r="W66" t="s">
        <v>456</v>
      </c>
      <c r="AA66">
        <v>42</v>
      </c>
    </row>
    <row r="67" spans="2:34" x14ac:dyDescent="0.3">
      <c r="B67" s="152" t="str">
        <f>+MET_PN!B69</f>
        <v>04.03.07.18</v>
      </c>
      <c r="C67" s="148" t="s">
        <v>408</v>
      </c>
      <c r="D67" s="148"/>
      <c r="E67" s="148"/>
      <c r="F67" s="148"/>
      <c r="G67" s="148"/>
      <c r="H67" s="148"/>
      <c r="I67" s="148">
        <f ca="1">+MET_PN!I69</f>
        <v>6</v>
      </c>
      <c r="J67" s="149" t="s">
        <v>30</v>
      </c>
      <c r="K67">
        <v>0</v>
      </c>
      <c r="L67" s="51">
        <f t="shared" ca="1" si="0"/>
        <v>6</v>
      </c>
      <c r="M67" s="1"/>
      <c r="S67" t="e">
        <f>+Q67*R67*#REF!</f>
        <v>#REF!</v>
      </c>
      <c r="W67" t="s">
        <v>544</v>
      </c>
      <c r="AA67">
        <v>22.8</v>
      </c>
    </row>
    <row r="68" spans="2:34" x14ac:dyDescent="0.3">
      <c r="B68" s="152" t="str">
        <f>+MET_PN!B70</f>
        <v>04.03.07.19</v>
      </c>
      <c r="C68" s="148" t="s">
        <v>409</v>
      </c>
      <c r="D68" s="148"/>
      <c r="E68" s="148"/>
      <c r="F68" s="148"/>
      <c r="G68" s="148"/>
      <c r="H68" s="148"/>
      <c r="I68" s="148">
        <f ca="1">+MET_PN!I70</f>
        <v>1</v>
      </c>
      <c r="J68" s="149"/>
      <c r="L68" s="51"/>
      <c r="W68" t="s">
        <v>455</v>
      </c>
      <c r="AA68">
        <v>8</v>
      </c>
    </row>
    <row r="69" spans="2:34" x14ac:dyDescent="0.3">
      <c r="B69" s="152" t="str">
        <f>+MET_PN!B71</f>
        <v>04.03.07.20</v>
      </c>
      <c r="C69" s="148" t="s">
        <v>410</v>
      </c>
      <c r="D69" s="148"/>
      <c r="E69" s="148"/>
      <c r="F69" s="148"/>
      <c r="G69" s="148"/>
      <c r="H69" s="148"/>
      <c r="I69" s="148">
        <f ca="1">+MET_PN!I71</f>
        <v>0.38</v>
      </c>
      <c r="J69" s="149" t="s">
        <v>30</v>
      </c>
      <c r="K69">
        <v>0</v>
      </c>
      <c r="L69" s="51">
        <f ca="1">+I69-K69</f>
        <v>0.38</v>
      </c>
      <c r="S69" t="e">
        <f>+Q69*R69*#REF!</f>
        <v>#REF!</v>
      </c>
    </row>
    <row r="70" spans="2:34" x14ac:dyDescent="0.3">
      <c r="B70" s="152" t="str">
        <f>+MET_PN!B72</f>
        <v>04.03.07.21</v>
      </c>
      <c r="C70" s="148" t="s">
        <v>545</v>
      </c>
      <c r="D70" s="148"/>
      <c r="E70" s="148"/>
      <c r="F70" s="148"/>
      <c r="G70" s="148"/>
      <c r="H70" s="148"/>
      <c r="I70" s="148">
        <f ca="1">+MET_PN!I72</f>
        <v>105.24000000000001</v>
      </c>
      <c r="J70" s="149" t="s">
        <v>333</v>
      </c>
      <c r="L70" s="51"/>
    </row>
    <row r="71" spans="2:34" ht="13.5" customHeight="1" x14ac:dyDescent="0.3">
      <c r="B71" s="152" t="str">
        <f>+MET_PN!B73</f>
        <v>04.03.07.22</v>
      </c>
      <c r="C71" s="148" t="s">
        <v>546</v>
      </c>
      <c r="D71" s="148"/>
      <c r="E71" s="148"/>
      <c r="F71" s="148"/>
      <c r="G71" s="148"/>
      <c r="H71" s="148"/>
      <c r="I71" s="148">
        <f ca="1">+MET_PN!I73</f>
        <v>256.66499999999996</v>
      </c>
      <c r="J71" s="149" t="s">
        <v>333</v>
      </c>
      <c r="L71" s="51"/>
      <c r="Z71" t="s">
        <v>547</v>
      </c>
    </row>
    <row r="72" spans="2:34" x14ac:dyDescent="0.3">
      <c r="B72" s="156"/>
      <c r="C72" s="148"/>
      <c r="D72" s="148"/>
      <c r="E72" s="148"/>
      <c r="F72" s="148"/>
      <c r="G72" s="148"/>
      <c r="H72" s="148"/>
      <c r="I72" s="148"/>
      <c r="J72" s="149"/>
      <c r="L72" s="51"/>
      <c r="Z72">
        <v>1.4</v>
      </c>
      <c r="AA72">
        <v>1.45</v>
      </c>
    </row>
    <row r="73" spans="2:34" x14ac:dyDescent="0.3">
      <c r="B73" s="150" t="str">
        <f>+MET_PN!B75</f>
        <v>04.03.08</v>
      </c>
      <c r="C73" s="151" t="s">
        <v>234</v>
      </c>
      <c r="D73" s="148"/>
      <c r="E73" s="148"/>
      <c r="F73" s="148"/>
      <c r="G73" s="148"/>
      <c r="H73" s="148"/>
      <c r="I73" s="148"/>
      <c r="J73" s="149"/>
      <c r="L73" s="51"/>
      <c r="Z73">
        <v>2.36</v>
      </c>
      <c r="AA73">
        <v>2.1</v>
      </c>
    </row>
    <row r="74" spans="2:34" x14ac:dyDescent="0.3">
      <c r="B74" s="152" t="str">
        <f>+MET_PN!B76</f>
        <v>04.03.08.01</v>
      </c>
      <c r="C74" s="148" t="s">
        <v>422</v>
      </c>
      <c r="D74" s="148"/>
      <c r="E74" s="157"/>
      <c r="F74" s="157"/>
      <c r="G74" s="157"/>
      <c r="H74" s="148"/>
      <c r="I74" s="148">
        <f ca="1">+MET_PN!I76</f>
        <v>145</v>
      </c>
      <c r="J74" s="149" t="s">
        <v>30</v>
      </c>
      <c r="K74">
        <v>0</v>
      </c>
      <c r="L74" s="51">
        <f t="shared" ref="L74:L88" ca="1" si="2">+I74-K74</f>
        <v>145</v>
      </c>
      <c r="Z74" t="e">
        <f>+PRODUCT(#REF!)</f>
        <v>#REF!</v>
      </c>
      <c r="AA74" t="e">
        <f>+PRODUCT(#REF!)</f>
        <v>#REF!</v>
      </c>
      <c r="AC74" t="e">
        <f>+PRODUCT(#REF!)</f>
        <v>#REF!</v>
      </c>
      <c r="AD74" t="e">
        <f>+PRODUCT(#REF!)</f>
        <v>#REF!</v>
      </c>
      <c r="AE74" t="e">
        <f>+PRODUCT(#REF!)</f>
        <v>#REF!</v>
      </c>
      <c r="AF74" t="e">
        <f>SUM(Z74:AE74)</f>
        <v>#REF!</v>
      </c>
      <c r="AG74">
        <v>0.99</v>
      </c>
      <c r="AH74" s="105" t="e">
        <f>+AF74*AG74</f>
        <v>#REF!</v>
      </c>
    </row>
    <row r="75" spans="2:34" x14ac:dyDescent="0.3">
      <c r="B75" s="152" t="str">
        <f>+MET_PN!B77</f>
        <v>04.03.08.02</v>
      </c>
      <c r="C75" s="148" t="s">
        <v>424</v>
      </c>
      <c r="D75" s="148"/>
      <c r="E75" s="157"/>
      <c r="F75" s="157"/>
      <c r="G75" s="157"/>
      <c r="H75" s="148"/>
      <c r="I75" s="148">
        <f ca="1">+MET_PN!I77</f>
        <v>57</v>
      </c>
      <c r="J75" s="149" t="s">
        <v>30</v>
      </c>
      <c r="K75">
        <v>0</v>
      </c>
      <c r="L75" s="51">
        <f t="shared" ca="1" si="2"/>
        <v>57</v>
      </c>
    </row>
    <row r="76" spans="2:34" x14ac:dyDescent="0.3">
      <c r="B76" s="152" t="str">
        <f>+MET_PN!B78</f>
        <v>04.03.08.03</v>
      </c>
      <c r="C76" s="148" t="s">
        <v>426</v>
      </c>
      <c r="D76" s="148"/>
      <c r="E76" s="157"/>
      <c r="F76" s="157"/>
      <c r="G76" s="157"/>
      <c r="H76" s="148"/>
      <c r="I76" s="148">
        <f ca="1">+MET_PN!I78</f>
        <v>2</v>
      </c>
      <c r="J76" s="149" t="s">
        <v>30</v>
      </c>
      <c r="L76" s="51"/>
    </row>
    <row r="77" spans="2:34" x14ac:dyDescent="0.3">
      <c r="B77" s="152" t="str">
        <f>+MET_PN!B79</f>
        <v>04.03.08.04</v>
      </c>
      <c r="C77" s="148" t="s">
        <v>428</v>
      </c>
      <c r="D77" s="148"/>
      <c r="E77" s="157"/>
      <c r="F77" s="157"/>
      <c r="G77" s="157"/>
      <c r="H77" s="148"/>
      <c r="I77" s="148">
        <f ca="1">+MET_PN!I79</f>
        <v>5</v>
      </c>
      <c r="J77" s="149" t="s">
        <v>30</v>
      </c>
      <c r="K77">
        <v>0</v>
      </c>
      <c r="L77" s="51">
        <f t="shared" ca="1" si="2"/>
        <v>5</v>
      </c>
    </row>
    <row r="78" spans="2:34" x14ac:dyDescent="0.3">
      <c r="B78" s="152" t="str">
        <f>+MET_PN!B80</f>
        <v>04.03.08.05</v>
      </c>
      <c r="C78" s="154" t="s">
        <v>430</v>
      </c>
      <c r="D78" s="148"/>
      <c r="E78" s="157"/>
      <c r="F78" s="157"/>
      <c r="G78" s="157"/>
      <c r="H78" s="148"/>
      <c r="I78" s="148">
        <f ca="1">+MET_PN!I80</f>
        <v>7</v>
      </c>
      <c r="J78" s="149" t="s">
        <v>30</v>
      </c>
      <c r="K78">
        <v>0</v>
      </c>
      <c r="L78" s="51">
        <f t="shared" ca="1" si="2"/>
        <v>7</v>
      </c>
      <c r="Z78" t="s">
        <v>548</v>
      </c>
    </row>
    <row r="79" spans="2:34" x14ac:dyDescent="0.3">
      <c r="B79" s="152" t="str">
        <f>+MET_PN!B81</f>
        <v>04.03.08.06</v>
      </c>
      <c r="C79" s="154" t="s">
        <v>432</v>
      </c>
      <c r="D79" s="148"/>
      <c r="E79" s="157"/>
      <c r="F79" s="157"/>
      <c r="G79" s="157"/>
      <c r="H79" s="148"/>
      <c r="I79" s="148">
        <f ca="1">+MET_PN!I81</f>
        <v>4</v>
      </c>
      <c r="J79" s="149" t="s">
        <v>30</v>
      </c>
      <c r="K79">
        <v>0</v>
      </c>
      <c r="L79" s="51">
        <f t="shared" ca="1" si="2"/>
        <v>4</v>
      </c>
    </row>
    <row r="80" spans="2:34" x14ac:dyDescent="0.3">
      <c r="B80" s="152" t="str">
        <f>+MET_PN!B82</f>
        <v>04.03.08.07</v>
      </c>
      <c r="C80" s="154" t="s">
        <v>434</v>
      </c>
      <c r="D80" s="157"/>
      <c r="E80" s="157"/>
      <c r="F80" s="157"/>
      <c r="G80" s="157"/>
      <c r="H80" s="148"/>
      <c r="I80" s="148">
        <f ca="1">+MET_PN!I82</f>
        <v>1</v>
      </c>
      <c r="J80" s="149" t="s">
        <v>30</v>
      </c>
      <c r="K80">
        <v>0</v>
      </c>
      <c r="L80" s="51">
        <f t="shared" ca="1" si="2"/>
        <v>1</v>
      </c>
      <c r="W80" t="s">
        <v>549</v>
      </c>
      <c r="Y80" t="s">
        <v>550</v>
      </c>
      <c r="Z80" t="s">
        <v>551</v>
      </c>
      <c r="AA80" t="s">
        <v>552</v>
      </c>
      <c r="AB80" t="s">
        <v>553</v>
      </c>
    </row>
    <row r="81" spans="2:32" x14ac:dyDescent="0.3">
      <c r="B81" s="152" t="str">
        <f>+MET_PN!B83</f>
        <v>04.03.08.08</v>
      </c>
      <c r="C81" s="154" t="s">
        <v>436</v>
      </c>
      <c r="D81" s="157"/>
      <c r="E81" s="157"/>
      <c r="F81" s="157"/>
      <c r="G81" s="157"/>
      <c r="H81" s="148"/>
      <c r="I81" s="148">
        <f ca="1">+MET_PN!I83</f>
        <v>2</v>
      </c>
      <c r="J81" s="149" t="s">
        <v>30</v>
      </c>
      <c r="K81">
        <v>0</v>
      </c>
      <c r="L81" s="51">
        <f t="shared" ca="1" si="2"/>
        <v>2</v>
      </c>
      <c r="Y81">
        <v>2</v>
      </c>
      <c r="Z81">
        <f>1.87+0.2</f>
        <v>2.0700000000000003</v>
      </c>
      <c r="AA81">
        <v>0.2</v>
      </c>
      <c r="AB81">
        <v>0.3</v>
      </c>
      <c r="AC81">
        <f>+PRODUCT(Y81:AB81)</f>
        <v>0.24840000000000004</v>
      </c>
    </row>
    <row r="82" spans="2:32" x14ac:dyDescent="0.3">
      <c r="B82" s="152" t="str">
        <f>+MET_PN!B84</f>
        <v>04.03.08.09</v>
      </c>
      <c r="C82" s="154" t="s">
        <v>437</v>
      </c>
      <c r="D82" s="157"/>
      <c r="E82" s="157"/>
      <c r="F82" s="157"/>
      <c r="G82" s="157"/>
      <c r="H82" s="148"/>
      <c r="I82" s="148">
        <f ca="1">+MET_PN!I84</f>
        <v>1</v>
      </c>
      <c r="J82" s="149" t="s">
        <v>30</v>
      </c>
      <c r="K82">
        <v>0</v>
      </c>
      <c r="L82" s="51">
        <f t="shared" ca="1" si="2"/>
        <v>1</v>
      </c>
      <c r="Y82">
        <v>2</v>
      </c>
      <c r="Z82">
        <v>1.3</v>
      </c>
      <c r="AA82">
        <v>0.2</v>
      </c>
      <c r="AB82">
        <v>0.3</v>
      </c>
      <c r="AC82">
        <f t="shared" ref="AC82:AC91" si="3">+PRODUCT(Y82:AB82)</f>
        <v>0.156</v>
      </c>
    </row>
    <row r="83" spans="2:32" x14ac:dyDescent="0.3">
      <c r="B83" s="152" t="str">
        <f>+MET_PN!B85</f>
        <v>04.03.08.10</v>
      </c>
      <c r="C83" s="154" t="s">
        <v>438</v>
      </c>
      <c r="D83" s="157"/>
      <c r="E83" s="157"/>
      <c r="F83" s="157"/>
      <c r="G83" s="157"/>
      <c r="H83" s="148"/>
      <c r="I83" s="148">
        <f ca="1">+MET_PN!I85</f>
        <v>4</v>
      </c>
      <c r="J83" s="149" t="s">
        <v>30</v>
      </c>
      <c r="K83">
        <v>0</v>
      </c>
      <c r="L83" s="51">
        <f t="shared" ca="1" si="2"/>
        <v>4</v>
      </c>
      <c r="Y83">
        <v>2</v>
      </c>
      <c r="Z83">
        <v>2.8</v>
      </c>
      <c r="AA83">
        <v>0.2</v>
      </c>
      <c r="AB83">
        <v>0.3</v>
      </c>
      <c r="AC83">
        <f t="shared" si="3"/>
        <v>0.33599999999999997</v>
      </c>
    </row>
    <row r="84" spans="2:32" x14ac:dyDescent="0.3">
      <c r="B84" s="152" t="str">
        <f>+MET_PN!B86</f>
        <v>04.03.08.11</v>
      </c>
      <c r="C84" s="154" t="s">
        <v>439</v>
      </c>
      <c r="D84" s="157"/>
      <c r="E84" s="157"/>
      <c r="F84" s="157"/>
      <c r="G84" s="157"/>
      <c r="H84" s="148"/>
      <c r="I84" s="148">
        <f ca="1">+MET_PN!I86</f>
        <v>23</v>
      </c>
      <c r="J84" s="149" t="s">
        <v>30</v>
      </c>
      <c r="K84">
        <v>0</v>
      </c>
      <c r="L84" s="51">
        <f t="shared" ca="1" si="2"/>
        <v>23</v>
      </c>
      <c r="Y84">
        <v>2</v>
      </c>
      <c r="Z84">
        <v>1.55</v>
      </c>
      <c r="AA84">
        <v>0.2</v>
      </c>
      <c r="AB84">
        <v>0.3</v>
      </c>
      <c r="AC84">
        <f t="shared" si="3"/>
        <v>0.18600000000000003</v>
      </c>
    </row>
    <row r="85" spans="2:32" x14ac:dyDescent="0.3">
      <c r="B85" s="152" t="str">
        <f>+MET_PN!B87</f>
        <v>04.03.08.12</v>
      </c>
      <c r="C85" s="154" t="s">
        <v>440</v>
      </c>
      <c r="D85" s="157"/>
      <c r="E85" s="157"/>
      <c r="F85" s="157"/>
      <c r="G85" s="157"/>
      <c r="H85" s="148"/>
      <c r="I85" s="148">
        <f ca="1">+MET_PN!I87</f>
        <v>9</v>
      </c>
      <c r="J85" s="149" t="s">
        <v>30</v>
      </c>
      <c r="K85">
        <v>0</v>
      </c>
      <c r="L85" s="51">
        <f t="shared" ca="1" si="2"/>
        <v>9</v>
      </c>
      <c r="Y85">
        <v>2</v>
      </c>
      <c r="Z85">
        <v>0.85</v>
      </c>
      <c r="AA85">
        <v>0.2</v>
      </c>
      <c r="AB85">
        <v>0.3</v>
      </c>
      <c r="AC85">
        <f t="shared" si="3"/>
        <v>0.10200000000000001</v>
      </c>
    </row>
    <row r="86" spans="2:32" x14ac:dyDescent="0.3">
      <c r="B86" s="152" t="str">
        <f>+MET_PN!B88</f>
        <v>04.03.08.13</v>
      </c>
      <c r="C86" s="154" t="s">
        <v>441</v>
      </c>
      <c r="D86" s="157"/>
      <c r="E86" s="157"/>
      <c r="F86" s="157"/>
      <c r="G86" s="157"/>
      <c r="H86" s="148"/>
      <c r="I86" s="148">
        <f ca="1">+MET_PN!I88</f>
        <v>5</v>
      </c>
      <c r="J86" s="149" t="s">
        <v>30</v>
      </c>
      <c r="K86">
        <v>0</v>
      </c>
      <c r="L86" s="51">
        <f t="shared" ca="1" si="2"/>
        <v>5</v>
      </c>
    </row>
    <row r="87" spans="2:32" x14ac:dyDescent="0.3">
      <c r="B87" s="152" t="str">
        <f>+MET_PN!B89</f>
        <v>04.03.08.14</v>
      </c>
      <c r="C87" s="154" t="s">
        <v>442</v>
      </c>
      <c r="D87" s="157"/>
      <c r="E87" s="157"/>
      <c r="F87" s="157"/>
      <c r="G87" s="157"/>
      <c r="H87" s="148"/>
      <c r="I87" s="148">
        <f ca="1">+MET_PN!I89</f>
        <v>8</v>
      </c>
      <c r="J87" s="149" t="s">
        <v>30</v>
      </c>
      <c r="K87">
        <v>0</v>
      </c>
      <c r="L87" s="51">
        <f t="shared" ca="1" si="2"/>
        <v>8</v>
      </c>
    </row>
    <row r="88" spans="2:32" x14ac:dyDescent="0.3">
      <c r="B88" s="158" t="str">
        <f>+MET_PN!B90</f>
        <v>04.03.08.15</v>
      </c>
      <c r="C88" s="159" t="s">
        <v>443</v>
      </c>
      <c r="D88" s="160"/>
      <c r="E88" s="160"/>
      <c r="F88" s="160"/>
      <c r="G88" s="160"/>
      <c r="H88" s="160"/>
      <c r="I88" s="160">
        <f ca="1">+MET_PN!I90</f>
        <v>3</v>
      </c>
      <c r="J88" s="161" t="s">
        <v>30</v>
      </c>
      <c r="K88">
        <v>0</v>
      </c>
      <c r="L88" s="51">
        <f t="shared" ca="1" si="2"/>
        <v>3</v>
      </c>
      <c r="W88" t="s">
        <v>554</v>
      </c>
      <c r="Y88">
        <v>1</v>
      </c>
      <c r="Z88">
        <v>1.31</v>
      </c>
      <c r="AA88">
        <v>1.3</v>
      </c>
      <c r="AB88">
        <v>0.3</v>
      </c>
      <c r="AC88">
        <f t="shared" si="3"/>
        <v>0.51090000000000002</v>
      </c>
    </row>
    <row r="89" spans="2:32" x14ac:dyDescent="0.3">
      <c r="D89" s="22"/>
      <c r="E89" s="22"/>
      <c r="F89" s="22"/>
      <c r="G89" s="22"/>
      <c r="H89" s="22"/>
      <c r="I89" s="22"/>
      <c r="J89" s="66"/>
      <c r="Y89">
        <v>1</v>
      </c>
      <c r="Z89">
        <v>0.96</v>
      </c>
      <c r="AA89">
        <v>1.3</v>
      </c>
      <c r="AB89">
        <v>0.3</v>
      </c>
      <c r="AC89">
        <f t="shared" si="3"/>
        <v>0.37440000000000001</v>
      </c>
    </row>
    <row r="90" spans="2:32" x14ac:dyDescent="0.3">
      <c r="D90" s="22"/>
      <c r="E90" s="22"/>
      <c r="G90" s="22"/>
      <c r="H90" s="22"/>
      <c r="I90" s="22"/>
      <c r="J90" s="66"/>
    </row>
    <row r="91" spans="2:32" x14ac:dyDescent="0.3">
      <c r="D91" s="22"/>
      <c r="E91" s="22"/>
      <c r="F91" s="22"/>
      <c r="G91" s="22"/>
      <c r="H91" s="22"/>
      <c r="I91" s="22"/>
      <c r="J91" s="66"/>
      <c r="W91" t="s">
        <v>445</v>
      </c>
      <c r="Y91">
        <v>1</v>
      </c>
      <c r="Z91">
        <f>1.3+0.2+2.8+1.55</f>
        <v>5.85</v>
      </c>
      <c r="AA91">
        <v>1.3</v>
      </c>
      <c r="AB91">
        <v>0.3</v>
      </c>
      <c r="AC91">
        <f t="shared" si="3"/>
        <v>2.2814999999999999</v>
      </c>
    </row>
    <row r="92" spans="2:32" x14ac:dyDescent="0.3">
      <c r="D92" s="22"/>
      <c r="E92" s="22"/>
      <c r="F92" s="22"/>
      <c r="G92" s="22"/>
      <c r="H92" s="22"/>
      <c r="I92" s="22"/>
      <c r="J92" s="66"/>
      <c r="AC92" s="105">
        <f>+SUM(AC81:AC91)</f>
        <v>4.1951999999999998</v>
      </c>
      <c r="AD92" s="105" t="s">
        <v>446</v>
      </c>
      <c r="AE92" s="104">
        <f>+AC92*9.5</f>
        <v>39.854399999999998</v>
      </c>
      <c r="AF92" s="104" t="s">
        <v>447</v>
      </c>
    </row>
    <row r="93" spans="2:32" s="1" customFormat="1" ht="13.2" x14ac:dyDescent="0.25">
      <c r="B93" s="36"/>
      <c r="C93" s="37"/>
      <c r="D93" s="37"/>
      <c r="E93" s="37"/>
      <c r="F93" s="37"/>
      <c r="G93" s="37"/>
      <c r="H93" s="37"/>
      <c r="I93" s="37"/>
      <c r="J93" s="37"/>
    </row>
  </sheetData>
  <mergeCells count="9">
    <mergeCell ref="B10:J10"/>
    <mergeCell ref="H11:I11"/>
    <mergeCell ref="C1:H1"/>
    <mergeCell ref="C2:H2"/>
    <mergeCell ref="C3:H3"/>
    <mergeCell ref="C4:H4"/>
    <mergeCell ref="B6:J6"/>
    <mergeCell ref="B8:J8"/>
    <mergeCell ref="C9:G9"/>
  </mergeCells>
  <pageMargins left="0.70866141732283472" right="0.70866141732283472" top="0.74803149606299213" bottom="0.74803149606299213" header="0.31496062992125984" footer="0.31496062992125984"/>
  <pageSetup paperSize="9" scale="52"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A131-34FD-41EF-A1B9-B7B4A0E11A87}">
  <sheetPr>
    <tabColor theme="4" tint="0.59999389629810485"/>
  </sheetPr>
  <dimension ref="B1:AI1914"/>
  <sheetViews>
    <sheetView view="pageBreakPreview" topLeftCell="A16" zoomScale="60" zoomScaleNormal="100" workbookViewId="0">
      <pane ySplit="1" topLeftCell="A1862" activePane="bottomLeft" state="frozen"/>
      <selection activeCell="A16" sqref="A16"/>
      <selection pane="bottomLeft" activeCell="G42" sqref="G42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48.6640625" style="1" customWidth="1"/>
    <col min="4" max="4" width="11.44140625" style="1"/>
    <col min="5" max="5" width="8" style="1" customWidth="1"/>
    <col min="6" max="6" width="11.44140625" style="1" customWidth="1"/>
    <col min="7" max="7" width="20.44140625" style="1" customWidth="1"/>
    <col min="8" max="8" width="11.44140625" style="1" customWidth="1"/>
    <col min="9" max="9" width="16.6640625" style="1" customWidth="1"/>
    <col min="10" max="10" width="8.88671875" style="1" customWidth="1"/>
    <col min="25" max="27" width="11.44140625" customWidth="1"/>
    <col min="28" max="28" width="16.5546875" bestFit="1" customWidth="1"/>
  </cols>
  <sheetData>
    <row r="1" spans="2:11" x14ac:dyDescent="0.3">
      <c r="C1" s="128" t="s">
        <v>0</v>
      </c>
      <c r="D1" s="128"/>
      <c r="E1" s="128"/>
      <c r="F1" s="128"/>
      <c r="G1" s="128"/>
      <c r="H1" s="128"/>
    </row>
    <row r="2" spans="2:11" x14ac:dyDescent="0.3">
      <c r="C2" s="128" t="s">
        <v>1</v>
      </c>
      <c r="D2" s="128"/>
      <c r="E2" s="128"/>
      <c r="F2" s="128"/>
      <c r="G2" s="128"/>
      <c r="H2" s="128"/>
    </row>
    <row r="3" spans="2:11" x14ac:dyDescent="0.3">
      <c r="C3" s="128" t="s">
        <v>2</v>
      </c>
      <c r="D3" s="128"/>
      <c r="E3" s="128"/>
      <c r="F3" s="128"/>
      <c r="G3" s="128"/>
      <c r="H3" s="128"/>
    </row>
    <row r="4" spans="2:11" x14ac:dyDescent="0.3">
      <c r="C4" s="129" t="s">
        <v>3</v>
      </c>
      <c r="D4" s="129"/>
      <c r="E4" s="129"/>
      <c r="F4" s="129"/>
      <c r="G4" s="129"/>
      <c r="H4" s="129"/>
    </row>
    <row r="5" spans="2:11" x14ac:dyDescent="0.3">
      <c r="C5" s="52"/>
      <c r="D5" s="52"/>
      <c r="E5" s="52"/>
      <c r="F5" s="52"/>
      <c r="G5" s="52"/>
      <c r="H5" s="52"/>
    </row>
    <row r="6" spans="2:11" x14ac:dyDescent="0.3">
      <c r="B6" s="133" t="s">
        <v>4</v>
      </c>
      <c r="C6" s="134"/>
      <c r="D6" s="134"/>
      <c r="E6" s="134"/>
      <c r="F6" s="134"/>
      <c r="G6" s="134"/>
      <c r="H6" s="134"/>
      <c r="I6" s="134"/>
      <c r="J6" s="135"/>
    </row>
    <row r="8" spans="2:11" x14ac:dyDescent="0.3">
      <c r="B8" s="136" t="s">
        <v>512</v>
      </c>
      <c r="C8" s="136"/>
      <c r="D8" s="136"/>
      <c r="E8" s="136"/>
      <c r="F8" s="136"/>
      <c r="G8" s="136"/>
      <c r="H8" s="136"/>
      <c r="I8" s="136"/>
      <c r="J8" s="136"/>
    </row>
    <row r="9" spans="2:11" ht="15" thickBot="1" x14ac:dyDescent="0.35">
      <c r="B9" s="53"/>
      <c r="C9" s="53"/>
      <c r="D9" s="53"/>
      <c r="E9" s="53"/>
      <c r="F9" s="53"/>
      <c r="G9" s="53"/>
      <c r="H9" s="53"/>
      <c r="I9" s="53"/>
      <c r="J9" s="53"/>
    </row>
    <row r="10" spans="2:11" ht="31.5" customHeight="1" x14ac:dyDescent="0.3">
      <c r="B10" s="123" t="s">
        <v>6</v>
      </c>
      <c r="C10" s="124"/>
      <c r="D10" s="124"/>
      <c r="E10" s="124"/>
      <c r="F10" s="124"/>
      <c r="G10" s="124"/>
      <c r="H10" s="124"/>
      <c r="I10" s="124"/>
      <c r="J10" s="125"/>
    </row>
    <row r="11" spans="2:11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126">
        <v>42887</v>
      </c>
      <c r="I11" s="126"/>
      <c r="J11" s="7"/>
    </row>
    <row r="12" spans="2:11" x14ac:dyDescent="0.3">
      <c r="B12" s="2" t="s">
        <v>10</v>
      </c>
      <c r="C12" s="3" t="s">
        <v>11</v>
      </c>
      <c r="F12" s="3"/>
      <c r="G12" s="8" t="s">
        <v>12</v>
      </c>
      <c r="H12" s="4" t="s">
        <v>11</v>
      </c>
      <c r="I12" s="9"/>
      <c r="J12" s="10"/>
    </row>
    <row r="13" spans="2:11" x14ac:dyDescent="0.3">
      <c r="B13" s="2" t="s">
        <v>13</v>
      </c>
      <c r="C13" s="3" t="s">
        <v>11</v>
      </c>
      <c r="F13" s="3"/>
      <c r="G13" s="8" t="s">
        <v>14</v>
      </c>
      <c r="H13" s="4" t="s">
        <v>15</v>
      </c>
      <c r="I13" s="9"/>
      <c r="J13" s="10"/>
    </row>
    <row r="14" spans="2:11" ht="15" thickBot="1" x14ac:dyDescent="0.35">
      <c r="B14" s="11" t="s">
        <v>16</v>
      </c>
      <c r="C14" s="12" t="s">
        <v>17</v>
      </c>
      <c r="D14" s="13"/>
      <c r="E14" s="13"/>
      <c r="F14" s="12"/>
      <c r="G14" s="14" t="s">
        <v>18</v>
      </c>
      <c r="H14" s="15" t="s">
        <v>19</v>
      </c>
      <c r="I14" s="16"/>
      <c r="J14" s="17"/>
    </row>
    <row r="15" spans="2:11" x14ac:dyDescent="0.3">
      <c r="B15" s="18"/>
      <c r="C15" s="3"/>
      <c r="F15" s="3"/>
      <c r="G15" s="8"/>
      <c r="H15" s="4"/>
      <c r="I15" s="9"/>
      <c r="J15" s="19"/>
    </row>
    <row r="16" spans="2:11" x14ac:dyDescent="0.3">
      <c r="B16" s="46" t="s">
        <v>20</v>
      </c>
      <c r="C16" s="47" t="s">
        <v>21</v>
      </c>
      <c r="D16" s="48"/>
      <c r="E16" s="48"/>
      <c r="F16" s="48"/>
      <c r="G16" s="48"/>
      <c r="H16" s="49"/>
      <c r="I16" s="50" t="s">
        <v>22</v>
      </c>
      <c r="J16" s="50" t="s">
        <v>23</v>
      </c>
      <c r="K16" t="s">
        <v>444</v>
      </c>
    </row>
    <row r="17" spans="2:10" x14ac:dyDescent="0.3">
      <c r="B17" s="70">
        <v>4</v>
      </c>
      <c r="C17" s="71" t="s">
        <v>330</v>
      </c>
      <c r="D17" s="22"/>
      <c r="E17" s="22"/>
      <c r="F17" s="22"/>
      <c r="G17" s="22"/>
      <c r="H17" s="23"/>
      <c r="I17" s="24"/>
      <c r="J17" s="25"/>
    </row>
    <row r="18" spans="2:10" x14ac:dyDescent="0.3">
      <c r="B18" s="70">
        <f>+B110</f>
        <v>4.03</v>
      </c>
      <c r="C18" s="71" t="str">
        <f>LOOKUP(B18,$B$110:$B$1790,$C$110:$C$1790)</f>
        <v>SISTEMA DE DRENAJE PLUVIAL</v>
      </c>
      <c r="D18" s="22"/>
      <c r="E18" s="22"/>
      <c r="F18" s="22"/>
      <c r="G18" s="22"/>
      <c r="H18" s="23"/>
      <c r="I18" s="24"/>
      <c r="J18" s="25"/>
    </row>
    <row r="19" spans="2:10" x14ac:dyDescent="0.3">
      <c r="B19" s="72" t="s">
        <v>183</v>
      </c>
      <c r="C19" s="73" t="s">
        <v>331</v>
      </c>
      <c r="D19" s="22"/>
      <c r="E19" s="22"/>
      <c r="F19" s="22"/>
      <c r="G19" s="22"/>
      <c r="H19" s="23"/>
      <c r="I19" s="24"/>
      <c r="J19" s="25"/>
    </row>
    <row r="20" spans="2:10" x14ac:dyDescent="0.3">
      <c r="B20" s="24" t="s">
        <v>185</v>
      </c>
      <c r="C20" s="22" t="s">
        <v>332</v>
      </c>
      <c r="D20" s="22"/>
      <c r="E20" s="22"/>
      <c r="F20" s="22"/>
      <c r="G20" s="22"/>
      <c r="H20" s="23"/>
      <c r="I20" s="24">
        <f ca="1">SUMIF($B$110:$J$1937,B20,$I$110:$I$1937)</f>
        <v>422.18134000000003</v>
      </c>
      <c r="J20" s="25" t="s">
        <v>333</v>
      </c>
    </row>
    <row r="21" spans="2:10" x14ac:dyDescent="0.3">
      <c r="B21" s="24" t="s">
        <v>187</v>
      </c>
      <c r="C21" s="22" t="s">
        <v>334</v>
      </c>
      <c r="D21" s="22"/>
      <c r="E21" s="22"/>
      <c r="F21" s="22"/>
      <c r="G21" s="22"/>
      <c r="H21" s="23"/>
      <c r="I21" s="24">
        <f ca="1">SUMIF($B$110:$J$1937,B21,$I$110:$I$1937)</f>
        <v>422.18134000000003</v>
      </c>
      <c r="J21" s="25" t="s">
        <v>333</v>
      </c>
    </row>
    <row r="22" spans="2:10" x14ac:dyDescent="0.3">
      <c r="B22" s="70"/>
      <c r="C22" s="22"/>
      <c r="D22" s="22"/>
      <c r="E22" s="22"/>
      <c r="F22" s="22"/>
      <c r="G22" s="22"/>
      <c r="H22" s="23"/>
      <c r="I22" s="24"/>
      <c r="J22" s="25"/>
    </row>
    <row r="23" spans="2:10" x14ac:dyDescent="0.3">
      <c r="B23" s="72" t="s">
        <v>201</v>
      </c>
      <c r="C23" s="73" t="s">
        <v>335</v>
      </c>
      <c r="D23" s="22"/>
      <c r="E23" s="22"/>
      <c r="F23" s="22"/>
      <c r="G23" s="22"/>
      <c r="H23" s="23"/>
      <c r="I23" s="24"/>
      <c r="J23" s="25"/>
    </row>
    <row r="24" spans="2:10" x14ac:dyDescent="0.3">
      <c r="B24" s="24" t="s">
        <v>203</v>
      </c>
      <c r="C24" s="22" t="s">
        <v>336</v>
      </c>
      <c r="D24" s="22"/>
      <c r="E24" s="22"/>
      <c r="F24" s="22"/>
      <c r="G24" s="22"/>
      <c r="H24" s="23"/>
      <c r="I24" s="24">
        <f ca="1">SUMIF($B$110:$J$1937,B24,$I$110:$I$1937)</f>
        <v>20.625</v>
      </c>
      <c r="J24" s="25" t="s">
        <v>337</v>
      </c>
    </row>
    <row r="25" spans="2:10" x14ac:dyDescent="0.3">
      <c r="B25" s="24" t="s">
        <v>205</v>
      </c>
      <c r="C25" s="22" t="s">
        <v>338</v>
      </c>
      <c r="D25" s="22"/>
      <c r="E25" s="22"/>
      <c r="F25" s="22"/>
      <c r="G25" s="22"/>
      <c r="H25" s="23"/>
      <c r="I25" s="24">
        <f ca="1">SUMIF($B$110:$J$1937,B25,$I$110:$I$1937)</f>
        <v>108</v>
      </c>
      <c r="J25" s="25" t="s">
        <v>333</v>
      </c>
    </row>
    <row r="26" spans="2:10" x14ac:dyDescent="0.3">
      <c r="B26" s="70"/>
      <c r="C26" s="22"/>
      <c r="D26" s="22"/>
      <c r="E26" s="22"/>
      <c r="F26" s="22"/>
      <c r="G26" s="22"/>
      <c r="H26" s="23"/>
      <c r="I26" s="24"/>
      <c r="J26" s="25"/>
    </row>
    <row r="27" spans="2:10" x14ac:dyDescent="0.3">
      <c r="B27" s="72" t="s">
        <v>233</v>
      </c>
      <c r="C27" s="73" t="s">
        <v>339</v>
      </c>
      <c r="D27" s="22"/>
      <c r="E27" s="22"/>
      <c r="F27" s="22"/>
      <c r="G27" s="22"/>
      <c r="H27" s="23"/>
      <c r="I27" s="24"/>
      <c r="J27" s="25"/>
    </row>
    <row r="28" spans="2:10" x14ac:dyDescent="0.3">
      <c r="B28" s="24" t="s">
        <v>235</v>
      </c>
      <c r="C28" s="22" t="s">
        <v>340</v>
      </c>
      <c r="D28" s="22"/>
      <c r="E28" s="22"/>
      <c r="F28" s="22"/>
      <c r="G28" s="22"/>
      <c r="H28" s="23"/>
      <c r="I28" s="24">
        <f ca="1">SUMIF($B$110:$J$1937,B28,$I$110:$I$1937)</f>
        <v>108</v>
      </c>
      <c r="J28" s="25" t="s">
        <v>333</v>
      </c>
    </row>
    <row r="29" spans="2:10" x14ac:dyDescent="0.3">
      <c r="B29" s="24" t="s">
        <v>237</v>
      </c>
      <c r="C29" s="22" t="s">
        <v>341</v>
      </c>
      <c r="D29" s="22"/>
      <c r="E29" s="22"/>
      <c r="F29" s="22"/>
      <c r="G29" s="22"/>
      <c r="H29" s="23"/>
      <c r="I29" s="24">
        <f ca="1">SUMIF($B$110:$J$1937,B29,$I$110:$I$1937)</f>
        <v>18</v>
      </c>
      <c r="J29" s="25" t="s">
        <v>333</v>
      </c>
    </row>
    <row r="30" spans="2:10" x14ac:dyDescent="0.3">
      <c r="B30" s="70"/>
      <c r="C30" s="22"/>
      <c r="D30" s="22"/>
      <c r="E30" s="22"/>
      <c r="F30" s="22"/>
      <c r="G30" s="22"/>
      <c r="H30" s="23"/>
      <c r="I30" s="24"/>
      <c r="J30" s="25"/>
    </row>
    <row r="31" spans="2:10" x14ac:dyDescent="0.3">
      <c r="B31" s="72" t="s">
        <v>344</v>
      </c>
      <c r="C31" s="73" t="s">
        <v>342</v>
      </c>
      <c r="D31" s="22"/>
      <c r="E31" s="22"/>
      <c r="F31" s="22"/>
      <c r="G31" s="22"/>
      <c r="H31" s="23"/>
      <c r="I31" s="24"/>
      <c r="J31" s="25"/>
    </row>
    <row r="32" spans="2:10" x14ac:dyDescent="0.3">
      <c r="B32" s="24" t="s">
        <v>346</v>
      </c>
      <c r="C32" s="22" t="s">
        <v>343</v>
      </c>
      <c r="D32" s="22"/>
      <c r="E32" s="22"/>
      <c r="F32" s="22"/>
      <c r="G32" s="22"/>
      <c r="H32" s="23"/>
      <c r="I32" s="24">
        <f ca="1">SUMIF($B$110:$J$1937,B32,$I$110:$I$1937)</f>
        <v>31.425000000000001</v>
      </c>
      <c r="J32" s="25" t="s">
        <v>337</v>
      </c>
    </row>
    <row r="33" spans="2:12" x14ac:dyDescent="0.3">
      <c r="B33" s="70"/>
      <c r="C33" s="22"/>
      <c r="D33" s="22"/>
      <c r="E33" s="22"/>
      <c r="F33" s="22"/>
      <c r="G33" s="22"/>
      <c r="H33" s="23"/>
      <c r="I33" s="24"/>
      <c r="J33" s="25"/>
    </row>
    <row r="34" spans="2:12" x14ac:dyDescent="0.3">
      <c r="B34" s="72" t="s">
        <v>359</v>
      </c>
      <c r="C34" s="73" t="s">
        <v>345</v>
      </c>
      <c r="D34" s="22"/>
      <c r="E34" s="22"/>
      <c r="F34" s="22"/>
      <c r="G34" s="22"/>
      <c r="H34" s="23"/>
      <c r="I34" s="24"/>
      <c r="J34" s="25"/>
    </row>
    <row r="35" spans="2:12" x14ac:dyDescent="0.3">
      <c r="B35" s="24" t="s">
        <v>361</v>
      </c>
      <c r="C35" s="22" t="s">
        <v>347</v>
      </c>
      <c r="D35" s="22"/>
      <c r="E35" s="22"/>
      <c r="F35" s="22"/>
      <c r="G35" s="22"/>
      <c r="H35" s="23"/>
      <c r="I35" s="24">
        <f t="shared" ref="I35:I45" ca="1" si="0">SUMIF($B$110:$J$1937,B35,$I$110:$I$1937)</f>
        <v>61.972930000000012</v>
      </c>
      <c r="J35" s="25" t="s">
        <v>337</v>
      </c>
    </row>
    <row r="36" spans="2:12" x14ac:dyDescent="0.3">
      <c r="B36" s="24" t="s">
        <v>363</v>
      </c>
      <c r="C36" s="22" t="s">
        <v>348</v>
      </c>
      <c r="D36" s="22"/>
      <c r="E36" s="22"/>
      <c r="F36" s="22"/>
      <c r="G36" s="22"/>
      <c r="H36" s="23"/>
      <c r="I36" s="24">
        <f t="shared" ca="1" si="0"/>
        <v>38.437900000000006</v>
      </c>
      <c r="J36" s="25" t="s">
        <v>337</v>
      </c>
    </row>
    <row r="37" spans="2:12" x14ac:dyDescent="0.3">
      <c r="B37" s="24" t="s">
        <v>555</v>
      </c>
      <c r="C37" s="22" t="s">
        <v>349</v>
      </c>
      <c r="D37" s="22"/>
      <c r="E37" s="22"/>
      <c r="F37" s="22"/>
      <c r="G37" s="22"/>
      <c r="H37" s="23"/>
      <c r="I37" s="24">
        <f t="shared" ca="1" si="0"/>
        <v>96</v>
      </c>
      <c r="J37" s="25" t="s">
        <v>337</v>
      </c>
    </row>
    <row r="38" spans="2:12" x14ac:dyDescent="0.3">
      <c r="B38" s="24" t="s">
        <v>556</v>
      </c>
      <c r="C38" s="115" t="s">
        <v>350</v>
      </c>
      <c r="D38" s="22"/>
      <c r="E38" s="22"/>
      <c r="F38" s="22"/>
      <c r="G38" s="22"/>
      <c r="H38" s="23"/>
      <c r="I38" s="24">
        <f t="shared" ca="1" si="0"/>
        <v>127.25600000000003</v>
      </c>
      <c r="J38" s="25" t="s">
        <v>333</v>
      </c>
    </row>
    <row r="39" spans="2:12" x14ac:dyDescent="0.3">
      <c r="B39" s="24" t="s">
        <v>557</v>
      </c>
      <c r="C39" s="115" t="s">
        <v>351</v>
      </c>
      <c r="D39" s="22"/>
      <c r="E39" s="22"/>
      <c r="F39" s="22"/>
      <c r="G39" s="22"/>
      <c r="H39" s="23"/>
      <c r="I39" s="24">
        <f t="shared" ca="1" si="0"/>
        <v>264.95115091843331</v>
      </c>
      <c r="J39" s="25" t="s">
        <v>337</v>
      </c>
    </row>
    <row r="40" spans="2:12" x14ac:dyDescent="0.3">
      <c r="B40" s="24" t="s">
        <v>558</v>
      </c>
      <c r="C40" s="27" t="s">
        <v>352</v>
      </c>
      <c r="D40" s="22"/>
      <c r="E40" s="22"/>
      <c r="F40" s="22"/>
      <c r="G40" s="22"/>
      <c r="H40" s="23"/>
      <c r="I40" s="24">
        <f t="shared" ca="1" si="0"/>
        <v>297.56200000000001</v>
      </c>
      <c r="J40" s="25" t="s">
        <v>333</v>
      </c>
    </row>
    <row r="41" spans="2:12" x14ac:dyDescent="0.3">
      <c r="B41" s="24" t="s">
        <v>559</v>
      </c>
      <c r="C41" s="27" t="s">
        <v>353</v>
      </c>
      <c r="D41" s="22"/>
      <c r="E41" s="22"/>
      <c r="F41" s="22"/>
      <c r="G41" s="22"/>
      <c r="H41" s="23"/>
      <c r="I41" s="24">
        <f t="shared" ca="1" si="0"/>
        <v>1081.1380799999999</v>
      </c>
      <c r="J41" s="25" t="s">
        <v>333</v>
      </c>
    </row>
    <row r="42" spans="2:12" x14ac:dyDescent="0.3">
      <c r="B42" s="24" t="s">
        <v>560</v>
      </c>
      <c r="C42" s="27" t="s">
        <v>354</v>
      </c>
      <c r="D42" s="22"/>
      <c r="E42" s="22"/>
      <c r="F42" s="22"/>
      <c r="G42" s="22"/>
      <c r="H42" s="23"/>
      <c r="I42" s="24">
        <f t="shared" ca="1" si="0"/>
        <v>5273.9133047079522</v>
      </c>
      <c r="J42" s="25" t="s">
        <v>355</v>
      </c>
    </row>
    <row r="43" spans="2:12" x14ac:dyDescent="0.3">
      <c r="B43" s="24" t="s">
        <v>561</v>
      </c>
      <c r="C43" s="27" t="s">
        <v>356</v>
      </c>
      <c r="D43" s="22"/>
      <c r="E43" s="22"/>
      <c r="F43" s="22"/>
      <c r="G43" s="22"/>
      <c r="H43" s="23"/>
      <c r="I43" s="24">
        <f t="shared" ca="1" si="0"/>
        <v>56.607799999999997</v>
      </c>
      <c r="J43" s="25" t="s">
        <v>337</v>
      </c>
    </row>
    <row r="44" spans="2:12" x14ac:dyDescent="0.3">
      <c r="B44" s="24" t="s">
        <v>562</v>
      </c>
      <c r="C44" s="27" t="s">
        <v>357</v>
      </c>
      <c r="D44" s="22"/>
      <c r="E44" s="22"/>
      <c r="F44" s="22"/>
      <c r="G44" s="22"/>
      <c r="H44" s="23"/>
      <c r="I44" s="24">
        <f t="shared" ca="1" si="0"/>
        <v>152.36280296822446</v>
      </c>
      <c r="J44" s="25" t="s">
        <v>337</v>
      </c>
    </row>
    <row r="45" spans="2:12" x14ac:dyDescent="0.3">
      <c r="B45" s="24" t="s">
        <v>563</v>
      </c>
      <c r="C45" s="27" t="s">
        <v>358</v>
      </c>
      <c r="D45" s="22"/>
      <c r="E45" s="22"/>
      <c r="F45" s="22"/>
      <c r="G45" s="22"/>
      <c r="H45" s="23"/>
      <c r="I45" s="24">
        <f t="shared" ca="1" si="0"/>
        <v>152.36280296822446</v>
      </c>
      <c r="J45" s="25" t="s">
        <v>337</v>
      </c>
    </row>
    <row r="46" spans="2:12" x14ac:dyDescent="0.3">
      <c r="B46" s="70"/>
      <c r="C46" s="27"/>
      <c r="D46" s="22"/>
      <c r="E46" s="22"/>
      <c r="F46" s="22"/>
      <c r="G46" s="22"/>
      <c r="H46" s="23"/>
      <c r="I46" s="24"/>
      <c r="J46" s="25"/>
    </row>
    <row r="47" spans="2:12" x14ac:dyDescent="0.3">
      <c r="B47" s="72" t="s">
        <v>365</v>
      </c>
      <c r="C47" s="73" t="s">
        <v>360</v>
      </c>
      <c r="D47" s="22"/>
      <c r="E47" s="22"/>
      <c r="F47" s="22"/>
      <c r="G47" s="22"/>
      <c r="H47" s="23"/>
      <c r="I47" s="24"/>
      <c r="J47" s="25"/>
    </row>
    <row r="48" spans="2:12" x14ac:dyDescent="0.3">
      <c r="B48" s="24" t="s">
        <v>366</v>
      </c>
      <c r="C48" s="45" t="s">
        <v>362</v>
      </c>
      <c r="D48" s="22"/>
      <c r="E48" s="22"/>
      <c r="F48" s="22"/>
      <c r="G48" s="22"/>
      <c r="H48" s="23"/>
      <c r="I48" s="24">
        <f ca="1">SUMIF($B$110:$J$1937,B48,$I$110:$I$1937)</f>
        <v>93.915999999999997</v>
      </c>
      <c r="J48" s="25" t="s">
        <v>333</v>
      </c>
      <c r="K48">
        <v>0</v>
      </c>
      <c r="L48" s="51">
        <f ca="1">+I48-K48</f>
        <v>93.915999999999997</v>
      </c>
    </row>
    <row r="49" spans="2:35" x14ac:dyDescent="0.3">
      <c r="B49" s="24" t="s">
        <v>367</v>
      </c>
      <c r="C49" s="27" t="s">
        <v>364</v>
      </c>
      <c r="D49" s="22"/>
      <c r="E49" s="22"/>
      <c r="F49" s="22"/>
      <c r="G49" s="22"/>
      <c r="H49" s="23"/>
      <c r="I49" s="24">
        <f ca="1">SUMIF($B$110:$J$1937,B49,$I$110:$I$1937)</f>
        <v>33.340000000000003</v>
      </c>
      <c r="J49" s="25" t="s">
        <v>333</v>
      </c>
      <c r="K49">
        <v>0</v>
      </c>
      <c r="L49" s="51">
        <f ca="1">+I49-K49</f>
        <v>33.340000000000003</v>
      </c>
    </row>
    <row r="50" spans="2:35" x14ac:dyDescent="0.3">
      <c r="B50" s="70"/>
      <c r="C50" s="27"/>
      <c r="D50" s="22"/>
      <c r="E50" s="22"/>
      <c r="F50" s="22"/>
      <c r="G50" s="22"/>
      <c r="H50" s="23"/>
      <c r="I50" s="24"/>
      <c r="J50" s="25"/>
      <c r="M50" t="s">
        <v>520</v>
      </c>
      <c r="N50" t="s">
        <v>521</v>
      </c>
      <c r="O50" t="s">
        <v>522</v>
      </c>
    </row>
    <row r="51" spans="2:35" x14ac:dyDescent="0.3">
      <c r="B51" s="72" t="s">
        <v>368</v>
      </c>
      <c r="C51" s="73" t="s">
        <v>202</v>
      </c>
      <c r="D51" s="22"/>
      <c r="E51" s="22"/>
      <c r="F51" s="22"/>
      <c r="G51" s="22"/>
      <c r="H51" s="23"/>
      <c r="I51" s="24"/>
      <c r="J51" s="25"/>
      <c r="L51" s="51"/>
    </row>
    <row r="52" spans="2:35" x14ac:dyDescent="0.3">
      <c r="B52" s="42" t="str">
        <f>+B714</f>
        <v>04.03.07.01</v>
      </c>
      <c r="C52" s="45" t="s">
        <v>385</v>
      </c>
      <c r="D52" s="22"/>
      <c r="E52" s="22"/>
      <c r="F52" s="22"/>
      <c r="G52" s="22"/>
      <c r="H52" s="23"/>
      <c r="I52" s="24">
        <f t="shared" ref="I52:I73" ca="1" si="1">SUMIF($B$110:$J$1937,B52,$I$110:$I$1937)</f>
        <v>55.55</v>
      </c>
      <c r="J52" s="25" t="s">
        <v>102</v>
      </c>
      <c r="K52">
        <v>0</v>
      </c>
      <c r="L52" s="51">
        <f t="shared" ref="L52:L69" ca="1" si="2">+I52-K52</f>
        <v>55.55</v>
      </c>
      <c r="S52" t="e">
        <f>+Q52*R52*#REF!</f>
        <v>#REF!</v>
      </c>
      <c r="Y52" t="s">
        <v>523</v>
      </c>
      <c r="Z52" t="s">
        <v>524</v>
      </c>
      <c r="AA52" t="s">
        <v>525</v>
      </c>
      <c r="AB52" t="s">
        <v>526</v>
      </c>
      <c r="AD52" t="s">
        <v>527</v>
      </c>
      <c r="AE52" t="s">
        <v>528</v>
      </c>
      <c r="AF52" t="s">
        <v>529</v>
      </c>
      <c r="AG52" t="s">
        <v>530</v>
      </c>
      <c r="AH52" t="s">
        <v>531</v>
      </c>
      <c r="AI52" t="s">
        <v>526</v>
      </c>
    </row>
    <row r="53" spans="2:35" x14ac:dyDescent="0.3">
      <c r="B53" s="42" t="s">
        <v>370</v>
      </c>
      <c r="C53" s="45" t="s">
        <v>387</v>
      </c>
      <c r="D53" s="22"/>
      <c r="E53" s="22"/>
      <c r="F53" s="22"/>
      <c r="G53" s="22"/>
      <c r="H53" s="23"/>
      <c r="I53" s="24">
        <f t="shared" ca="1" si="1"/>
        <v>24.4</v>
      </c>
      <c r="J53" s="25" t="s">
        <v>102</v>
      </c>
      <c r="K53">
        <v>0</v>
      </c>
      <c r="L53" s="51">
        <f t="shared" ca="1" si="2"/>
        <v>24.4</v>
      </c>
      <c r="S53" t="e">
        <f>+Q53*R53*#REF!</f>
        <v>#REF!</v>
      </c>
      <c r="Y53">
        <f>0.6*1</f>
        <v>0.6</v>
      </c>
      <c r="Z53">
        <f>1*1</f>
        <v>1</v>
      </c>
      <c r="AA53">
        <f>1.45*4.5</f>
        <v>6.5249999999999995</v>
      </c>
      <c r="AB53">
        <f>1.3*5.5</f>
        <v>7.15</v>
      </c>
      <c r="AD53">
        <v>4.0000000000000008E-2</v>
      </c>
      <c r="AE53">
        <v>0.24</v>
      </c>
      <c r="AF53">
        <v>0.36</v>
      </c>
      <c r="AG53">
        <v>0.54</v>
      </c>
      <c r="AH53">
        <v>0.72</v>
      </c>
      <c r="AI53">
        <v>7.15</v>
      </c>
    </row>
    <row r="54" spans="2:35" x14ac:dyDescent="0.3">
      <c r="B54" s="94" t="str">
        <f>+B1600</f>
        <v>04.03.07.03</v>
      </c>
      <c r="C54" s="22" t="s">
        <v>389</v>
      </c>
      <c r="D54" s="22"/>
      <c r="E54" s="22"/>
      <c r="F54" s="22"/>
      <c r="G54" s="22"/>
      <c r="H54" s="23"/>
      <c r="I54" s="24">
        <f t="shared" ca="1" si="1"/>
        <v>24.4</v>
      </c>
      <c r="J54" s="25" t="s">
        <v>102</v>
      </c>
      <c r="K54">
        <v>0</v>
      </c>
      <c r="L54" s="51">
        <f t="shared" ca="1" si="2"/>
        <v>24.4</v>
      </c>
    </row>
    <row r="55" spans="2:35" x14ac:dyDescent="0.3">
      <c r="B55" s="24" t="str">
        <f>+B719</f>
        <v>04.03.07.04</v>
      </c>
      <c r="C55" s="22" t="s">
        <v>391</v>
      </c>
      <c r="D55" s="22"/>
      <c r="E55" s="22"/>
      <c r="F55" s="22"/>
      <c r="G55" s="22"/>
      <c r="H55" s="23"/>
      <c r="I55" s="24">
        <f t="shared" ca="1" si="1"/>
        <v>7.7</v>
      </c>
      <c r="J55" s="25" t="s">
        <v>30</v>
      </c>
      <c r="K55">
        <v>0</v>
      </c>
      <c r="L55" s="51">
        <f t="shared" ca="1" si="2"/>
        <v>7.7</v>
      </c>
      <c r="S55" t="e">
        <f>+Q55*R55*#REF!</f>
        <v>#REF!</v>
      </c>
      <c r="W55" t="s">
        <v>532</v>
      </c>
      <c r="Y55">
        <v>0.57410000000000005</v>
      </c>
      <c r="Z55">
        <v>0.73409999999999997</v>
      </c>
      <c r="AA55">
        <v>3.4666999999999999</v>
      </c>
      <c r="AB55">
        <f t="shared" ref="AB55:AB65" si="3">+(($AB$53-$Z$53)/($AA$53-$Z$53))*(AA55-Z55)+Z55</f>
        <v>3.7758176470588243</v>
      </c>
      <c r="AD55">
        <v>0.35010000000000019</v>
      </c>
      <c r="AE55">
        <v>0.43010000000000015</v>
      </c>
      <c r="AF55">
        <v>0.47810000000000008</v>
      </c>
      <c r="AG55">
        <v>0.55010000000000003</v>
      </c>
      <c r="AH55">
        <v>0.62209999999999999</v>
      </c>
      <c r="AI55">
        <v>3.7758176470588243</v>
      </c>
    </row>
    <row r="56" spans="2:35" x14ac:dyDescent="0.3">
      <c r="B56" s="24" t="str">
        <f>+B723</f>
        <v>04.03.07.05</v>
      </c>
      <c r="C56" s="22" t="s">
        <v>393</v>
      </c>
      <c r="D56" s="22"/>
      <c r="E56" s="22"/>
      <c r="F56" s="22"/>
      <c r="G56" s="22"/>
      <c r="H56" s="23"/>
      <c r="I56" s="24">
        <f t="shared" ca="1" si="1"/>
        <v>6</v>
      </c>
      <c r="J56" s="25" t="s">
        <v>30</v>
      </c>
      <c r="K56">
        <v>0</v>
      </c>
      <c r="L56" s="51">
        <f t="shared" ca="1" si="2"/>
        <v>6</v>
      </c>
      <c r="S56" t="e">
        <f>+Q56*R56*#REF!</f>
        <v>#REF!</v>
      </c>
      <c r="W56" t="s">
        <v>533</v>
      </c>
      <c r="Y56">
        <v>0.57410000000000005</v>
      </c>
      <c r="Z56">
        <v>0.73409999999999997</v>
      </c>
      <c r="AA56">
        <v>3.4666999999999999</v>
      </c>
      <c r="AB56">
        <f t="shared" si="3"/>
        <v>3.7758176470588243</v>
      </c>
      <c r="AD56">
        <v>0.35010000000000019</v>
      </c>
      <c r="AE56">
        <v>0.43010000000000015</v>
      </c>
      <c r="AF56">
        <v>0.47810000000000008</v>
      </c>
      <c r="AG56">
        <v>0.55010000000000003</v>
      </c>
      <c r="AH56">
        <v>0.62209999999999999</v>
      </c>
      <c r="AI56">
        <v>3.7758176470588243</v>
      </c>
    </row>
    <row r="57" spans="2:35" x14ac:dyDescent="0.3">
      <c r="B57" s="42" t="str">
        <f>+B1620</f>
        <v>04.03.07.06</v>
      </c>
      <c r="C57" s="22" t="s">
        <v>395</v>
      </c>
      <c r="D57" s="22"/>
      <c r="E57" s="22"/>
      <c r="F57" s="22"/>
      <c r="G57" s="22"/>
      <c r="H57" s="23"/>
      <c r="I57" s="24">
        <f t="shared" ca="1" si="1"/>
        <v>0.89999999999999991</v>
      </c>
      <c r="J57" s="25" t="s">
        <v>30</v>
      </c>
      <c r="K57">
        <v>0</v>
      </c>
      <c r="L57" s="51">
        <f t="shared" ca="1" si="2"/>
        <v>0.89999999999999991</v>
      </c>
      <c r="S57" t="e">
        <f>+Q57*R57*#REF!</f>
        <v>#REF!</v>
      </c>
      <c r="W57" t="s">
        <v>534</v>
      </c>
      <c r="Y57">
        <v>70.790000000000006</v>
      </c>
      <c r="Z57">
        <v>80.69</v>
      </c>
      <c r="AA57">
        <v>416.3</v>
      </c>
      <c r="AB57">
        <f t="shared" si="3"/>
        <v>454.26493212669692</v>
      </c>
      <c r="AD57">
        <v>56.930000000000021</v>
      </c>
      <c r="AE57">
        <v>61.880000000000017</v>
      </c>
      <c r="AF57">
        <v>64.850000000000009</v>
      </c>
      <c r="AG57">
        <v>69.305000000000007</v>
      </c>
      <c r="AH57">
        <v>73.760000000000005</v>
      </c>
      <c r="AI57">
        <v>454.26493212669692</v>
      </c>
    </row>
    <row r="58" spans="2:35" x14ac:dyDescent="0.3">
      <c r="B58" s="42" t="str">
        <f>+B359</f>
        <v>04.03.07.07</v>
      </c>
      <c r="C58" s="22" t="s">
        <v>397</v>
      </c>
      <c r="D58" s="22"/>
      <c r="E58" s="22"/>
      <c r="F58" s="22"/>
      <c r="G58" s="22"/>
      <c r="H58" s="23"/>
      <c r="I58" s="24">
        <f t="shared" ca="1" si="1"/>
        <v>1.5</v>
      </c>
      <c r="J58" s="25" t="s">
        <v>30</v>
      </c>
      <c r="K58">
        <v>0</v>
      </c>
      <c r="L58" s="51">
        <f t="shared" ca="1" si="2"/>
        <v>1.5</v>
      </c>
      <c r="S58" t="e">
        <f>+Q58*R58*#REF!</f>
        <v>#REF!</v>
      </c>
      <c r="W58" t="s">
        <v>535</v>
      </c>
      <c r="Y58">
        <v>0.53959999999999997</v>
      </c>
      <c r="Z58">
        <v>0.69</v>
      </c>
      <c r="AA58">
        <v>3.2587000000000002</v>
      </c>
      <c r="AB58">
        <f t="shared" si="3"/>
        <v>3.5492769230769241</v>
      </c>
      <c r="AD58">
        <v>0.32904000000000005</v>
      </c>
      <c r="AE58">
        <v>0.40423999999999999</v>
      </c>
      <c r="AF58">
        <v>0.44935999999999998</v>
      </c>
      <c r="AG58">
        <v>0.51703999999999994</v>
      </c>
      <c r="AH58">
        <v>0.58471999999999991</v>
      </c>
      <c r="AI58">
        <v>3.5492769230769241</v>
      </c>
    </row>
    <row r="59" spans="2:35" s="1" customFormat="1" x14ac:dyDescent="0.3">
      <c r="B59" s="42" t="str">
        <f>B727</f>
        <v>04.03.07.08</v>
      </c>
      <c r="C59" s="22" t="s">
        <v>398</v>
      </c>
      <c r="D59" s="22"/>
      <c r="E59" s="22"/>
      <c r="F59" s="22"/>
      <c r="G59" s="22"/>
      <c r="H59" s="22"/>
      <c r="I59" s="24">
        <f t="shared" ca="1" si="1"/>
        <v>0.7</v>
      </c>
      <c r="J59" s="25" t="s">
        <v>30</v>
      </c>
      <c r="K59" s="1">
        <v>0</v>
      </c>
      <c r="L59" s="1">
        <f t="shared" ca="1" si="2"/>
        <v>0.7</v>
      </c>
      <c r="M59"/>
      <c r="W59" t="s">
        <v>536</v>
      </c>
      <c r="Y59" s="1">
        <v>0.17449999999999999</v>
      </c>
      <c r="Z59" s="1">
        <v>0.22320000000000001</v>
      </c>
      <c r="AA59" s="1">
        <v>1.0539000000000001</v>
      </c>
      <c r="AB59">
        <f t="shared" si="3"/>
        <v>1.1478705882352944</v>
      </c>
      <c r="AD59" s="1">
        <v>0.10631999999999997</v>
      </c>
      <c r="AE59" s="1">
        <v>0.13066999999999998</v>
      </c>
      <c r="AF59" s="1">
        <v>0.14527999999999996</v>
      </c>
      <c r="AG59" s="1">
        <v>0.16719499999999998</v>
      </c>
      <c r="AH59" s="1">
        <v>0.18911</v>
      </c>
      <c r="AI59" s="1">
        <v>1.1478705882352944</v>
      </c>
    </row>
    <row r="60" spans="2:35" x14ac:dyDescent="0.3">
      <c r="B60" s="42" t="s">
        <v>377</v>
      </c>
      <c r="C60" s="22" t="s">
        <v>399</v>
      </c>
      <c r="D60" s="22"/>
      <c r="E60" s="22"/>
      <c r="F60" s="22"/>
      <c r="G60" s="22"/>
      <c r="H60" s="22"/>
      <c r="I60" s="24">
        <f t="shared" ca="1" si="1"/>
        <v>1.1000000000000001</v>
      </c>
      <c r="J60" s="25" t="s">
        <v>30</v>
      </c>
      <c r="K60">
        <v>0</v>
      </c>
      <c r="L60" s="51">
        <f t="shared" ca="1" si="2"/>
        <v>1.1000000000000001</v>
      </c>
      <c r="S60" t="e">
        <f>+Q60*R60*#REF!</f>
        <v>#REF!</v>
      </c>
      <c r="W60" s="1" t="s">
        <v>537</v>
      </c>
      <c r="Y60">
        <v>0.49259999999999998</v>
      </c>
      <c r="Z60">
        <v>0.62980000000000003</v>
      </c>
      <c r="AA60">
        <v>2.9744000000000002</v>
      </c>
      <c r="AB60">
        <f t="shared" si="3"/>
        <v>3.2396262443438921</v>
      </c>
      <c r="AD60">
        <v>0.30051999999999995</v>
      </c>
      <c r="AE60">
        <v>0.36911999999999995</v>
      </c>
      <c r="AF60">
        <v>0.41027999999999998</v>
      </c>
      <c r="AG60">
        <v>0.47202</v>
      </c>
      <c r="AH60">
        <v>0.53376000000000001</v>
      </c>
      <c r="AI60">
        <v>3.2396262443438921</v>
      </c>
    </row>
    <row r="61" spans="2:35" x14ac:dyDescent="0.3">
      <c r="B61" s="42" t="str">
        <f>+B729</f>
        <v>04.03.07.10</v>
      </c>
      <c r="C61" s="22" t="s">
        <v>400</v>
      </c>
      <c r="D61" s="22"/>
      <c r="E61" s="22"/>
      <c r="F61" s="22"/>
      <c r="G61" s="22"/>
      <c r="H61" s="23"/>
      <c r="I61" s="24">
        <f t="shared" ca="1" si="1"/>
        <v>5.7</v>
      </c>
      <c r="J61" s="25" t="s">
        <v>30</v>
      </c>
      <c r="K61">
        <v>0</v>
      </c>
      <c r="L61" s="51">
        <f t="shared" ca="1" si="2"/>
        <v>5.7</v>
      </c>
      <c r="S61" t="e">
        <f>+Q61*R61*#REF!</f>
        <v>#REF!</v>
      </c>
      <c r="W61" t="s">
        <v>538</v>
      </c>
      <c r="Y61">
        <v>7.5968</v>
      </c>
      <c r="Z61">
        <v>9.7141000000000002</v>
      </c>
      <c r="AA61">
        <v>45.874400000000001</v>
      </c>
      <c r="AB61">
        <f t="shared" si="3"/>
        <v>49.964931674208152</v>
      </c>
      <c r="AD61">
        <v>4.6325800000000008</v>
      </c>
      <c r="AE61">
        <v>5.69123</v>
      </c>
      <c r="AF61">
        <v>6.3264199999999997</v>
      </c>
      <c r="AG61">
        <v>7.2792050000000001</v>
      </c>
      <c r="AH61">
        <v>8.2319899999999997</v>
      </c>
      <c r="AI61">
        <v>49.964931674208152</v>
      </c>
    </row>
    <row r="62" spans="2:35" x14ac:dyDescent="0.3">
      <c r="B62" s="24" t="str">
        <f>+B199</f>
        <v>04.03.07.11</v>
      </c>
      <c r="C62" s="22" t="s">
        <v>539</v>
      </c>
      <c r="D62" s="22"/>
      <c r="E62" s="22"/>
      <c r="F62" s="22"/>
      <c r="G62" s="22"/>
      <c r="H62" s="23"/>
      <c r="I62" s="24">
        <f t="shared" ca="1" si="1"/>
        <v>108.88000000000001</v>
      </c>
      <c r="J62" s="25" t="str">
        <f>VLOOKUP(B62,$B$110:$J$1784,9)</f>
        <v>ml</v>
      </c>
      <c r="K62">
        <v>0</v>
      </c>
      <c r="L62" s="51">
        <f t="shared" ca="1" si="2"/>
        <v>108.88000000000001</v>
      </c>
      <c r="Q62" s="51">
        <f ca="1">+I62</f>
        <v>108.88000000000001</v>
      </c>
      <c r="R62">
        <v>3</v>
      </c>
      <c r="S62" t="e">
        <f ca="1">+Q62*R62*#REF!</f>
        <v>#REF!</v>
      </c>
      <c r="W62" t="s">
        <v>540</v>
      </c>
      <c r="Y62">
        <v>24.0397</v>
      </c>
      <c r="Z62">
        <v>30.739699999999999</v>
      </c>
      <c r="AA62">
        <v>145.16669999999999</v>
      </c>
      <c r="AB62">
        <f t="shared" si="3"/>
        <v>158.11093076923078</v>
      </c>
      <c r="AD62">
        <v>14.659700000000003</v>
      </c>
      <c r="AE62">
        <v>18.009700000000002</v>
      </c>
      <c r="AF62">
        <v>20.0197</v>
      </c>
      <c r="AG62">
        <v>23.034700000000001</v>
      </c>
      <c r="AH62">
        <v>26.049700000000001</v>
      </c>
      <c r="AI62">
        <v>158.11093076923078</v>
      </c>
    </row>
    <row r="63" spans="2:35" x14ac:dyDescent="0.3">
      <c r="B63" s="24" t="s">
        <v>380</v>
      </c>
      <c r="C63" s="22" t="s">
        <v>402</v>
      </c>
      <c r="D63" s="22"/>
      <c r="E63" s="22"/>
      <c r="F63" s="22"/>
      <c r="G63" s="22"/>
      <c r="H63" s="23"/>
      <c r="I63" s="24">
        <f t="shared" ca="1" si="1"/>
        <v>57.9</v>
      </c>
      <c r="J63" s="25" t="str">
        <f>VLOOKUP(B63,$B$110:$J$1784,9)</f>
        <v>ml</v>
      </c>
      <c r="K63">
        <v>0</v>
      </c>
      <c r="L63" s="51">
        <f t="shared" ca="1" si="2"/>
        <v>57.9</v>
      </c>
      <c r="Q63" s="51">
        <f ca="1">+I63</f>
        <v>57.9</v>
      </c>
      <c r="R63">
        <v>4</v>
      </c>
      <c r="S63" t="e">
        <f ca="1">+Q63*R63*#REF!</f>
        <v>#REF!</v>
      </c>
      <c r="W63" t="s">
        <v>541</v>
      </c>
      <c r="Y63">
        <v>3</v>
      </c>
      <c r="Z63">
        <v>3</v>
      </c>
      <c r="AA63">
        <v>3</v>
      </c>
      <c r="AB63">
        <f t="shared" si="3"/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</row>
    <row r="64" spans="2:35" x14ac:dyDescent="0.3">
      <c r="B64" s="24" t="s">
        <v>381</v>
      </c>
      <c r="C64" s="22" t="s">
        <v>403</v>
      </c>
      <c r="D64" s="22"/>
      <c r="E64" s="22"/>
      <c r="F64" s="22"/>
      <c r="G64" s="22"/>
      <c r="H64" s="23"/>
      <c r="I64" s="24">
        <f t="shared" ca="1" si="1"/>
        <v>74.06</v>
      </c>
      <c r="J64" s="25" t="str">
        <f>VLOOKUP(B64,$B$110:$J$1784,9)</f>
        <v>ml</v>
      </c>
      <c r="K64">
        <v>0</v>
      </c>
      <c r="L64" s="51">
        <f t="shared" ca="1" si="2"/>
        <v>74.06</v>
      </c>
      <c r="Q64" s="51">
        <f ca="1">+I64</f>
        <v>74.06</v>
      </c>
      <c r="R64">
        <v>6</v>
      </c>
      <c r="S64" t="e">
        <f ca="1">+Q64*R64*#REF!</f>
        <v>#REF!</v>
      </c>
      <c r="W64" t="s">
        <v>542</v>
      </c>
      <c r="Y64">
        <v>0.57140000000000002</v>
      </c>
      <c r="Z64">
        <v>0.2286</v>
      </c>
      <c r="AA64">
        <v>8</v>
      </c>
      <c r="AB64">
        <f t="shared" si="3"/>
        <v>8.8791176470588251</v>
      </c>
      <c r="AD64">
        <v>1.05132</v>
      </c>
      <c r="AE64">
        <v>0.87992000000000004</v>
      </c>
      <c r="AF64">
        <v>0.77707999999999999</v>
      </c>
      <c r="AG64">
        <v>0.62281999999999993</v>
      </c>
      <c r="AH64">
        <v>0.46856000000000003</v>
      </c>
      <c r="AI64">
        <v>8.8791176470588251</v>
      </c>
    </row>
    <row r="65" spans="2:35" x14ac:dyDescent="0.3">
      <c r="B65" s="24" t="str">
        <f>+B734</f>
        <v>04.03.07.14</v>
      </c>
      <c r="C65" s="22" t="s">
        <v>404</v>
      </c>
      <c r="D65" s="22"/>
      <c r="E65" s="22"/>
      <c r="F65" s="22"/>
      <c r="G65" s="22"/>
      <c r="H65" s="23"/>
      <c r="I65" s="24">
        <f t="shared" ca="1" si="1"/>
        <v>125</v>
      </c>
      <c r="J65" s="25" t="s">
        <v>30</v>
      </c>
      <c r="K65">
        <v>0</v>
      </c>
      <c r="L65" s="51">
        <f t="shared" ca="1" si="2"/>
        <v>125</v>
      </c>
      <c r="Q65" s="51">
        <f ca="1">+I65</f>
        <v>125</v>
      </c>
      <c r="R65">
        <v>16</v>
      </c>
      <c r="S65" t="e">
        <f ca="1">+Q65*R65*#REF!</f>
        <v>#REF!</v>
      </c>
      <c r="W65" t="s">
        <v>543</v>
      </c>
      <c r="Y65">
        <v>0.57140000000000002</v>
      </c>
      <c r="Z65">
        <v>0.2286</v>
      </c>
      <c r="AA65">
        <v>8</v>
      </c>
      <c r="AB65">
        <f t="shared" si="3"/>
        <v>8.8791176470588251</v>
      </c>
      <c r="AD65">
        <v>1.05132</v>
      </c>
      <c r="AE65">
        <v>0.87992000000000004</v>
      </c>
      <c r="AF65">
        <v>0.77707999999999999</v>
      </c>
      <c r="AG65">
        <v>0.62281999999999993</v>
      </c>
      <c r="AH65">
        <v>0.46856000000000003</v>
      </c>
      <c r="AI65">
        <v>8.8791176470588251</v>
      </c>
    </row>
    <row r="66" spans="2:35" x14ac:dyDescent="0.3">
      <c r="B66" s="24" t="str">
        <f>+B1622</f>
        <v>04.03.07.15</v>
      </c>
      <c r="C66" s="22" t="s">
        <v>405</v>
      </c>
      <c r="D66" s="22"/>
      <c r="E66" s="22"/>
      <c r="F66" s="22"/>
      <c r="G66" s="22"/>
      <c r="H66" s="23"/>
      <c r="I66" s="24">
        <f t="shared" ca="1" si="1"/>
        <v>3</v>
      </c>
      <c r="J66" s="25" t="s">
        <v>30</v>
      </c>
      <c r="K66">
        <v>0</v>
      </c>
      <c r="L66" s="51">
        <f t="shared" ca="1" si="2"/>
        <v>3</v>
      </c>
      <c r="S66" t="e">
        <f>+Q66*R66*#REF!</f>
        <v>#REF!</v>
      </c>
    </row>
    <row r="67" spans="2:35" x14ac:dyDescent="0.3">
      <c r="B67" s="24" t="str">
        <f>+B204</f>
        <v>04.03.07.16</v>
      </c>
      <c r="C67" s="22" t="s">
        <v>406</v>
      </c>
      <c r="D67" s="22"/>
      <c r="E67" s="22"/>
      <c r="F67" s="22"/>
      <c r="G67" s="22"/>
      <c r="H67" s="23"/>
      <c r="I67" s="24">
        <f t="shared" ca="1" si="1"/>
        <v>11</v>
      </c>
      <c r="J67" s="25" t="str">
        <f>VLOOKUP(B67,$B$110:$J$1784,9)</f>
        <v>ml</v>
      </c>
      <c r="K67">
        <v>0</v>
      </c>
      <c r="L67" s="51">
        <f t="shared" ca="1" si="2"/>
        <v>11</v>
      </c>
      <c r="S67" t="e">
        <f>+Q67*R67*#REF!</f>
        <v>#REF!</v>
      </c>
      <c r="W67" t="s">
        <v>455</v>
      </c>
      <c r="AA67">
        <v>3</v>
      </c>
    </row>
    <row r="68" spans="2:35" x14ac:dyDescent="0.3">
      <c r="B68" s="24" t="s">
        <v>386</v>
      </c>
      <c r="C68" s="22" t="s">
        <v>407</v>
      </c>
      <c r="D68" s="22"/>
      <c r="E68" s="22"/>
      <c r="F68" s="22"/>
      <c r="G68" s="22"/>
      <c r="H68" s="23"/>
      <c r="I68" s="24">
        <f t="shared" ca="1" si="1"/>
        <v>12</v>
      </c>
      <c r="J68" s="25" t="str">
        <f>VLOOKUP(B68,$B$110:$J$1784,9)</f>
        <v>ml</v>
      </c>
      <c r="K68">
        <v>0</v>
      </c>
      <c r="L68" s="51">
        <f t="shared" ca="1" si="2"/>
        <v>12</v>
      </c>
      <c r="S68" t="e">
        <f>+Q68*R68*#REF!</f>
        <v>#REF!</v>
      </c>
      <c r="W68" t="s">
        <v>456</v>
      </c>
      <c r="AA68">
        <v>42</v>
      </c>
    </row>
    <row r="69" spans="2:35" x14ac:dyDescent="0.3">
      <c r="B69" s="24" t="s">
        <v>388</v>
      </c>
      <c r="C69" s="22" t="s">
        <v>408</v>
      </c>
      <c r="D69" s="22"/>
      <c r="E69" s="22"/>
      <c r="F69" s="22"/>
      <c r="G69" s="22"/>
      <c r="H69" s="23"/>
      <c r="I69" s="24">
        <f t="shared" ca="1" si="1"/>
        <v>6</v>
      </c>
      <c r="J69" s="25" t="str">
        <f>VLOOKUP(B69,$B$110:$J$1784,9)</f>
        <v>ml</v>
      </c>
      <c r="K69">
        <v>0</v>
      </c>
      <c r="L69" s="51">
        <f t="shared" ca="1" si="2"/>
        <v>6</v>
      </c>
      <c r="M69" s="1"/>
      <c r="S69" t="e">
        <f>+Q69*R69*#REF!</f>
        <v>#REF!</v>
      </c>
      <c r="W69" t="s">
        <v>544</v>
      </c>
      <c r="AA69">
        <v>22.8</v>
      </c>
    </row>
    <row r="70" spans="2:35" x14ac:dyDescent="0.3">
      <c r="B70" s="24" t="str">
        <f>+B1873</f>
        <v>04.03.07.19</v>
      </c>
      <c r="C70" s="22" t="s">
        <v>409</v>
      </c>
      <c r="D70" s="22"/>
      <c r="E70" s="22"/>
      <c r="F70" s="22"/>
      <c r="G70" s="22"/>
      <c r="H70" s="23"/>
      <c r="I70" s="24">
        <f t="shared" ca="1" si="1"/>
        <v>1</v>
      </c>
      <c r="J70" s="25"/>
      <c r="L70" s="51"/>
      <c r="W70" t="s">
        <v>455</v>
      </c>
      <c r="AA70">
        <v>8</v>
      </c>
    </row>
    <row r="71" spans="2:35" x14ac:dyDescent="0.3">
      <c r="B71" s="24" t="s">
        <v>392</v>
      </c>
      <c r="C71" s="22" t="s">
        <v>410</v>
      </c>
      <c r="D71" s="22"/>
      <c r="E71" s="22"/>
      <c r="F71" s="22"/>
      <c r="G71" s="22"/>
      <c r="H71" s="23"/>
      <c r="I71" s="24">
        <f t="shared" ca="1" si="1"/>
        <v>0.38</v>
      </c>
      <c r="J71" s="25" t="s">
        <v>30</v>
      </c>
      <c r="K71">
        <v>0</v>
      </c>
      <c r="L71" s="51">
        <f ca="1">+I71-K71</f>
        <v>0.38</v>
      </c>
      <c r="S71" t="e">
        <f>+Q71*R71*#REF!</f>
        <v>#REF!</v>
      </c>
    </row>
    <row r="72" spans="2:35" x14ac:dyDescent="0.3">
      <c r="B72" s="24" t="s">
        <v>394</v>
      </c>
      <c r="C72" s="22" t="s">
        <v>411</v>
      </c>
      <c r="D72" s="22"/>
      <c r="E72" s="22"/>
      <c r="F72" s="22"/>
      <c r="G72" s="22"/>
      <c r="H72" s="23"/>
      <c r="I72" s="24">
        <f t="shared" ca="1" si="1"/>
        <v>105.24000000000001</v>
      </c>
      <c r="J72" s="25" t="s">
        <v>333</v>
      </c>
      <c r="L72" s="51"/>
    </row>
    <row r="73" spans="2:35" ht="13.5" customHeight="1" x14ac:dyDescent="0.3">
      <c r="B73" s="24" t="s">
        <v>396</v>
      </c>
      <c r="C73" s="22" t="s">
        <v>412</v>
      </c>
      <c r="D73" s="22"/>
      <c r="E73" s="22"/>
      <c r="F73" s="22"/>
      <c r="G73" s="22"/>
      <c r="H73" s="23"/>
      <c r="I73" s="24">
        <f t="shared" ca="1" si="1"/>
        <v>256.66499999999996</v>
      </c>
      <c r="J73" s="25" t="s">
        <v>333</v>
      </c>
      <c r="L73" s="51"/>
      <c r="Z73" t="s">
        <v>547</v>
      </c>
    </row>
    <row r="74" spans="2:35" x14ac:dyDescent="0.3">
      <c r="B74" s="90"/>
      <c r="C74" s="22"/>
      <c r="D74" s="22"/>
      <c r="E74" s="22"/>
      <c r="F74" s="22"/>
      <c r="G74" s="22"/>
      <c r="H74" s="23"/>
      <c r="I74" s="24"/>
      <c r="J74" s="25"/>
      <c r="L74" s="51"/>
      <c r="Z74">
        <v>1.4</v>
      </c>
      <c r="AA74">
        <v>1.45</v>
      </c>
    </row>
    <row r="75" spans="2:35" x14ac:dyDescent="0.3">
      <c r="B75" s="72" t="s">
        <v>413</v>
      </c>
      <c r="C75" s="73" t="s">
        <v>234</v>
      </c>
      <c r="D75" s="22"/>
      <c r="E75" s="22"/>
      <c r="F75" s="22"/>
      <c r="G75" s="22"/>
      <c r="H75" s="23"/>
      <c r="I75" s="24"/>
      <c r="J75" s="25"/>
      <c r="L75" s="51"/>
      <c r="Z75">
        <v>2.36</v>
      </c>
      <c r="AA75">
        <v>2.1</v>
      </c>
    </row>
    <row r="76" spans="2:35" x14ac:dyDescent="0.3">
      <c r="B76" s="24" t="s">
        <v>414</v>
      </c>
      <c r="C76" s="22" t="s">
        <v>422</v>
      </c>
      <c r="D76" s="22"/>
      <c r="E76" s="28"/>
      <c r="F76" s="28"/>
      <c r="G76" s="28"/>
      <c r="H76" s="23"/>
      <c r="I76" s="24">
        <f t="shared" ref="I76:I90" ca="1" si="4">SUMIF($B$110:$J$1937,B76,$I$110:$I$1937)</f>
        <v>145</v>
      </c>
      <c r="J76" s="25" t="s">
        <v>30</v>
      </c>
      <c r="K76">
        <v>0</v>
      </c>
      <c r="L76" s="51">
        <f t="shared" ref="L76:L90" ca="1" si="5">+I76-K76</f>
        <v>145</v>
      </c>
      <c r="Z76" t="e">
        <f>+PRODUCT(#REF!)</f>
        <v>#REF!</v>
      </c>
      <c r="AA76" t="e">
        <f>+PRODUCT(#REF!)</f>
        <v>#REF!</v>
      </c>
      <c r="AC76" t="e">
        <f>+PRODUCT(#REF!)</f>
        <v>#REF!</v>
      </c>
      <c r="AD76" t="e">
        <f>+PRODUCT(#REF!)</f>
        <v>#REF!</v>
      </c>
      <c r="AE76" t="e">
        <f>+PRODUCT(#REF!)</f>
        <v>#REF!</v>
      </c>
      <c r="AF76" t="e">
        <f>SUM(Z76:AE76)</f>
        <v>#REF!</v>
      </c>
      <c r="AG76">
        <v>0.99</v>
      </c>
      <c r="AH76" s="105" t="e">
        <f>+AF76*AG76</f>
        <v>#REF!</v>
      </c>
    </row>
    <row r="77" spans="2:35" x14ac:dyDescent="0.3">
      <c r="B77" s="24" t="str">
        <f>+B1885</f>
        <v>04.03.08.02</v>
      </c>
      <c r="C77" s="22" t="s">
        <v>424</v>
      </c>
      <c r="D77" s="22"/>
      <c r="E77" s="28"/>
      <c r="F77" s="28"/>
      <c r="G77" s="28"/>
      <c r="H77" s="23"/>
      <c r="I77" s="24">
        <f t="shared" ca="1" si="4"/>
        <v>57</v>
      </c>
      <c r="J77" s="25" t="s">
        <v>30</v>
      </c>
      <c r="K77">
        <v>0</v>
      </c>
      <c r="L77" s="51">
        <f t="shared" ca="1" si="5"/>
        <v>57</v>
      </c>
    </row>
    <row r="78" spans="2:35" x14ac:dyDescent="0.3">
      <c r="B78" s="24" t="s">
        <v>416</v>
      </c>
      <c r="C78" s="22" t="s">
        <v>426</v>
      </c>
      <c r="D78" s="22"/>
      <c r="E78" s="28"/>
      <c r="F78" s="28"/>
      <c r="G78" s="28"/>
      <c r="H78" s="23"/>
      <c r="I78" s="24">
        <f t="shared" ca="1" si="4"/>
        <v>2</v>
      </c>
      <c r="J78" s="25" t="s">
        <v>30</v>
      </c>
      <c r="L78" s="51"/>
    </row>
    <row r="79" spans="2:35" x14ac:dyDescent="0.3">
      <c r="B79" s="24" t="str">
        <f>+B970</f>
        <v>04.03.08.04</v>
      </c>
      <c r="C79" s="22" t="s">
        <v>428</v>
      </c>
      <c r="D79" s="22"/>
      <c r="E79" s="28"/>
      <c r="F79" s="28"/>
      <c r="G79" s="28"/>
      <c r="H79" s="23"/>
      <c r="I79" s="24">
        <f t="shared" ca="1" si="4"/>
        <v>5</v>
      </c>
      <c r="J79" s="25" t="s">
        <v>30</v>
      </c>
      <c r="K79">
        <v>0</v>
      </c>
      <c r="L79" s="51">
        <f t="shared" ca="1" si="5"/>
        <v>5</v>
      </c>
    </row>
    <row r="80" spans="2:35" x14ac:dyDescent="0.3">
      <c r="B80" s="24" t="str">
        <f>+B221</f>
        <v>04.03.08.05</v>
      </c>
      <c r="C80" s="27" t="s">
        <v>430</v>
      </c>
      <c r="D80" s="22"/>
      <c r="E80" s="28"/>
      <c r="F80" s="28"/>
      <c r="G80" s="28"/>
      <c r="H80" s="23"/>
      <c r="I80" s="24">
        <f t="shared" ca="1" si="4"/>
        <v>7</v>
      </c>
      <c r="J80" s="25" t="s">
        <v>30</v>
      </c>
      <c r="K80">
        <v>0</v>
      </c>
      <c r="L80" s="51">
        <f t="shared" ca="1" si="5"/>
        <v>7</v>
      </c>
      <c r="Z80" t="s">
        <v>548</v>
      </c>
    </row>
    <row r="81" spans="2:34" x14ac:dyDescent="0.3">
      <c r="B81" s="24" t="s">
        <v>419</v>
      </c>
      <c r="C81" s="27" t="s">
        <v>432</v>
      </c>
      <c r="D81" s="22"/>
      <c r="E81" s="28"/>
      <c r="F81" s="28"/>
      <c r="G81" s="28"/>
      <c r="H81" s="23"/>
      <c r="I81" s="24">
        <f t="shared" ca="1" si="4"/>
        <v>4</v>
      </c>
      <c r="J81" s="25" t="s">
        <v>30</v>
      </c>
      <c r="K81">
        <v>0</v>
      </c>
      <c r="L81" s="51">
        <f t="shared" ca="1" si="5"/>
        <v>4</v>
      </c>
    </row>
    <row r="82" spans="2:34" x14ac:dyDescent="0.3">
      <c r="B82" s="24" t="s">
        <v>420</v>
      </c>
      <c r="C82" s="27" t="s">
        <v>434</v>
      </c>
      <c r="D82" s="28"/>
      <c r="E82" s="28"/>
      <c r="F82" s="28"/>
      <c r="G82" s="28"/>
      <c r="H82" s="23"/>
      <c r="I82" s="24">
        <f t="shared" ca="1" si="4"/>
        <v>1</v>
      </c>
      <c r="J82" s="25" t="s">
        <v>30</v>
      </c>
      <c r="K82">
        <v>0</v>
      </c>
      <c r="L82" s="51">
        <f t="shared" ca="1" si="5"/>
        <v>1</v>
      </c>
      <c r="W82" t="s">
        <v>549</v>
      </c>
      <c r="Y82" t="s">
        <v>550</v>
      </c>
      <c r="Z82" t="s">
        <v>551</v>
      </c>
      <c r="AA82" t="s">
        <v>552</v>
      </c>
      <c r="AB82" t="s">
        <v>553</v>
      </c>
    </row>
    <row r="83" spans="2:34" x14ac:dyDescent="0.3">
      <c r="B83" s="24" t="str">
        <f>+B1317</f>
        <v>04.03.08.08</v>
      </c>
      <c r="C83" s="27" t="s">
        <v>436</v>
      </c>
      <c r="D83" s="28"/>
      <c r="E83" s="28"/>
      <c r="F83" s="28"/>
      <c r="G83" s="28"/>
      <c r="H83" s="23"/>
      <c r="I83" s="24">
        <f t="shared" ca="1" si="4"/>
        <v>2</v>
      </c>
      <c r="J83" s="25" t="s">
        <v>30</v>
      </c>
      <c r="K83">
        <v>0</v>
      </c>
      <c r="L83" s="51">
        <f t="shared" ca="1" si="5"/>
        <v>2</v>
      </c>
      <c r="Y83">
        <v>2</v>
      </c>
      <c r="Z83">
        <f>1.87+0.2</f>
        <v>2.0700000000000003</v>
      </c>
      <c r="AA83">
        <v>0.2</v>
      </c>
      <c r="AB83">
        <v>0.3</v>
      </c>
      <c r="AC83">
        <f>+PRODUCT(Y83:AB83)</f>
        <v>0.24840000000000004</v>
      </c>
    </row>
    <row r="84" spans="2:34" x14ac:dyDescent="0.3">
      <c r="B84" s="24" t="str">
        <f>+B1140</f>
        <v>04.03.08.09</v>
      </c>
      <c r="C84" s="27" t="s">
        <v>437</v>
      </c>
      <c r="D84" s="28"/>
      <c r="E84" s="28"/>
      <c r="F84" s="28"/>
      <c r="G84" s="28"/>
      <c r="H84" s="23"/>
      <c r="I84" s="24">
        <f t="shared" ca="1" si="4"/>
        <v>1</v>
      </c>
      <c r="J84" s="25" t="s">
        <v>30</v>
      </c>
      <c r="K84">
        <v>0</v>
      </c>
      <c r="L84" s="51">
        <f t="shared" ca="1" si="5"/>
        <v>1</v>
      </c>
      <c r="Y84">
        <v>2</v>
      </c>
      <c r="Z84">
        <v>1.3</v>
      </c>
      <c r="AA84">
        <v>0.2</v>
      </c>
      <c r="AB84">
        <v>0.3</v>
      </c>
      <c r="AC84">
        <f t="shared" ref="AC84:AC93" si="6">+PRODUCT(Y84:AB84)</f>
        <v>0.156</v>
      </c>
    </row>
    <row r="85" spans="2:34" x14ac:dyDescent="0.3">
      <c r="B85" s="24" t="str">
        <f>+B223</f>
        <v>04.03.08.10</v>
      </c>
      <c r="C85" s="27" t="s">
        <v>438</v>
      </c>
      <c r="D85" s="28"/>
      <c r="E85" s="28"/>
      <c r="F85" s="28"/>
      <c r="G85" s="28"/>
      <c r="H85" s="23"/>
      <c r="I85" s="24">
        <f t="shared" ca="1" si="4"/>
        <v>4</v>
      </c>
      <c r="J85" s="25" t="s">
        <v>30</v>
      </c>
      <c r="K85">
        <v>0</v>
      </c>
      <c r="L85" s="51">
        <f t="shared" ca="1" si="5"/>
        <v>4</v>
      </c>
      <c r="Y85">
        <v>2</v>
      </c>
      <c r="Z85">
        <v>2.8</v>
      </c>
      <c r="AA85">
        <v>0.2</v>
      </c>
      <c r="AB85">
        <v>0.3</v>
      </c>
      <c r="AC85">
        <f t="shared" si="6"/>
        <v>0.33599999999999997</v>
      </c>
    </row>
    <row r="86" spans="2:34" x14ac:dyDescent="0.3">
      <c r="B86" s="24" t="str">
        <f>+B974</f>
        <v>04.03.08.11</v>
      </c>
      <c r="C86" s="27" t="s">
        <v>439</v>
      </c>
      <c r="D86" s="28"/>
      <c r="E86" s="28"/>
      <c r="F86" s="28"/>
      <c r="G86" s="28"/>
      <c r="H86" s="23"/>
      <c r="I86" s="24">
        <f t="shared" ca="1" si="4"/>
        <v>23</v>
      </c>
      <c r="J86" s="25" t="s">
        <v>30</v>
      </c>
      <c r="K86">
        <v>0</v>
      </c>
      <c r="L86" s="51">
        <f t="shared" ca="1" si="5"/>
        <v>23</v>
      </c>
      <c r="Y86">
        <v>2</v>
      </c>
      <c r="Z86">
        <v>1.55</v>
      </c>
      <c r="AA86">
        <v>0.2</v>
      </c>
      <c r="AB86">
        <v>0.3</v>
      </c>
      <c r="AC86">
        <f t="shared" si="6"/>
        <v>0.18600000000000003</v>
      </c>
    </row>
    <row r="87" spans="2:34" x14ac:dyDescent="0.3">
      <c r="B87" s="24" t="str">
        <f>+B226</f>
        <v>04.03.08.12</v>
      </c>
      <c r="C87" s="27" t="s">
        <v>440</v>
      </c>
      <c r="D87" s="28"/>
      <c r="E87" s="28"/>
      <c r="F87" s="28"/>
      <c r="G87" s="28"/>
      <c r="H87" s="23"/>
      <c r="I87" s="24">
        <f t="shared" ca="1" si="4"/>
        <v>9</v>
      </c>
      <c r="J87" s="25" t="s">
        <v>30</v>
      </c>
      <c r="K87">
        <v>0</v>
      </c>
      <c r="L87" s="51">
        <f t="shared" ca="1" si="5"/>
        <v>9</v>
      </c>
      <c r="Y87">
        <v>2</v>
      </c>
      <c r="Z87">
        <v>0.85</v>
      </c>
      <c r="AA87">
        <v>0.2</v>
      </c>
      <c r="AB87">
        <v>0.3</v>
      </c>
      <c r="AC87">
        <f t="shared" si="6"/>
        <v>0.10200000000000001</v>
      </c>
    </row>
    <row r="88" spans="2:34" x14ac:dyDescent="0.3">
      <c r="B88" s="24" t="str">
        <f>+B979</f>
        <v>04.03.08.13</v>
      </c>
      <c r="C88" s="27" t="s">
        <v>441</v>
      </c>
      <c r="D88" s="28"/>
      <c r="E88" s="28"/>
      <c r="F88" s="28"/>
      <c r="G88" s="28"/>
      <c r="H88" s="23"/>
      <c r="I88" s="24">
        <f t="shared" ca="1" si="4"/>
        <v>5</v>
      </c>
      <c r="J88" s="25" t="s">
        <v>30</v>
      </c>
      <c r="K88">
        <v>0</v>
      </c>
      <c r="L88" s="51">
        <f t="shared" ca="1" si="5"/>
        <v>5</v>
      </c>
    </row>
    <row r="89" spans="2:34" x14ac:dyDescent="0.3">
      <c r="B89" s="24" t="str">
        <f>+B388</f>
        <v>04.03.08.14</v>
      </c>
      <c r="C89" s="27" t="s">
        <v>442</v>
      </c>
      <c r="D89" s="28"/>
      <c r="E89" s="28"/>
      <c r="F89" s="28"/>
      <c r="G89" s="28"/>
      <c r="H89" s="23"/>
      <c r="I89" s="24">
        <f t="shared" ca="1" si="4"/>
        <v>8</v>
      </c>
      <c r="J89" s="25" t="s">
        <v>30</v>
      </c>
      <c r="K89">
        <v>0</v>
      </c>
      <c r="L89" s="51">
        <f t="shared" ca="1" si="5"/>
        <v>8</v>
      </c>
    </row>
    <row r="90" spans="2:34" x14ac:dyDescent="0.3">
      <c r="B90" s="33" t="str">
        <f>+B232</f>
        <v>04.03.08.15</v>
      </c>
      <c r="C90" s="32" t="s">
        <v>443</v>
      </c>
      <c r="D90" s="33"/>
      <c r="E90" s="33"/>
      <c r="F90" s="33"/>
      <c r="G90" s="33"/>
      <c r="H90" s="34"/>
      <c r="I90" s="24">
        <f t="shared" ca="1" si="4"/>
        <v>3</v>
      </c>
      <c r="J90" s="35" t="s">
        <v>30</v>
      </c>
      <c r="K90">
        <v>0</v>
      </c>
      <c r="L90" s="51">
        <f t="shared" ca="1" si="5"/>
        <v>3</v>
      </c>
      <c r="W90" t="s">
        <v>554</v>
      </c>
      <c r="Y90">
        <v>1</v>
      </c>
      <c r="Z90">
        <v>1.31</v>
      </c>
      <c r="AA90">
        <v>1.3</v>
      </c>
      <c r="AB90">
        <v>0.3</v>
      </c>
      <c r="AC90">
        <f t="shared" si="6"/>
        <v>0.51090000000000002</v>
      </c>
    </row>
    <row r="91" spans="2:34" x14ac:dyDescent="0.3">
      <c r="D91" s="22"/>
      <c r="E91" s="22"/>
      <c r="F91" s="22"/>
      <c r="G91" s="22"/>
      <c r="H91" s="22"/>
      <c r="I91" s="22"/>
      <c r="J91" s="66"/>
      <c r="Y91">
        <v>1</v>
      </c>
      <c r="Z91">
        <v>0.96</v>
      </c>
      <c r="AA91">
        <v>1.3</v>
      </c>
      <c r="AB91">
        <v>0.3</v>
      </c>
      <c r="AC91">
        <f t="shared" si="6"/>
        <v>0.37440000000000001</v>
      </c>
    </row>
    <row r="92" spans="2:34" x14ac:dyDescent="0.3">
      <c r="D92" s="22"/>
      <c r="E92" s="22"/>
      <c r="G92" s="22"/>
      <c r="H92" s="22"/>
      <c r="I92" s="22"/>
      <c r="J92" s="66"/>
    </row>
    <row r="93" spans="2:34" x14ac:dyDescent="0.3">
      <c r="D93" s="22"/>
      <c r="E93" s="22"/>
      <c r="F93" s="22"/>
      <c r="G93" s="22"/>
      <c r="H93" s="22"/>
      <c r="I93" s="22"/>
      <c r="J93" s="66"/>
      <c r="W93" t="s">
        <v>445</v>
      </c>
      <c r="Y93">
        <v>1</v>
      </c>
      <c r="Z93">
        <f>1.3+0.2+2.8+1.55</f>
        <v>5.85</v>
      </c>
      <c r="AA93">
        <v>1.3</v>
      </c>
      <c r="AB93">
        <v>0.3</v>
      </c>
      <c r="AC93">
        <f t="shared" si="6"/>
        <v>2.2814999999999999</v>
      </c>
    </row>
    <row r="94" spans="2:34" s="1" customFormat="1" ht="13.2" x14ac:dyDescent="0.25">
      <c r="B94" s="36"/>
      <c r="C94" s="37"/>
      <c r="D94" s="37"/>
      <c r="E94" s="37"/>
      <c r="F94" s="37"/>
      <c r="G94" s="37"/>
      <c r="H94" s="37"/>
      <c r="I94" s="37"/>
      <c r="J94" s="37"/>
      <c r="Y94" s="1" t="s">
        <v>448</v>
      </c>
      <c r="Z94" s="1" t="s">
        <v>449</v>
      </c>
      <c r="AA94" s="1" t="s">
        <v>450</v>
      </c>
      <c r="AB94" s="1" t="s">
        <v>451</v>
      </c>
      <c r="AD94" s="1" t="s">
        <v>451</v>
      </c>
      <c r="AE94" s="1" t="s">
        <v>452</v>
      </c>
      <c r="AF94" s="1" t="s">
        <v>453</v>
      </c>
      <c r="AG94" s="1" t="s">
        <v>454</v>
      </c>
      <c r="AH94" s="1">
        <v>5.7</v>
      </c>
    </row>
    <row r="95" spans="2:34" s="1" customFormat="1" ht="13.2" x14ac:dyDescent="0.25">
      <c r="C95" s="128" t="s">
        <v>0</v>
      </c>
      <c r="D95" s="128"/>
      <c r="E95" s="128"/>
      <c r="F95" s="128"/>
      <c r="G95" s="128"/>
      <c r="H95" s="128"/>
      <c r="Y95" s="112">
        <f>0.3*1</f>
        <v>0.3</v>
      </c>
      <c r="Z95" s="1">
        <f>0.4*1</f>
        <v>0.4</v>
      </c>
      <c r="AA95" s="1">
        <f>0.7*1</f>
        <v>0.7</v>
      </c>
      <c r="AB95" s="1">
        <f>+AE95</f>
        <v>0.35</v>
      </c>
      <c r="AC95" s="1">
        <f>+AG95</f>
        <v>7.9799999999999995</v>
      </c>
      <c r="AD95" s="1">
        <f>0.3*0.3</f>
        <v>0.09</v>
      </c>
      <c r="AE95" s="1">
        <f>0.5*0.7</f>
        <v>0.35</v>
      </c>
      <c r="AF95" s="1">
        <f>0.7*1.1</f>
        <v>0.77</v>
      </c>
      <c r="AG95" s="1">
        <f>1.4*5.7</f>
        <v>7.9799999999999995</v>
      </c>
    </row>
    <row r="96" spans="2:34" s="1" customFormat="1" ht="13.2" x14ac:dyDescent="0.25">
      <c r="C96" s="128" t="s">
        <v>1</v>
      </c>
      <c r="D96" s="128"/>
      <c r="E96" s="128"/>
      <c r="F96" s="128"/>
      <c r="G96" s="128"/>
      <c r="H96" s="128"/>
    </row>
    <row r="97" spans="2:33" s="1" customFormat="1" x14ac:dyDescent="0.3">
      <c r="C97" s="128" t="s">
        <v>2</v>
      </c>
      <c r="D97" s="128"/>
      <c r="E97" s="128"/>
      <c r="F97" s="128"/>
      <c r="G97" s="128"/>
      <c r="H97" s="128"/>
      <c r="X97" s="1" t="s">
        <v>455</v>
      </c>
      <c r="Y97" s="1">
        <v>0.5</v>
      </c>
      <c r="Z97" s="1">
        <v>0.5</v>
      </c>
      <c r="AA97" s="1">
        <v>0.5</v>
      </c>
      <c r="AB97">
        <f>+(($AB$95-$Y$95)/($Z$95-$Y$95))*(Z97-Y97)+Y97</f>
        <v>0.5</v>
      </c>
      <c r="AC97">
        <f>+(($AC$95-$AA$95)/($AB$95-$AA$95))*(AB97-AA97)+AA97</f>
        <v>0.5</v>
      </c>
      <c r="AD97" s="1">
        <v>0.5</v>
      </c>
      <c r="AE97" s="1">
        <v>0.5</v>
      </c>
      <c r="AF97" s="1">
        <v>0.5</v>
      </c>
      <c r="AG97" s="1">
        <v>0.5</v>
      </c>
    </row>
    <row r="98" spans="2:33" s="1" customFormat="1" x14ac:dyDescent="0.3">
      <c r="C98" s="129" t="s">
        <v>3</v>
      </c>
      <c r="D98" s="129"/>
      <c r="E98" s="129"/>
      <c r="F98" s="129"/>
      <c r="G98" s="129"/>
      <c r="H98" s="129"/>
      <c r="X98" s="1" t="s">
        <v>456</v>
      </c>
      <c r="Y98" s="1">
        <v>10</v>
      </c>
      <c r="Z98" s="1">
        <v>14.67</v>
      </c>
      <c r="AA98" s="1">
        <v>25.67</v>
      </c>
      <c r="AB98">
        <f t="shared" ref="AB98:AB99" si="7">+(($AB$95-$Y$95)/($Z$95-$Y$95))*(Z98-Y98)+Y98</f>
        <v>12.334999999999999</v>
      </c>
      <c r="AC98">
        <f>+(($AC$95-$Z$95)/($AA$95-$Z$95))*(AA98-Z98)+Z98</f>
        <v>292.60333333333341</v>
      </c>
      <c r="AD98" s="1">
        <v>0.19300000000000317</v>
      </c>
      <c r="AE98" s="1">
        <v>12.334999999999999</v>
      </c>
      <c r="AF98" s="1">
        <v>28.236666666666672</v>
      </c>
      <c r="AG98" s="1">
        <v>292.60333333333341</v>
      </c>
    </row>
    <row r="99" spans="2:33" s="1" customFormat="1" x14ac:dyDescent="0.3">
      <c r="C99" s="52"/>
      <c r="D99" s="52"/>
      <c r="E99" s="52"/>
      <c r="F99" s="52"/>
      <c r="G99" s="52"/>
      <c r="H99" s="52"/>
      <c r="X99" s="1" t="s">
        <v>457</v>
      </c>
      <c r="Y99" s="1">
        <v>2.1</v>
      </c>
      <c r="Z99" s="1">
        <v>2.1</v>
      </c>
      <c r="AA99" s="1">
        <v>2.1</v>
      </c>
      <c r="AB99">
        <f t="shared" si="7"/>
        <v>2.1</v>
      </c>
      <c r="AC99">
        <f>+(($AC$95-$AA$95)/($AB$95-$AA$95))*(AB99-AA99)+AA99</f>
        <v>2.1</v>
      </c>
      <c r="AD99" s="1">
        <v>2.1</v>
      </c>
      <c r="AE99" s="1">
        <v>2.1</v>
      </c>
      <c r="AF99" s="1">
        <v>2.1</v>
      </c>
      <c r="AG99" s="1">
        <v>2.1</v>
      </c>
    </row>
    <row r="100" spans="2:33" s="1" customFormat="1" ht="15.6" x14ac:dyDescent="0.25">
      <c r="B100" s="130" t="s">
        <v>458</v>
      </c>
      <c r="C100" s="131"/>
      <c r="D100" s="131"/>
      <c r="E100" s="131"/>
      <c r="F100" s="131"/>
      <c r="G100" s="131"/>
      <c r="H100" s="131"/>
      <c r="I100" s="131"/>
      <c r="J100" s="132"/>
    </row>
    <row r="101" spans="2:33" s="1" customFormat="1" ht="21" x14ac:dyDescent="0.25">
      <c r="B101" s="138" t="s">
        <v>459</v>
      </c>
      <c r="C101" s="139"/>
      <c r="D101" s="139"/>
      <c r="E101" s="139"/>
      <c r="F101" s="139"/>
      <c r="G101" s="139"/>
      <c r="H101" s="139"/>
      <c r="I101" s="139"/>
      <c r="J101" s="140"/>
    </row>
    <row r="102" spans="2:33" s="1" customFormat="1" ht="13.8" thickBot="1" x14ac:dyDescent="0.3">
      <c r="B102" s="53"/>
      <c r="C102" s="53"/>
      <c r="D102" s="53"/>
      <c r="E102" s="53"/>
      <c r="F102" s="53"/>
      <c r="G102" s="53"/>
      <c r="H102" s="53"/>
      <c r="I102" s="53"/>
      <c r="J102" s="53"/>
    </row>
    <row r="103" spans="2:33" s="1" customFormat="1" ht="24.75" customHeight="1" x14ac:dyDescent="0.25">
      <c r="B103" s="123" t="s">
        <v>6</v>
      </c>
      <c r="C103" s="124"/>
      <c r="D103" s="124"/>
      <c r="E103" s="124"/>
      <c r="F103" s="124"/>
      <c r="G103" s="124"/>
      <c r="H103" s="124"/>
      <c r="I103" s="124"/>
      <c r="J103" s="125"/>
    </row>
    <row r="104" spans="2:33" s="1" customFormat="1" ht="13.2" x14ac:dyDescent="0.25">
      <c r="B104" s="2" t="s">
        <v>7</v>
      </c>
      <c r="C104" s="3" t="s">
        <v>8</v>
      </c>
      <c r="D104" s="3"/>
      <c r="E104" s="4"/>
      <c r="F104" s="5"/>
      <c r="G104" s="6" t="s">
        <v>9</v>
      </c>
      <c r="H104" s="126">
        <v>42879</v>
      </c>
      <c r="I104" s="126"/>
      <c r="J104" s="7"/>
    </row>
    <row r="105" spans="2:33" s="1" customFormat="1" ht="13.2" x14ac:dyDescent="0.25">
      <c r="B105" s="2" t="s">
        <v>10</v>
      </c>
      <c r="C105" s="3" t="s">
        <v>11</v>
      </c>
      <c r="F105" s="3"/>
      <c r="G105" s="8" t="s">
        <v>12</v>
      </c>
      <c r="H105" s="4" t="s">
        <v>11</v>
      </c>
      <c r="I105" s="9"/>
      <c r="J105" s="10"/>
    </row>
    <row r="106" spans="2:33" s="1" customFormat="1" ht="13.2" x14ac:dyDescent="0.25">
      <c r="B106" s="2" t="s">
        <v>13</v>
      </c>
      <c r="C106" s="3" t="s">
        <v>11</v>
      </c>
      <c r="F106" s="3"/>
      <c r="G106" s="8" t="s">
        <v>14</v>
      </c>
      <c r="H106" s="4" t="s">
        <v>15</v>
      </c>
      <c r="I106" s="9"/>
      <c r="J106" s="10"/>
    </row>
    <row r="107" spans="2:33" s="1" customFormat="1" ht="13.8" thickBot="1" x14ac:dyDescent="0.3">
      <c r="B107" s="11" t="s">
        <v>16</v>
      </c>
      <c r="C107" s="12" t="s">
        <v>17</v>
      </c>
      <c r="D107" s="13"/>
      <c r="E107" s="13"/>
      <c r="F107" s="12"/>
      <c r="G107" s="14" t="s">
        <v>18</v>
      </c>
      <c r="H107" s="15" t="s">
        <v>19</v>
      </c>
      <c r="I107" s="16"/>
      <c r="J107" s="17"/>
    </row>
    <row r="108" spans="2:33" s="1" customFormat="1" ht="13.2" x14ac:dyDescent="0.25">
      <c r="B108" s="53"/>
      <c r="C108" s="53"/>
      <c r="D108" s="53"/>
      <c r="E108" s="53"/>
      <c r="F108" s="53"/>
      <c r="G108" s="53"/>
      <c r="H108" s="53"/>
      <c r="I108" s="53"/>
      <c r="J108" s="53"/>
    </row>
    <row r="109" spans="2:33" s="1" customFormat="1" ht="13.2" x14ac:dyDescent="0.25">
      <c r="B109" s="20" t="s">
        <v>20</v>
      </c>
      <c r="C109" s="21" t="s">
        <v>21</v>
      </c>
      <c r="D109" s="21" t="s">
        <v>460</v>
      </c>
      <c r="E109" s="21" t="s">
        <v>461</v>
      </c>
      <c r="F109" s="21" t="s">
        <v>462</v>
      </c>
      <c r="G109" s="21" t="s">
        <v>463</v>
      </c>
      <c r="H109" s="21" t="s">
        <v>464</v>
      </c>
      <c r="I109" s="21" t="s">
        <v>22</v>
      </c>
      <c r="J109" s="21" t="s">
        <v>23</v>
      </c>
    </row>
    <row r="110" spans="2:33" s="1" customFormat="1" ht="13.2" x14ac:dyDescent="0.25">
      <c r="B110" s="54">
        <v>4.03</v>
      </c>
      <c r="C110" s="55" t="s">
        <v>182</v>
      </c>
      <c r="D110" s="59"/>
      <c r="E110" s="39"/>
      <c r="F110" s="39"/>
      <c r="G110" s="39"/>
      <c r="H110" s="39"/>
      <c r="I110" s="39"/>
      <c r="J110" s="40"/>
    </row>
    <row r="111" spans="2:33" s="1" customFormat="1" ht="13.2" x14ac:dyDescent="0.25">
      <c r="B111" s="72" t="s">
        <v>183</v>
      </c>
      <c r="C111" s="72" t="s">
        <v>331</v>
      </c>
      <c r="D111" s="59"/>
      <c r="E111" s="39"/>
      <c r="F111" s="39"/>
      <c r="G111" s="39"/>
      <c r="H111" s="39"/>
      <c r="I111" s="39"/>
      <c r="J111" s="40"/>
    </row>
    <row r="112" spans="2:33" s="1" customFormat="1" ht="13.2" x14ac:dyDescent="0.25">
      <c r="B112" s="24" t="s">
        <v>185</v>
      </c>
      <c r="C112" s="27" t="s">
        <v>332</v>
      </c>
      <c r="D112" s="59"/>
      <c r="E112" s="39"/>
      <c r="F112" s="39"/>
      <c r="G112" s="39"/>
      <c r="H112" s="39"/>
      <c r="I112" s="39">
        <f>+SUM(H113:H117)</f>
        <v>30.881999999999998</v>
      </c>
      <c r="J112" s="40" t="s">
        <v>333</v>
      </c>
    </row>
    <row r="113" spans="2:10" s="1" customFormat="1" ht="13.2" x14ac:dyDescent="0.25">
      <c r="B113" s="45"/>
      <c r="C113" s="38" t="s">
        <v>564</v>
      </c>
      <c r="D113" s="39">
        <v>1</v>
      </c>
      <c r="E113" s="39">
        <v>0.6</v>
      </c>
      <c r="F113" s="39">
        <v>0.8</v>
      </c>
      <c r="G113" s="39"/>
      <c r="H113" s="39">
        <f>IF(AND(F113=0,G113=0),D113*E113,IF(AND(E113=0,G113=0),D113*F113,IF(AND(E113=0,F113=0),D113*G113,IF(AND(E113=0),D113*F113*G113,IF(AND(F113=0),D113*E113*G113,IF(AND(G113=0),D113*E113*F113,D113*E113*F113*G113))))))</f>
        <v>0.48</v>
      </c>
      <c r="I113" s="39"/>
      <c r="J113" s="40"/>
    </row>
    <row r="114" spans="2:10" s="1" customFormat="1" ht="13.2" x14ac:dyDescent="0.25">
      <c r="B114" s="45"/>
      <c r="C114" s="38" t="s">
        <v>565</v>
      </c>
      <c r="D114" s="39">
        <v>1</v>
      </c>
      <c r="E114" s="39">
        <v>0.6</v>
      </c>
      <c r="F114" s="39">
        <v>0.8</v>
      </c>
      <c r="G114" s="39"/>
      <c r="H114" s="39">
        <f>IF(AND(F114=0,G114=0),D114*E114,IF(AND(E114=0,G114=0),D114*F114,IF(AND(E114=0,F114=0),D114*G114,IF(AND(E114=0),D114*F114*G114,IF(AND(F114=0),D114*E114*G114,IF(AND(G114=0),D114*E114*F114,D114*E114*F114*G114))))))</f>
        <v>0.48</v>
      </c>
      <c r="I114" s="39"/>
      <c r="J114" s="40"/>
    </row>
    <row r="115" spans="2:10" s="1" customFormat="1" ht="13.2" x14ac:dyDescent="0.25">
      <c r="B115" s="45"/>
      <c r="C115" s="42" t="s">
        <v>566</v>
      </c>
      <c r="D115" s="59"/>
      <c r="E115" s="39"/>
      <c r="F115" s="39"/>
      <c r="G115" s="39"/>
      <c r="H115" s="39"/>
      <c r="I115" s="39"/>
      <c r="J115" s="40"/>
    </row>
    <row r="116" spans="2:10" s="1" customFormat="1" ht="13.2" x14ac:dyDescent="0.25">
      <c r="B116" s="45"/>
      <c r="C116" s="38" t="s">
        <v>567</v>
      </c>
      <c r="D116" s="59">
        <v>1</v>
      </c>
      <c r="E116" s="39">
        <f>2.26+0.66+3.46</f>
        <v>6.38</v>
      </c>
      <c r="F116" s="39">
        <v>0.6</v>
      </c>
      <c r="G116" s="39"/>
      <c r="H116" s="39">
        <f>IF(AND(F116=0,G116=0),D116*E116,IF(AND(E116=0,G116=0),D116*F116,IF(AND(E116=0,F116=0),D116*G116,IF(AND(E116=0),D116*F116*G116,IF(AND(F116=0),D116*E116*G116,IF(AND(G116=0),D116*E116*F116,D116*E116*F116*G116))))))</f>
        <v>3.8279999999999998</v>
      </c>
      <c r="I116" s="39"/>
      <c r="J116" s="40"/>
    </row>
    <row r="117" spans="2:10" s="1" customFormat="1" ht="13.2" x14ac:dyDescent="0.25">
      <c r="B117" s="45"/>
      <c r="C117" s="38" t="s">
        <v>568</v>
      </c>
      <c r="D117" s="59">
        <v>1</v>
      </c>
      <c r="E117" s="39">
        <f>6.11+17.91+19.47</f>
        <v>43.489999999999995</v>
      </c>
      <c r="F117" s="39">
        <v>0.6</v>
      </c>
      <c r="G117" s="39"/>
      <c r="H117" s="39">
        <f>IF(AND(F117=0,G117=0),D117*E117,IF(AND(E117=0,G117=0),D117*F117,IF(AND(E117=0,F117=0),D117*G117,IF(AND(E117=0),D117*F117*G117,IF(AND(F117=0),D117*E117*G117,IF(AND(G117=0),D117*E117*F117,D117*E117*F117*G117))))))</f>
        <v>26.093999999999998</v>
      </c>
      <c r="I117" s="39"/>
      <c r="J117" s="40"/>
    </row>
    <row r="118" spans="2:10" x14ac:dyDescent="0.3">
      <c r="B118" s="24" t="s">
        <v>187</v>
      </c>
      <c r="C118" s="27" t="s">
        <v>334</v>
      </c>
      <c r="D118" s="22"/>
      <c r="E118" s="22"/>
      <c r="F118" s="22"/>
      <c r="G118" s="22"/>
      <c r="H118" s="23"/>
      <c r="I118" s="24">
        <f>+I112</f>
        <v>30.881999999999998</v>
      </c>
      <c r="J118" s="25" t="s">
        <v>333</v>
      </c>
    </row>
    <row r="119" spans="2:10" s="1" customFormat="1" ht="14.25" customHeight="1" x14ac:dyDescent="0.25">
      <c r="B119" s="45"/>
      <c r="C119" s="58"/>
      <c r="D119" s="59"/>
      <c r="E119" s="39"/>
      <c r="F119" s="39"/>
      <c r="G119" s="39"/>
      <c r="H119" s="39"/>
      <c r="I119" s="39"/>
      <c r="J119" s="40"/>
    </row>
    <row r="120" spans="2:10" x14ac:dyDescent="0.3">
      <c r="B120" s="72" t="s">
        <v>201</v>
      </c>
      <c r="C120" s="72" t="s">
        <v>335</v>
      </c>
      <c r="D120" s="22"/>
      <c r="E120" s="22"/>
      <c r="F120" s="22"/>
      <c r="G120" s="22"/>
      <c r="H120" s="23"/>
      <c r="I120" s="24"/>
      <c r="J120" s="25"/>
    </row>
    <row r="121" spans="2:10" s="1" customFormat="1" ht="13.2" x14ac:dyDescent="0.25">
      <c r="B121" s="1" t="s">
        <v>203</v>
      </c>
      <c r="C121" s="27" t="s">
        <v>336</v>
      </c>
      <c r="D121" s="39"/>
      <c r="E121" s="39"/>
      <c r="F121" s="39"/>
      <c r="G121" s="39"/>
      <c r="H121" s="39"/>
      <c r="I121" s="39">
        <f>+H122</f>
        <v>0</v>
      </c>
      <c r="J121" s="40" t="s">
        <v>337</v>
      </c>
    </row>
    <row r="122" spans="2:10" x14ac:dyDescent="0.3">
      <c r="B122" s="24"/>
      <c r="D122" s="22"/>
      <c r="E122" s="22"/>
      <c r="F122" s="22"/>
      <c r="G122" s="22"/>
      <c r="H122" s="23">
        <v>0</v>
      </c>
      <c r="I122" s="24"/>
      <c r="J122" s="25"/>
    </row>
    <row r="123" spans="2:10" s="1" customFormat="1" ht="13.2" x14ac:dyDescent="0.25">
      <c r="B123" s="1" t="s">
        <v>205</v>
      </c>
      <c r="C123" s="27" t="s">
        <v>338</v>
      </c>
      <c r="D123" s="39"/>
      <c r="E123" s="39"/>
      <c r="F123" s="39"/>
      <c r="G123" s="39"/>
      <c r="H123" s="39"/>
      <c r="I123" s="39">
        <f>+H124</f>
        <v>0</v>
      </c>
      <c r="J123" s="40" t="s">
        <v>333</v>
      </c>
    </row>
    <row r="124" spans="2:10" s="1" customFormat="1" ht="13.2" x14ac:dyDescent="0.25">
      <c r="B124" s="56"/>
      <c r="C124" s="38"/>
      <c r="D124" s="39"/>
      <c r="E124" s="39"/>
      <c r="F124" s="39"/>
      <c r="G124" s="39"/>
      <c r="H124" s="39">
        <v>0</v>
      </c>
      <c r="I124" s="39"/>
      <c r="J124" s="40"/>
    </row>
    <row r="125" spans="2:10" x14ac:dyDescent="0.3">
      <c r="B125" s="72" t="s">
        <v>233</v>
      </c>
      <c r="C125" s="72" t="s">
        <v>339</v>
      </c>
      <c r="D125" s="22"/>
      <c r="E125" s="22"/>
      <c r="F125" s="22"/>
      <c r="G125" s="22"/>
      <c r="H125" s="23"/>
      <c r="I125" s="24"/>
      <c r="J125" s="25"/>
    </row>
    <row r="126" spans="2:10" s="1" customFormat="1" ht="13.2" x14ac:dyDescent="0.25">
      <c r="B126" s="1" t="s">
        <v>235</v>
      </c>
      <c r="C126" s="27" t="s">
        <v>340</v>
      </c>
      <c r="D126" s="39"/>
      <c r="E126" s="39"/>
      <c r="F126" s="39"/>
      <c r="G126" s="39"/>
      <c r="H126" s="39"/>
      <c r="I126" s="39">
        <f>+H127</f>
        <v>0</v>
      </c>
      <c r="J126" s="40" t="s">
        <v>333</v>
      </c>
    </row>
    <row r="127" spans="2:10" x14ac:dyDescent="0.3">
      <c r="B127" s="24"/>
      <c r="D127" s="22"/>
      <c r="E127" s="22"/>
      <c r="F127" s="22"/>
      <c r="G127" s="22"/>
      <c r="H127" s="23">
        <v>0</v>
      </c>
      <c r="I127" s="24"/>
      <c r="J127" s="25"/>
    </row>
    <row r="128" spans="2:10" s="1" customFormat="1" ht="13.2" x14ac:dyDescent="0.25">
      <c r="B128" s="1" t="s">
        <v>237</v>
      </c>
      <c r="C128" s="27" t="s">
        <v>341</v>
      </c>
      <c r="D128" s="39"/>
      <c r="E128" s="39"/>
      <c r="F128" s="39"/>
      <c r="G128" s="39"/>
      <c r="H128" s="39"/>
      <c r="I128" s="39">
        <f>+H129</f>
        <v>0</v>
      </c>
      <c r="J128" s="40" t="s">
        <v>333</v>
      </c>
    </row>
    <row r="129" spans="2:10" s="1" customFormat="1" ht="13.2" x14ac:dyDescent="0.25">
      <c r="B129" s="56"/>
      <c r="C129" s="38"/>
      <c r="D129" s="39"/>
      <c r="E129" s="39"/>
      <c r="F129" s="39"/>
      <c r="G129" s="39"/>
      <c r="H129" s="39">
        <v>0</v>
      </c>
      <c r="I129" s="39"/>
      <c r="J129" s="40"/>
    </row>
    <row r="130" spans="2:10" x14ac:dyDescent="0.3">
      <c r="B130" s="72" t="s">
        <v>344</v>
      </c>
      <c r="C130" s="72" t="s">
        <v>342</v>
      </c>
      <c r="D130" s="22"/>
      <c r="E130" s="22"/>
      <c r="F130" s="22"/>
      <c r="G130" s="22"/>
      <c r="H130" s="23"/>
      <c r="I130" s="24">
        <f>+H131</f>
        <v>0</v>
      </c>
      <c r="J130" s="25"/>
    </row>
    <row r="131" spans="2:10" s="1" customFormat="1" ht="13.2" x14ac:dyDescent="0.25">
      <c r="B131" s="24" t="s">
        <v>346</v>
      </c>
      <c r="C131" s="27" t="s">
        <v>343</v>
      </c>
      <c r="D131" s="39"/>
      <c r="E131" s="39"/>
      <c r="F131" s="39"/>
      <c r="G131" s="39"/>
      <c r="H131" s="39">
        <v>0</v>
      </c>
      <c r="I131" s="39"/>
      <c r="J131" s="40" t="s">
        <v>337</v>
      </c>
    </row>
    <row r="132" spans="2:10" s="1" customFormat="1" ht="13.2" x14ac:dyDescent="0.25">
      <c r="C132" s="38"/>
      <c r="D132" s="39"/>
      <c r="E132" s="39"/>
      <c r="F132" s="39"/>
      <c r="G132" s="39"/>
      <c r="H132" s="39"/>
      <c r="I132" s="39"/>
      <c r="J132" s="40"/>
    </row>
    <row r="133" spans="2:10" x14ac:dyDescent="0.3">
      <c r="B133" s="72" t="s">
        <v>359</v>
      </c>
      <c r="C133" s="72" t="s">
        <v>345</v>
      </c>
      <c r="D133" s="22"/>
      <c r="E133" s="22"/>
      <c r="F133" s="22"/>
      <c r="G133" s="22"/>
      <c r="H133" s="23"/>
      <c r="I133" s="24"/>
      <c r="J133" s="25"/>
    </row>
    <row r="134" spans="2:10" s="1" customFormat="1" ht="13.2" x14ac:dyDescent="0.25">
      <c r="B134" s="24" t="s">
        <v>361</v>
      </c>
      <c r="C134" s="1" t="s">
        <v>347</v>
      </c>
      <c r="D134" s="59"/>
      <c r="E134" s="39"/>
      <c r="F134" s="39"/>
      <c r="G134" s="39"/>
      <c r="H134" s="23"/>
      <c r="I134" s="24">
        <f>+SUM(H135)</f>
        <v>0</v>
      </c>
      <c r="J134" s="25" t="s">
        <v>337</v>
      </c>
    </row>
    <row r="135" spans="2:10" s="1" customFormat="1" ht="13.2" x14ac:dyDescent="0.25">
      <c r="B135" s="56"/>
      <c r="C135" s="38"/>
      <c r="D135" s="39"/>
      <c r="E135" s="39"/>
      <c r="F135" s="39"/>
      <c r="G135" s="39"/>
      <c r="H135" s="39">
        <f>IF(AND(F135=0,G135=0),D135*E135,IF(AND(E135=0,G135=0),D135*F135,IF(AND(E135=0,F135=0),D135*G135,IF(AND(E135=0),D135*F135*G135,IF(AND(F135=0),D135*E135*G135,IF(AND(G135=0),D135*E135*F135,D135*E135*F135*G135))))))</f>
        <v>0</v>
      </c>
      <c r="I135" s="39"/>
      <c r="J135" s="40"/>
    </row>
    <row r="136" spans="2:10" x14ac:dyDescent="0.3">
      <c r="B136" s="24" t="s">
        <v>363</v>
      </c>
      <c r="C136" s="1" t="s">
        <v>348</v>
      </c>
      <c r="D136" s="22"/>
      <c r="E136" s="22"/>
      <c r="F136" s="22"/>
      <c r="G136" s="22"/>
      <c r="H136" s="23"/>
      <c r="I136" s="24">
        <f>+SUM(H137:H138)</f>
        <v>0.48</v>
      </c>
      <c r="J136" s="25" t="s">
        <v>337</v>
      </c>
    </row>
    <row r="137" spans="2:10" s="1" customFormat="1" ht="13.2" x14ac:dyDescent="0.25">
      <c r="C137" s="38" t="s">
        <v>564</v>
      </c>
      <c r="D137" s="39">
        <v>1</v>
      </c>
      <c r="E137" s="39">
        <v>0.6</v>
      </c>
      <c r="F137" s="39">
        <v>0.8</v>
      </c>
      <c r="G137" s="39">
        <f>0.3+0.2</f>
        <v>0.5</v>
      </c>
      <c r="H137" s="39">
        <f>IF(AND(F137=0,G137=0),D137*E137,IF(AND(E137=0,G137=0),D137*F137,IF(AND(E137=0,F137=0),D137*G137,IF(AND(E137=0),D137*F137*G137,IF(AND(F137=0),D137*E137*G137,IF(AND(G137=0),D137*E137*F137,D137*E137*F137*G137))))))</f>
        <v>0.24</v>
      </c>
      <c r="I137" s="39"/>
      <c r="J137" s="40"/>
    </row>
    <row r="138" spans="2:10" s="1" customFormat="1" ht="13.2" x14ac:dyDescent="0.25">
      <c r="C138" s="38" t="s">
        <v>565</v>
      </c>
      <c r="D138" s="39">
        <v>1</v>
      </c>
      <c r="E138" s="39">
        <v>0.6</v>
      </c>
      <c r="F138" s="39">
        <v>0.8</v>
      </c>
      <c r="G138" s="39">
        <f>0.3+0.2</f>
        <v>0.5</v>
      </c>
      <c r="H138" s="39">
        <f>IF(AND(F138=0,G138=0),D138*E138,IF(AND(E138=0,G138=0),D138*F138,IF(AND(E138=0,F138=0),D138*G138,IF(AND(E138=0),D138*F138*G138,IF(AND(F138=0),D138*E138*G138,IF(AND(G138=0),D138*E138*F138,D138*E138*F138*G138))))))</f>
        <v>0.24</v>
      </c>
      <c r="I138" s="39"/>
      <c r="J138" s="40"/>
    </row>
    <row r="139" spans="2:10" s="1" customFormat="1" ht="13.2" x14ac:dyDescent="0.25">
      <c r="B139" s="24" t="s">
        <v>555</v>
      </c>
      <c r="C139" s="1" t="s">
        <v>349</v>
      </c>
      <c r="D139" s="59"/>
      <c r="E139" s="39"/>
      <c r="F139" s="39"/>
      <c r="G139" s="39"/>
      <c r="H139" s="39"/>
      <c r="I139" s="39">
        <f>+SUM(H140)</f>
        <v>0</v>
      </c>
      <c r="J139" s="40" t="s">
        <v>337</v>
      </c>
    </row>
    <row r="140" spans="2:10" s="1" customFormat="1" ht="13.2" x14ac:dyDescent="0.25">
      <c r="B140" s="45"/>
      <c r="C140" s="38"/>
      <c r="E140" s="39"/>
      <c r="F140" s="39"/>
      <c r="G140" s="39"/>
      <c r="H140" s="39">
        <f>IF(AND(F140=0,G140=0),D140*E140,IF(AND(E140=0,G140=0),D140*F140,IF(AND(E140=0,F140=0),D140*G140,IF(AND(E140=0),D140*F140*G140,IF(AND(F140=0),D140*E140*G140,IF(AND(G140=0),D140*E140*F140,D140*E140*F140*G140))))))</f>
        <v>0</v>
      </c>
      <c r="I140" s="39"/>
      <c r="J140" s="40"/>
    </row>
    <row r="141" spans="2:10" x14ac:dyDescent="0.3">
      <c r="B141" s="24" t="s">
        <v>556</v>
      </c>
      <c r="C141" s="1" t="s">
        <v>350</v>
      </c>
      <c r="D141" s="22"/>
      <c r="E141" s="22"/>
      <c r="F141" s="22"/>
      <c r="G141" s="22"/>
      <c r="I141" s="23">
        <f>+SUM(H142:H143)</f>
        <v>0.96</v>
      </c>
      <c r="J141" s="25" t="s">
        <v>333</v>
      </c>
    </row>
    <row r="142" spans="2:10" x14ac:dyDescent="0.3">
      <c r="B142" s="90"/>
      <c r="C142" s="38" t="s">
        <v>564</v>
      </c>
      <c r="D142" s="39">
        <v>1</v>
      </c>
      <c r="E142" s="39">
        <v>0.6</v>
      </c>
      <c r="F142" s="39">
        <v>0.8</v>
      </c>
      <c r="G142" s="39"/>
      <c r="H142" s="39">
        <f>IF(AND(F142=0,G142=0),D142*E142,IF(AND(E142=0,G142=0),D142*F142,IF(AND(E142=0,F142=0),D142*G142,IF(AND(E142=0),D142*F142*G142,IF(AND(F142=0),D142*E142*G142,IF(AND(G142=0),D142*E142*F142,D142*E142*F142*G142))))))</f>
        <v>0.48</v>
      </c>
      <c r="I142" s="24"/>
      <c r="J142" s="25"/>
    </row>
    <row r="143" spans="2:10" x14ac:dyDescent="0.3">
      <c r="B143" s="90"/>
      <c r="C143" s="38" t="s">
        <v>565</v>
      </c>
      <c r="D143" s="39">
        <v>1</v>
      </c>
      <c r="E143" s="39">
        <v>0.6</v>
      </c>
      <c r="F143" s="39">
        <v>0.8</v>
      </c>
      <c r="G143" s="39"/>
      <c r="H143" s="39">
        <f t="shared" ref="H143" si="8">IF(AND(F143=0,G143=0),D143*E143,IF(AND(E143=0,G143=0),D143*F143,IF(AND(E143=0,F143=0),D143*G143,IF(AND(E143=0),D143*F143*G143,IF(AND(F143=0),D143*E143*G143,IF(AND(G143=0),D143*E143*F143,D143*E143*F143*G143))))))</f>
        <v>0.48</v>
      </c>
      <c r="I143" s="24"/>
      <c r="J143" s="25"/>
    </row>
    <row r="144" spans="2:10" x14ac:dyDescent="0.3">
      <c r="B144" s="90"/>
      <c r="C144" s="103"/>
      <c r="D144" s="22"/>
      <c r="E144" s="22"/>
      <c r="F144" s="22"/>
      <c r="G144" s="22"/>
      <c r="H144" s="23"/>
      <c r="I144" s="24"/>
      <c r="J144" s="25"/>
    </row>
    <row r="145" spans="2:10" s="1" customFormat="1" ht="13.2" x14ac:dyDescent="0.25">
      <c r="B145" s="24" t="s">
        <v>557</v>
      </c>
      <c r="C145" s="1" t="s">
        <v>351</v>
      </c>
      <c r="D145" s="59"/>
      <c r="E145" s="39"/>
      <c r="F145" s="39"/>
      <c r="G145" s="39"/>
      <c r="H145" s="39"/>
      <c r="I145" s="39">
        <f>+SUM(H147:H148)-H150</f>
        <v>17.391197928626678</v>
      </c>
      <c r="J145" s="40" t="s">
        <v>337</v>
      </c>
    </row>
    <row r="146" spans="2:10" s="1" customFormat="1" ht="13.2" x14ac:dyDescent="0.25">
      <c r="B146" s="45"/>
      <c r="C146" s="42" t="s">
        <v>566</v>
      </c>
      <c r="D146" s="59"/>
      <c r="E146" s="39"/>
      <c r="F146" s="39"/>
      <c r="G146" s="39"/>
      <c r="H146" s="39"/>
      <c r="I146" s="39"/>
      <c r="J146" s="40"/>
    </row>
    <row r="147" spans="2:10" s="1" customFormat="1" ht="13.2" x14ac:dyDescent="0.25">
      <c r="B147" s="45"/>
      <c r="C147" s="38" t="s">
        <v>567</v>
      </c>
      <c r="D147" s="59">
        <v>1</v>
      </c>
      <c r="E147" s="39">
        <f>2.26+0.66+3.46</f>
        <v>6.38</v>
      </c>
      <c r="F147" s="39">
        <v>0.6</v>
      </c>
      <c r="G147" s="39">
        <v>0.35</v>
      </c>
      <c r="H147" s="39">
        <f>IF(AND(F147=0,G147=0),D147*E147,IF(AND(E147=0,G147=0),D147*F147,IF(AND(E147=0,F147=0),D147*G147,IF(AND(E147=0),D147*F147*G147,IF(AND(F147=0),D147*E147*G147,IF(AND(G147=0),D147*E147*F147,D147*E147*F147*G147))))))</f>
        <v>1.3397999999999999</v>
      </c>
      <c r="I147" s="39"/>
      <c r="J147" s="40"/>
    </row>
    <row r="148" spans="2:10" s="1" customFormat="1" ht="13.2" x14ac:dyDescent="0.25">
      <c r="B148" s="45"/>
      <c r="C148" s="38" t="s">
        <v>568</v>
      </c>
      <c r="D148" s="59">
        <v>1</v>
      </c>
      <c r="E148" s="39">
        <f>6.11+17.91+19.47</f>
        <v>43.489999999999995</v>
      </c>
      <c r="F148" s="39">
        <v>0.6</v>
      </c>
      <c r="G148" s="39">
        <v>0.65</v>
      </c>
      <c r="H148" s="39">
        <f>IF(AND(F148=0,G148=0),D148*E148,IF(AND(E148=0,G148=0),D148*F148,IF(AND(E148=0,F148=0),D148*G148,IF(AND(E148=0),D148*F148*G148,IF(AND(F148=0),D148*E148*G148,IF(AND(G148=0),D148*E148*F148,D148*E148*F148*G148))))))</f>
        <v>16.961099999999998</v>
      </c>
      <c r="I148" s="39"/>
      <c r="J148" s="40"/>
    </row>
    <row r="149" spans="2:10" s="1" customFormat="1" ht="13.2" x14ac:dyDescent="0.25">
      <c r="B149" s="45"/>
      <c r="F149" s="39" t="s">
        <v>485</v>
      </c>
      <c r="G149" s="39">
        <v>6</v>
      </c>
      <c r="I149" s="39"/>
      <c r="J149" s="40"/>
    </row>
    <row r="150" spans="2:10" s="1" customFormat="1" ht="13.2" x14ac:dyDescent="0.25">
      <c r="B150" s="45"/>
      <c r="C150" s="38" t="s">
        <v>569</v>
      </c>
      <c r="D150" s="59">
        <v>1</v>
      </c>
      <c r="E150" s="39">
        <f>+SUM(E147:E148)</f>
        <v>49.87</v>
      </c>
      <c r="F150" s="39" t="s">
        <v>570</v>
      </c>
      <c r="G150" s="39">
        <f>+PI()*((G149*0.0254)^2)/4</f>
        <v>1.8241469247509915E-2</v>
      </c>
      <c r="H150" s="39">
        <f>+E150*G150</f>
        <v>0.90970207137331938</v>
      </c>
      <c r="I150" s="39"/>
      <c r="J150" s="40"/>
    </row>
    <row r="151" spans="2:10" s="1" customFormat="1" ht="13.2" x14ac:dyDescent="0.25">
      <c r="B151" s="45"/>
      <c r="C151" s="58"/>
      <c r="D151" s="59"/>
      <c r="E151" s="39"/>
      <c r="F151" s="39"/>
      <c r="G151" s="39"/>
      <c r="H151" s="39"/>
      <c r="I151" s="39"/>
      <c r="J151" s="40"/>
    </row>
    <row r="152" spans="2:10" s="1" customFormat="1" ht="13.2" x14ac:dyDescent="0.25">
      <c r="B152" s="45" t="s">
        <v>558</v>
      </c>
      <c r="C152" s="1" t="s">
        <v>352</v>
      </c>
      <c r="D152" s="59"/>
      <c r="E152" s="39"/>
      <c r="F152" s="39"/>
      <c r="G152" s="39"/>
      <c r="H152" s="39"/>
      <c r="I152" s="39">
        <f>+SUM(H153)</f>
        <v>0</v>
      </c>
      <c r="J152" s="40" t="s">
        <v>333</v>
      </c>
    </row>
    <row r="153" spans="2:10" s="1" customFormat="1" ht="13.2" x14ac:dyDescent="0.25">
      <c r="B153" s="45"/>
      <c r="C153" s="58"/>
      <c r="D153" s="59"/>
      <c r="E153" s="39"/>
      <c r="F153" s="39"/>
      <c r="G153" s="39"/>
      <c r="H153" s="39">
        <f>+(F153+G153*2)*E153</f>
        <v>0</v>
      </c>
      <c r="I153" s="39"/>
      <c r="J153" s="40"/>
    </row>
    <row r="154" spans="2:10" x14ac:dyDescent="0.3">
      <c r="B154" s="24" t="s">
        <v>559</v>
      </c>
      <c r="C154" s="27" t="s">
        <v>353</v>
      </c>
      <c r="D154" s="22"/>
      <c r="E154" s="22"/>
      <c r="F154" s="22"/>
      <c r="G154" s="22"/>
      <c r="H154" s="23"/>
      <c r="I154" s="24">
        <f>+SUM(H156:H157)</f>
        <v>90.924999999999983</v>
      </c>
      <c r="J154" s="25" t="s">
        <v>333</v>
      </c>
    </row>
    <row r="155" spans="2:10" s="1" customFormat="1" ht="13.2" x14ac:dyDescent="0.25">
      <c r="B155" s="45"/>
      <c r="C155" s="42" t="s">
        <v>566</v>
      </c>
      <c r="D155" s="59"/>
      <c r="E155" s="39"/>
      <c r="F155" s="39"/>
      <c r="G155" s="39"/>
      <c r="H155" s="39"/>
      <c r="I155" s="39"/>
      <c r="J155" s="40"/>
    </row>
    <row r="156" spans="2:10" s="1" customFormat="1" ht="13.2" x14ac:dyDescent="0.25">
      <c r="B156" s="45"/>
      <c r="C156" s="38" t="s">
        <v>567</v>
      </c>
      <c r="D156" s="59">
        <v>1</v>
      </c>
      <c r="E156" s="39">
        <f>2.26+0.66+3.46</f>
        <v>6.38</v>
      </c>
      <c r="F156" s="39">
        <v>0.6</v>
      </c>
      <c r="G156" s="39">
        <v>0.35</v>
      </c>
      <c r="H156" s="39">
        <f>+(F156+G156*2)*E156</f>
        <v>8.2939999999999987</v>
      </c>
      <c r="I156" s="39"/>
      <c r="J156" s="40"/>
    </row>
    <row r="157" spans="2:10" s="1" customFormat="1" ht="13.2" x14ac:dyDescent="0.25">
      <c r="B157" s="45"/>
      <c r="C157" s="38" t="s">
        <v>568</v>
      </c>
      <c r="D157" s="59">
        <v>1</v>
      </c>
      <c r="E157" s="39">
        <f>6.11+17.91+19.47</f>
        <v>43.489999999999995</v>
      </c>
      <c r="F157" s="39">
        <v>0.6</v>
      </c>
      <c r="G157" s="39">
        <v>0.65</v>
      </c>
      <c r="H157" s="39">
        <f>+(F157+G157*2)*E157</f>
        <v>82.630999999999986</v>
      </c>
      <c r="I157" s="39"/>
      <c r="J157" s="40"/>
    </row>
    <row r="158" spans="2:10" s="1" customFormat="1" ht="13.2" x14ac:dyDescent="0.25">
      <c r="B158" s="45"/>
      <c r="C158" s="58"/>
      <c r="D158" s="59"/>
      <c r="E158" s="39"/>
      <c r="F158" s="39"/>
      <c r="G158" s="39"/>
      <c r="H158" s="39"/>
      <c r="I158" s="39"/>
      <c r="J158" s="40"/>
    </row>
    <row r="159" spans="2:10" s="1" customFormat="1" ht="13.2" x14ac:dyDescent="0.25">
      <c r="B159" s="45"/>
      <c r="C159" s="58"/>
      <c r="D159" s="59"/>
      <c r="E159" s="39"/>
      <c r="F159" s="39"/>
      <c r="G159" s="39"/>
      <c r="H159" s="39"/>
      <c r="I159" s="39"/>
      <c r="J159" s="40"/>
    </row>
    <row r="160" spans="2:10" s="1" customFormat="1" ht="13.2" x14ac:dyDescent="0.25">
      <c r="B160" s="24" t="s">
        <v>560</v>
      </c>
      <c r="C160" s="27" t="s">
        <v>354</v>
      </c>
      <c r="D160" s="59"/>
      <c r="E160" s="39"/>
      <c r="F160" s="39" t="s">
        <v>571</v>
      </c>
      <c r="G160" s="39"/>
      <c r="H160" s="39"/>
      <c r="I160" s="39">
        <f>+SUM(H162:H171)</f>
        <v>239.27936809605484</v>
      </c>
      <c r="J160" s="40" t="s">
        <v>355</v>
      </c>
    </row>
    <row r="161" spans="2:10" s="1" customFormat="1" ht="13.2" x14ac:dyDescent="0.25">
      <c r="B161" s="107"/>
      <c r="C161" s="42" t="s">
        <v>192</v>
      </c>
      <c r="D161" s="59"/>
      <c r="E161" s="39"/>
      <c r="F161" s="39"/>
      <c r="G161" s="39"/>
      <c r="H161" s="39"/>
      <c r="J161" s="40"/>
    </row>
    <row r="162" spans="2:10" s="1" customFormat="1" ht="13.2" x14ac:dyDescent="0.25">
      <c r="B162" s="107"/>
      <c r="C162" s="38" t="s">
        <v>465</v>
      </c>
      <c r="D162" s="59">
        <v>1</v>
      </c>
      <c r="E162" s="39">
        <f>14+0.55</f>
        <v>14.55</v>
      </c>
      <c r="F162" s="39">
        <f>8.2/5</f>
        <v>1.64</v>
      </c>
      <c r="G162" s="39"/>
      <c r="H162" s="39">
        <f>IF(AND(F162=0,G162=0),D162*E162,IF(AND(E162=0,G162=0),D162*F162,IF(AND(E162=0,F162=0),D162*G162,IF(AND(E162=0),D162*F162*G162,IF(AND(F162=0),D162*E162*G162,IF(AND(G162=0),D162*E162*F162,D162*E162*F162*G162))))))</f>
        <v>23.861999999999998</v>
      </c>
      <c r="I162" s="39"/>
      <c r="J162" s="40"/>
    </row>
    <row r="163" spans="2:10" s="1" customFormat="1" ht="13.2" x14ac:dyDescent="0.25">
      <c r="B163" s="107"/>
      <c r="C163" s="38" t="s">
        <v>466</v>
      </c>
      <c r="D163" s="39">
        <v>1</v>
      </c>
      <c r="E163" s="39">
        <v>10.52</v>
      </c>
      <c r="F163" s="39">
        <f t="shared" ref="F163:F165" si="9">8.2/5</f>
        <v>1.64</v>
      </c>
      <c r="G163" s="39"/>
      <c r="H163" s="39">
        <f t="shared" ref="H163:H171" si="10">IF(AND(F163=0,G163=0),D163*E163,IF(AND(E163=0,G163=0),D163*F163,IF(AND(E163=0,F163=0),D163*G163,IF(AND(E163=0),D163*F163*G163,IF(AND(F163=0),D163*E163*G163,IF(AND(G163=0),D163*E163*F163,D163*E163*F163*G163))))))</f>
        <v>17.252799999999997</v>
      </c>
      <c r="I163" s="39"/>
      <c r="J163" s="40"/>
    </row>
    <row r="164" spans="2:10" s="1" customFormat="1" ht="13.2" x14ac:dyDescent="0.25">
      <c r="B164" s="107"/>
      <c r="C164" s="38" t="s">
        <v>504</v>
      </c>
      <c r="D164" s="39">
        <v>1</v>
      </c>
      <c r="E164" s="39">
        <f t="shared" ref="E164" si="11">14+0.55</f>
        <v>14.55</v>
      </c>
      <c r="F164" s="39">
        <f t="shared" si="9"/>
        <v>1.64</v>
      </c>
      <c r="G164" s="39"/>
      <c r="H164" s="39">
        <f t="shared" si="10"/>
        <v>23.861999999999998</v>
      </c>
      <c r="I164" s="39"/>
      <c r="J164" s="40"/>
    </row>
    <row r="165" spans="2:10" s="1" customFormat="1" ht="13.2" x14ac:dyDescent="0.25">
      <c r="B165" s="107"/>
      <c r="C165" s="38" t="s">
        <v>572</v>
      </c>
      <c r="D165" s="59">
        <v>1</v>
      </c>
      <c r="E165" s="39">
        <f>3.24+0.52</f>
        <v>3.7600000000000002</v>
      </c>
      <c r="F165" s="39">
        <f t="shared" si="9"/>
        <v>1.64</v>
      </c>
      <c r="G165" s="39"/>
      <c r="H165" s="39">
        <f t="shared" si="10"/>
        <v>6.1664000000000003</v>
      </c>
      <c r="I165" s="39"/>
      <c r="J165" s="40"/>
    </row>
    <row r="166" spans="2:10" s="1" customFormat="1" ht="13.2" x14ac:dyDescent="0.25">
      <c r="B166" s="107"/>
      <c r="C166" s="110" t="s">
        <v>401</v>
      </c>
      <c r="D166" s="59"/>
      <c r="E166" s="39"/>
      <c r="F166" s="39"/>
      <c r="G166" s="39"/>
      <c r="H166" s="39"/>
      <c r="I166" s="39"/>
      <c r="J166" s="40"/>
    </row>
    <row r="167" spans="2:10" s="1" customFormat="1" ht="13.2" x14ac:dyDescent="0.25">
      <c r="B167" s="107"/>
      <c r="C167" s="38" t="s">
        <v>573</v>
      </c>
      <c r="D167" s="59">
        <v>1</v>
      </c>
      <c r="E167" s="39">
        <f>5+0.7+0.15+0.17+0.33+0.2</f>
        <v>6.5500000000000007</v>
      </c>
      <c r="F167" s="39">
        <v>1.64</v>
      </c>
      <c r="G167" s="39"/>
      <c r="H167" s="39">
        <f t="shared" si="10"/>
        <v>10.742000000000001</v>
      </c>
      <c r="I167" s="39"/>
      <c r="J167" s="40"/>
    </row>
    <row r="168" spans="2:10" s="1" customFormat="1" ht="13.2" x14ac:dyDescent="0.25">
      <c r="B168" s="107"/>
      <c r="C168" s="38"/>
      <c r="D168" s="59"/>
      <c r="E168" s="39"/>
      <c r="F168" s="39"/>
      <c r="G168" s="39"/>
      <c r="H168" s="39"/>
      <c r="I168" s="39"/>
      <c r="J168" s="40"/>
    </row>
    <row r="169" spans="2:10" s="1" customFormat="1" ht="13.2" x14ac:dyDescent="0.25">
      <c r="B169" s="107"/>
      <c r="C169" s="42" t="s">
        <v>566</v>
      </c>
      <c r="D169" s="59"/>
      <c r="E169" s="39"/>
      <c r="F169" s="39"/>
      <c r="G169" s="39"/>
      <c r="H169" s="39"/>
      <c r="I169" s="39"/>
      <c r="J169" s="40"/>
    </row>
    <row r="170" spans="2:10" s="1" customFormat="1" ht="13.2" x14ac:dyDescent="0.25">
      <c r="B170" s="107"/>
      <c r="C170" s="38" t="s">
        <v>567</v>
      </c>
      <c r="D170" s="59">
        <v>1</v>
      </c>
      <c r="E170" s="39">
        <f>2.26+0.66+3.46</f>
        <v>6.38</v>
      </c>
      <c r="F170" s="39">
        <f>18.4/5.83</f>
        <v>3.1560891938250424</v>
      </c>
      <c r="G170" s="39"/>
      <c r="H170" s="39">
        <f t="shared" si="10"/>
        <v>20.135849056603771</v>
      </c>
      <c r="I170" s="39"/>
      <c r="J170" s="40"/>
    </row>
    <row r="171" spans="2:10" s="1" customFormat="1" ht="13.2" x14ac:dyDescent="0.25">
      <c r="B171" s="107"/>
      <c r="C171" s="38" t="s">
        <v>568</v>
      </c>
      <c r="D171" s="59">
        <v>1</v>
      </c>
      <c r="E171" s="39">
        <f>6.11+17.91+19.47</f>
        <v>43.489999999999995</v>
      </c>
      <c r="F171" s="39">
        <f>18.4/5.83</f>
        <v>3.1560891938250424</v>
      </c>
      <c r="G171" s="39"/>
      <c r="H171" s="39">
        <f t="shared" si="10"/>
        <v>137.25831903945107</v>
      </c>
      <c r="I171" s="39"/>
      <c r="J171" s="40"/>
    </row>
    <row r="172" spans="2:10" s="1" customFormat="1" ht="13.2" x14ac:dyDescent="0.25">
      <c r="B172" s="107"/>
      <c r="C172" s="91"/>
      <c r="D172" s="59"/>
      <c r="E172" s="39"/>
      <c r="F172" s="39"/>
      <c r="G172" s="39"/>
      <c r="H172" s="39"/>
      <c r="I172" s="39"/>
      <c r="J172" s="40"/>
    </row>
    <row r="173" spans="2:10" s="1" customFormat="1" ht="13.2" x14ac:dyDescent="0.25">
      <c r="B173" s="107"/>
      <c r="C173" s="91"/>
      <c r="D173" s="59"/>
      <c r="E173" s="39"/>
      <c r="F173" s="39"/>
      <c r="G173" s="39"/>
      <c r="H173" s="39"/>
      <c r="I173" s="39"/>
      <c r="J173" s="40"/>
    </row>
    <row r="174" spans="2:10" s="1" customFormat="1" ht="13.2" x14ac:dyDescent="0.25">
      <c r="B174" s="24" t="s">
        <v>561</v>
      </c>
      <c r="C174" s="27" t="s">
        <v>356</v>
      </c>
      <c r="D174" s="59"/>
      <c r="E174" s="39"/>
      <c r="F174" s="39"/>
      <c r="G174" s="39"/>
      <c r="H174" s="39"/>
      <c r="I174" s="39">
        <f>+SUM(H175:H178)</f>
        <v>0.19200000000000003</v>
      </c>
      <c r="J174" s="40" t="s">
        <v>337</v>
      </c>
    </row>
    <row r="175" spans="2:10" s="1" customFormat="1" ht="13.2" x14ac:dyDescent="0.25">
      <c r="B175" s="45"/>
      <c r="C175" s="38" t="s">
        <v>564</v>
      </c>
      <c r="D175" s="59">
        <v>2</v>
      </c>
      <c r="E175" s="39">
        <v>0.8</v>
      </c>
      <c r="F175" s="39">
        <v>0.1</v>
      </c>
      <c r="G175" s="39">
        <v>0.4</v>
      </c>
      <c r="H175" s="39">
        <f>IF(AND(F175=0,G175=0),D175*E175,IF(AND(E175=0,G175=0),D175*F175,IF(AND(E175=0,F175=0),D175*G175,IF(AND(E175=0),D175*F175*G175,IF(AND(F175=0),D175*E175*G175,IF(AND(G175=0),D175*E175*F175,D175*E175*F175*G175))))))</f>
        <v>6.4000000000000015E-2</v>
      </c>
      <c r="I175" s="39"/>
      <c r="J175" s="40"/>
    </row>
    <row r="176" spans="2:10" s="1" customFormat="1" ht="13.2" x14ac:dyDescent="0.25">
      <c r="B176" s="45"/>
      <c r="D176" s="1">
        <v>2</v>
      </c>
      <c r="E176" s="39">
        <v>0.4</v>
      </c>
      <c r="F176" s="39">
        <v>0.1</v>
      </c>
      <c r="G176" s="39">
        <v>0.4</v>
      </c>
      <c r="H176" s="39">
        <f>IF(AND(F176=0,G176=0),D176*E176,IF(AND(E176=0,G176=0),D176*F176,IF(AND(E176=0,F176=0),D176*G176,IF(AND(E176=0),D176*F176*G176,IF(AND(F176=0),D176*E176*G176,IF(AND(G176=0),D176*E176*F176,D176*E176*F176*G176))))))</f>
        <v>3.2000000000000008E-2</v>
      </c>
      <c r="I176" s="39"/>
      <c r="J176" s="40"/>
    </row>
    <row r="177" spans="2:12" s="1" customFormat="1" ht="13.2" x14ac:dyDescent="0.25">
      <c r="B177" s="45"/>
      <c r="C177" s="38" t="s">
        <v>565</v>
      </c>
      <c r="D177" s="59">
        <v>2</v>
      </c>
      <c r="E177" s="39">
        <v>0.8</v>
      </c>
      <c r="F177" s="39">
        <v>0.1</v>
      </c>
      <c r="G177" s="39">
        <v>0.4</v>
      </c>
      <c r="H177" s="39">
        <f t="shared" ref="H177:H178" si="12">IF(AND(F177=0,G177=0),D177*E177,IF(AND(E177=0,G177=0),D177*F177,IF(AND(E177=0,F177=0),D177*G177,IF(AND(E177=0),D177*F177*G177,IF(AND(F177=0),D177*E177*G177,IF(AND(G177=0),D177*E177*F177,D177*E177*F177*G177))))))</f>
        <v>6.4000000000000015E-2</v>
      </c>
      <c r="I177" s="39"/>
      <c r="J177" s="40"/>
    </row>
    <row r="178" spans="2:12" s="1" customFormat="1" ht="13.2" x14ac:dyDescent="0.25">
      <c r="B178" s="45"/>
      <c r="C178" s="58"/>
      <c r="D178" s="59">
        <v>2</v>
      </c>
      <c r="E178" s="39">
        <v>0.4</v>
      </c>
      <c r="F178" s="39">
        <v>0.1</v>
      </c>
      <c r="G178" s="39">
        <v>0.4</v>
      </c>
      <c r="H178" s="39">
        <f t="shared" si="12"/>
        <v>3.2000000000000008E-2</v>
      </c>
      <c r="I178" s="39"/>
      <c r="J178" s="40"/>
    </row>
    <row r="179" spans="2:12" s="1" customFormat="1" ht="13.2" x14ac:dyDescent="0.25">
      <c r="B179" s="45"/>
      <c r="C179" s="58"/>
      <c r="D179" s="59"/>
      <c r="E179" s="39"/>
      <c r="F179" s="39"/>
      <c r="G179" s="39"/>
      <c r="H179" s="39"/>
      <c r="I179" s="39"/>
      <c r="J179" s="40"/>
    </row>
    <row r="180" spans="2:12" s="1" customFormat="1" ht="13.2" x14ac:dyDescent="0.25">
      <c r="B180" s="45"/>
      <c r="C180" s="58"/>
      <c r="D180" s="59"/>
      <c r="E180" s="39"/>
      <c r="F180" s="39"/>
      <c r="G180" s="39"/>
      <c r="H180" s="39"/>
      <c r="I180" s="39"/>
      <c r="J180" s="40"/>
    </row>
    <row r="181" spans="2:12" s="1" customFormat="1" ht="13.2" x14ac:dyDescent="0.25">
      <c r="B181" s="24" t="s">
        <v>562</v>
      </c>
      <c r="C181" s="27" t="s">
        <v>357</v>
      </c>
      <c r="D181" s="59" t="s">
        <v>574</v>
      </c>
      <c r="E181" s="39"/>
      <c r="F181" s="39"/>
      <c r="G181" s="39"/>
      <c r="H181" s="39"/>
      <c r="I181" s="39">
        <f>+SUM(H182:H186)</f>
        <v>1.7371275892166493</v>
      </c>
      <c r="J181" s="40" t="s">
        <v>337</v>
      </c>
    </row>
    <row r="182" spans="2:12" s="1" customFormat="1" ht="13.2" x14ac:dyDescent="0.25">
      <c r="B182" s="90"/>
      <c r="C182" s="38" t="s">
        <v>564</v>
      </c>
      <c r="D182" s="39">
        <v>1.25</v>
      </c>
      <c r="E182" s="39">
        <v>0.6</v>
      </c>
      <c r="F182" s="39">
        <v>0.8</v>
      </c>
      <c r="G182" s="39">
        <f>0.3+0.2</f>
        <v>0.5</v>
      </c>
      <c r="H182" s="39">
        <f>IF(AND(F182=0,G182=0),D182*E182,IF(AND(E182=0,G182=0),D182*F182,IF(AND(E182=0,F182=0),D182*G182,IF(AND(E182=0),D182*F182*G182,IF(AND(F182=0),D182*E182*G182,IF(AND(G182=0),D182*E182*F182,D182*E182*F182*G182))))))</f>
        <v>0.30000000000000004</v>
      </c>
      <c r="I182" s="39"/>
      <c r="J182" s="40"/>
    </row>
    <row r="183" spans="2:12" s="1" customFormat="1" ht="13.2" x14ac:dyDescent="0.25">
      <c r="B183" s="90"/>
      <c r="C183" s="38" t="s">
        <v>565</v>
      </c>
      <c r="D183" s="39">
        <v>1.25</v>
      </c>
      <c r="E183" s="39">
        <v>0.6</v>
      </c>
      <c r="F183" s="39">
        <v>0.8</v>
      </c>
      <c r="G183" s="39">
        <f>0.3+0.2</f>
        <v>0.5</v>
      </c>
      <c r="H183" s="39">
        <f>IF(AND(F183=0,G183=0),D183*E183,IF(AND(E183=0,G183=0),D183*F183,IF(AND(E183=0,F183=0),D183*G183,IF(AND(E183=0),D183*F183*G183,IF(AND(F183=0),D183*E183*G183,IF(AND(G183=0),D183*E183*F183,D183*E183*F183*G183))))))</f>
        <v>0.30000000000000004</v>
      </c>
      <c r="I183" s="39"/>
      <c r="J183" s="40"/>
    </row>
    <row r="184" spans="2:12" s="1" customFormat="1" ht="13.2" x14ac:dyDescent="0.25">
      <c r="B184" s="90"/>
      <c r="C184" s="42" t="s">
        <v>566</v>
      </c>
      <c r="D184" s="59"/>
      <c r="E184" s="39"/>
      <c r="F184" s="39"/>
      <c r="G184" s="39"/>
      <c r="H184" s="39"/>
      <c r="I184" s="39"/>
      <c r="J184" s="40"/>
    </row>
    <row r="185" spans="2:12" s="1" customFormat="1" ht="13.2" x14ac:dyDescent="0.25">
      <c r="B185" s="90"/>
      <c r="F185" s="39" t="s">
        <v>485</v>
      </c>
      <c r="G185" s="39">
        <v>6</v>
      </c>
      <c r="I185" s="39"/>
      <c r="J185" s="40"/>
    </row>
    <row r="186" spans="2:12" s="1" customFormat="1" ht="13.2" x14ac:dyDescent="0.25">
      <c r="B186" s="90"/>
      <c r="C186" s="38" t="s">
        <v>569</v>
      </c>
      <c r="D186" s="59">
        <v>1.25</v>
      </c>
      <c r="E186" s="39">
        <f>+E150</f>
        <v>49.87</v>
      </c>
      <c r="F186" s="39" t="s">
        <v>570</v>
      </c>
      <c r="G186" s="39">
        <f>+PI()*((G185*0.0254)^2)/4</f>
        <v>1.8241469247509915E-2</v>
      </c>
      <c r="H186" s="39">
        <f>+D186*E186*G186</f>
        <v>1.1371275892166492</v>
      </c>
      <c r="I186" s="39"/>
      <c r="J186" s="40"/>
    </row>
    <row r="187" spans="2:12" s="1" customFormat="1" ht="13.2" x14ac:dyDescent="0.25">
      <c r="B187" s="90"/>
      <c r="C187" s="93"/>
      <c r="D187" s="59"/>
      <c r="E187" s="39"/>
      <c r="F187" s="39"/>
      <c r="G187" s="39"/>
      <c r="H187" s="39"/>
      <c r="I187" s="39"/>
      <c r="J187" s="40"/>
    </row>
    <row r="188" spans="2:12" s="1" customFormat="1" ht="13.2" x14ac:dyDescent="0.25">
      <c r="B188" s="90"/>
      <c r="C188" s="93"/>
      <c r="D188" s="59"/>
      <c r="E188" s="39"/>
      <c r="F188" s="39"/>
      <c r="G188" s="39"/>
      <c r="H188" s="39"/>
      <c r="I188" s="39"/>
      <c r="J188" s="40"/>
    </row>
    <row r="189" spans="2:12" s="1" customFormat="1" ht="13.2" x14ac:dyDescent="0.25">
      <c r="B189" s="110" t="s">
        <v>563</v>
      </c>
      <c r="C189" s="111" t="s">
        <v>358</v>
      </c>
      <c r="D189" s="59"/>
      <c r="E189" s="39"/>
      <c r="F189" s="39"/>
      <c r="G189" s="39"/>
      <c r="H189" s="39"/>
      <c r="I189" s="39">
        <f>+I181</f>
        <v>1.7371275892166493</v>
      </c>
      <c r="J189" s="40" t="s">
        <v>337</v>
      </c>
    </row>
    <row r="190" spans="2:12" s="1" customFormat="1" ht="13.2" x14ac:dyDescent="0.25">
      <c r="B190" s="45"/>
      <c r="C190" s="58"/>
      <c r="D190" s="59"/>
      <c r="E190" s="39"/>
      <c r="F190" s="39"/>
      <c r="G190" s="39"/>
      <c r="H190" s="39"/>
      <c r="I190" s="39"/>
      <c r="J190" s="40"/>
    </row>
    <row r="191" spans="2:12" x14ac:dyDescent="0.3">
      <c r="B191" s="72" t="s">
        <v>365</v>
      </c>
      <c r="C191" s="73" t="s">
        <v>360</v>
      </c>
      <c r="D191" s="22"/>
      <c r="E191" s="22"/>
      <c r="F191" s="22"/>
      <c r="G191" s="22"/>
      <c r="H191" s="23"/>
      <c r="I191" s="24"/>
      <c r="J191" s="25"/>
    </row>
    <row r="192" spans="2:12" s="1" customFormat="1" ht="13.2" x14ac:dyDescent="0.25">
      <c r="B192" s="42" t="s">
        <v>366</v>
      </c>
      <c r="C192" s="24" t="s">
        <v>362</v>
      </c>
      <c r="D192" s="59"/>
      <c r="E192" s="39"/>
      <c r="F192" s="39"/>
      <c r="G192" s="39"/>
      <c r="H192" s="39"/>
      <c r="I192" s="43">
        <f>+H193</f>
        <v>0</v>
      </c>
      <c r="J192" s="44" t="s">
        <v>333</v>
      </c>
      <c r="K192" s="1">
        <v>0</v>
      </c>
      <c r="L192" s="1">
        <f>+I192-K192</f>
        <v>0</v>
      </c>
    </row>
    <row r="193" spans="2:12" s="1" customFormat="1" ht="13.2" x14ac:dyDescent="0.25">
      <c r="B193" s="42"/>
      <c r="C193" s="38"/>
      <c r="D193" s="59"/>
      <c r="E193" s="39"/>
      <c r="F193" s="39"/>
      <c r="G193" s="39"/>
      <c r="H193" s="39">
        <v>0</v>
      </c>
      <c r="I193" s="43"/>
      <c r="J193" s="44"/>
    </row>
    <row r="194" spans="2:12" s="1" customFormat="1" ht="13.2" x14ac:dyDescent="0.25">
      <c r="B194" s="42" t="s">
        <v>367</v>
      </c>
      <c r="C194" s="24" t="s">
        <v>364</v>
      </c>
      <c r="D194" s="59"/>
      <c r="E194" s="39"/>
      <c r="F194" s="39"/>
      <c r="G194" s="39"/>
      <c r="H194" s="39"/>
      <c r="I194" s="43">
        <f>+SUM(H195:H196)</f>
        <v>0.96</v>
      </c>
      <c r="J194" s="44" t="s">
        <v>333</v>
      </c>
      <c r="K194" s="1">
        <v>0</v>
      </c>
      <c r="L194" s="1">
        <f>+I194-K194</f>
        <v>0.96</v>
      </c>
    </row>
    <row r="195" spans="2:12" s="1" customFormat="1" ht="13.2" x14ac:dyDescent="0.25">
      <c r="C195" s="38" t="s">
        <v>564</v>
      </c>
      <c r="D195" s="39">
        <v>1</v>
      </c>
      <c r="E195" s="39">
        <v>0.6</v>
      </c>
      <c r="F195" s="39">
        <v>0.8</v>
      </c>
      <c r="G195" s="39"/>
      <c r="H195" s="39">
        <f>IF(AND(F195=0,G195=0),D195*E195,IF(AND(E195=0,G195=0),D195*F195,IF(AND(E195=0,F195=0),D195*G195,IF(AND(E195=0),D195*F195*G195,IF(AND(F195=0),D195*E195*G195,IF(AND(G195=0),D195*E195*F195,D195*E195*F195*G195))))))</f>
        <v>0.48</v>
      </c>
      <c r="I195" s="39"/>
      <c r="J195" s="40"/>
    </row>
    <row r="196" spans="2:12" s="1" customFormat="1" ht="13.2" x14ac:dyDescent="0.25">
      <c r="C196" s="38" t="s">
        <v>565</v>
      </c>
      <c r="D196" s="39">
        <v>1</v>
      </c>
      <c r="E196" s="39">
        <v>0.6</v>
      </c>
      <c r="F196" s="39">
        <v>0.8</v>
      </c>
      <c r="G196" s="39"/>
      <c r="H196" s="39">
        <f>IF(AND(F196=0,G196=0),D196*E196,IF(AND(E196=0,G196=0),D196*F196,IF(AND(E196=0,F196=0),D196*G196,IF(AND(E196=0),D196*F196*G196,IF(AND(F196=0),D196*E196*G196,IF(AND(G196=0),D196*E196*F196,D196*E196*F196*G196))))))</f>
        <v>0.48</v>
      </c>
      <c r="I196" s="39"/>
      <c r="J196" s="40"/>
    </row>
    <row r="197" spans="2:12" s="1" customFormat="1" ht="13.2" x14ac:dyDescent="0.25">
      <c r="B197" s="42"/>
      <c r="C197" s="38"/>
      <c r="D197" s="59"/>
      <c r="E197" s="39"/>
      <c r="F197" s="39"/>
      <c r="G197" s="39"/>
      <c r="H197" s="39"/>
      <c r="I197" s="43"/>
      <c r="J197" s="44"/>
    </row>
    <row r="198" spans="2:12" s="1" customFormat="1" ht="13.2" x14ac:dyDescent="0.25">
      <c r="B198" s="56" t="s">
        <v>368</v>
      </c>
      <c r="C198" s="57" t="s">
        <v>202</v>
      </c>
      <c r="D198" s="59"/>
      <c r="E198" s="39"/>
      <c r="F198" s="39"/>
      <c r="G198" s="39"/>
      <c r="H198" s="39"/>
      <c r="I198" s="39"/>
      <c r="J198" s="40"/>
    </row>
    <row r="199" spans="2:12" s="1" customFormat="1" ht="13.2" x14ac:dyDescent="0.25">
      <c r="B199" s="42" t="s">
        <v>379</v>
      </c>
      <c r="C199" s="24" t="s">
        <v>539</v>
      </c>
      <c r="D199" s="59"/>
      <c r="E199" s="39"/>
      <c r="F199" s="39"/>
      <c r="G199" s="39"/>
      <c r="H199" s="39"/>
      <c r="I199" s="43">
        <f>+SUM(H200:H200)</f>
        <v>6.5500000000000007</v>
      </c>
      <c r="J199" s="44" t="s">
        <v>102</v>
      </c>
    </row>
    <row r="200" spans="2:12" s="1" customFormat="1" ht="13.2" x14ac:dyDescent="0.25">
      <c r="B200" s="42"/>
      <c r="C200" s="38" t="s">
        <v>573</v>
      </c>
      <c r="D200" s="59">
        <v>1</v>
      </c>
      <c r="E200" s="39">
        <f>5+0.7+0.15+0.17+0.33+0.2</f>
        <v>6.5500000000000007</v>
      </c>
      <c r="F200" s="39"/>
      <c r="G200" s="39"/>
      <c r="H200" s="39">
        <f>IF(AND(F200=0,G200=0),D200*E200,IF(AND(E200=0,G200=0),D200*F200,IF(AND(E200=0,F200=0),D200*G200,IF(AND(E200=0),D200*F200*G200,IF(AND(F200=0),D200*E200*G200,IF(AND(G200=0),D200*E200*F200,D200*E200*F200*G200))))))</f>
        <v>6.5500000000000007</v>
      </c>
      <c r="I200" s="43"/>
      <c r="J200" s="44"/>
    </row>
    <row r="201" spans="2:12" s="1" customFormat="1" ht="13.2" x14ac:dyDescent="0.25">
      <c r="B201" s="42" t="s">
        <v>381</v>
      </c>
      <c r="C201" s="42" t="s">
        <v>566</v>
      </c>
      <c r="D201" s="59"/>
      <c r="E201" s="39"/>
      <c r="F201" s="39"/>
      <c r="G201" s="39"/>
      <c r="H201" s="39"/>
      <c r="I201" s="43">
        <f>+SUM(H202:H203)</f>
        <v>49.87</v>
      </c>
      <c r="J201" s="44" t="s">
        <v>102</v>
      </c>
    </row>
    <row r="202" spans="2:12" s="1" customFormat="1" ht="13.2" x14ac:dyDescent="0.25">
      <c r="C202" s="38" t="s">
        <v>567</v>
      </c>
      <c r="D202" s="59">
        <v>1</v>
      </c>
      <c r="E202" s="39">
        <f>2.26+0.66+3.46</f>
        <v>6.38</v>
      </c>
      <c r="F202" s="39"/>
      <c r="G202" s="39"/>
      <c r="H202" s="39">
        <f>IF(AND(F202=0,G202=0),D202*E202,IF(AND(E202=0,G202=0),D202*F202,IF(AND(E202=0,F202=0),D202*G202,IF(AND(E202=0),D202*F202*G202,IF(AND(F202=0),D202*E202*G202,IF(AND(G202=0),D202*E202*F202,D202*E202*F202*G202))))))</f>
        <v>6.38</v>
      </c>
      <c r="I202" s="43"/>
      <c r="J202" s="44"/>
    </row>
    <row r="203" spans="2:12" s="1" customFormat="1" ht="13.2" x14ac:dyDescent="0.25">
      <c r="C203" s="38" t="s">
        <v>568</v>
      </c>
      <c r="D203" s="59">
        <v>1</v>
      </c>
      <c r="E203" s="39">
        <f>6.11+17.91+19.47</f>
        <v>43.489999999999995</v>
      </c>
      <c r="F203" s="39"/>
      <c r="G203" s="39"/>
      <c r="H203" s="39">
        <f>IF(AND(F203=0,G203=0),D203*E203,IF(AND(E203=0,G203=0),D203*F203,IF(AND(E203=0,F203=0),D203*G203,IF(AND(E203=0),D203*F203*G203,IF(AND(F203=0),D203*E203*G203,IF(AND(G203=0),D203*E203*F203,D203*E203*F203*G203))))))</f>
        <v>43.489999999999995</v>
      </c>
      <c r="I203" s="43"/>
      <c r="J203" s="44"/>
    </row>
    <row r="204" spans="2:12" s="1" customFormat="1" ht="13.2" x14ac:dyDescent="0.25">
      <c r="B204" s="42" t="s">
        <v>384</v>
      </c>
      <c r="C204" s="42" t="s">
        <v>406</v>
      </c>
      <c r="D204" s="59"/>
      <c r="E204" s="39"/>
      <c r="F204" s="39"/>
      <c r="G204" s="39"/>
      <c r="H204" s="39"/>
      <c r="I204" s="43">
        <f>SUM(H205:H206)</f>
        <v>2</v>
      </c>
      <c r="J204" s="44" t="s">
        <v>30</v>
      </c>
    </row>
    <row r="205" spans="2:12" s="1" customFormat="1" ht="13.2" x14ac:dyDescent="0.25">
      <c r="B205" s="56"/>
      <c r="C205" s="38" t="s">
        <v>564</v>
      </c>
      <c r="D205" s="39">
        <v>1</v>
      </c>
      <c r="E205" s="39"/>
      <c r="F205" s="39"/>
      <c r="G205" s="39"/>
      <c r="H205" s="39">
        <f>+D205</f>
        <v>1</v>
      </c>
      <c r="I205" s="39"/>
      <c r="J205" s="40"/>
    </row>
    <row r="206" spans="2:12" x14ac:dyDescent="0.3">
      <c r="C206" s="38" t="s">
        <v>565</v>
      </c>
      <c r="D206" s="39">
        <v>1</v>
      </c>
      <c r="F206" s="39"/>
      <c r="G206" s="39"/>
      <c r="H206" s="39">
        <f>+D206</f>
        <v>1</v>
      </c>
    </row>
    <row r="207" spans="2:12" s="1" customFormat="1" ht="13.2" x14ac:dyDescent="0.25">
      <c r="B207" s="24" t="s">
        <v>394</v>
      </c>
      <c r="C207" s="27" t="s">
        <v>411</v>
      </c>
      <c r="D207" s="59"/>
      <c r="E207" s="39"/>
      <c r="F207" s="39"/>
      <c r="G207" s="39"/>
      <c r="H207" s="39"/>
      <c r="I207" s="39">
        <f>+SUM(H208:H211)</f>
        <v>2.76</v>
      </c>
      <c r="J207" s="40" t="s">
        <v>333</v>
      </c>
    </row>
    <row r="208" spans="2:12" s="1" customFormat="1" ht="13.2" x14ac:dyDescent="0.25">
      <c r="B208" s="90"/>
      <c r="C208" s="38" t="s">
        <v>564</v>
      </c>
      <c r="D208" s="39">
        <v>1</v>
      </c>
      <c r="E208" s="39">
        <v>2</v>
      </c>
      <c r="F208" s="39"/>
      <c r="G208" s="39">
        <f>0.3+0.15</f>
        <v>0.44999999999999996</v>
      </c>
      <c r="H208" s="39">
        <f>IF(AND(F208=0,G208=0),D208*E208,IF(AND(E208=0,G208=0),D208*F208,IF(AND(E208=0,F208=0),D208*G208,IF(AND(E208=0),D208*F208*G208,IF(AND(F208=0),D208*E208*G208,IF(AND(G208=0),D208*E208*F208,D208*E208*F208*G208))))))</f>
        <v>0.89999999999999991</v>
      </c>
      <c r="I208" s="39"/>
      <c r="J208" s="40"/>
    </row>
    <row r="209" spans="2:10" s="1" customFormat="1" ht="13.2" x14ac:dyDescent="0.25">
      <c r="B209" s="90"/>
      <c r="C209" s="38"/>
      <c r="D209" s="59">
        <v>1</v>
      </c>
      <c r="E209" s="39">
        <v>0.6</v>
      </c>
      <c r="F209" s="39"/>
      <c r="G209" s="39">
        <v>0.8</v>
      </c>
      <c r="H209" s="39">
        <f>IF(AND(F209=0,G209=0),D209*E209,IF(AND(E209=0,G209=0),D209*F209,IF(AND(E209=0,F209=0),D209*G209,IF(AND(E209=0),D209*F209*G209,IF(AND(F209=0),D209*E209*G209,IF(AND(G209=0),D209*E209*F209,D209*E209*F209*G209))))))</f>
        <v>0.48</v>
      </c>
      <c r="I209" s="39"/>
      <c r="J209" s="40"/>
    </row>
    <row r="210" spans="2:10" s="1" customFormat="1" ht="13.2" x14ac:dyDescent="0.25">
      <c r="B210" s="90"/>
      <c r="C210" s="38" t="s">
        <v>565</v>
      </c>
      <c r="D210" s="39">
        <v>1</v>
      </c>
      <c r="E210" s="39">
        <v>2</v>
      </c>
      <c r="F210" s="39"/>
      <c r="G210" s="39">
        <f>0.3+0.15</f>
        <v>0.44999999999999996</v>
      </c>
      <c r="H210" s="39">
        <f>IF(AND(F210=0,G210=0),D210*E210,IF(AND(E210=0,G210=0),D210*F210,IF(AND(E210=0,F210=0),D210*G210,IF(AND(E210=0),D210*F210*G210,IF(AND(F210=0),D210*E210*G210,IF(AND(G210=0),D210*E210*F210,D210*E210*F210*G210))))))</f>
        <v>0.89999999999999991</v>
      </c>
      <c r="I210" s="39"/>
      <c r="J210" s="40"/>
    </row>
    <row r="211" spans="2:10" s="1" customFormat="1" ht="13.2" x14ac:dyDescent="0.25">
      <c r="B211" s="90"/>
      <c r="C211" s="58"/>
      <c r="D211" s="59">
        <v>1</v>
      </c>
      <c r="E211" s="39">
        <v>0.6</v>
      </c>
      <c r="F211" s="39"/>
      <c r="G211" s="39">
        <v>0.8</v>
      </c>
      <c r="H211" s="39">
        <f>IF(AND(F211=0,G211=0),D211*E211,IF(AND(E211=0,G211=0),D211*F211,IF(AND(E211=0,F211=0),D211*G211,IF(AND(E211=0),D211*F211*G211,IF(AND(F211=0),D211*E211*G211,IF(AND(G211=0),D211*E211*F211,D211*E211*F211*G211))))))</f>
        <v>0.48</v>
      </c>
      <c r="I211" s="39"/>
      <c r="J211" s="40"/>
    </row>
    <row r="212" spans="2:10" s="1" customFormat="1" ht="13.2" x14ac:dyDescent="0.25">
      <c r="C212" s="38"/>
      <c r="D212" s="59"/>
      <c r="E212" s="39"/>
      <c r="F212" s="39"/>
      <c r="G212" s="39"/>
      <c r="H212" s="39"/>
      <c r="I212" s="39"/>
      <c r="J212" s="40"/>
    </row>
    <row r="213" spans="2:10" s="1" customFormat="1" ht="13.2" x14ac:dyDescent="0.25">
      <c r="B213" s="56" t="s">
        <v>413</v>
      </c>
      <c r="C213" s="57" t="s">
        <v>234</v>
      </c>
      <c r="D213" s="59"/>
      <c r="E213" s="39"/>
      <c r="F213" s="39"/>
      <c r="G213" s="39"/>
      <c r="H213" s="39"/>
      <c r="I213" s="39"/>
      <c r="J213" s="40"/>
    </row>
    <row r="214" spans="2:10" s="1" customFormat="1" ht="13.2" x14ac:dyDescent="0.25">
      <c r="B214" s="42" t="s">
        <v>414</v>
      </c>
      <c r="C214" s="113" t="s">
        <v>422</v>
      </c>
      <c r="D214" s="59"/>
      <c r="E214" s="39"/>
      <c r="F214" s="39"/>
      <c r="G214" s="39"/>
      <c r="H214" s="39"/>
      <c r="I214" s="43">
        <f>+SUM(H215:H219)</f>
        <v>19</v>
      </c>
      <c r="J214" s="44" t="s">
        <v>30</v>
      </c>
    </row>
    <row r="215" spans="2:10" s="1" customFormat="1" ht="13.2" x14ac:dyDescent="0.25">
      <c r="B215" s="45"/>
      <c r="C215" s="38" t="s">
        <v>575</v>
      </c>
      <c r="D215" s="59">
        <v>3</v>
      </c>
      <c r="E215" s="39"/>
      <c r="F215" s="39"/>
      <c r="G215" s="39"/>
      <c r="H215" s="39">
        <f>+D215</f>
        <v>3</v>
      </c>
      <c r="I215" s="39"/>
      <c r="J215" s="40"/>
    </row>
    <row r="216" spans="2:10" s="1" customFormat="1" ht="13.2" x14ac:dyDescent="0.25">
      <c r="B216" s="45"/>
      <c r="C216" s="38" t="s">
        <v>576</v>
      </c>
      <c r="D216" s="59">
        <v>2</v>
      </c>
      <c r="E216" s="39"/>
      <c r="F216" s="39"/>
      <c r="G216" s="39"/>
      <c r="H216" s="39">
        <f>+D216</f>
        <v>2</v>
      </c>
      <c r="I216" s="39"/>
      <c r="J216" s="40"/>
    </row>
    <row r="217" spans="2:10" s="1" customFormat="1" ht="13.2" x14ac:dyDescent="0.25">
      <c r="B217" s="45"/>
      <c r="C217" s="38" t="s">
        <v>472</v>
      </c>
      <c r="D217" s="59">
        <v>2</v>
      </c>
      <c r="E217" s="39"/>
      <c r="F217" s="39"/>
      <c r="G217" s="39"/>
      <c r="H217" s="39">
        <f>+D217</f>
        <v>2</v>
      </c>
      <c r="I217" s="39"/>
      <c r="J217" s="40"/>
    </row>
    <row r="218" spans="2:10" s="1" customFormat="1" ht="13.2" x14ac:dyDescent="0.25">
      <c r="B218" s="45"/>
      <c r="C218" s="58" t="s">
        <v>505</v>
      </c>
      <c r="D218" s="59">
        <v>10</v>
      </c>
      <c r="E218" s="39"/>
      <c r="F218" s="39"/>
      <c r="G218" s="39"/>
      <c r="H218" s="39">
        <f>+D218</f>
        <v>10</v>
      </c>
      <c r="I218" s="39"/>
      <c r="J218" s="40"/>
    </row>
    <row r="219" spans="2:10" s="1" customFormat="1" ht="13.2" x14ac:dyDescent="0.25">
      <c r="B219" s="45"/>
      <c r="C219" s="58" t="s">
        <v>577</v>
      </c>
      <c r="D219" s="59">
        <v>2</v>
      </c>
      <c r="E219" s="39"/>
      <c r="F219" s="39"/>
      <c r="G219" s="39"/>
      <c r="H219" s="39">
        <f>+D219</f>
        <v>2</v>
      </c>
      <c r="I219" s="39"/>
      <c r="J219" s="40"/>
    </row>
    <row r="220" spans="2:10" s="1" customFormat="1" ht="13.2" x14ac:dyDescent="0.25">
      <c r="B220" s="45"/>
      <c r="C220" s="58"/>
      <c r="D220" s="59"/>
      <c r="E220" s="39"/>
      <c r="F220" s="39"/>
      <c r="G220" s="39"/>
      <c r="H220" s="39"/>
      <c r="I220" s="39"/>
      <c r="J220" s="40"/>
    </row>
    <row r="221" spans="2:10" s="1" customFormat="1" ht="13.2" x14ac:dyDescent="0.25">
      <c r="B221" s="42" t="s">
        <v>418</v>
      </c>
      <c r="C221" s="42" t="s">
        <v>578</v>
      </c>
      <c r="D221" s="59"/>
      <c r="E221" s="39"/>
      <c r="F221" s="39"/>
      <c r="G221" s="39"/>
      <c r="H221" s="39"/>
      <c r="I221" s="43">
        <f>+SUM(H222)</f>
        <v>2</v>
      </c>
      <c r="J221" s="44" t="s">
        <v>30</v>
      </c>
    </row>
    <row r="222" spans="2:10" s="1" customFormat="1" ht="13.2" x14ac:dyDescent="0.25">
      <c r="B222" s="45"/>
      <c r="C222" s="38" t="s">
        <v>579</v>
      </c>
      <c r="D222" s="59">
        <v>2</v>
      </c>
      <c r="E222" s="39"/>
      <c r="F222" s="39"/>
      <c r="G222" s="39"/>
      <c r="H222" s="39">
        <f>+D222</f>
        <v>2</v>
      </c>
      <c r="I222" s="39"/>
      <c r="J222" s="40"/>
    </row>
    <row r="223" spans="2:10" s="1" customFormat="1" ht="13.2" x14ac:dyDescent="0.25">
      <c r="B223" s="42" t="s">
        <v>425</v>
      </c>
      <c r="C223" s="42" t="s">
        <v>580</v>
      </c>
      <c r="D223" s="59"/>
      <c r="E223" s="39"/>
      <c r="F223" s="39"/>
      <c r="G223" s="39"/>
      <c r="H223" s="39"/>
      <c r="I223" s="43">
        <f>+SUM(H224:H225)</f>
        <v>2</v>
      </c>
      <c r="J223" s="44" t="s">
        <v>30</v>
      </c>
    </row>
    <row r="224" spans="2:10" s="1" customFormat="1" ht="13.2" x14ac:dyDescent="0.25">
      <c r="B224" s="45"/>
      <c r="C224" s="58" t="s">
        <v>581</v>
      </c>
      <c r="D224" s="59">
        <v>2</v>
      </c>
      <c r="E224" s="39"/>
      <c r="F224" s="39"/>
      <c r="G224" s="39"/>
      <c r="H224" s="39">
        <f>+D224</f>
        <v>2</v>
      </c>
      <c r="I224" s="39"/>
      <c r="J224" s="40"/>
    </row>
    <row r="225" spans="2:10" s="1" customFormat="1" ht="13.2" x14ac:dyDescent="0.25">
      <c r="B225" s="45"/>
      <c r="C225" s="58"/>
      <c r="D225" s="59"/>
      <c r="E225" s="39"/>
      <c r="F225" s="39"/>
      <c r="G225" s="39"/>
      <c r="H225" s="39"/>
      <c r="I225" s="39"/>
      <c r="J225" s="40"/>
    </row>
    <row r="226" spans="2:10" s="1" customFormat="1" ht="13.2" x14ac:dyDescent="0.25">
      <c r="B226" s="42" t="s">
        <v>429</v>
      </c>
      <c r="C226" s="27" t="s">
        <v>582</v>
      </c>
      <c r="D226" s="59"/>
      <c r="E226" s="39"/>
      <c r="F226" s="39"/>
      <c r="G226" s="39"/>
      <c r="H226" s="39"/>
      <c r="I226" s="43">
        <f>+SUM(H227:H228)</f>
        <v>1</v>
      </c>
      <c r="J226" s="44" t="s">
        <v>30</v>
      </c>
    </row>
    <row r="227" spans="2:10" s="1" customFormat="1" ht="13.2" x14ac:dyDescent="0.25">
      <c r="B227" s="45"/>
      <c r="C227" s="58" t="s">
        <v>583</v>
      </c>
      <c r="D227" s="59">
        <v>1</v>
      </c>
      <c r="E227" s="39"/>
      <c r="F227" s="39"/>
      <c r="G227" s="39"/>
      <c r="H227" s="39">
        <f>+D227</f>
        <v>1</v>
      </c>
      <c r="I227" s="39"/>
      <c r="J227" s="40"/>
    </row>
    <row r="228" spans="2:10" s="1" customFormat="1" ht="13.2" x14ac:dyDescent="0.25">
      <c r="B228" s="45"/>
      <c r="C228" s="58"/>
      <c r="D228" s="59"/>
      <c r="E228" s="39"/>
      <c r="F228" s="39"/>
      <c r="G228" s="39"/>
      <c r="H228" s="39"/>
      <c r="I228" s="39"/>
      <c r="J228" s="40"/>
    </row>
    <row r="229" spans="2:10" s="1" customFormat="1" ht="13.2" x14ac:dyDescent="0.25">
      <c r="B229" s="42" t="s">
        <v>433</v>
      </c>
      <c r="C229" s="27" t="s">
        <v>584</v>
      </c>
      <c r="D229" s="59"/>
      <c r="E229" s="39"/>
      <c r="F229" s="39"/>
      <c r="G229" s="39"/>
      <c r="H229" s="39"/>
      <c r="I229" s="43">
        <f>+SUM(H230:H230)</f>
        <v>1</v>
      </c>
      <c r="J229" s="44" t="s">
        <v>30</v>
      </c>
    </row>
    <row r="230" spans="2:10" s="1" customFormat="1" ht="13.2" x14ac:dyDescent="0.25">
      <c r="B230" s="45"/>
      <c r="C230" s="58" t="s">
        <v>583</v>
      </c>
      <c r="D230" s="59">
        <v>1</v>
      </c>
      <c r="E230" s="39"/>
      <c r="F230" s="39"/>
      <c r="G230" s="39"/>
      <c r="H230" s="39">
        <f>+D230</f>
        <v>1</v>
      </c>
      <c r="I230" s="39"/>
      <c r="J230" s="40"/>
    </row>
    <row r="231" spans="2:10" s="1" customFormat="1" ht="13.2" x14ac:dyDescent="0.25">
      <c r="B231" s="45"/>
      <c r="C231" s="58"/>
      <c r="D231" s="59"/>
      <c r="E231" s="39"/>
      <c r="F231" s="39"/>
      <c r="G231" s="39"/>
      <c r="H231" s="39"/>
      <c r="I231" s="39"/>
      <c r="J231" s="40"/>
    </row>
    <row r="232" spans="2:10" s="1" customFormat="1" ht="13.2" x14ac:dyDescent="0.25">
      <c r="B232" s="42" t="s">
        <v>435</v>
      </c>
      <c r="C232" s="122" t="s">
        <v>585</v>
      </c>
      <c r="D232" s="59"/>
      <c r="E232" s="39"/>
      <c r="F232" s="39"/>
      <c r="G232" s="39"/>
      <c r="H232" s="39"/>
      <c r="I232" s="43">
        <f>+SUM(H233:H234)</f>
        <v>1</v>
      </c>
      <c r="J232" s="44" t="s">
        <v>30</v>
      </c>
    </row>
    <row r="233" spans="2:10" s="1" customFormat="1" ht="13.2" x14ac:dyDescent="0.25">
      <c r="B233" s="45"/>
      <c r="C233" s="58" t="s">
        <v>583</v>
      </c>
      <c r="D233" s="59">
        <v>1</v>
      </c>
      <c r="E233" s="39"/>
      <c r="F233" s="39"/>
      <c r="G233" s="39"/>
      <c r="H233" s="39">
        <f>+D233</f>
        <v>1</v>
      </c>
      <c r="I233" s="39"/>
      <c r="J233" s="40"/>
    </row>
    <row r="234" spans="2:10" s="1" customFormat="1" ht="13.2" x14ac:dyDescent="0.25">
      <c r="B234" s="45"/>
      <c r="C234" s="58"/>
      <c r="D234" s="59"/>
      <c r="E234" s="39"/>
      <c r="F234" s="39"/>
      <c r="G234" s="39"/>
      <c r="H234" s="39"/>
      <c r="I234" s="39"/>
      <c r="J234" s="40"/>
    </row>
    <row r="235" spans="2:10" s="1" customFormat="1" ht="13.2" x14ac:dyDescent="0.25">
      <c r="B235" s="45"/>
      <c r="C235" s="58"/>
      <c r="D235" s="59"/>
      <c r="E235" s="39"/>
      <c r="F235" s="39"/>
      <c r="G235" s="39"/>
      <c r="H235" s="39"/>
      <c r="I235" s="43"/>
      <c r="J235" s="40"/>
    </row>
    <row r="236" spans="2:10" s="1" customFormat="1" ht="13.2" x14ac:dyDescent="0.25">
      <c r="B236" s="45"/>
      <c r="C236" s="58"/>
      <c r="D236" s="59"/>
      <c r="E236" s="39"/>
      <c r="F236" s="39"/>
      <c r="G236" s="39"/>
      <c r="H236" s="39"/>
      <c r="I236" s="39"/>
      <c r="J236" s="40"/>
    </row>
    <row r="237" spans="2:10" s="1" customFormat="1" ht="13.2" x14ac:dyDescent="0.25">
      <c r="B237" s="45"/>
      <c r="C237" s="58"/>
      <c r="D237" s="59"/>
      <c r="E237" s="39"/>
      <c r="F237" s="39"/>
      <c r="G237" s="39"/>
      <c r="H237" s="39"/>
      <c r="I237" s="39"/>
      <c r="J237" s="40"/>
    </row>
    <row r="238" spans="2:10" s="1" customFormat="1" ht="13.2" x14ac:dyDescent="0.25">
      <c r="B238" s="45"/>
      <c r="C238" s="58"/>
      <c r="D238" s="59"/>
      <c r="E238" s="39"/>
      <c r="F238" s="39"/>
      <c r="G238" s="39"/>
      <c r="H238" s="39"/>
      <c r="I238" s="39"/>
      <c r="J238" s="40"/>
    </row>
    <row r="239" spans="2:10" s="1" customFormat="1" ht="13.2" x14ac:dyDescent="0.25">
      <c r="B239" s="45"/>
      <c r="C239" s="58"/>
      <c r="D239" s="59"/>
      <c r="E239" s="39"/>
      <c r="F239" s="39"/>
      <c r="G239" s="39"/>
      <c r="H239" s="39"/>
      <c r="I239" s="39"/>
      <c r="J239" s="40"/>
    </row>
    <row r="240" spans="2:10" s="1" customFormat="1" ht="13.2" x14ac:dyDescent="0.25">
      <c r="B240" s="45"/>
      <c r="C240" s="58"/>
      <c r="D240" s="59"/>
      <c r="E240" s="39"/>
      <c r="F240" s="39"/>
      <c r="G240" s="39"/>
      <c r="H240" s="39"/>
      <c r="I240" s="39"/>
      <c r="J240" s="40"/>
    </row>
    <row r="241" spans="2:10" s="1" customFormat="1" ht="13.2" x14ac:dyDescent="0.25">
      <c r="B241" s="45"/>
      <c r="C241" s="58"/>
      <c r="D241" s="59"/>
      <c r="E241" s="39"/>
      <c r="F241" s="39"/>
      <c r="G241" s="39"/>
      <c r="H241" s="39"/>
      <c r="I241" s="39"/>
      <c r="J241" s="40"/>
    </row>
    <row r="242" spans="2:10" s="1" customFormat="1" ht="13.2" x14ac:dyDescent="0.25">
      <c r="B242" s="45"/>
      <c r="C242" s="58"/>
      <c r="D242" s="59"/>
      <c r="E242" s="39"/>
      <c r="F242" s="39"/>
      <c r="G242" s="39"/>
      <c r="H242" s="39"/>
      <c r="I242" s="39"/>
      <c r="J242" s="40"/>
    </row>
    <row r="243" spans="2:10" s="1" customFormat="1" ht="13.2" x14ac:dyDescent="0.25">
      <c r="B243" s="45"/>
      <c r="C243" s="58"/>
      <c r="D243" s="59"/>
      <c r="E243" s="39"/>
      <c r="F243" s="39"/>
      <c r="G243" s="39"/>
      <c r="H243" s="39"/>
      <c r="I243" s="39"/>
      <c r="J243" s="40"/>
    </row>
    <row r="244" spans="2:10" s="1" customFormat="1" ht="13.2" x14ac:dyDescent="0.25">
      <c r="B244" s="45"/>
      <c r="C244" s="58"/>
      <c r="D244" s="59"/>
      <c r="E244" s="39"/>
      <c r="F244" s="39"/>
      <c r="G244" s="39"/>
      <c r="H244" s="39"/>
      <c r="I244" s="39"/>
      <c r="J244" s="40"/>
    </row>
    <row r="245" spans="2:10" s="1" customFormat="1" ht="13.2" x14ac:dyDescent="0.25">
      <c r="B245" s="45"/>
      <c r="C245" s="58"/>
      <c r="D245" s="59"/>
      <c r="E245" s="39"/>
      <c r="F245" s="39"/>
      <c r="G245" s="39"/>
      <c r="H245" s="39"/>
      <c r="I245" s="39"/>
      <c r="J245" s="40"/>
    </row>
    <row r="246" spans="2:10" s="1" customFormat="1" ht="13.2" x14ac:dyDescent="0.25">
      <c r="B246" s="45"/>
      <c r="C246" s="58"/>
      <c r="D246" s="59"/>
      <c r="E246" s="39"/>
      <c r="F246" s="39"/>
      <c r="G246" s="39"/>
      <c r="H246" s="39"/>
      <c r="I246" s="39"/>
      <c r="J246" s="40"/>
    </row>
    <row r="247" spans="2:10" s="1" customFormat="1" ht="13.2" x14ac:dyDescent="0.25">
      <c r="B247" s="45"/>
      <c r="C247" s="58"/>
      <c r="D247" s="59"/>
      <c r="E247" s="39"/>
      <c r="F247" s="39"/>
      <c r="G247" s="39"/>
      <c r="H247" s="39"/>
      <c r="I247" s="39"/>
      <c r="J247" s="40"/>
    </row>
    <row r="248" spans="2:10" s="1" customFormat="1" ht="13.2" x14ac:dyDescent="0.25">
      <c r="B248" s="45"/>
      <c r="C248" s="58"/>
      <c r="D248" s="59"/>
      <c r="E248" s="39"/>
      <c r="F248" s="39"/>
      <c r="G248" s="39"/>
      <c r="H248" s="39"/>
      <c r="I248" s="39"/>
      <c r="J248" s="40"/>
    </row>
    <row r="249" spans="2:10" s="1" customFormat="1" ht="13.2" x14ac:dyDescent="0.25">
      <c r="B249" s="45"/>
      <c r="C249" s="58"/>
      <c r="D249" s="59"/>
      <c r="E249" s="39"/>
      <c r="F249" s="39"/>
      <c r="G249" s="39"/>
      <c r="H249" s="39"/>
      <c r="I249" s="39"/>
      <c r="J249" s="40"/>
    </row>
    <row r="250" spans="2:10" s="1" customFormat="1" ht="13.2" x14ac:dyDescent="0.25">
      <c r="B250" s="45"/>
      <c r="C250" s="58"/>
      <c r="D250" s="59"/>
      <c r="E250" s="39"/>
      <c r="F250" s="39"/>
      <c r="G250" s="39"/>
      <c r="H250" s="39"/>
      <c r="I250" s="39"/>
      <c r="J250" s="40"/>
    </row>
    <row r="251" spans="2:10" s="1" customFormat="1" ht="13.2" x14ac:dyDescent="0.25">
      <c r="B251" s="45"/>
      <c r="C251" s="58"/>
      <c r="D251" s="59"/>
      <c r="E251" s="39"/>
      <c r="F251" s="39"/>
      <c r="G251" s="39"/>
      <c r="H251" s="39"/>
      <c r="I251" s="39"/>
      <c r="J251" s="40"/>
    </row>
    <row r="252" spans="2:10" s="1" customFormat="1" ht="13.2" x14ac:dyDescent="0.25">
      <c r="B252" s="45"/>
      <c r="C252" s="58"/>
      <c r="D252" s="59"/>
      <c r="E252" s="39"/>
      <c r="F252" s="39"/>
      <c r="G252" s="39"/>
      <c r="H252" s="39"/>
      <c r="I252" s="39"/>
      <c r="J252" s="40"/>
    </row>
    <row r="253" spans="2:10" s="1" customFormat="1" ht="13.2" x14ac:dyDescent="0.25">
      <c r="B253" s="45"/>
      <c r="C253" s="58"/>
      <c r="D253" s="59"/>
      <c r="E253" s="39"/>
      <c r="F253" s="39"/>
      <c r="G253" s="39"/>
      <c r="H253" s="39"/>
      <c r="I253" s="39"/>
      <c r="J253" s="40"/>
    </row>
    <row r="254" spans="2:10" s="1" customFormat="1" ht="13.2" x14ac:dyDescent="0.25">
      <c r="B254" s="45"/>
      <c r="C254" s="58"/>
      <c r="D254" s="59"/>
      <c r="E254" s="39"/>
      <c r="F254" s="39"/>
      <c r="G254" s="39"/>
      <c r="H254" s="39"/>
      <c r="I254" s="39"/>
      <c r="J254" s="40"/>
    </row>
    <row r="255" spans="2:10" s="1" customFormat="1" ht="13.2" x14ac:dyDescent="0.25">
      <c r="B255" s="45"/>
      <c r="C255" s="58"/>
      <c r="D255" s="59"/>
      <c r="E255" s="39"/>
      <c r="F255" s="39"/>
      <c r="G255" s="39"/>
      <c r="H255" s="39"/>
      <c r="I255" s="39"/>
      <c r="J255" s="40"/>
    </row>
    <row r="256" spans="2:10" s="1" customFormat="1" ht="13.2" x14ac:dyDescent="0.25">
      <c r="B256" s="45"/>
      <c r="C256" s="58"/>
      <c r="D256" s="59"/>
      <c r="E256" s="39"/>
      <c r="F256" s="39"/>
      <c r="G256" s="39"/>
      <c r="H256" s="39"/>
      <c r="I256" s="39"/>
      <c r="J256" s="40"/>
    </row>
    <row r="257" spans="2:10" s="1" customFormat="1" ht="13.2" x14ac:dyDescent="0.25">
      <c r="B257" s="45"/>
      <c r="C257" s="58"/>
      <c r="D257" s="59"/>
      <c r="E257" s="39"/>
      <c r="F257" s="39"/>
      <c r="G257" s="39"/>
      <c r="H257" s="39"/>
      <c r="I257" s="39"/>
      <c r="J257" s="40"/>
    </row>
    <row r="258" spans="2:10" s="1" customFormat="1" ht="13.2" x14ac:dyDescent="0.25">
      <c r="B258" s="45"/>
      <c r="C258" s="58"/>
      <c r="D258" s="59"/>
      <c r="E258" s="39"/>
      <c r="F258" s="39"/>
      <c r="G258" s="39"/>
      <c r="H258" s="39"/>
      <c r="I258" s="39"/>
      <c r="J258" s="40"/>
    </row>
    <row r="259" spans="2:10" s="1" customFormat="1" ht="13.2" x14ac:dyDescent="0.25">
      <c r="B259" s="45"/>
      <c r="C259" s="58"/>
      <c r="D259" s="59"/>
      <c r="E259" s="39"/>
      <c r="F259" s="39"/>
      <c r="G259" s="39"/>
      <c r="H259" s="39"/>
      <c r="I259" s="39"/>
      <c r="J259" s="40"/>
    </row>
    <row r="260" spans="2:10" s="1" customFormat="1" ht="13.2" x14ac:dyDescent="0.25">
      <c r="B260" s="45"/>
      <c r="C260" s="58"/>
      <c r="D260" s="59"/>
      <c r="E260" s="39"/>
      <c r="F260" s="39"/>
      <c r="G260" s="39"/>
      <c r="H260" s="39"/>
      <c r="I260" s="39"/>
      <c r="J260" s="40"/>
    </row>
    <row r="261" spans="2:10" s="1" customFormat="1" ht="13.2" x14ac:dyDescent="0.25">
      <c r="B261" s="45"/>
      <c r="C261" s="58"/>
      <c r="D261" s="59"/>
      <c r="E261" s="39"/>
      <c r="F261" s="39"/>
      <c r="G261" s="39"/>
      <c r="H261" s="39"/>
      <c r="I261" s="39"/>
      <c r="J261" s="40"/>
    </row>
    <row r="262" spans="2:10" s="1" customFormat="1" ht="13.2" x14ac:dyDescent="0.25">
      <c r="B262" s="36"/>
      <c r="C262" s="37"/>
      <c r="D262" s="37"/>
      <c r="E262" s="37"/>
      <c r="F262" s="37"/>
      <c r="G262" s="37"/>
      <c r="H262" s="37"/>
      <c r="I262" s="37"/>
      <c r="J262" s="37"/>
    </row>
    <row r="263" spans="2:10" s="1" customFormat="1" ht="13.2" x14ac:dyDescent="0.25">
      <c r="C263" s="128" t="s">
        <v>0</v>
      </c>
      <c r="D263" s="128"/>
      <c r="E263" s="128"/>
      <c r="F263" s="128"/>
      <c r="G263" s="128"/>
      <c r="H263" s="128"/>
    </row>
    <row r="264" spans="2:10" s="1" customFormat="1" ht="13.2" x14ac:dyDescent="0.25">
      <c r="C264" s="128" t="s">
        <v>1</v>
      </c>
      <c r="D264" s="128"/>
      <c r="E264" s="128"/>
      <c r="F264" s="128"/>
      <c r="G264" s="128"/>
      <c r="H264" s="128"/>
    </row>
    <row r="265" spans="2:10" s="1" customFormat="1" ht="13.2" x14ac:dyDescent="0.25">
      <c r="C265" s="128" t="s">
        <v>2</v>
      </c>
      <c r="D265" s="128"/>
      <c r="E265" s="128"/>
      <c r="F265" s="128"/>
      <c r="G265" s="128"/>
      <c r="H265" s="128"/>
    </row>
    <row r="266" spans="2:10" s="1" customFormat="1" ht="13.2" x14ac:dyDescent="0.25">
      <c r="C266" s="129" t="s">
        <v>3</v>
      </c>
      <c r="D266" s="129"/>
      <c r="E266" s="129"/>
      <c r="F266" s="129"/>
      <c r="G266" s="129"/>
      <c r="H266" s="129"/>
    </row>
    <row r="267" spans="2:10" s="1" customFormat="1" ht="13.2" x14ac:dyDescent="0.25">
      <c r="C267" s="52"/>
      <c r="D267" s="52"/>
      <c r="E267" s="52"/>
      <c r="F267" s="52"/>
      <c r="G267" s="52"/>
      <c r="H267" s="52"/>
    </row>
    <row r="268" spans="2:10" s="1" customFormat="1" ht="27" customHeight="1" x14ac:dyDescent="0.25">
      <c r="B268" s="84" t="s">
        <v>458</v>
      </c>
      <c r="C268" s="85"/>
      <c r="D268" s="85"/>
      <c r="E268" s="85"/>
      <c r="F268" s="85"/>
      <c r="G268" s="85"/>
      <c r="H268" s="85"/>
      <c r="I268" s="85"/>
      <c r="J268" s="86"/>
    </row>
    <row r="269" spans="2:10" s="1" customFormat="1" ht="21" x14ac:dyDescent="0.25">
      <c r="B269" s="87" t="s">
        <v>467</v>
      </c>
      <c r="C269" s="88"/>
      <c r="D269" s="88"/>
      <c r="E269" s="88"/>
      <c r="F269" s="88"/>
      <c r="G269" s="88"/>
      <c r="H269" s="88"/>
      <c r="I269" s="88"/>
      <c r="J269" s="89"/>
    </row>
    <row r="270" spans="2:10" s="1" customFormat="1" ht="13.8" thickBot="1" x14ac:dyDescent="0.3">
      <c r="B270" s="53"/>
      <c r="C270" s="53"/>
      <c r="D270" s="53"/>
      <c r="E270" s="53"/>
      <c r="F270" s="53"/>
      <c r="G270" s="53"/>
      <c r="H270" s="53"/>
      <c r="I270" s="53"/>
      <c r="J270" s="53"/>
    </row>
    <row r="271" spans="2:10" s="1" customFormat="1" ht="24.75" customHeight="1" x14ac:dyDescent="0.25">
      <c r="B271" s="123" t="s">
        <v>6</v>
      </c>
      <c r="C271" s="124"/>
      <c r="D271" s="124"/>
      <c r="E271" s="124"/>
      <c r="F271" s="124"/>
      <c r="G271" s="124"/>
      <c r="H271" s="124"/>
      <c r="I271" s="124"/>
      <c r="J271" s="125"/>
    </row>
    <row r="272" spans="2:10" s="1" customFormat="1" ht="13.2" x14ac:dyDescent="0.25">
      <c r="B272" s="2" t="s">
        <v>7</v>
      </c>
      <c r="C272" s="3" t="s">
        <v>8</v>
      </c>
      <c r="D272" s="3"/>
      <c r="E272" s="4"/>
      <c r="F272" s="5"/>
      <c r="G272" s="6" t="s">
        <v>9</v>
      </c>
      <c r="H272" s="126">
        <v>42879</v>
      </c>
      <c r="I272" s="126"/>
      <c r="J272" s="7"/>
    </row>
    <row r="273" spans="2:10" s="1" customFormat="1" ht="13.2" x14ac:dyDescent="0.25">
      <c r="B273" s="2" t="s">
        <v>10</v>
      </c>
      <c r="C273" s="3" t="s">
        <v>11</v>
      </c>
      <c r="F273" s="3"/>
      <c r="G273" s="8" t="s">
        <v>12</v>
      </c>
      <c r="H273" s="4" t="s">
        <v>11</v>
      </c>
      <c r="I273" s="9"/>
      <c r="J273" s="10"/>
    </row>
    <row r="274" spans="2:10" s="1" customFormat="1" ht="13.2" x14ac:dyDescent="0.25">
      <c r="B274" s="2" t="s">
        <v>13</v>
      </c>
      <c r="C274" s="3" t="s">
        <v>11</v>
      </c>
      <c r="F274" s="3"/>
      <c r="G274" s="8" t="s">
        <v>14</v>
      </c>
      <c r="H274" s="4" t="s">
        <v>15</v>
      </c>
      <c r="I274" s="9"/>
      <c r="J274" s="10"/>
    </row>
    <row r="275" spans="2:10" s="1" customFormat="1" ht="13.8" thickBot="1" x14ac:dyDescent="0.3">
      <c r="B275" s="11" t="s">
        <v>16</v>
      </c>
      <c r="C275" s="12" t="s">
        <v>17</v>
      </c>
      <c r="D275" s="13"/>
      <c r="E275" s="13"/>
      <c r="F275" s="12"/>
      <c r="G275" s="14" t="s">
        <v>18</v>
      </c>
      <c r="H275" s="15" t="s">
        <v>19</v>
      </c>
      <c r="I275" s="16"/>
      <c r="J275" s="17"/>
    </row>
    <row r="276" spans="2:10" s="1" customFormat="1" ht="13.2" x14ac:dyDescent="0.25">
      <c r="B276" s="53"/>
      <c r="C276" s="53"/>
      <c r="D276" s="53"/>
      <c r="E276" s="53"/>
      <c r="F276" s="53"/>
      <c r="G276" s="53"/>
      <c r="H276" s="53"/>
      <c r="I276" s="53"/>
      <c r="J276" s="53"/>
    </row>
    <row r="277" spans="2:10" s="1" customFormat="1" ht="13.2" x14ac:dyDescent="0.25">
      <c r="B277" s="20" t="s">
        <v>20</v>
      </c>
      <c r="C277" s="21" t="s">
        <v>21</v>
      </c>
      <c r="D277" s="21" t="s">
        <v>460</v>
      </c>
      <c r="E277" s="21" t="s">
        <v>461</v>
      </c>
      <c r="F277" s="21" t="s">
        <v>462</v>
      </c>
      <c r="G277" s="21" t="s">
        <v>463</v>
      </c>
      <c r="H277" s="21" t="s">
        <v>464</v>
      </c>
      <c r="I277" s="21" t="s">
        <v>22</v>
      </c>
      <c r="J277" s="21" t="s">
        <v>23</v>
      </c>
    </row>
    <row r="278" spans="2:10" s="1" customFormat="1" ht="13.2" x14ac:dyDescent="0.25">
      <c r="B278" s="54">
        <v>4.03</v>
      </c>
      <c r="C278" s="55" t="s">
        <v>182</v>
      </c>
      <c r="D278" s="59"/>
      <c r="E278" s="39"/>
      <c r="F278" s="39"/>
      <c r="G278" s="39"/>
      <c r="H278" s="39"/>
      <c r="I278" s="39"/>
      <c r="J278" s="40"/>
    </row>
    <row r="279" spans="2:10" s="1" customFormat="1" ht="13.2" x14ac:dyDescent="0.25">
      <c r="B279" s="56" t="s">
        <v>183</v>
      </c>
      <c r="C279" s="57" t="s">
        <v>331</v>
      </c>
      <c r="D279" s="59"/>
      <c r="E279" s="39"/>
      <c r="F279" s="39"/>
      <c r="G279" s="39"/>
      <c r="H279" s="39"/>
      <c r="I279" s="39"/>
      <c r="J279" s="40"/>
    </row>
    <row r="280" spans="2:10" s="1" customFormat="1" ht="13.2" x14ac:dyDescent="0.25">
      <c r="B280" s="24" t="s">
        <v>185</v>
      </c>
      <c r="C280" s="27" t="s">
        <v>332</v>
      </c>
      <c r="D280" s="59"/>
      <c r="E280" s="39"/>
      <c r="F280" s="39"/>
      <c r="G280" s="39"/>
      <c r="H280" s="39"/>
      <c r="I280" s="39">
        <f>+SUM(H281:H286)</f>
        <v>17.297379999999997</v>
      </c>
      <c r="J280" s="40" t="s">
        <v>333</v>
      </c>
    </row>
    <row r="281" spans="2:10" s="1" customFormat="1" ht="13.2" x14ac:dyDescent="0.25">
      <c r="B281" s="45"/>
      <c r="C281" s="38" t="s">
        <v>586</v>
      </c>
      <c r="D281" s="59">
        <v>1</v>
      </c>
      <c r="E281" s="39">
        <v>4.1500000000000004</v>
      </c>
      <c r="F281" s="39">
        <v>0.5</v>
      </c>
      <c r="G281" s="39"/>
      <c r="H281" s="39">
        <f t="shared" ref="H281:H286" si="13">IF(AND(F281=0,G281=0),D281*E281,IF(AND(E281=0,G281=0),D281*F281,IF(AND(E281=0,F281=0),D281*G281,IF(AND(E281=0),D281*F281*G281,IF(AND(F281=0),D281*E281*G281,IF(AND(G281=0),D281*E281*F281,D281*E281*F281*G281))))))</f>
        <v>2.0750000000000002</v>
      </c>
      <c r="I281" s="39"/>
      <c r="J281" s="40"/>
    </row>
    <row r="282" spans="2:10" s="1" customFormat="1" ht="13.2" x14ac:dyDescent="0.25">
      <c r="B282" s="45"/>
      <c r="C282" s="38" t="s">
        <v>587</v>
      </c>
      <c r="D282" s="39">
        <v>1</v>
      </c>
      <c r="E282" s="39">
        <v>0.6</v>
      </c>
      <c r="F282" s="39">
        <v>0.8</v>
      </c>
      <c r="G282" s="39"/>
      <c r="H282" s="39">
        <f t="shared" si="13"/>
        <v>0.48</v>
      </c>
      <c r="I282" s="39"/>
      <c r="J282" s="40"/>
    </row>
    <row r="283" spans="2:10" s="1" customFormat="1" ht="13.2" x14ac:dyDescent="0.25">
      <c r="B283" s="45"/>
      <c r="C283" s="38" t="s">
        <v>588</v>
      </c>
      <c r="D283" s="59">
        <v>1</v>
      </c>
      <c r="E283" s="39">
        <v>0.6</v>
      </c>
      <c r="F283" s="39">
        <v>0.8</v>
      </c>
      <c r="G283" s="39"/>
      <c r="H283" s="39">
        <f t="shared" si="13"/>
        <v>0.48</v>
      </c>
      <c r="I283" s="39"/>
      <c r="J283" s="40"/>
    </row>
    <row r="284" spans="2:10" s="1" customFormat="1" ht="13.2" x14ac:dyDescent="0.25">
      <c r="B284" s="45"/>
      <c r="C284" s="38" t="s">
        <v>589</v>
      </c>
      <c r="D284" s="59">
        <v>1</v>
      </c>
      <c r="E284" s="39">
        <v>0.6</v>
      </c>
      <c r="F284" s="39">
        <v>0.8</v>
      </c>
      <c r="G284" s="39"/>
      <c r="H284" s="39">
        <f t="shared" si="13"/>
        <v>0.48</v>
      </c>
      <c r="I284" s="39"/>
      <c r="J284" s="40"/>
    </row>
    <row r="285" spans="2:10" s="1" customFormat="1" ht="13.2" x14ac:dyDescent="0.25">
      <c r="B285" s="45"/>
      <c r="C285" s="42" t="s">
        <v>566</v>
      </c>
      <c r="D285" s="59"/>
      <c r="E285" s="39"/>
      <c r="F285" s="39"/>
      <c r="G285" s="39"/>
      <c r="H285" s="39"/>
      <c r="I285" s="39"/>
      <c r="J285" s="40"/>
    </row>
    <row r="286" spans="2:10" s="1" customFormat="1" ht="13.2" x14ac:dyDescent="0.25">
      <c r="B286" s="45"/>
      <c r="C286" s="42" t="s">
        <v>590</v>
      </c>
      <c r="D286" s="59">
        <v>1</v>
      </c>
      <c r="E286" s="39">
        <f>7.6+8.7+8.15+0.1*5</f>
        <v>24.949999999999996</v>
      </c>
      <c r="F286" s="39">
        <f>6*0.0254+0.4</f>
        <v>0.5524</v>
      </c>
      <c r="G286" s="39"/>
      <c r="H286" s="39">
        <f t="shared" si="13"/>
        <v>13.782379999999998</v>
      </c>
      <c r="I286" s="39"/>
      <c r="J286" s="40"/>
    </row>
    <row r="287" spans="2:10" s="1" customFormat="1" ht="13.2" x14ac:dyDescent="0.25">
      <c r="B287" s="45"/>
      <c r="C287" s="58"/>
      <c r="D287" s="59"/>
      <c r="E287" s="39"/>
      <c r="F287" s="39"/>
      <c r="G287" s="39"/>
      <c r="H287" s="39"/>
      <c r="I287" s="39"/>
      <c r="J287" s="40"/>
    </row>
    <row r="288" spans="2:10" x14ac:dyDescent="0.3">
      <c r="B288" s="24" t="s">
        <v>187</v>
      </c>
      <c r="C288" s="27" t="s">
        <v>334</v>
      </c>
      <c r="D288" s="22"/>
      <c r="E288" s="22"/>
      <c r="F288" s="22"/>
      <c r="G288" s="22"/>
      <c r="H288" s="23"/>
      <c r="I288" s="24">
        <f>+I280</f>
        <v>17.297379999999997</v>
      </c>
      <c r="J288" s="25" t="s">
        <v>333</v>
      </c>
    </row>
    <row r="289" spans="2:10" s="1" customFormat="1" ht="13.2" x14ac:dyDescent="0.25">
      <c r="B289" s="45"/>
      <c r="C289" s="58"/>
      <c r="D289" s="59"/>
      <c r="E289" s="39"/>
      <c r="F289" s="39"/>
      <c r="G289" s="39"/>
      <c r="H289" s="39"/>
      <c r="I289" s="39"/>
      <c r="J289" s="40"/>
    </row>
    <row r="290" spans="2:10" s="92" customFormat="1" ht="17.25" customHeight="1" x14ac:dyDescent="0.3">
      <c r="B290" s="56" t="s">
        <v>359</v>
      </c>
      <c r="C290" s="57" t="s">
        <v>345</v>
      </c>
      <c r="D290" s="22"/>
      <c r="E290" s="22"/>
      <c r="F290" s="22"/>
      <c r="G290" s="22"/>
      <c r="H290" s="23"/>
      <c r="I290" s="24"/>
      <c r="J290" s="25"/>
    </row>
    <row r="291" spans="2:10" s="115" customFormat="1" ht="17.25" customHeight="1" x14ac:dyDescent="0.25">
      <c r="B291" s="24" t="s">
        <v>361</v>
      </c>
      <c r="C291" s="115" t="s">
        <v>347</v>
      </c>
      <c r="D291" s="59"/>
      <c r="E291" s="39"/>
      <c r="F291" s="39"/>
      <c r="G291" s="39"/>
      <c r="H291" s="23"/>
      <c r="I291" s="24">
        <f>+SUM(H292)</f>
        <v>1.1412500000000001</v>
      </c>
      <c r="J291" s="25" t="s">
        <v>337</v>
      </c>
    </row>
    <row r="292" spans="2:10" s="115" customFormat="1" ht="17.25" customHeight="1" x14ac:dyDescent="0.25">
      <c r="B292" s="24"/>
      <c r="C292" s="38" t="s">
        <v>468</v>
      </c>
      <c r="D292" s="59">
        <v>1</v>
      </c>
      <c r="E292" s="39">
        <v>4.1500000000000004</v>
      </c>
      <c r="F292" s="39">
        <v>0.5</v>
      </c>
      <c r="G292" s="39">
        <f>0.35+0.2</f>
        <v>0.55000000000000004</v>
      </c>
      <c r="H292" s="39">
        <f>IF(AND(F292=0,G292=0),D292*E292,IF(AND(E292=0,G292=0),D292*F292,IF(AND(E292=0,F292=0),D292*G292,IF(AND(E292=0),D292*F292*G292,IF(AND(F292=0),D292*E292*G292,IF(AND(G292=0),D292*E292*F292,D292*E292*F292*G292))))))</f>
        <v>1.1412500000000001</v>
      </c>
      <c r="I292" s="39"/>
      <c r="J292" s="40"/>
    </row>
    <row r="293" spans="2:10" s="115" customFormat="1" ht="17.25" customHeight="1" x14ac:dyDescent="0.25">
      <c r="B293" s="24"/>
      <c r="D293" s="59"/>
      <c r="E293" s="39"/>
      <c r="F293" s="39"/>
      <c r="G293" s="39"/>
      <c r="H293" s="39"/>
      <c r="I293" s="39"/>
      <c r="J293" s="40"/>
    </row>
    <row r="294" spans="2:10" s="115" customFormat="1" ht="17.25" customHeight="1" x14ac:dyDescent="0.25">
      <c r="B294" s="24" t="s">
        <v>363</v>
      </c>
      <c r="C294" s="115" t="s">
        <v>348</v>
      </c>
      <c r="D294" s="59"/>
      <c r="E294" s="39"/>
      <c r="F294" s="39"/>
      <c r="G294" s="39"/>
      <c r="H294" s="23"/>
      <c r="I294" s="24">
        <f>+SUM(H295:H297)</f>
        <v>1.1088</v>
      </c>
      <c r="J294" s="25" t="s">
        <v>337</v>
      </c>
    </row>
    <row r="295" spans="2:10" s="115" customFormat="1" ht="17.25" customHeight="1" x14ac:dyDescent="0.25">
      <c r="B295" s="114"/>
      <c r="C295" s="38" t="s">
        <v>587</v>
      </c>
      <c r="D295" s="39">
        <v>1</v>
      </c>
      <c r="E295" s="39">
        <v>0.6</v>
      </c>
      <c r="F295" s="39">
        <v>0.8</v>
      </c>
      <c r="G295" s="39">
        <f>0.93+0.2</f>
        <v>1.1300000000000001</v>
      </c>
      <c r="H295" s="39">
        <f>IF(AND(F295=0,G295=0),D295*E295,IF(AND(E295=0,G295=0),D295*F295,IF(AND(E295=0,F295=0),D295*G295,IF(AND(E295=0),D295*F295*G295,IF(AND(F295=0),D295*E295*G295,IF(AND(G295=0),D295*E295*F295,D295*E295*F295*G295))))))</f>
        <v>0.54239999999999999</v>
      </c>
      <c r="I295" s="39"/>
      <c r="J295" s="40"/>
    </row>
    <row r="296" spans="2:10" s="115" customFormat="1" ht="17.25" customHeight="1" x14ac:dyDescent="0.25">
      <c r="B296" s="114"/>
      <c r="C296" s="38" t="s">
        <v>588</v>
      </c>
      <c r="D296" s="59">
        <v>1</v>
      </c>
      <c r="E296" s="39">
        <v>0.6</v>
      </c>
      <c r="F296" s="39">
        <v>0.8</v>
      </c>
      <c r="G296" s="39">
        <f>0.35+0.2</f>
        <v>0.55000000000000004</v>
      </c>
      <c r="H296" s="39">
        <f>IF(AND(F296=0,G296=0),D296*E296,IF(AND(E296=0,G296=0),D296*F296,IF(AND(E296=0,F296=0),D296*G296,IF(AND(E296=0),D296*F296*G296,IF(AND(F296=0),D296*E296*G296,IF(AND(G296=0),D296*E296*F296,D296*E296*F296*G296))))))</f>
        <v>0.26400000000000001</v>
      </c>
      <c r="I296" s="39"/>
      <c r="J296" s="40"/>
    </row>
    <row r="297" spans="2:10" s="115" customFormat="1" ht="17.25" customHeight="1" x14ac:dyDescent="0.25">
      <c r="B297" s="114"/>
      <c r="C297" s="38" t="s">
        <v>589</v>
      </c>
      <c r="D297" s="59">
        <v>1</v>
      </c>
      <c r="E297" s="39">
        <v>0.6</v>
      </c>
      <c r="F297" s="39">
        <v>0.8</v>
      </c>
      <c r="G297" s="39">
        <f>0.43+0.2</f>
        <v>0.63</v>
      </c>
      <c r="H297" s="39">
        <f>IF(AND(F297=0,G297=0),D297*E297,IF(AND(E297=0,G297=0),D297*F297,IF(AND(E297=0,F297=0),D297*G297,IF(AND(E297=0),D297*F297*G297,IF(AND(F297=0),D297*E297*G297,IF(AND(G297=0),D297*E297*F297,D297*E297*F297*G297))))))</f>
        <v>0.3024</v>
      </c>
      <c r="I297" s="39"/>
      <c r="J297" s="40"/>
    </row>
    <row r="298" spans="2:10" s="1" customFormat="1" ht="13.2" x14ac:dyDescent="0.25">
      <c r="B298" s="24" t="s">
        <v>555</v>
      </c>
      <c r="C298" s="1" t="s">
        <v>349</v>
      </c>
      <c r="D298" s="59"/>
      <c r="E298" s="39"/>
      <c r="F298" s="39"/>
      <c r="G298" s="39"/>
      <c r="H298" s="39"/>
      <c r="I298" s="39">
        <f>+SUM(H300)</f>
        <v>0</v>
      </c>
      <c r="J298" s="40" t="s">
        <v>337</v>
      </c>
    </row>
    <row r="299" spans="2:10" s="1" customFormat="1" ht="13.2" x14ac:dyDescent="0.25">
      <c r="B299" s="45"/>
      <c r="C299" s="42" t="s">
        <v>566</v>
      </c>
      <c r="D299" s="59"/>
      <c r="E299" s="39"/>
      <c r="F299" s="39"/>
      <c r="G299" s="39"/>
      <c r="H299" s="39"/>
      <c r="J299" s="40"/>
    </row>
    <row r="300" spans="2:10" s="1" customFormat="1" ht="13.2" x14ac:dyDescent="0.25">
      <c r="B300" s="45"/>
      <c r="C300" s="38"/>
      <c r="E300" s="39"/>
      <c r="F300" s="39"/>
      <c r="G300" s="39"/>
      <c r="H300" s="39">
        <f>IF(AND(F300=0,G300=0),D300*E300,IF(AND(E300=0,G300=0),D300*F300,IF(AND(E300=0,F300=0),D300*G300,IF(AND(E300=0),D300*F300*G300,IF(AND(F300=0),D300*E300*G300,IF(AND(G300=0),D300*E300*F300,D300*E300*F300*G300))))))</f>
        <v>0</v>
      </c>
      <c r="I300" s="39"/>
      <c r="J300" s="40"/>
    </row>
    <row r="301" spans="2:10" s="92" customFormat="1" ht="17.25" customHeight="1" x14ac:dyDescent="0.3">
      <c r="B301" s="24" t="s">
        <v>556</v>
      </c>
      <c r="C301" s="115" t="s">
        <v>350</v>
      </c>
      <c r="D301" s="22"/>
      <c r="E301" s="22"/>
      <c r="F301" s="22"/>
      <c r="G301" s="22"/>
      <c r="H301" s="115"/>
      <c r="I301" s="23">
        <f>+SUM(H302:H305)</f>
        <v>3.5150000000000001</v>
      </c>
      <c r="J301" s="25" t="s">
        <v>333</v>
      </c>
    </row>
    <row r="302" spans="2:10" s="92" customFormat="1" ht="17.25" customHeight="1" x14ac:dyDescent="0.3">
      <c r="B302" s="24"/>
      <c r="C302" s="38" t="s">
        <v>587</v>
      </c>
      <c r="D302" s="39">
        <v>1</v>
      </c>
      <c r="E302" s="39">
        <v>0.6</v>
      </c>
      <c r="F302" s="39">
        <v>0.8</v>
      </c>
      <c r="G302" s="39"/>
      <c r="H302" s="39">
        <f>IF(AND(F302=0,G302=0),D302*E302,IF(AND(E302=0,G302=0),D302*F302,IF(AND(E302=0,F302=0),D302*G302,IF(AND(E302=0),D302*F302*G302,IF(AND(F302=0),D302*E302*G302,IF(AND(G302=0),D302*E302*F302,D302*E302*F302*G302))))))</f>
        <v>0.48</v>
      </c>
      <c r="I302" s="24"/>
      <c r="J302" s="25"/>
    </row>
    <row r="303" spans="2:10" s="92" customFormat="1" ht="17.25" customHeight="1" x14ac:dyDescent="0.3">
      <c r="B303" s="24"/>
      <c r="C303" s="38" t="s">
        <v>588</v>
      </c>
      <c r="D303" s="59">
        <v>1</v>
      </c>
      <c r="E303" s="39">
        <v>0.6</v>
      </c>
      <c r="F303" s="39">
        <v>0.8</v>
      </c>
      <c r="G303" s="39"/>
      <c r="H303" s="39">
        <f>IF(AND(F303=0,G303=0),D303*E303,IF(AND(E303=0,G303=0),D303*F303,IF(AND(E303=0,F303=0),D303*G303,IF(AND(E303=0),D303*F303*G303,IF(AND(F303=0),D303*E303*G303,IF(AND(G303=0),D303*E303*F303,D303*E303*F303*G303))))))</f>
        <v>0.48</v>
      </c>
      <c r="I303" s="24"/>
      <c r="J303" s="25"/>
    </row>
    <row r="304" spans="2:10" s="92" customFormat="1" ht="17.25" customHeight="1" x14ac:dyDescent="0.3">
      <c r="B304" s="24"/>
      <c r="C304" s="38" t="s">
        <v>589</v>
      </c>
      <c r="D304" s="59">
        <v>1</v>
      </c>
      <c r="E304" s="39">
        <v>0.6</v>
      </c>
      <c r="F304" s="39">
        <v>0.8</v>
      </c>
      <c r="G304" s="39"/>
      <c r="H304" s="39">
        <f>IF(AND(F304=0,G304=0),D304*E304,IF(AND(E304=0,G304=0),D304*F304,IF(AND(E304=0,F304=0),D304*G304,IF(AND(E304=0),D304*F304*G304,IF(AND(F304=0),D304*E304*G304,IF(AND(G304=0),D304*E304*F304,D304*E304*F304*G304))))))</f>
        <v>0.48</v>
      </c>
      <c r="I304" s="24"/>
      <c r="J304" s="25"/>
    </row>
    <row r="305" spans="2:10" s="92" customFormat="1" ht="17.25" customHeight="1" x14ac:dyDescent="0.3">
      <c r="B305" s="24"/>
      <c r="C305" s="38" t="s">
        <v>586</v>
      </c>
      <c r="D305" s="59">
        <v>1</v>
      </c>
      <c r="E305" s="39">
        <v>4.1500000000000004</v>
      </c>
      <c r="F305" s="39">
        <v>0.5</v>
      </c>
      <c r="G305" s="39"/>
      <c r="H305" s="39">
        <f>+(F305+G305*2)*E305</f>
        <v>2.0750000000000002</v>
      </c>
      <c r="I305" s="24"/>
      <c r="J305" s="25"/>
    </row>
    <row r="306" spans="2:10" s="92" customFormat="1" ht="17.25" customHeight="1" x14ac:dyDescent="0.3">
      <c r="B306" s="24"/>
      <c r="C306" s="115"/>
      <c r="D306" s="22"/>
      <c r="E306" s="22"/>
      <c r="F306" s="22"/>
      <c r="G306" s="22"/>
      <c r="H306" s="23"/>
      <c r="I306" s="24"/>
      <c r="J306" s="25"/>
    </row>
    <row r="307" spans="2:10" s="115" customFormat="1" ht="17.25" customHeight="1" x14ac:dyDescent="0.25">
      <c r="B307" s="24" t="s">
        <v>557</v>
      </c>
      <c r="C307" s="115" t="s">
        <v>351</v>
      </c>
      <c r="D307" s="59"/>
      <c r="E307" s="39"/>
      <c r="F307" s="39"/>
      <c r="G307" s="39"/>
      <c r="H307" s="39"/>
      <c r="I307" s="39">
        <f>+SUM(H309:H309)-H311</f>
        <v>6.2813753422746261</v>
      </c>
      <c r="J307" s="40" t="s">
        <v>337</v>
      </c>
    </row>
    <row r="308" spans="2:10" s="115" customFormat="1" ht="17.25" customHeight="1" x14ac:dyDescent="0.25">
      <c r="B308" s="45"/>
      <c r="C308" s="42" t="s">
        <v>566</v>
      </c>
      <c r="D308" s="59"/>
      <c r="E308" s="39"/>
      <c r="F308" s="39"/>
      <c r="G308" s="39"/>
      <c r="H308" s="39"/>
      <c r="I308" s="39"/>
      <c r="J308" s="40"/>
    </row>
    <row r="309" spans="2:10" s="115" customFormat="1" ht="17.25" customHeight="1" x14ac:dyDescent="0.25">
      <c r="B309" s="45"/>
      <c r="C309" s="42" t="s">
        <v>590</v>
      </c>
      <c r="D309" s="59">
        <v>1</v>
      </c>
      <c r="E309" s="39">
        <f>7.6+8.7+8.15+0.1*5</f>
        <v>24.949999999999996</v>
      </c>
      <c r="F309" s="39">
        <v>0.6</v>
      </c>
      <c r="G309" s="39">
        <v>0.45</v>
      </c>
      <c r="H309" s="39">
        <f>IF(AND(F309=0,G309=0),D309*E309,IF(AND(E309=0,G309=0),D309*F309,IF(AND(E309=0,F309=0),D309*G309,IF(AND(E309=0),D309*F309*G309,IF(AND(F309=0),D309*E309*G309,IF(AND(G309=0),D309*E309*F309,D309*E309*F309*G309))))))</f>
        <v>6.7364999999999986</v>
      </c>
      <c r="I309" s="39"/>
      <c r="J309" s="40"/>
    </row>
    <row r="310" spans="2:10" s="115" customFormat="1" ht="17.25" customHeight="1" x14ac:dyDescent="0.25">
      <c r="B310" s="45"/>
      <c r="F310" s="39" t="s">
        <v>485</v>
      </c>
      <c r="G310" s="39">
        <v>6</v>
      </c>
      <c r="I310" s="39"/>
      <c r="J310" s="40"/>
    </row>
    <row r="311" spans="2:10" s="115" customFormat="1" ht="17.25" customHeight="1" x14ac:dyDescent="0.25">
      <c r="B311" s="45"/>
      <c r="C311" s="38" t="s">
        <v>569</v>
      </c>
      <c r="D311" s="59">
        <v>1</v>
      </c>
      <c r="E311" s="39">
        <f>+SUM(E309:E309)</f>
        <v>24.949999999999996</v>
      </c>
      <c r="F311" s="39" t="s">
        <v>570</v>
      </c>
      <c r="G311" s="39">
        <f>+PI()*((G310*0.0254)^2)/4</f>
        <v>1.8241469247509915E-2</v>
      </c>
      <c r="H311" s="39">
        <f>+E311*G311</f>
        <v>0.45512465772537231</v>
      </c>
      <c r="I311" s="39"/>
      <c r="J311" s="40"/>
    </row>
    <row r="312" spans="2:10" s="115" customFormat="1" ht="17.25" customHeight="1" x14ac:dyDescent="0.25">
      <c r="B312" s="45"/>
      <c r="C312" s="58"/>
      <c r="D312" s="59"/>
      <c r="E312" s="39"/>
      <c r="F312" s="39"/>
      <c r="G312" s="39"/>
      <c r="H312" s="39"/>
      <c r="I312" s="39"/>
      <c r="J312" s="40"/>
    </row>
    <row r="313" spans="2:10" s="115" customFormat="1" ht="17.25" customHeight="1" x14ac:dyDescent="0.25">
      <c r="B313" s="45"/>
      <c r="C313" s="58"/>
      <c r="D313" s="59"/>
      <c r="E313" s="39"/>
      <c r="F313" s="39"/>
      <c r="G313" s="39"/>
      <c r="H313" s="39"/>
      <c r="I313" s="39"/>
      <c r="J313" s="40"/>
    </row>
    <row r="314" spans="2:10" s="115" customFormat="1" ht="18.75" customHeight="1" x14ac:dyDescent="0.25">
      <c r="B314" s="24" t="s">
        <v>558</v>
      </c>
      <c r="C314" s="27" t="s">
        <v>352</v>
      </c>
      <c r="D314" s="59"/>
      <c r="E314" s="39"/>
      <c r="F314" s="39"/>
      <c r="G314" s="39"/>
      <c r="H314" s="39"/>
      <c r="I314" s="39">
        <f>+SUM(H315)</f>
        <v>6.6400000000000006</v>
      </c>
      <c r="J314" s="40" t="s">
        <v>333</v>
      </c>
    </row>
    <row r="315" spans="2:10" s="115" customFormat="1" ht="18.75" customHeight="1" x14ac:dyDescent="0.25">
      <c r="B315" s="24"/>
      <c r="C315" s="38" t="s">
        <v>468</v>
      </c>
      <c r="D315" s="59">
        <v>1</v>
      </c>
      <c r="E315" s="39">
        <v>4.1500000000000004</v>
      </c>
      <c r="F315" s="39">
        <v>0.5</v>
      </c>
      <c r="G315" s="39">
        <f>0.35+0.2</f>
        <v>0.55000000000000004</v>
      </c>
      <c r="H315" s="39">
        <f>+(F315+G315*2)*E315</f>
        <v>6.6400000000000006</v>
      </c>
      <c r="I315" s="39"/>
      <c r="J315" s="40"/>
    </row>
    <row r="316" spans="2:10" s="115" customFormat="1" ht="17.25" customHeight="1" x14ac:dyDescent="0.25">
      <c r="B316" s="24" t="s">
        <v>559</v>
      </c>
      <c r="C316" s="27" t="s">
        <v>353</v>
      </c>
      <c r="D316" s="59"/>
      <c r="E316" s="39"/>
      <c r="F316" s="39"/>
      <c r="G316" s="39"/>
      <c r="H316" s="39"/>
      <c r="I316" s="39">
        <f>+SUM(H318)</f>
        <v>37.424999999999997</v>
      </c>
      <c r="J316" s="40" t="s">
        <v>333</v>
      </c>
    </row>
    <row r="317" spans="2:10" s="115" customFormat="1" ht="17.25" customHeight="1" x14ac:dyDescent="0.25">
      <c r="B317" s="45"/>
      <c r="C317" s="42" t="s">
        <v>566</v>
      </c>
      <c r="D317" s="59"/>
      <c r="E317" s="39"/>
      <c r="F317" s="39"/>
      <c r="G317" s="39"/>
      <c r="H317" s="39"/>
    </row>
    <row r="318" spans="2:10" s="115" customFormat="1" ht="13.2" x14ac:dyDescent="0.25">
      <c r="B318" s="45"/>
      <c r="C318" s="42" t="s">
        <v>590</v>
      </c>
      <c r="D318" s="59">
        <v>1</v>
      </c>
      <c r="E318" s="39">
        <f>7.6+8.7+8.15+0.1*5</f>
        <v>24.949999999999996</v>
      </c>
      <c r="F318" s="39">
        <v>0.6</v>
      </c>
      <c r="G318" s="39">
        <v>0.45</v>
      </c>
      <c r="H318" s="39">
        <f>+(F318+G318*2)*E318</f>
        <v>37.424999999999997</v>
      </c>
      <c r="I318" s="39"/>
      <c r="J318" s="40"/>
    </row>
    <row r="319" spans="2:10" s="115" customFormat="1" ht="13.2" x14ac:dyDescent="0.25">
      <c r="B319" s="45"/>
      <c r="C319" s="58"/>
      <c r="D319" s="59"/>
      <c r="E319" s="39"/>
      <c r="F319" s="39"/>
      <c r="G319" s="39"/>
      <c r="H319" s="39"/>
      <c r="I319" s="39"/>
      <c r="J319" s="40"/>
    </row>
    <row r="320" spans="2:10" s="115" customFormat="1" ht="13.2" x14ac:dyDescent="0.25">
      <c r="B320" s="45"/>
      <c r="C320" s="58"/>
      <c r="D320" s="59"/>
      <c r="E320" s="39"/>
      <c r="F320" s="39"/>
      <c r="G320" s="39"/>
      <c r="H320" s="39"/>
      <c r="I320" s="39"/>
      <c r="J320" s="40"/>
    </row>
    <row r="321" spans="2:10" s="115" customFormat="1" ht="13.2" x14ac:dyDescent="0.25">
      <c r="B321" s="45"/>
      <c r="C321" s="58"/>
      <c r="D321" s="59"/>
      <c r="E321" s="39"/>
      <c r="F321" s="39"/>
      <c r="G321" s="39"/>
      <c r="H321" s="39"/>
      <c r="I321" s="39"/>
      <c r="J321" s="40"/>
    </row>
    <row r="322" spans="2:10" s="115" customFormat="1" ht="13.2" x14ac:dyDescent="0.25">
      <c r="B322" s="45"/>
      <c r="C322" s="58"/>
      <c r="D322" s="59"/>
      <c r="E322" s="39"/>
      <c r="F322" s="39"/>
      <c r="G322" s="39"/>
      <c r="H322" s="39"/>
      <c r="I322" s="39"/>
      <c r="J322" s="40"/>
    </row>
    <row r="323" spans="2:10" s="115" customFormat="1" ht="13.2" x14ac:dyDescent="0.25">
      <c r="B323" s="24" t="s">
        <v>560</v>
      </c>
      <c r="C323" s="27" t="s">
        <v>354</v>
      </c>
      <c r="D323" s="59"/>
      <c r="E323" s="39"/>
      <c r="F323" s="39" t="s">
        <v>571</v>
      </c>
      <c r="G323" s="39"/>
      <c r="H323" s="39"/>
      <c r="I323" s="39">
        <f>+SUM(H324:H326)</f>
        <v>244.66573241852484</v>
      </c>
      <c r="J323" s="40" t="s">
        <v>355</v>
      </c>
    </row>
    <row r="324" spans="2:10" s="115" customFormat="1" ht="13.2" x14ac:dyDescent="0.25">
      <c r="B324" s="107"/>
      <c r="C324" s="38" t="s">
        <v>472</v>
      </c>
      <c r="D324" s="59">
        <v>7</v>
      </c>
      <c r="E324" s="39">
        <v>14.55</v>
      </c>
      <c r="F324" s="39">
        <v>1.64</v>
      </c>
      <c r="G324" s="39"/>
      <c r="H324" s="39">
        <f>IF(AND(F324=0,G324=0),D324*E324,IF(AND(E324=0,G324=0),D324*F324,IF(AND(E324=0,F324=0),D324*G324,IF(AND(E324=0),D324*F324*G324,IF(AND(F324=0),D324*E324*G324,IF(AND(G324=0),D324*E324*F324,D324*E324*F324*G324))))))</f>
        <v>167.03399999999999</v>
      </c>
      <c r="I324" s="39"/>
      <c r="J324" s="40"/>
    </row>
    <row r="325" spans="2:10" s="115" customFormat="1" ht="13.2" x14ac:dyDescent="0.25">
      <c r="B325" s="107"/>
      <c r="C325" s="42" t="s">
        <v>566</v>
      </c>
      <c r="D325" s="59"/>
      <c r="E325" s="39"/>
      <c r="F325" s="39"/>
      <c r="G325" s="39"/>
      <c r="H325" s="39"/>
      <c r="I325" s="39"/>
      <c r="J325" s="40"/>
    </row>
    <row r="326" spans="2:10" s="115" customFormat="1" ht="13.2" x14ac:dyDescent="0.25">
      <c r="B326" s="107"/>
      <c r="C326" s="42" t="s">
        <v>590</v>
      </c>
      <c r="D326" s="59">
        <v>1</v>
      </c>
      <c r="E326" s="39">
        <f>7.6+8.7+8.15+0.1*5</f>
        <v>24.949999999999996</v>
      </c>
      <c r="F326" s="39">
        <f>18.14/5.83</f>
        <v>3.1114922813036023</v>
      </c>
      <c r="G326" s="39"/>
      <c r="H326" s="39">
        <f t="shared" ref="H326" si="14">IF(AND(F326=0,G326=0),D326*E326,IF(AND(E326=0,G326=0),D326*F326,IF(AND(E326=0,F326=0),D326*G326,IF(AND(E326=0),D326*F326*G326,IF(AND(F326=0),D326*E326*G326,IF(AND(G326=0),D326*E326*F326,D326*E326*F326*G326))))))</f>
        <v>77.631732418524862</v>
      </c>
      <c r="I326" s="39"/>
      <c r="J326" s="40"/>
    </row>
    <row r="327" spans="2:10" s="115" customFormat="1" ht="13.2" x14ac:dyDescent="0.25">
      <c r="B327" s="107"/>
      <c r="C327" s="91"/>
      <c r="D327" s="59"/>
      <c r="E327" s="39"/>
      <c r="F327" s="39"/>
      <c r="G327" s="39"/>
      <c r="H327" s="39"/>
      <c r="I327" s="39"/>
      <c r="J327" s="40"/>
    </row>
    <row r="328" spans="2:10" s="115" customFormat="1" ht="13.2" x14ac:dyDescent="0.25">
      <c r="B328" s="107"/>
      <c r="C328" s="91"/>
      <c r="D328" s="59"/>
      <c r="E328" s="39"/>
      <c r="F328" s="39"/>
      <c r="G328" s="39"/>
      <c r="H328" s="39"/>
      <c r="I328" s="39"/>
      <c r="J328" s="40"/>
    </row>
    <row r="329" spans="2:10" s="1" customFormat="1" ht="13.2" x14ac:dyDescent="0.25">
      <c r="B329" s="24" t="s">
        <v>561</v>
      </c>
      <c r="C329" s="27" t="s">
        <v>356</v>
      </c>
      <c r="D329" s="59"/>
      <c r="E329" s="39"/>
      <c r="F329" s="39"/>
      <c r="G329" s="39"/>
      <c r="H329" s="39"/>
      <c r="I329" s="39">
        <f>+SUM(H330:H337)</f>
        <v>0.98040000000000016</v>
      </c>
      <c r="J329" s="40" t="s">
        <v>337</v>
      </c>
    </row>
    <row r="330" spans="2:10" s="1" customFormat="1" ht="13.2" x14ac:dyDescent="0.25">
      <c r="B330" s="45"/>
      <c r="C330" s="38" t="s">
        <v>586</v>
      </c>
      <c r="D330" s="59">
        <v>2</v>
      </c>
      <c r="E330" s="39">
        <v>4.1500000000000004</v>
      </c>
      <c r="F330" s="39">
        <v>0.1</v>
      </c>
      <c r="G330" s="39">
        <v>0.35</v>
      </c>
      <c r="H330" s="39">
        <f t="shared" ref="H330:H337" si="15">IF(AND(F330=0,G330=0),D330*E330,IF(AND(E330=0,G330=0),D330*F330,IF(AND(E330=0,F330=0),D330*G330,IF(AND(E330=0),D330*F330*G330,IF(AND(F330=0),D330*E330*G330,IF(AND(G330=0),D330*E330*F330,D330*E330*F330*G330))))))</f>
        <v>0.29049999999999998</v>
      </c>
      <c r="I330" s="39"/>
      <c r="J330" s="40"/>
    </row>
    <row r="331" spans="2:10" s="1" customFormat="1" ht="13.2" x14ac:dyDescent="0.25">
      <c r="B331" s="45"/>
      <c r="C331" s="58"/>
      <c r="D331" s="59">
        <v>1</v>
      </c>
      <c r="E331" s="39">
        <v>4.1500000000000004</v>
      </c>
      <c r="F331" s="39">
        <v>0.5</v>
      </c>
      <c r="G331" s="39">
        <v>0.1</v>
      </c>
      <c r="H331" s="39">
        <f t="shared" si="15"/>
        <v>0.20750000000000002</v>
      </c>
      <c r="I331" s="39"/>
      <c r="J331" s="40"/>
    </row>
    <row r="332" spans="2:10" s="1" customFormat="1" ht="13.2" x14ac:dyDescent="0.25">
      <c r="B332" s="45"/>
      <c r="C332" s="38" t="s">
        <v>587</v>
      </c>
      <c r="D332" s="39">
        <v>2</v>
      </c>
      <c r="E332" s="39">
        <v>0.8</v>
      </c>
      <c r="F332" s="39">
        <v>0.1</v>
      </c>
      <c r="G332" s="39">
        <v>1.03</v>
      </c>
      <c r="H332" s="39">
        <f t="shared" si="15"/>
        <v>0.16480000000000003</v>
      </c>
      <c r="I332" s="39"/>
      <c r="J332" s="40"/>
    </row>
    <row r="333" spans="2:10" s="1" customFormat="1" ht="13.2" x14ac:dyDescent="0.25">
      <c r="B333" s="45"/>
      <c r="C333" s="38"/>
      <c r="D333" s="59">
        <v>2</v>
      </c>
      <c r="E333" s="39">
        <v>0.4</v>
      </c>
      <c r="F333" s="39">
        <v>0.1</v>
      </c>
      <c r="G333" s="39">
        <v>1.03</v>
      </c>
      <c r="H333" s="39">
        <f t="shared" si="15"/>
        <v>8.2400000000000015E-2</v>
      </c>
      <c r="I333" s="39"/>
      <c r="J333" s="40"/>
    </row>
    <row r="334" spans="2:10" s="1" customFormat="1" ht="13.2" x14ac:dyDescent="0.25">
      <c r="B334" s="45"/>
      <c r="C334" s="38" t="s">
        <v>588</v>
      </c>
      <c r="D334" s="39">
        <v>2</v>
      </c>
      <c r="E334" s="39">
        <v>0.8</v>
      </c>
      <c r="F334" s="39">
        <v>0.1</v>
      </c>
      <c r="G334" s="39">
        <v>0.45</v>
      </c>
      <c r="H334" s="39">
        <f t="shared" si="15"/>
        <v>7.2000000000000022E-2</v>
      </c>
      <c r="I334" s="39"/>
      <c r="J334" s="40"/>
    </row>
    <row r="335" spans="2:10" s="1" customFormat="1" ht="13.2" x14ac:dyDescent="0.25">
      <c r="B335" s="45"/>
      <c r="C335" s="38"/>
      <c r="D335" s="59">
        <v>2</v>
      </c>
      <c r="E335" s="39">
        <v>0.4</v>
      </c>
      <c r="F335" s="39">
        <v>0.1</v>
      </c>
      <c r="G335" s="39">
        <v>0.45</v>
      </c>
      <c r="H335" s="39">
        <f t="shared" si="15"/>
        <v>3.6000000000000011E-2</v>
      </c>
      <c r="I335" s="39"/>
      <c r="J335" s="40"/>
    </row>
    <row r="336" spans="2:10" s="1" customFormat="1" ht="13.2" x14ac:dyDescent="0.25">
      <c r="B336" s="45"/>
      <c r="C336" s="38" t="s">
        <v>589</v>
      </c>
      <c r="D336" s="39">
        <v>2</v>
      </c>
      <c r="E336" s="39">
        <v>0.8</v>
      </c>
      <c r="F336" s="39">
        <v>0.1</v>
      </c>
      <c r="G336" s="39">
        <v>0.53</v>
      </c>
      <c r="H336" s="39">
        <f t="shared" si="15"/>
        <v>8.4800000000000014E-2</v>
      </c>
      <c r="I336" s="39"/>
      <c r="J336" s="40"/>
    </row>
    <row r="337" spans="2:10" s="1" customFormat="1" ht="13.2" x14ac:dyDescent="0.25">
      <c r="B337" s="45"/>
      <c r="C337" s="58"/>
      <c r="D337" s="59">
        <v>2</v>
      </c>
      <c r="E337" s="39">
        <v>0.4</v>
      </c>
      <c r="F337" s="39">
        <v>0.1</v>
      </c>
      <c r="G337" s="39">
        <v>0.53</v>
      </c>
      <c r="H337" s="39">
        <f t="shared" si="15"/>
        <v>4.2400000000000007E-2</v>
      </c>
      <c r="I337" s="39"/>
      <c r="J337" s="40"/>
    </row>
    <row r="338" spans="2:10" s="115" customFormat="1" ht="13.2" x14ac:dyDescent="0.25">
      <c r="B338" s="24" t="s">
        <v>562</v>
      </c>
      <c r="C338" s="27" t="s">
        <v>357</v>
      </c>
      <c r="D338" s="59" t="s">
        <v>574</v>
      </c>
      <c r="E338" s="39"/>
      <c r="F338" s="39"/>
      <c r="G338" s="39"/>
      <c r="H338" s="39"/>
      <c r="I338" s="39">
        <f>+SUM(H339:H345)</f>
        <v>8.5949058221567149</v>
      </c>
      <c r="J338" s="40" t="s">
        <v>337</v>
      </c>
    </row>
    <row r="339" spans="2:10" s="115" customFormat="1" ht="13.2" x14ac:dyDescent="0.25">
      <c r="B339" s="24"/>
      <c r="C339" s="38" t="s">
        <v>586</v>
      </c>
      <c r="D339" s="59">
        <v>1.25</v>
      </c>
      <c r="E339" s="39">
        <v>4.1500000000000004</v>
      </c>
      <c r="F339" s="39">
        <v>0.5</v>
      </c>
      <c r="G339" s="39">
        <v>0.55000000000000004</v>
      </c>
      <c r="H339" s="39">
        <f>+(F339+G339*2)*E339</f>
        <v>6.6400000000000006</v>
      </c>
      <c r="I339" s="39"/>
      <c r="J339" s="40"/>
    </row>
    <row r="340" spans="2:10" s="115" customFormat="1" ht="13.2" x14ac:dyDescent="0.25">
      <c r="B340" s="24"/>
      <c r="C340" s="38" t="s">
        <v>587</v>
      </c>
      <c r="D340" s="59">
        <v>1.25</v>
      </c>
      <c r="E340" s="39">
        <v>0.6</v>
      </c>
      <c r="F340" s="39">
        <v>0.8</v>
      </c>
      <c r="G340" s="39">
        <f>0.93+0.2</f>
        <v>1.1300000000000001</v>
      </c>
      <c r="H340" s="39">
        <f>IF(AND(F340=0,G340=0),D340*E340,IF(AND(E340=0,G340=0),D340*F340,IF(AND(E340=0,F340=0),D340*G340,IF(AND(E340=0),D340*F340*G340,IF(AND(F340=0),D340*E340*G340,IF(AND(G340=0),D340*E340*F340,D340*E340*F340*G340))))))</f>
        <v>0.67800000000000016</v>
      </c>
      <c r="I340" s="39"/>
      <c r="J340" s="40"/>
    </row>
    <row r="341" spans="2:10" s="115" customFormat="1" ht="13.2" x14ac:dyDescent="0.25">
      <c r="B341" s="24"/>
      <c r="C341" s="38" t="s">
        <v>588</v>
      </c>
      <c r="D341" s="59">
        <v>1.25</v>
      </c>
      <c r="E341" s="39">
        <v>0.6</v>
      </c>
      <c r="F341" s="39">
        <v>0.8</v>
      </c>
      <c r="G341" s="39">
        <f>0.35+0.2</f>
        <v>0.55000000000000004</v>
      </c>
      <c r="H341" s="39">
        <f>IF(AND(F341=0,G341=0),D341*E341,IF(AND(E341=0,G341=0),D341*F341,IF(AND(E341=0,F341=0),D341*G341,IF(AND(E341=0),D341*F341*G341,IF(AND(F341=0),D341*E341*G341,IF(AND(G341=0),D341*E341*F341,D341*E341*F341*G341))))))</f>
        <v>0.33000000000000007</v>
      </c>
      <c r="I341" s="39"/>
      <c r="J341" s="40"/>
    </row>
    <row r="342" spans="2:10" s="115" customFormat="1" ht="13.2" x14ac:dyDescent="0.25">
      <c r="B342" s="24"/>
      <c r="C342" s="38" t="s">
        <v>589</v>
      </c>
      <c r="D342" s="59">
        <v>1.25</v>
      </c>
      <c r="E342" s="39">
        <v>0.6</v>
      </c>
      <c r="F342" s="39">
        <v>0.8</v>
      </c>
      <c r="G342" s="39">
        <f>0.43+0.2</f>
        <v>0.63</v>
      </c>
      <c r="H342" s="39">
        <f>IF(AND(F342=0,G342=0),D342*E342,IF(AND(E342=0,G342=0),D342*F342,IF(AND(E342=0,F342=0),D342*G342,IF(AND(E342=0),D342*F342*G342,IF(AND(F342=0),D342*E342*G342,IF(AND(G342=0),D342*E342*F342,D342*E342*F342*G342))))))</f>
        <v>0.37800000000000006</v>
      </c>
      <c r="I342" s="39"/>
      <c r="J342" s="40"/>
    </row>
    <row r="343" spans="2:10" s="115" customFormat="1" ht="13.2" x14ac:dyDescent="0.25">
      <c r="B343" s="24"/>
      <c r="C343" s="42" t="s">
        <v>566</v>
      </c>
      <c r="D343" s="59"/>
      <c r="E343" s="39"/>
      <c r="F343" s="39"/>
      <c r="G343" s="39"/>
      <c r="H343" s="39"/>
      <c r="I343" s="39"/>
      <c r="J343" s="40"/>
    </row>
    <row r="344" spans="2:10" s="115" customFormat="1" ht="13.2" x14ac:dyDescent="0.25">
      <c r="B344" s="24"/>
      <c r="F344" s="39" t="s">
        <v>485</v>
      </c>
      <c r="G344" s="39">
        <v>6</v>
      </c>
      <c r="I344" s="39"/>
      <c r="J344" s="40"/>
    </row>
    <row r="345" spans="2:10" s="115" customFormat="1" ht="13.2" x14ac:dyDescent="0.25">
      <c r="B345" s="24"/>
      <c r="C345" s="38" t="s">
        <v>569</v>
      </c>
      <c r="D345" s="59">
        <v>1.25</v>
      </c>
      <c r="E345" s="39">
        <f>+E286</f>
        <v>24.949999999999996</v>
      </c>
      <c r="F345" s="39" t="s">
        <v>570</v>
      </c>
      <c r="G345" s="39">
        <f>+PI()*((G344*0.0254)^2)/4</f>
        <v>1.8241469247509915E-2</v>
      </c>
      <c r="H345" s="39">
        <f>+D345*E345*G345</f>
        <v>0.56890582215671537</v>
      </c>
      <c r="I345" s="39"/>
      <c r="J345" s="40"/>
    </row>
    <row r="346" spans="2:10" s="115" customFormat="1" ht="13.2" x14ac:dyDescent="0.25">
      <c r="B346" s="24"/>
      <c r="C346" s="27"/>
      <c r="D346" s="59"/>
      <c r="E346" s="39"/>
      <c r="F346" s="39"/>
      <c r="G346" s="39"/>
      <c r="H346" s="39"/>
      <c r="I346" s="39"/>
      <c r="J346" s="40"/>
    </row>
    <row r="347" spans="2:10" s="115" customFormat="1" ht="13.2" x14ac:dyDescent="0.25">
      <c r="B347" s="24"/>
      <c r="C347" s="27"/>
      <c r="D347" s="59"/>
      <c r="E347" s="39"/>
      <c r="F347" s="39"/>
      <c r="G347" s="39"/>
      <c r="H347" s="39"/>
      <c r="I347" s="39"/>
      <c r="J347" s="40"/>
    </row>
    <row r="348" spans="2:10" s="115" customFormat="1" ht="13.2" x14ac:dyDescent="0.25">
      <c r="B348" s="24" t="s">
        <v>563</v>
      </c>
      <c r="C348" s="27" t="s">
        <v>358</v>
      </c>
      <c r="D348" s="59"/>
      <c r="E348" s="39"/>
      <c r="F348" s="39"/>
      <c r="G348" s="39"/>
      <c r="H348" s="39"/>
      <c r="I348" s="39">
        <f>+I338</f>
        <v>8.5949058221567149</v>
      </c>
      <c r="J348" s="40" t="s">
        <v>337</v>
      </c>
    </row>
    <row r="349" spans="2:10" s="115" customFormat="1" ht="13.2" x14ac:dyDescent="0.25">
      <c r="B349" s="45"/>
      <c r="C349" s="58"/>
      <c r="D349" s="59"/>
      <c r="E349" s="39"/>
      <c r="F349" s="39"/>
      <c r="G349" s="39"/>
      <c r="H349" s="39"/>
      <c r="I349" s="39"/>
      <c r="J349" s="40"/>
    </row>
    <row r="350" spans="2:10" x14ac:dyDescent="0.3">
      <c r="B350" s="72" t="s">
        <v>365</v>
      </c>
      <c r="C350" s="73" t="s">
        <v>360</v>
      </c>
      <c r="D350" s="22"/>
      <c r="E350" s="22"/>
      <c r="F350" s="22"/>
      <c r="G350" s="22"/>
      <c r="H350" s="23"/>
      <c r="I350" s="24"/>
      <c r="J350" s="25"/>
    </row>
    <row r="351" spans="2:10" s="1" customFormat="1" ht="13.2" x14ac:dyDescent="0.25">
      <c r="B351" s="42" t="s">
        <v>366</v>
      </c>
      <c r="C351" s="24" t="s">
        <v>362</v>
      </c>
      <c r="D351" s="59"/>
      <c r="E351" s="39"/>
      <c r="F351" s="39"/>
      <c r="G351" s="39"/>
      <c r="H351" s="39"/>
      <c r="I351" s="43">
        <f>+H352</f>
        <v>2.0750000000000002</v>
      </c>
      <c r="J351" s="44" t="s">
        <v>333</v>
      </c>
    </row>
    <row r="352" spans="2:10" s="115" customFormat="1" ht="17.25" customHeight="1" x14ac:dyDescent="0.25">
      <c r="B352" s="24"/>
      <c r="C352" s="38" t="s">
        <v>468</v>
      </c>
      <c r="D352" s="59">
        <v>1</v>
      </c>
      <c r="E352" s="39">
        <v>4.1500000000000004</v>
      </c>
      <c r="F352" s="39">
        <v>0.5</v>
      </c>
      <c r="G352" s="39"/>
      <c r="H352" s="39">
        <f>IF(AND(F352=0,G352=0),D352*E352,IF(AND(E352=0,G352=0),D352*F352,IF(AND(E352=0,F352=0),D352*G352,IF(AND(E352=0),D352*F352*G352,IF(AND(F352=0),D352*E352*G352,IF(AND(G352=0),D352*E352*F352,D352*E352*F352*G352))))))</f>
        <v>2.0750000000000002</v>
      </c>
      <c r="I352" s="39"/>
      <c r="J352" s="40"/>
    </row>
    <row r="353" spans="2:10" s="1" customFormat="1" ht="13.2" x14ac:dyDescent="0.25">
      <c r="B353" s="42" t="s">
        <v>367</v>
      </c>
      <c r="C353" s="24" t="s">
        <v>364</v>
      </c>
      <c r="D353" s="59"/>
      <c r="E353" s="39"/>
      <c r="F353" s="39"/>
      <c r="G353" s="39"/>
      <c r="H353" s="39"/>
      <c r="I353" s="43">
        <f>+SUM(H354:H356)</f>
        <v>1.44</v>
      </c>
      <c r="J353" s="44" t="s">
        <v>333</v>
      </c>
    </row>
    <row r="354" spans="2:10" s="115" customFormat="1" ht="17.25" customHeight="1" x14ac:dyDescent="0.25">
      <c r="B354" s="114"/>
      <c r="C354" s="38" t="s">
        <v>587</v>
      </c>
      <c r="D354" s="39">
        <v>1</v>
      </c>
      <c r="E354" s="39">
        <v>0.6</v>
      </c>
      <c r="F354" s="39">
        <v>0.8</v>
      </c>
      <c r="G354" s="39"/>
      <c r="H354" s="39">
        <f>IF(AND(F354=0,G354=0),D354*E354,IF(AND(E354=0,G354=0),D354*F354,IF(AND(E354=0,F354=0),D354*G354,IF(AND(E354=0),D354*F354*G354,IF(AND(F354=0),D354*E354*G354,IF(AND(G354=0),D354*E354*F354,D354*E354*F354*G354))))))</f>
        <v>0.48</v>
      </c>
      <c r="I354" s="39"/>
      <c r="J354" s="40"/>
    </row>
    <row r="355" spans="2:10" s="115" customFormat="1" ht="17.25" customHeight="1" x14ac:dyDescent="0.25">
      <c r="B355" s="114"/>
      <c r="C355" s="38" t="s">
        <v>588</v>
      </c>
      <c r="D355" s="59">
        <v>1</v>
      </c>
      <c r="E355" s="39">
        <v>0.6</v>
      </c>
      <c r="F355" s="39">
        <v>0.8</v>
      </c>
      <c r="G355" s="39"/>
      <c r="H355" s="39">
        <f>IF(AND(F355=0,G355=0),D355*E355,IF(AND(E355=0,G355=0),D355*F355,IF(AND(E355=0,F355=0),D355*G355,IF(AND(E355=0),D355*F355*G355,IF(AND(F355=0),D355*E355*G355,IF(AND(G355=0),D355*E355*F355,D355*E355*F355*G355))))))</f>
        <v>0.48</v>
      </c>
      <c r="I355" s="39"/>
      <c r="J355" s="40"/>
    </row>
    <row r="356" spans="2:10" s="115" customFormat="1" ht="17.25" customHeight="1" x14ac:dyDescent="0.25">
      <c r="B356" s="114"/>
      <c r="C356" s="38" t="s">
        <v>589</v>
      </c>
      <c r="D356" s="59">
        <v>1</v>
      </c>
      <c r="E356" s="39">
        <v>0.6</v>
      </c>
      <c r="F356" s="39">
        <v>0.8</v>
      </c>
      <c r="G356" s="39"/>
      <c r="H356" s="39">
        <f>IF(AND(F356=0,G356=0),D356*E356,IF(AND(E356=0,G356=0),D356*F356,IF(AND(E356=0,F356=0),D356*G356,IF(AND(E356=0),D356*F356*G356,IF(AND(F356=0),D356*E356*G356,IF(AND(G356=0),D356*E356*F356,D356*E356*F356*G356))))))</f>
        <v>0.48</v>
      </c>
      <c r="I356" s="39"/>
      <c r="J356" s="40"/>
    </row>
    <row r="357" spans="2:10" s="1" customFormat="1" ht="13.2" x14ac:dyDescent="0.25">
      <c r="B357" s="42"/>
      <c r="C357" s="38"/>
      <c r="D357" s="59"/>
      <c r="E357" s="39"/>
      <c r="F357" s="39"/>
      <c r="G357" s="39"/>
      <c r="H357" s="39"/>
      <c r="I357" s="43"/>
      <c r="J357" s="44"/>
    </row>
    <row r="358" spans="2:10" s="1" customFormat="1" ht="13.2" x14ac:dyDescent="0.25">
      <c r="B358" s="56" t="s">
        <v>368</v>
      </c>
      <c r="C358" s="57" t="s">
        <v>202</v>
      </c>
      <c r="D358" s="59"/>
      <c r="E358" s="39"/>
      <c r="F358" s="39"/>
      <c r="G358" s="39"/>
      <c r="H358" s="39"/>
      <c r="I358" s="39"/>
      <c r="J358" s="40"/>
    </row>
    <row r="359" spans="2:10" x14ac:dyDescent="0.3">
      <c r="B359" s="42" t="s">
        <v>375</v>
      </c>
      <c r="C359" s="42" t="s">
        <v>397</v>
      </c>
      <c r="D359" s="59"/>
      <c r="E359" s="39"/>
      <c r="F359" s="39"/>
      <c r="G359" s="39"/>
      <c r="H359" s="39"/>
      <c r="I359" s="43">
        <f>SUM(H360:H361)</f>
        <v>1</v>
      </c>
      <c r="J359" s="44" t="s">
        <v>102</v>
      </c>
    </row>
    <row r="360" spans="2:10" s="1" customFormat="1" ht="13.2" x14ac:dyDescent="0.25">
      <c r="B360" s="114"/>
      <c r="C360" s="38" t="s">
        <v>588</v>
      </c>
      <c r="D360" s="59">
        <v>1</v>
      </c>
      <c r="E360" s="39">
        <v>0.5</v>
      </c>
      <c r="F360" s="39"/>
      <c r="G360" s="39"/>
      <c r="H360" s="39">
        <f t="shared" ref="H360:H361" si="16">IF(AND(F360=0,G360=0),D360*E360,IF(AND(E360=0,G360=0),D360*F360,IF(AND(E360=0,F360=0),D360*G360,IF(AND(E360=0),D360*F360*G360,IF(AND(F360=0),D360*E360*G360,IF(AND(G360=0),D360*E360*F360,D360*E360*F360*G360))))))</f>
        <v>0.5</v>
      </c>
      <c r="I360" s="39"/>
      <c r="J360" s="40"/>
    </row>
    <row r="361" spans="2:10" s="1" customFormat="1" ht="13.2" x14ac:dyDescent="0.25">
      <c r="B361" s="114"/>
      <c r="C361" s="38" t="s">
        <v>589</v>
      </c>
      <c r="D361" s="59">
        <v>1</v>
      </c>
      <c r="E361" s="39">
        <v>0.5</v>
      </c>
      <c r="F361" s="39"/>
      <c r="G361" s="39"/>
      <c r="H361" s="39">
        <f t="shared" si="16"/>
        <v>0.5</v>
      </c>
      <c r="I361" s="39"/>
      <c r="J361" s="40"/>
    </row>
    <row r="362" spans="2:10" s="1" customFormat="1" ht="13.2" x14ac:dyDescent="0.25">
      <c r="B362" s="42" t="s">
        <v>381</v>
      </c>
      <c r="C362" s="42" t="s">
        <v>566</v>
      </c>
      <c r="D362" s="59"/>
      <c r="E362" s="39"/>
      <c r="F362" s="39"/>
      <c r="G362" s="39"/>
      <c r="H362" s="39"/>
      <c r="I362" s="39"/>
      <c r="J362" s="40"/>
    </row>
    <row r="363" spans="2:10" s="1" customFormat="1" ht="13.2" x14ac:dyDescent="0.25">
      <c r="B363" s="42"/>
      <c r="C363" s="42" t="s">
        <v>590</v>
      </c>
      <c r="D363" s="59">
        <v>1</v>
      </c>
      <c r="E363" s="39">
        <f>7.6+8.7+8.15+0.1*5</f>
        <v>24.949999999999996</v>
      </c>
      <c r="F363" s="39"/>
      <c r="G363" s="39"/>
      <c r="H363" s="39">
        <f>IF(AND(F363=0,G363=0),D363*E363,IF(AND(E363=0,G363=0),D363*F363,IF(AND(E363=0,F363=0),D363*G363,IF(AND(E363=0),D363*F363*G363,IF(AND(F363=0),D363*E363*G363,IF(AND(G363=0),D363*E363*F363,D363*E363*F363*G363))))))</f>
        <v>24.949999999999996</v>
      </c>
      <c r="I363" s="43"/>
      <c r="J363" s="44"/>
    </row>
    <row r="364" spans="2:10" s="1" customFormat="1" ht="13.2" x14ac:dyDescent="0.25">
      <c r="B364" s="42" t="s">
        <v>384</v>
      </c>
      <c r="C364" s="42" t="s">
        <v>406</v>
      </c>
      <c r="D364" s="59"/>
      <c r="E364" s="39"/>
      <c r="F364" s="39"/>
      <c r="G364" s="39"/>
      <c r="H364" s="39"/>
      <c r="I364" s="43">
        <f>SUM(H365:H367)</f>
        <v>3</v>
      </c>
      <c r="J364" s="44" t="s">
        <v>30</v>
      </c>
    </row>
    <row r="365" spans="2:10" s="1" customFormat="1" ht="13.2" x14ac:dyDescent="0.25">
      <c r="B365" s="114"/>
      <c r="C365" s="38" t="s">
        <v>587</v>
      </c>
      <c r="D365" s="39">
        <v>1</v>
      </c>
      <c r="E365" s="39"/>
      <c r="F365" s="39"/>
      <c r="G365" s="39"/>
      <c r="H365" s="39">
        <f>+D365</f>
        <v>1</v>
      </c>
      <c r="I365" s="39"/>
      <c r="J365" s="40"/>
    </row>
    <row r="366" spans="2:10" s="1" customFormat="1" ht="13.2" x14ac:dyDescent="0.25">
      <c r="B366" s="114"/>
      <c r="C366" s="38" t="s">
        <v>588</v>
      </c>
      <c r="D366" s="59">
        <v>1</v>
      </c>
      <c r="E366" s="39"/>
      <c r="F366" s="39"/>
      <c r="G366" s="39"/>
      <c r="H366" s="39">
        <f>+D366</f>
        <v>1</v>
      </c>
      <c r="I366" s="39"/>
      <c r="J366" s="40"/>
    </row>
    <row r="367" spans="2:10" s="1" customFormat="1" ht="13.2" x14ac:dyDescent="0.25">
      <c r="B367" s="114"/>
      <c r="C367" s="38" t="s">
        <v>589</v>
      </c>
      <c r="D367" s="59">
        <v>1</v>
      </c>
      <c r="E367" s="39"/>
      <c r="G367" s="39"/>
      <c r="H367" s="39">
        <f>+D367</f>
        <v>1</v>
      </c>
      <c r="I367" s="39"/>
      <c r="J367" s="40"/>
    </row>
    <row r="368" spans="2:10" s="1" customFormat="1" ht="13.2" x14ac:dyDescent="0.25">
      <c r="B368" s="114"/>
      <c r="C368" s="38"/>
      <c r="D368" s="59"/>
      <c r="E368" s="39"/>
      <c r="F368" s="39"/>
      <c r="G368" s="39"/>
      <c r="H368" s="39"/>
      <c r="I368" s="39"/>
      <c r="J368" s="40"/>
    </row>
    <row r="369" spans="2:10" s="1" customFormat="1" ht="13.2" x14ac:dyDescent="0.25">
      <c r="B369" s="45"/>
      <c r="C369" s="58"/>
      <c r="D369" s="59"/>
      <c r="E369" s="39"/>
      <c r="F369" s="39"/>
      <c r="G369" s="39"/>
      <c r="H369" s="39"/>
      <c r="I369" s="39"/>
      <c r="J369" s="40"/>
    </row>
    <row r="370" spans="2:10" s="1" customFormat="1" ht="13.2" x14ac:dyDescent="0.25">
      <c r="B370" s="24" t="s">
        <v>394</v>
      </c>
      <c r="C370" s="27" t="s">
        <v>411</v>
      </c>
      <c r="D370" s="59"/>
      <c r="E370" s="39"/>
      <c r="F370" s="39"/>
      <c r="G370" s="39"/>
      <c r="H370" s="39"/>
      <c r="I370" s="39">
        <f>+SUM(H371:H376)</f>
        <v>5.76</v>
      </c>
      <c r="J370" s="40" t="s">
        <v>333</v>
      </c>
    </row>
    <row r="371" spans="2:10" s="1" customFormat="1" ht="13.2" x14ac:dyDescent="0.25">
      <c r="B371" s="24"/>
      <c r="C371" s="38" t="s">
        <v>587</v>
      </c>
      <c r="D371" s="39">
        <v>1</v>
      </c>
      <c r="E371" s="39">
        <v>2</v>
      </c>
      <c r="F371" s="39"/>
      <c r="G371" s="39">
        <f>0.93+0.15</f>
        <v>1.08</v>
      </c>
      <c r="H371" s="39">
        <f t="shared" ref="H371:H379" si="17">IF(AND(F371=0,G371=0),D371*E371,IF(AND(E371=0,G371=0),D371*F371,IF(AND(E371=0,F371=0),D371*G371,IF(AND(E371=0),D371*F371*G371,IF(AND(F371=0),D371*E371*G371,IF(AND(G371=0),D371*E371*F371,D371*E371*F371*G371))))))</f>
        <v>2.16</v>
      </c>
      <c r="I371" s="39"/>
      <c r="J371" s="40"/>
    </row>
    <row r="372" spans="2:10" s="1" customFormat="1" ht="13.2" x14ac:dyDescent="0.25">
      <c r="B372" s="24"/>
      <c r="C372" s="38"/>
      <c r="D372" s="59">
        <v>1</v>
      </c>
      <c r="E372" s="39">
        <v>0.6</v>
      </c>
      <c r="F372" s="39"/>
      <c r="G372" s="39">
        <v>0.8</v>
      </c>
      <c r="H372" s="39">
        <f t="shared" si="17"/>
        <v>0.48</v>
      </c>
      <c r="I372" s="39"/>
      <c r="J372" s="40"/>
    </row>
    <row r="373" spans="2:10" s="1" customFormat="1" ht="13.2" x14ac:dyDescent="0.25">
      <c r="B373" s="24"/>
      <c r="C373" s="38" t="s">
        <v>588</v>
      </c>
      <c r="D373" s="39">
        <v>1</v>
      </c>
      <c r="E373" s="39">
        <v>2</v>
      </c>
      <c r="F373" s="39"/>
      <c r="G373" s="39">
        <f>0.35+0.15</f>
        <v>0.5</v>
      </c>
      <c r="H373" s="39">
        <f t="shared" si="17"/>
        <v>1</v>
      </c>
      <c r="I373" s="39"/>
      <c r="J373" s="40"/>
    </row>
    <row r="374" spans="2:10" s="1" customFormat="1" ht="13.2" x14ac:dyDescent="0.25">
      <c r="B374" s="24"/>
      <c r="C374" s="38"/>
      <c r="D374" s="59">
        <v>1</v>
      </c>
      <c r="E374" s="39">
        <v>0.6</v>
      </c>
      <c r="F374" s="39"/>
      <c r="G374" s="39">
        <v>0.8</v>
      </c>
      <c r="H374" s="39">
        <f t="shared" si="17"/>
        <v>0.48</v>
      </c>
      <c r="I374" s="39"/>
      <c r="J374" s="40"/>
    </row>
    <row r="375" spans="2:10" s="1" customFormat="1" ht="13.2" x14ac:dyDescent="0.25">
      <c r="B375" s="24"/>
      <c r="C375" s="38" t="s">
        <v>589</v>
      </c>
      <c r="D375" s="39">
        <v>1</v>
      </c>
      <c r="E375" s="39">
        <v>2</v>
      </c>
      <c r="F375" s="39"/>
      <c r="G375" s="39">
        <f>0.43+0.15</f>
        <v>0.57999999999999996</v>
      </c>
      <c r="H375" s="39">
        <f t="shared" si="17"/>
        <v>1.1599999999999999</v>
      </c>
      <c r="I375" s="39"/>
      <c r="J375" s="40"/>
    </row>
    <row r="376" spans="2:10" s="1" customFormat="1" ht="13.2" x14ac:dyDescent="0.25">
      <c r="B376" s="24"/>
      <c r="C376" s="58"/>
      <c r="D376" s="59">
        <v>1</v>
      </c>
      <c r="E376" s="39">
        <v>0.6</v>
      </c>
      <c r="F376" s="39"/>
      <c r="G376" s="39">
        <v>0.8</v>
      </c>
      <c r="H376" s="39">
        <f t="shared" si="17"/>
        <v>0.48</v>
      </c>
      <c r="I376" s="39"/>
      <c r="J376" s="40"/>
    </row>
    <row r="377" spans="2:10" s="1" customFormat="1" ht="13.2" x14ac:dyDescent="0.25">
      <c r="B377" s="24" t="s">
        <v>396</v>
      </c>
      <c r="C377" s="27" t="s">
        <v>412</v>
      </c>
      <c r="D377" s="59"/>
      <c r="E377" s="39"/>
      <c r="F377" s="39"/>
      <c r="G377" s="39"/>
      <c r="H377" s="39"/>
      <c r="I377" s="39">
        <f>+SUM(H378:H379)</f>
        <v>5.3950000000000005</v>
      </c>
      <c r="J377" s="40" t="s">
        <v>333</v>
      </c>
    </row>
    <row r="378" spans="2:10" s="1" customFormat="1" ht="13.2" x14ac:dyDescent="0.25">
      <c r="B378" s="45"/>
      <c r="C378" s="38" t="s">
        <v>586</v>
      </c>
      <c r="D378" s="59">
        <v>2</v>
      </c>
      <c r="E378" s="39">
        <v>4.1500000000000004</v>
      </c>
      <c r="F378" s="39"/>
      <c r="G378" s="39">
        <f>0.35+0.15</f>
        <v>0.5</v>
      </c>
      <c r="H378" s="39">
        <f t="shared" si="17"/>
        <v>4.1500000000000004</v>
      </c>
      <c r="I378" s="39"/>
      <c r="J378" s="40"/>
    </row>
    <row r="379" spans="2:10" s="1" customFormat="1" ht="13.2" x14ac:dyDescent="0.25">
      <c r="B379" s="45"/>
      <c r="C379" s="58"/>
      <c r="D379" s="59">
        <v>1</v>
      </c>
      <c r="E379" s="39">
        <v>4.1500000000000004</v>
      </c>
      <c r="F379" s="39"/>
      <c r="G379" s="39">
        <v>0.3</v>
      </c>
      <c r="H379" s="39">
        <f t="shared" si="17"/>
        <v>1.2450000000000001</v>
      </c>
      <c r="I379" s="39"/>
      <c r="J379" s="40"/>
    </row>
    <row r="380" spans="2:10" s="1" customFormat="1" ht="13.2" x14ac:dyDescent="0.25">
      <c r="B380" s="56"/>
      <c r="C380" s="38"/>
      <c r="D380" s="59"/>
      <c r="E380" s="39"/>
      <c r="F380" s="39"/>
      <c r="G380" s="39"/>
      <c r="H380" s="39"/>
      <c r="I380" s="39"/>
      <c r="J380" s="40"/>
    </row>
    <row r="381" spans="2:10" s="1" customFormat="1" ht="13.2" x14ac:dyDescent="0.25">
      <c r="B381" s="56" t="s">
        <v>413</v>
      </c>
      <c r="C381" s="57" t="s">
        <v>234</v>
      </c>
      <c r="D381" s="59"/>
      <c r="E381" s="39"/>
      <c r="F381" s="39"/>
      <c r="G381" s="39"/>
      <c r="H381" s="39"/>
      <c r="I381" s="39"/>
      <c r="J381" s="40"/>
    </row>
    <row r="382" spans="2:10" s="1" customFormat="1" ht="13.2" x14ac:dyDescent="0.25">
      <c r="B382" s="42" t="s">
        <v>414</v>
      </c>
      <c r="C382" s="113" t="s">
        <v>422</v>
      </c>
      <c r="D382" s="59"/>
      <c r="E382" s="39"/>
      <c r="F382" s="39"/>
      <c r="G382" s="39"/>
      <c r="H382" s="39"/>
      <c r="I382" s="43">
        <f>+SUM(H383:H383)</f>
        <v>14</v>
      </c>
      <c r="J382" s="44" t="s">
        <v>30</v>
      </c>
    </row>
    <row r="383" spans="2:10" s="1" customFormat="1" ht="13.2" x14ac:dyDescent="0.25">
      <c r="B383" s="45"/>
      <c r="C383" s="38" t="s">
        <v>472</v>
      </c>
      <c r="D383" s="59">
        <f>7*2</f>
        <v>14</v>
      </c>
      <c r="E383" s="39"/>
      <c r="F383" s="39"/>
      <c r="G383" s="39"/>
      <c r="H383" s="39">
        <f t="shared" ref="H383" si="18">+D383</f>
        <v>14</v>
      </c>
      <c r="I383" s="39"/>
      <c r="J383" s="40"/>
    </row>
    <row r="384" spans="2:10" s="1" customFormat="1" ht="13.2" x14ac:dyDescent="0.25">
      <c r="B384" s="45"/>
      <c r="C384" s="58"/>
      <c r="D384" s="59"/>
      <c r="E384" s="39"/>
      <c r="F384" s="39"/>
      <c r="G384" s="39"/>
      <c r="H384" s="39"/>
      <c r="I384" s="39"/>
      <c r="J384" s="40"/>
    </row>
    <row r="385" spans="2:10" s="1" customFormat="1" ht="13.2" x14ac:dyDescent="0.25">
      <c r="B385" s="42" t="s">
        <v>429</v>
      </c>
      <c r="C385" s="27" t="s">
        <v>582</v>
      </c>
      <c r="D385" s="59"/>
      <c r="E385" s="39"/>
      <c r="F385" s="39"/>
      <c r="G385" s="39"/>
      <c r="H385" s="39"/>
      <c r="I385" s="43">
        <f>+SUM(H386:H387)</f>
        <v>7</v>
      </c>
      <c r="J385" s="44" t="s">
        <v>30</v>
      </c>
    </row>
    <row r="386" spans="2:10" s="1" customFormat="1" ht="13.2" x14ac:dyDescent="0.25">
      <c r="B386" s="45"/>
      <c r="C386" s="58" t="s">
        <v>590</v>
      </c>
      <c r="D386" s="59">
        <v>7</v>
      </c>
      <c r="E386" s="39"/>
      <c r="F386" s="39"/>
      <c r="G386" s="39"/>
      <c r="H386" s="39">
        <f>+D386</f>
        <v>7</v>
      </c>
      <c r="I386" s="39"/>
      <c r="J386" s="40"/>
    </row>
    <row r="387" spans="2:10" s="1" customFormat="1" ht="13.2" x14ac:dyDescent="0.25">
      <c r="B387" s="45"/>
      <c r="C387" s="58"/>
      <c r="D387" s="59"/>
      <c r="E387" s="39"/>
      <c r="F387" s="39"/>
      <c r="G387" s="39"/>
      <c r="H387" s="39"/>
      <c r="I387" s="39"/>
      <c r="J387" s="40"/>
    </row>
    <row r="388" spans="2:10" s="1" customFormat="1" ht="13.2" x14ac:dyDescent="0.25">
      <c r="B388" s="42" t="s">
        <v>433</v>
      </c>
      <c r="C388" s="27" t="s">
        <v>584</v>
      </c>
      <c r="D388" s="59"/>
      <c r="E388" s="39"/>
      <c r="F388" s="39"/>
      <c r="G388" s="39"/>
      <c r="H388" s="39"/>
      <c r="I388" s="43">
        <f>+SUM(H389)</f>
        <v>7</v>
      </c>
      <c r="J388" s="44" t="s">
        <v>30</v>
      </c>
    </row>
    <row r="389" spans="2:10" s="1" customFormat="1" ht="13.2" x14ac:dyDescent="0.25">
      <c r="B389" s="45"/>
      <c r="C389" s="58" t="s">
        <v>590</v>
      </c>
      <c r="D389" s="59">
        <v>7</v>
      </c>
      <c r="E389" s="39"/>
      <c r="F389" s="39"/>
      <c r="G389" s="39"/>
      <c r="H389" s="39">
        <f>+D389</f>
        <v>7</v>
      </c>
      <c r="I389" s="39"/>
      <c r="J389" s="40"/>
    </row>
    <row r="390" spans="2:10" s="1" customFormat="1" ht="13.2" x14ac:dyDescent="0.25">
      <c r="B390" s="45"/>
      <c r="C390" s="58"/>
      <c r="D390" s="59"/>
      <c r="E390" s="39"/>
      <c r="F390" s="39"/>
      <c r="G390" s="39"/>
      <c r="H390" s="39"/>
      <c r="I390" s="39"/>
      <c r="J390" s="40"/>
    </row>
    <row r="391" spans="2:10" s="1" customFormat="1" ht="13.2" x14ac:dyDescent="0.25">
      <c r="B391" s="45"/>
      <c r="C391" s="58"/>
      <c r="D391" s="59"/>
      <c r="E391" s="39"/>
      <c r="F391" s="39"/>
      <c r="G391" s="39"/>
      <c r="H391" s="39"/>
      <c r="I391" s="39"/>
      <c r="J391" s="40"/>
    </row>
    <row r="392" spans="2:10" s="1" customFormat="1" ht="13.2" x14ac:dyDescent="0.25">
      <c r="B392" s="45"/>
      <c r="C392" s="58"/>
      <c r="D392" s="59"/>
      <c r="E392" s="39"/>
      <c r="F392" s="39"/>
      <c r="G392" s="39"/>
      <c r="H392" s="39"/>
      <c r="I392" s="39"/>
      <c r="J392" s="40"/>
    </row>
    <row r="393" spans="2:10" s="1" customFormat="1" ht="13.2" x14ac:dyDescent="0.25">
      <c r="B393" s="45"/>
      <c r="C393" s="58"/>
      <c r="D393" s="59"/>
      <c r="E393" s="39"/>
      <c r="F393" s="39"/>
      <c r="G393" s="39"/>
      <c r="H393" s="39"/>
      <c r="I393" s="39"/>
      <c r="J393" s="40"/>
    </row>
    <row r="394" spans="2:10" s="1" customFormat="1" ht="13.2" x14ac:dyDescent="0.25">
      <c r="B394" s="45"/>
      <c r="C394" s="58"/>
      <c r="D394" s="59"/>
      <c r="E394" s="39"/>
      <c r="F394" s="39"/>
      <c r="G394" s="39"/>
      <c r="H394" s="39"/>
      <c r="I394" s="39"/>
      <c r="J394" s="40"/>
    </row>
    <row r="395" spans="2:10" s="1" customFormat="1" ht="13.2" x14ac:dyDescent="0.25">
      <c r="B395" s="45"/>
      <c r="C395" s="58"/>
      <c r="D395" s="59"/>
      <c r="E395" s="39"/>
      <c r="F395" s="39"/>
      <c r="G395" s="39"/>
      <c r="H395" s="39"/>
      <c r="I395" s="39"/>
      <c r="J395" s="40"/>
    </row>
    <row r="396" spans="2:10" s="1" customFormat="1" ht="13.2" x14ac:dyDescent="0.25">
      <c r="B396" s="45"/>
      <c r="C396" s="58"/>
      <c r="D396" s="59"/>
      <c r="E396" s="39"/>
      <c r="F396" s="39"/>
      <c r="G396" s="39"/>
      <c r="H396" s="39"/>
      <c r="I396" s="39"/>
      <c r="J396" s="40"/>
    </row>
    <row r="397" spans="2:10" s="1" customFormat="1" ht="13.2" x14ac:dyDescent="0.25">
      <c r="B397" s="45"/>
      <c r="C397" s="58"/>
      <c r="D397" s="59"/>
      <c r="E397" s="39"/>
      <c r="F397" s="39"/>
      <c r="G397" s="39"/>
      <c r="H397" s="39"/>
      <c r="I397" s="39"/>
      <c r="J397" s="40"/>
    </row>
    <row r="398" spans="2:10" s="1" customFormat="1" ht="13.2" x14ac:dyDescent="0.25">
      <c r="B398" s="45"/>
      <c r="C398" s="58"/>
      <c r="D398" s="59"/>
      <c r="E398" s="39"/>
      <c r="F398" s="39"/>
      <c r="G398" s="39"/>
      <c r="H398" s="39"/>
      <c r="I398" s="39"/>
      <c r="J398" s="40"/>
    </row>
    <row r="399" spans="2:10" s="1" customFormat="1" ht="13.2" x14ac:dyDescent="0.25">
      <c r="B399" s="45"/>
      <c r="C399" s="58"/>
      <c r="D399" s="59"/>
      <c r="E399" s="39"/>
      <c r="F399" s="39"/>
      <c r="G399" s="39"/>
      <c r="H399" s="39"/>
      <c r="I399" s="39"/>
      <c r="J399" s="40"/>
    </row>
    <row r="400" spans="2:10" s="1" customFormat="1" ht="13.2" x14ac:dyDescent="0.25">
      <c r="B400" s="45"/>
      <c r="C400" s="58"/>
      <c r="D400" s="59"/>
      <c r="E400" s="39"/>
      <c r="F400" s="39"/>
      <c r="G400" s="39"/>
      <c r="H400" s="39"/>
      <c r="I400" s="39"/>
      <c r="J400" s="40"/>
    </row>
    <row r="401" spans="2:10" s="1" customFormat="1" ht="13.2" x14ac:dyDescent="0.25">
      <c r="B401" s="36"/>
      <c r="C401" s="37"/>
      <c r="D401" s="37"/>
      <c r="E401" s="37"/>
      <c r="F401" s="37"/>
      <c r="G401" s="37"/>
      <c r="H401" s="37"/>
      <c r="I401" s="37"/>
      <c r="J401" s="37"/>
    </row>
    <row r="402" spans="2:10" s="1" customFormat="1" ht="13.2" x14ac:dyDescent="0.25">
      <c r="C402" s="128" t="s">
        <v>0</v>
      </c>
      <c r="D402" s="128"/>
      <c r="E402" s="128"/>
      <c r="F402" s="128"/>
      <c r="G402" s="128"/>
      <c r="H402" s="128"/>
    </row>
    <row r="403" spans="2:10" s="1" customFormat="1" ht="13.2" x14ac:dyDescent="0.25">
      <c r="C403" s="128" t="s">
        <v>1</v>
      </c>
      <c r="D403" s="128"/>
      <c r="E403" s="128"/>
      <c r="F403" s="128"/>
      <c r="G403" s="128"/>
      <c r="H403" s="128"/>
    </row>
    <row r="404" spans="2:10" s="1" customFormat="1" ht="13.2" x14ac:dyDescent="0.25">
      <c r="C404" s="128" t="s">
        <v>2</v>
      </c>
      <c r="D404" s="128"/>
      <c r="E404" s="128"/>
      <c r="F404" s="128"/>
      <c r="G404" s="128"/>
      <c r="H404" s="128"/>
    </row>
    <row r="405" spans="2:10" s="1" customFormat="1" ht="13.2" x14ac:dyDescent="0.25">
      <c r="C405" s="129" t="s">
        <v>3</v>
      </c>
      <c r="D405" s="129"/>
      <c r="E405" s="129"/>
      <c r="F405" s="129"/>
      <c r="G405" s="129"/>
      <c r="H405" s="129"/>
    </row>
    <row r="406" spans="2:10" s="1" customFormat="1" ht="13.2" x14ac:dyDescent="0.25">
      <c r="C406" s="52"/>
      <c r="D406" s="52"/>
      <c r="E406" s="52"/>
      <c r="F406" s="52"/>
      <c r="G406" s="52"/>
      <c r="H406" s="52"/>
    </row>
    <row r="407" spans="2:10" s="1" customFormat="1" ht="33.75" customHeight="1" x14ac:dyDescent="0.25">
      <c r="B407" s="84" t="s">
        <v>458</v>
      </c>
      <c r="C407" s="85"/>
      <c r="D407" s="85"/>
      <c r="E407" s="85"/>
      <c r="F407" s="85"/>
      <c r="G407" s="85"/>
      <c r="H407" s="85"/>
      <c r="I407" s="85"/>
      <c r="J407" s="86"/>
    </row>
    <row r="408" spans="2:10" s="1" customFormat="1" ht="21" x14ac:dyDescent="0.25">
      <c r="B408" s="87" t="s">
        <v>469</v>
      </c>
      <c r="C408" s="88"/>
      <c r="D408" s="88"/>
      <c r="E408" s="88"/>
      <c r="F408" s="88"/>
      <c r="G408" s="88"/>
      <c r="H408" s="88"/>
      <c r="I408" s="88"/>
      <c r="J408" s="89"/>
    </row>
    <row r="409" spans="2:10" s="1" customFormat="1" ht="13.8" thickBot="1" x14ac:dyDescent="0.3">
      <c r="B409" s="53"/>
      <c r="C409" s="53"/>
      <c r="D409" s="53"/>
      <c r="E409" s="53"/>
      <c r="F409" s="53"/>
      <c r="G409" s="53"/>
      <c r="H409" s="53"/>
      <c r="I409" s="53"/>
      <c r="J409" s="53"/>
    </row>
    <row r="410" spans="2:10" s="1" customFormat="1" ht="24.75" customHeight="1" x14ac:dyDescent="0.25">
      <c r="B410" s="123" t="s">
        <v>6</v>
      </c>
      <c r="C410" s="124"/>
      <c r="D410" s="124"/>
      <c r="E410" s="124"/>
      <c r="F410" s="124"/>
      <c r="G410" s="124"/>
      <c r="H410" s="124"/>
      <c r="I410" s="124"/>
      <c r="J410" s="125"/>
    </row>
    <row r="411" spans="2:10" s="1" customFormat="1" ht="13.2" x14ac:dyDescent="0.25">
      <c r="B411" s="2" t="s">
        <v>7</v>
      </c>
      <c r="C411" s="3" t="s">
        <v>8</v>
      </c>
      <c r="D411" s="3"/>
      <c r="E411" s="4"/>
      <c r="F411" s="5"/>
      <c r="G411" s="6" t="s">
        <v>9</v>
      </c>
      <c r="H411" s="126">
        <v>42879</v>
      </c>
      <c r="I411" s="126"/>
      <c r="J411" s="7"/>
    </row>
    <row r="412" spans="2:10" s="1" customFormat="1" ht="13.2" x14ac:dyDescent="0.25">
      <c r="B412" s="2" t="s">
        <v>10</v>
      </c>
      <c r="C412" s="3" t="s">
        <v>11</v>
      </c>
      <c r="F412" s="3"/>
      <c r="G412" s="8" t="s">
        <v>12</v>
      </c>
      <c r="H412" s="4" t="s">
        <v>11</v>
      </c>
      <c r="I412" s="9"/>
      <c r="J412" s="10"/>
    </row>
    <row r="413" spans="2:10" s="1" customFormat="1" ht="13.2" x14ac:dyDescent="0.25">
      <c r="B413" s="2" t="s">
        <v>13</v>
      </c>
      <c r="C413" s="3" t="s">
        <v>11</v>
      </c>
      <c r="F413" s="3"/>
      <c r="G413" s="8" t="s">
        <v>14</v>
      </c>
      <c r="H413" s="4" t="s">
        <v>15</v>
      </c>
      <c r="I413" s="9"/>
      <c r="J413" s="10"/>
    </row>
    <row r="414" spans="2:10" s="1" customFormat="1" ht="13.8" thickBot="1" x14ac:dyDescent="0.3">
      <c r="B414" s="11" t="s">
        <v>16</v>
      </c>
      <c r="C414" s="12" t="s">
        <v>17</v>
      </c>
      <c r="D414" s="13"/>
      <c r="E414" s="13"/>
      <c r="F414" s="12"/>
      <c r="G414" s="14" t="s">
        <v>18</v>
      </c>
      <c r="H414" s="15" t="s">
        <v>19</v>
      </c>
      <c r="I414" s="16"/>
      <c r="J414" s="17"/>
    </row>
    <row r="415" spans="2:10" s="1" customFormat="1" ht="13.2" x14ac:dyDescent="0.25">
      <c r="B415" s="53"/>
      <c r="C415" s="53"/>
      <c r="D415" s="53"/>
      <c r="E415" s="53"/>
      <c r="F415" s="53"/>
      <c r="G415" s="53"/>
      <c r="H415" s="53"/>
      <c r="I415" s="53"/>
      <c r="J415" s="53"/>
    </row>
    <row r="416" spans="2:10" s="1" customFormat="1" ht="13.2" x14ac:dyDescent="0.25">
      <c r="B416" s="20" t="s">
        <v>20</v>
      </c>
      <c r="C416" s="21" t="s">
        <v>21</v>
      </c>
      <c r="D416" s="21" t="s">
        <v>460</v>
      </c>
      <c r="E416" s="21" t="s">
        <v>461</v>
      </c>
      <c r="F416" s="21" t="s">
        <v>462</v>
      </c>
      <c r="G416" s="21" t="s">
        <v>463</v>
      </c>
      <c r="H416" s="21" t="s">
        <v>464</v>
      </c>
      <c r="I416" s="21" t="s">
        <v>22</v>
      </c>
      <c r="J416" s="21" t="s">
        <v>23</v>
      </c>
    </row>
    <row r="417" spans="2:10" s="1" customFormat="1" ht="13.2" x14ac:dyDescent="0.25">
      <c r="B417" s="54">
        <v>4.03</v>
      </c>
      <c r="C417" s="55" t="s">
        <v>182</v>
      </c>
      <c r="D417" s="59"/>
      <c r="E417" s="39"/>
      <c r="F417" s="39"/>
      <c r="G417" s="39"/>
      <c r="H417" s="39"/>
      <c r="I417" s="39"/>
      <c r="J417" s="40"/>
    </row>
    <row r="418" spans="2:10" s="1" customFormat="1" ht="13.2" x14ac:dyDescent="0.25">
      <c r="B418" s="72" t="s">
        <v>183</v>
      </c>
      <c r="C418" s="72" t="s">
        <v>331</v>
      </c>
      <c r="D418" s="59"/>
      <c r="E418" s="39"/>
      <c r="F418" s="39"/>
      <c r="G418" s="39"/>
      <c r="H418" s="39"/>
      <c r="I418" s="39"/>
      <c r="J418" s="40"/>
    </row>
    <row r="419" spans="2:10" s="1" customFormat="1" ht="13.2" x14ac:dyDescent="0.25">
      <c r="B419" s="24" t="s">
        <v>185</v>
      </c>
      <c r="C419" s="27" t="s">
        <v>332</v>
      </c>
      <c r="D419" s="59"/>
      <c r="E419" s="39"/>
      <c r="F419" s="39"/>
      <c r="G419" s="39"/>
      <c r="H419" s="39"/>
      <c r="I419" s="39">
        <f>+SUM(H420:H427)</f>
        <v>8.7885200000000001</v>
      </c>
      <c r="J419" s="40" t="s">
        <v>333</v>
      </c>
    </row>
    <row r="420" spans="2:10" s="1" customFormat="1" ht="13.2" x14ac:dyDescent="0.25">
      <c r="B420" s="24"/>
      <c r="C420" s="38" t="s">
        <v>591</v>
      </c>
      <c r="D420" s="39">
        <v>1</v>
      </c>
      <c r="E420" s="39">
        <v>0.6</v>
      </c>
      <c r="F420" s="39">
        <v>0.8</v>
      </c>
      <c r="G420" s="39"/>
      <c r="H420" s="39">
        <f t="shared" ref="H420:H424" si="19">IF(AND(F420=0,G420=0),D420*E420,IF(AND(E420=0,G420=0),D420*F420,IF(AND(E420=0,F420=0),D420*G420,IF(AND(E420=0),D420*F420*G420,IF(AND(F420=0),D420*E420*G420,IF(AND(G420=0),D420*E420*F420,D420*E420*F420*G420))))))</f>
        <v>0.48</v>
      </c>
      <c r="I420" s="39"/>
      <c r="J420" s="40"/>
    </row>
    <row r="421" spans="2:10" s="1" customFormat="1" ht="13.2" x14ac:dyDescent="0.25">
      <c r="B421" s="24"/>
      <c r="C421" s="42" t="s">
        <v>592</v>
      </c>
      <c r="D421" s="59"/>
      <c r="E421" s="39"/>
      <c r="F421" s="39"/>
      <c r="G421" s="39"/>
      <c r="H421" s="39"/>
      <c r="I421" s="39"/>
      <c r="J421" s="40"/>
    </row>
    <row r="422" spans="2:10" s="1" customFormat="1" ht="13.2" x14ac:dyDescent="0.25">
      <c r="B422" s="24"/>
      <c r="C422" s="38" t="s">
        <v>593</v>
      </c>
      <c r="D422" s="59">
        <v>1</v>
      </c>
      <c r="E422" s="39">
        <f>3.8+3.95</f>
        <v>7.75</v>
      </c>
      <c r="F422" s="39">
        <v>0.5</v>
      </c>
      <c r="G422" s="39"/>
      <c r="H422" s="39">
        <f t="shared" si="19"/>
        <v>3.875</v>
      </c>
      <c r="I422" s="39"/>
      <c r="J422" s="40"/>
    </row>
    <row r="423" spans="2:10" s="1" customFormat="1" ht="13.2" x14ac:dyDescent="0.25">
      <c r="B423" s="24"/>
      <c r="C423" s="42" t="s">
        <v>220</v>
      </c>
      <c r="D423" s="59"/>
      <c r="E423" s="39"/>
      <c r="F423" s="39"/>
      <c r="G423" s="39"/>
      <c r="H423" s="39"/>
      <c r="I423" s="39"/>
      <c r="J423" s="40"/>
    </row>
    <row r="424" spans="2:10" s="1" customFormat="1" ht="13.2" x14ac:dyDescent="0.25">
      <c r="B424" s="24"/>
      <c r="C424" s="38" t="s">
        <v>594</v>
      </c>
      <c r="D424" s="39">
        <v>1</v>
      </c>
      <c r="E424" s="39">
        <v>7.35</v>
      </c>
      <c r="F424" s="39">
        <f>8*0.0254+0.4</f>
        <v>0.60319999999999996</v>
      </c>
      <c r="G424" s="39"/>
      <c r="H424" s="39">
        <f t="shared" si="19"/>
        <v>4.4335199999999997</v>
      </c>
      <c r="I424" s="39"/>
      <c r="J424" s="40"/>
    </row>
    <row r="425" spans="2:10" x14ac:dyDescent="0.3">
      <c r="B425" s="24" t="s">
        <v>187</v>
      </c>
      <c r="C425" s="27" t="s">
        <v>334</v>
      </c>
      <c r="D425" s="22"/>
      <c r="E425" s="22"/>
      <c r="F425" s="22"/>
      <c r="G425" s="22"/>
      <c r="H425" s="23"/>
      <c r="I425" s="24">
        <f>+I419</f>
        <v>8.7885200000000001</v>
      </c>
      <c r="J425" s="25" t="s">
        <v>333</v>
      </c>
    </row>
    <row r="426" spans="2:10" s="1" customFormat="1" ht="13.2" x14ac:dyDescent="0.25">
      <c r="B426" s="45"/>
      <c r="C426" s="58"/>
      <c r="D426" s="59"/>
      <c r="E426" s="39"/>
      <c r="F426" s="39"/>
      <c r="G426" s="39"/>
      <c r="H426" s="39"/>
      <c r="I426" s="39"/>
      <c r="J426" s="40"/>
    </row>
    <row r="427" spans="2:10" s="1" customFormat="1" ht="13.2" x14ac:dyDescent="0.25">
      <c r="B427" s="24"/>
      <c r="C427" s="64"/>
      <c r="D427" s="59"/>
      <c r="E427" s="39"/>
      <c r="F427" s="39"/>
      <c r="G427" s="39"/>
      <c r="H427" s="39"/>
      <c r="I427" s="39"/>
      <c r="J427" s="40"/>
    </row>
    <row r="428" spans="2:10" x14ac:dyDescent="0.3">
      <c r="B428" s="72" t="s">
        <v>359</v>
      </c>
      <c r="C428" s="72" t="s">
        <v>345</v>
      </c>
      <c r="D428" s="22"/>
      <c r="E428" s="22"/>
      <c r="F428" s="22"/>
      <c r="G428" s="22"/>
      <c r="H428" s="23"/>
      <c r="I428" s="24"/>
      <c r="J428" s="25"/>
    </row>
    <row r="429" spans="2:10" s="1" customFormat="1" ht="13.2" x14ac:dyDescent="0.25">
      <c r="B429" s="24" t="s">
        <v>361</v>
      </c>
      <c r="C429" s="1" t="s">
        <v>347</v>
      </c>
      <c r="D429" s="59"/>
      <c r="E429" s="39"/>
      <c r="F429" s="39"/>
      <c r="G429" s="39"/>
      <c r="H429" s="23"/>
      <c r="I429" s="24">
        <f>+SUM(H430:H431)</f>
        <v>0</v>
      </c>
      <c r="J429" s="25" t="s">
        <v>337</v>
      </c>
    </row>
    <row r="430" spans="2:10" s="1" customFormat="1" ht="13.2" x14ac:dyDescent="0.25">
      <c r="B430" s="24"/>
      <c r="C430" s="38"/>
      <c r="D430" s="59"/>
      <c r="F430" s="39"/>
      <c r="G430" s="39"/>
      <c r="H430" s="39">
        <f>IF(AND(F430=0,G430=0),D430*E430,IF(AND(E430=0,G430=0),D430*F430,IF(AND(E430=0,F430=0),D430*G430,IF(AND(E430=0),D430*F430*G430,IF(AND(F430=0),D430*E430*G430,IF(AND(G430=0),D430*E430*F430,D430*E430*F430*G430))))))</f>
        <v>0</v>
      </c>
      <c r="I430" s="39"/>
      <c r="J430" s="40"/>
    </row>
    <row r="431" spans="2:10" s="1" customFormat="1" ht="13.2" x14ac:dyDescent="0.25">
      <c r="B431" s="24" t="s">
        <v>363</v>
      </c>
      <c r="C431" s="115" t="s">
        <v>348</v>
      </c>
      <c r="D431" s="59"/>
      <c r="E431" s="39"/>
      <c r="F431" s="39"/>
      <c r="G431" s="39"/>
      <c r="H431" s="23"/>
      <c r="I431" s="24">
        <f>+SUM(H432:H435)</f>
        <v>0.4032</v>
      </c>
      <c r="J431" s="25" t="s">
        <v>337</v>
      </c>
    </row>
    <row r="432" spans="2:10" s="1" customFormat="1" ht="13.2" x14ac:dyDescent="0.25">
      <c r="B432" s="114"/>
      <c r="C432" s="38" t="s">
        <v>591</v>
      </c>
      <c r="D432" s="39">
        <v>1</v>
      </c>
      <c r="E432" s="39">
        <v>0.6</v>
      </c>
      <c r="F432" s="39">
        <v>0.8</v>
      </c>
      <c r="G432" s="39">
        <f>0.64+0.2</f>
        <v>0.84000000000000008</v>
      </c>
      <c r="H432" s="39">
        <f>IF(AND(F432=0,G432=0),D432*E432,IF(AND(E432=0,G432=0),D432*F432,IF(AND(E432=0,F432=0),D432*G432,IF(AND(E432=0),D432*F432*G432,IF(AND(F432=0),D432*E432*G432,IF(AND(G432=0),D432*E432*F432,D432*E432*F432*G432))))))</f>
        <v>0.4032</v>
      </c>
      <c r="I432" s="39"/>
      <c r="J432" s="40"/>
    </row>
    <row r="433" spans="2:10" s="1" customFormat="1" ht="13.2" x14ac:dyDescent="0.25">
      <c r="B433" s="24" t="s">
        <v>555</v>
      </c>
      <c r="C433" s="1" t="s">
        <v>349</v>
      </c>
      <c r="D433" s="59"/>
      <c r="E433" s="39"/>
      <c r="F433" s="39"/>
      <c r="G433" s="39"/>
      <c r="H433" s="39"/>
      <c r="I433" s="24">
        <f>+SUM(H434:H435)</f>
        <v>0</v>
      </c>
      <c r="J433" s="25" t="s">
        <v>337</v>
      </c>
    </row>
    <row r="434" spans="2:10" s="1" customFormat="1" ht="13.2" x14ac:dyDescent="0.25">
      <c r="B434" s="45"/>
      <c r="C434" s="42" t="s">
        <v>566</v>
      </c>
      <c r="D434" s="59"/>
      <c r="E434" s="39"/>
      <c r="F434" s="39"/>
      <c r="G434" s="39"/>
      <c r="H434" s="39"/>
      <c r="J434" s="40"/>
    </row>
    <row r="435" spans="2:10" s="1" customFormat="1" ht="13.2" x14ac:dyDescent="0.25">
      <c r="B435" s="114"/>
      <c r="C435" s="38"/>
      <c r="D435" s="59"/>
      <c r="E435" s="39"/>
      <c r="F435" s="39"/>
      <c r="G435" s="39"/>
      <c r="H435" s="39">
        <v>0</v>
      </c>
      <c r="I435" s="39"/>
      <c r="J435" s="40"/>
    </row>
    <row r="436" spans="2:10" x14ac:dyDescent="0.3">
      <c r="B436" s="24" t="s">
        <v>556</v>
      </c>
      <c r="C436" s="115" t="s">
        <v>350</v>
      </c>
      <c r="D436" s="22"/>
      <c r="E436" s="22"/>
      <c r="F436" s="22"/>
      <c r="G436" s="22"/>
      <c r="I436" s="23">
        <f>+SUM(H437:H437)</f>
        <v>0.48</v>
      </c>
      <c r="J436" s="25" t="s">
        <v>333</v>
      </c>
    </row>
    <row r="437" spans="2:10" x14ac:dyDescent="0.3">
      <c r="B437" s="24"/>
      <c r="C437" s="38" t="s">
        <v>591</v>
      </c>
      <c r="D437" s="39">
        <v>1</v>
      </c>
      <c r="E437" s="39">
        <v>0.6</v>
      </c>
      <c r="F437" s="39">
        <v>0.8</v>
      </c>
      <c r="G437" s="39"/>
      <c r="H437" s="39">
        <f>IF(AND(F437=0,G437=0),D437*E437,IF(AND(E437=0,G437=0),D437*F437,IF(AND(E437=0,F437=0),D437*G437,IF(AND(E437=0),D437*F437*G437,IF(AND(F437=0),D437*E437*G437,IF(AND(G437=0),D437*E437*F437,D437*E437*F437*G437))))))</f>
        <v>0.48</v>
      </c>
      <c r="I437" s="24"/>
      <c r="J437" s="25"/>
    </row>
    <row r="438" spans="2:10" s="1" customFormat="1" ht="13.2" x14ac:dyDescent="0.25">
      <c r="B438" s="24" t="s">
        <v>557</v>
      </c>
      <c r="C438" s="115" t="s">
        <v>351</v>
      </c>
      <c r="D438" s="59"/>
      <c r="E438" s="39"/>
      <c r="F438" s="39"/>
      <c r="G438" s="39"/>
      <c r="H438" s="39"/>
      <c r="I438" s="39">
        <f>+H440+H444-(H442+H446)</f>
        <v>5.6282087551654856</v>
      </c>
      <c r="J438" s="40" t="s">
        <v>337</v>
      </c>
    </row>
    <row r="439" spans="2:10" s="1" customFormat="1" ht="13.2" x14ac:dyDescent="0.25">
      <c r="B439" s="45"/>
      <c r="C439" s="24" t="s">
        <v>539</v>
      </c>
      <c r="D439" s="59"/>
      <c r="E439" s="39"/>
      <c r="F439" s="39"/>
      <c r="G439" s="39"/>
      <c r="H439" s="39"/>
      <c r="I439" s="39"/>
      <c r="J439" s="40"/>
    </row>
    <row r="440" spans="2:10" s="1" customFormat="1" ht="13.2" x14ac:dyDescent="0.25">
      <c r="B440" s="45"/>
      <c r="C440" s="38" t="s">
        <v>593</v>
      </c>
      <c r="D440" s="59">
        <v>1</v>
      </c>
      <c r="E440" s="39">
        <f>3.8+3.95</f>
        <v>7.75</v>
      </c>
      <c r="F440" s="39">
        <v>0.5</v>
      </c>
      <c r="G440" s="39">
        <f>3*0.054+0.4</f>
        <v>0.56200000000000006</v>
      </c>
      <c r="H440" s="39">
        <f>IF(AND(F440=0,G440=0),D440*E440,IF(AND(E440=0,G440=0),D440*F440,IF(AND(E440=0,F440=0),D440*G440,IF(AND(E440=0),D440*F440*G440,IF(AND(F440=0),D440*E440*G440,IF(AND(G440=0),D440*E440*F440,D440*E440*F440*G440))))))</f>
        <v>2.1777500000000001</v>
      </c>
      <c r="I440" s="39"/>
      <c r="J440" s="40"/>
    </row>
    <row r="441" spans="2:10" s="1" customFormat="1" ht="13.2" x14ac:dyDescent="0.25">
      <c r="B441" s="45"/>
      <c r="C441" s="115"/>
      <c r="F441" s="39" t="s">
        <v>485</v>
      </c>
      <c r="G441" s="39">
        <v>3</v>
      </c>
      <c r="I441" s="39"/>
      <c r="J441" s="40"/>
    </row>
    <row r="442" spans="2:10" s="1" customFormat="1" ht="13.2" x14ac:dyDescent="0.25">
      <c r="B442" s="45"/>
      <c r="C442" s="38" t="s">
        <v>569</v>
      </c>
      <c r="D442" s="59">
        <v>1</v>
      </c>
      <c r="E442" s="39">
        <f>+SUM(E440)</f>
        <v>7.75</v>
      </c>
      <c r="F442" s="39" t="s">
        <v>570</v>
      </c>
      <c r="G442" s="106">
        <f>+PI()*((G441*0.0254)^2)/4</f>
        <v>4.5603673118774788E-3</v>
      </c>
      <c r="H442" s="39">
        <f>+E442*G442</f>
        <v>3.5342846667050461E-2</v>
      </c>
      <c r="I442" s="39"/>
      <c r="J442" s="40"/>
    </row>
    <row r="443" spans="2:10" s="1" customFormat="1" ht="13.2" x14ac:dyDescent="0.25">
      <c r="B443" s="45"/>
      <c r="C443" s="42" t="s">
        <v>220</v>
      </c>
      <c r="D443" s="59"/>
      <c r="E443" s="39"/>
      <c r="F443" s="39"/>
      <c r="G443" s="39"/>
      <c r="H443" s="39"/>
      <c r="I443" s="39"/>
      <c r="J443" s="40"/>
    </row>
    <row r="444" spans="2:10" s="1" customFormat="1" ht="13.2" x14ac:dyDescent="0.25">
      <c r="B444" s="45"/>
      <c r="C444" s="38" t="s">
        <v>594</v>
      </c>
      <c r="D444" s="39">
        <v>1</v>
      </c>
      <c r="E444" s="39">
        <v>7.35</v>
      </c>
      <c r="F444" s="39">
        <f>8*0.0254+0.4</f>
        <v>0.60319999999999996</v>
      </c>
      <c r="G444" s="39">
        <v>0.84</v>
      </c>
      <c r="H444" s="39">
        <f>IF(AND(F444=0,G444=0),D444*E444,IF(AND(E444=0,G444=0),D444*F444,IF(AND(E444=0,F444=0),D444*G444,IF(AND(E444=0),D444*F444*G444,IF(AND(F444=0),D444*E444*G444,IF(AND(G444=0),D444*E444*F444,D444*E444*F444*G444))))))</f>
        <v>3.7241567999999994</v>
      </c>
      <c r="I444" s="39"/>
      <c r="J444" s="40"/>
    </row>
    <row r="445" spans="2:10" s="1" customFormat="1" ht="13.2" x14ac:dyDescent="0.25">
      <c r="B445" s="45"/>
      <c r="C445" s="115"/>
      <c r="F445" s="39" t="s">
        <v>485</v>
      </c>
      <c r="G445" s="39">
        <v>8</v>
      </c>
      <c r="I445" s="39"/>
      <c r="J445" s="40"/>
    </row>
    <row r="446" spans="2:10" s="1" customFormat="1" ht="13.2" x14ac:dyDescent="0.25">
      <c r="B446" s="45"/>
      <c r="C446" s="38" t="s">
        <v>569</v>
      </c>
      <c r="D446" s="59">
        <v>1</v>
      </c>
      <c r="E446" s="39">
        <f>+SUM(E444)</f>
        <v>7.35</v>
      </c>
      <c r="F446" s="39" t="s">
        <v>570</v>
      </c>
      <c r="G446" s="39">
        <f>+PI()*((G445*0.0254)^2)/4</f>
        <v>3.2429278662239852E-2</v>
      </c>
      <c r="H446" s="39">
        <f>+E446*G446</f>
        <v>0.2383551981674629</v>
      </c>
      <c r="I446" s="39"/>
      <c r="J446" s="40"/>
    </row>
    <row r="447" spans="2:10" s="1" customFormat="1" ht="13.2" x14ac:dyDescent="0.25">
      <c r="B447" s="45" t="s">
        <v>558</v>
      </c>
      <c r="C447" s="1" t="s">
        <v>352</v>
      </c>
      <c r="D447" s="59"/>
      <c r="E447" s="39"/>
      <c r="F447" s="39"/>
      <c r="G447" s="39"/>
      <c r="H447" s="39"/>
      <c r="I447" s="39">
        <f>+SUM(H448)</f>
        <v>0</v>
      </c>
      <c r="J447" s="40" t="s">
        <v>333</v>
      </c>
    </row>
    <row r="448" spans="2:10" s="1" customFormat="1" ht="13.2" x14ac:dyDescent="0.25">
      <c r="B448" s="45"/>
      <c r="C448" s="58"/>
      <c r="D448" s="59"/>
      <c r="E448" s="39"/>
      <c r="F448" s="39"/>
      <c r="G448" s="39"/>
      <c r="H448" s="39">
        <f>+(F448+G448*2)*E448</f>
        <v>0</v>
      </c>
      <c r="I448" s="39"/>
      <c r="J448" s="40"/>
    </row>
    <row r="449" spans="2:10" s="1" customFormat="1" ht="13.2" x14ac:dyDescent="0.25">
      <c r="B449" s="24" t="s">
        <v>559</v>
      </c>
      <c r="C449" s="27" t="s">
        <v>353</v>
      </c>
      <c r="D449" s="59"/>
      <c r="E449" s="39"/>
      <c r="F449" s="39"/>
      <c r="G449" s="39"/>
      <c r="H449" s="39"/>
      <c r="I449" s="39">
        <f>+SUM(H451:H453)</f>
        <v>29.367519999999999</v>
      </c>
      <c r="J449" s="40" t="s">
        <v>333</v>
      </c>
    </row>
    <row r="450" spans="2:10" s="1" customFormat="1" ht="13.2" x14ac:dyDescent="0.25">
      <c r="B450" s="45"/>
      <c r="C450" s="42" t="s">
        <v>592</v>
      </c>
      <c r="D450" s="59"/>
      <c r="E450" s="39"/>
      <c r="F450" s="39"/>
      <c r="G450" s="39"/>
      <c r="H450" s="39"/>
      <c r="I450" s="39"/>
      <c r="J450" s="40"/>
    </row>
    <row r="451" spans="2:10" s="1" customFormat="1" ht="13.2" x14ac:dyDescent="0.25">
      <c r="B451" s="45"/>
      <c r="C451" s="38" t="s">
        <v>593</v>
      </c>
      <c r="D451" s="59">
        <v>1</v>
      </c>
      <c r="E451" s="39">
        <f>3.8+3.95</f>
        <v>7.75</v>
      </c>
      <c r="F451" s="39">
        <v>0.5</v>
      </c>
      <c r="G451" s="39">
        <f>3*0.054+0.4</f>
        <v>0.56200000000000006</v>
      </c>
      <c r="H451" s="39">
        <f>+(F451+G451*2)*E451</f>
        <v>12.586</v>
      </c>
      <c r="I451" s="39"/>
      <c r="J451" s="40"/>
    </row>
    <row r="452" spans="2:10" s="1" customFormat="1" ht="13.2" x14ac:dyDescent="0.25">
      <c r="B452" s="45"/>
      <c r="C452" s="42" t="s">
        <v>220</v>
      </c>
      <c r="D452" s="59"/>
      <c r="E452" s="39"/>
      <c r="F452" s="39"/>
      <c r="G452" s="39"/>
      <c r="H452" s="39"/>
      <c r="I452" s="39"/>
      <c r="J452" s="40"/>
    </row>
    <row r="453" spans="2:10" s="1" customFormat="1" ht="13.2" x14ac:dyDescent="0.25">
      <c r="B453" s="45"/>
      <c r="C453" s="38" t="s">
        <v>594</v>
      </c>
      <c r="D453" s="39">
        <v>1</v>
      </c>
      <c r="E453" s="39">
        <v>7.35</v>
      </c>
      <c r="F453" s="39">
        <f>8*0.0254+0.4</f>
        <v>0.60319999999999996</v>
      </c>
      <c r="G453" s="39">
        <v>0.84</v>
      </c>
      <c r="H453" s="39">
        <f>+(F453+G453*2)*E453</f>
        <v>16.781519999999997</v>
      </c>
      <c r="I453" s="39"/>
      <c r="J453" s="40"/>
    </row>
    <row r="454" spans="2:10" s="1" customFormat="1" ht="13.2" x14ac:dyDescent="0.25">
      <c r="B454" s="24" t="s">
        <v>560</v>
      </c>
      <c r="C454" s="27" t="s">
        <v>354</v>
      </c>
      <c r="D454" s="59"/>
      <c r="E454" s="39"/>
      <c r="F454" s="39" t="s">
        <v>571</v>
      </c>
      <c r="G454" s="39"/>
      <c r="H454" s="39"/>
      <c r="I454" s="39">
        <f>+SUM(H455:H462)</f>
        <v>97.863329896907203</v>
      </c>
      <c r="J454" s="40" t="s">
        <v>355</v>
      </c>
    </row>
    <row r="455" spans="2:10" s="1" customFormat="1" ht="13.2" x14ac:dyDescent="0.25">
      <c r="B455" s="107"/>
      <c r="C455" s="38" t="s">
        <v>472</v>
      </c>
      <c r="D455" s="59">
        <v>1</v>
      </c>
      <c r="E455" s="39">
        <v>14.55</v>
      </c>
      <c r="F455" s="39">
        <v>1.64</v>
      </c>
      <c r="G455" s="39"/>
      <c r="H455" s="39">
        <f>IF(AND(F455=0,G455=0),D455*E455,IF(AND(E455=0,G455=0),D455*F455,IF(AND(E455=0,F455=0),D455*G455,IF(AND(E455=0),D455*F455*G455,IF(AND(F455=0),D455*E455*G455,IF(AND(G455=0),D455*E455*F455,D455*E455*F455*G455))))))</f>
        <v>23.861999999999998</v>
      </c>
      <c r="J455" s="40"/>
    </row>
    <row r="456" spans="2:10" s="1" customFormat="1" ht="13.2" x14ac:dyDescent="0.25">
      <c r="B456" s="107"/>
      <c r="C456" s="38" t="s">
        <v>470</v>
      </c>
      <c r="D456" s="59">
        <v>1</v>
      </c>
      <c r="E456" s="78">
        <v>14.55</v>
      </c>
      <c r="F456" s="39">
        <v>1.64</v>
      </c>
      <c r="G456" s="39"/>
      <c r="H456" s="39">
        <f t="shared" ref="H456:H457" si="20">IF(AND(F456=0,G456=0),D456*E456,IF(AND(E456=0,G456=0),D456*F456,IF(AND(E456=0,F456=0),D456*G456,IF(AND(E456=0),D456*F456*G456,IF(AND(F456=0),D456*E456*G456,IF(AND(G456=0),D456*E456*F456,D456*E456*F456*G456))))))</f>
        <v>23.861999999999998</v>
      </c>
      <c r="I456" s="39"/>
      <c r="J456" s="40"/>
    </row>
    <row r="457" spans="2:10" s="1" customFormat="1" ht="13.2" x14ac:dyDescent="0.25">
      <c r="B457" s="107"/>
      <c r="C457" s="38" t="s">
        <v>471</v>
      </c>
      <c r="D457" s="39">
        <v>1</v>
      </c>
      <c r="E457" s="39">
        <v>1.5</v>
      </c>
      <c r="F457" s="39">
        <v>1.64</v>
      </c>
      <c r="G457" s="39"/>
      <c r="H457" s="39">
        <f t="shared" si="20"/>
        <v>2.46</v>
      </c>
      <c r="I457" s="39"/>
      <c r="J457" s="40"/>
    </row>
    <row r="458" spans="2:10" s="1" customFormat="1" ht="13.2" x14ac:dyDescent="0.25">
      <c r="B458" s="107"/>
      <c r="C458" s="42" t="s">
        <v>592</v>
      </c>
      <c r="D458" s="59"/>
      <c r="E458" s="39"/>
      <c r="G458" s="39"/>
      <c r="H458" s="39"/>
      <c r="I458" s="39"/>
      <c r="J458" s="40"/>
    </row>
    <row r="459" spans="2:10" s="1" customFormat="1" ht="13.2" x14ac:dyDescent="0.25">
      <c r="B459" s="107"/>
      <c r="C459" s="38" t="s">
        <v>593</v>
      </c>
      <c r="D459" s="59">
        <v>1</v>
      </c>
      <c r="E459" s="39">
        <f>3.8+3.95</f>
        <v>7.75</v>
      </c>
      <c r="F459" s="39">
        <v>1.64</v>
      </c>
      <c r="G459" s="39"/>
      <c r="H459" s="39">
        <f t="shared" ref="H459:H462" si="21">IF(AND(F459=0,G459=0),D459*E459,IF(AND(E459=0,G459=0),D459*F459,IF(AND(E459=0,F459=0),D459*G459,IF(AND(E459=0),D459*F459*G459,IF(AND(F459=0),D459*E459*G459,IF(AND(G459=0),D459*E459*F459,D459*E459*F459*G459))))))</f>
        <v>12.709999999999999</v>
      </c>
      <c r="I459" s="39"/>
      <c r="J459" s="40"/>
    </row>
    <row r="460" spans="2:10" s="1" customFormat="1" ht="13.2" x14ac:dyDescent="0.25">
      <c r="B460" s="107"/>
      <c r="C460" s="38"/>
      <c r="D460" s="59"/>
      <c r="E460" s="39"/>
      <c r="F460" s="39"/>
      <c r="G460" s="39"/>
      <c r="H460" s="39"/>
      <c r="I460" s="39"/>
      <c r="J460" s="40"/>
    </row>
    <row r="461" spans="2:10" s="1" customFormat="1" ht="13.2" x14ac:dyDescent="0.25">
      <c r="B461" s="107"/>
      <c r="C461" s="42" t="s">
        <v>220</v>
      </c>
      <c r="D461" s="59"/>
      <c r="E461" s="39"/>
      <c r="F461" s="39"/>
      <c r="G461" s="39"/>
      <c r="H461" s="39"/>
      <c r="I461" s="39"/>
      <c r="J461" s="40"/>
    </row>
    <row r="462" spans="2:10" s="1" customFormat="1" ht="13.2" x14ac:dyDescent="0.25">
      <c r="B462" s="107"/>
      <c r="C462" s="38" t="s">
        <v>594</v>
      </c>
      <c r="D462" s="39">
        <v>1</v>
      </c>
      <c r="E462" s="39">
        <v>7.35</v>
      </c>
      <c r="F462" s="39">
        <f>27.69/5.82</f>
        <v>4.7577319587628866</v>
      </c>
      <c r="G462" s="39"/>
      <c r="H462" s="39">
        <f t="shared" si="21"/>
        <v>34.969329896907212</v>
      </c>
      <c r="I462" s="39"/>
      <c r="J462" s="40"/>
    </row>
    <row r="463" spans="2:10" s="1" customFormat="1" ht="13.2" x14ac:dyDescent="0.25">
      <c r="B463" s="24" t="s">
        <v>561</v>
      </c>
      <c r="C463" s="27" t="s">
        <v>356</v>
      </c>
      <c r="D463" s="59"/>
      <c r="E463" s="39"/>
      <c r="F463" s="39"/>
      <c r="G463" s="39"/>
      <c r="H463" s="39"/>
      <c r="I463" s="39">
        <f>+SUM(H464:H465)</f>
        <v>0.17760000000000004</v>
      </c>
      <c r="J463" s="40" t="s">
        <v>337</v>
      </c>
    </row>
    <row r="464" spans="2:10" s="1" customFormat="1" ht="13.2" x14ac:dyDescent="0.25">
      <c r="B464" s="45"/>
      <c r="C464" s="38" t="s">
        <v>591</v>
      </c>
      <c r="D464" s="59">
        <v>2</v>
      </c>
      <c r="E464" s="39">
        <v>0.8</v>
      </c>
      <c r="F464" s="39">
        <v>0.1</v>
      </c>
      <c r="G464" s="39">
        <v>0.74</v>
      </c>
      <c r="H464" s="39">
        <f>IF(AND(F464=0,G464=0),D464*E464,IF(AND(E464=0,G464=0),D464*F464,IF(AND(E464=0,F464=0),D464*G464,IF(AND(E464=0),D464*F464*G464,IF(AND(F464=0),D464*E464*G464,IF(AND(G464=0),D464*E464*F464,D464*E464*F464*G464))))))</f>
        <v>0.11840000000000002</v>
      </c>
      <c r="I464" s="39"/>
      <c r="J464" s="40"/>
    </row>
    <row r="465" spans="2:10" s="1" customFormat="1" ht="13.2" x14ac:dyDescent="0.25">
      <c r="B465" s="45"/>
      <c r="C465" s="58"/>
      <c r="D465" s="1">
        <v>2</v>
      </c>
      <c r="E465" s="39">
        <v>0.4</v>
      </c>
      <c r="F465" s="39">
        <v>0.1</v>
      </c>
      <c r="G465" s="39">
        <v>0.74</v>
      </c>
      <c r="H465" s="39">
        <f>IF(AND(F465=0,G465=0),D465*E465,IF(AND(E465=0,G465=0),D465*F465,IF(AND(E465=0,F465=0),D465*G465,IF(AND(E465=0),D465*F465*G465,IF(AND(F465=0),D465*E465*G465,IF(AND(G465=0),D465*E465*F465,D465*E465*F465*G465))))))</f>
        <v>5.920000000000001E-2</v>
      </c>
      <c r="I465" s="39"/>
      <c r="J465" s="40"/>
    </row>
    <row r="466" spans="2:10" s="1" customFormat="1" ht="13.2" x14ac:dyDescent="0.25">
      <c r="B466" s="24" t="s">
        <v>562</v>
      </c>
      <c r="C466" s="27" t="s">
        <v>357</v>
      </c>
      <c r="D466" s="59" t="s">
        <v>574</v>
      </c>
      <c r="E466" s="39"/>
      <c r="F466" s="39"/>
      <c r="G466" s="39"/>
      <c r="H466" s="39"/>
      <c r="I466" s="39">
        <f>+SUM(H467:H473)</f>
        <v>1.3937720570453107</v>
      </c>
      <c r="J466" s="40" t="s">
        <v>337</v>
      </c>
    </row>
    <row r="467" spans="2:10" s="1" customFormat="1" ht="13.2" x14ac:dyDescent="0.25">
      <c r="B467" s="24"/>
      <c r="C467" s="38" t="s">
        <v>591</v>
      </c>
      <c r="D467" s="39">
        <v>1.25</v>
      </c>
      <c r="E467" s="39">
        <v>0.6</v>
      </c>
      <c r="F467" s="39">
        <v>0.8</v>
      </c>
      <c r="G467" s="39">
        <f>0.64+0.2</f>
        <v>0.84000000000000008</v>
      </c>
      <c r="H467" s="39">
        <f>IF(AND(F467=0,G467=0),D467*E467,IF(AND(E467=0,G467=0),D467*F467,IF(AND(E467=0,F467=0),D467*G467,IF(AND(E467=0),D467*F467*G467,IF(AND(F467=0),D467*E467*G467,IF(AND(G467=0),D467*E467*F467,D467*E467*F467*G467))))))</f>
        <v>0.50400000000000011</v>
      </c>
      <c r="I467" s="39"/>
      <c r="J467" s="40"/>
    </row>
    <row r="468" spans="2:10" s="1" customFormat="1" ht="13.2" x14ac:dyDescent="0.25">
      <c r="B468" s="24"/>
      <c r="C468" s="42" t="s">
        <v>592</v>
      </c>
      <c r="D468" s="59">
        <v>1.25</v>
      </c>
      <c r="E468" s="39">
        <v>0.6</v>
      </c>
      <c r="F468" s="39">
        <v>0.8</v>
      </c>
      <c r="G468" s="39">
        <f>0.93+0.2</f>
        <v>1.1300000000000001</v>
      </c>
      <c r="H468" s="39">
        <f>IF(AND(F468=0,G468=0),D468*E468,IF(AND(E468=0,G468=0),D468*F468,IF(AND(E468=0,F468=0),D468*G468,IF(AND(E468=0),D468*F468*G468,IF(AND(F468=0),D468*E468*G468,IF(AND(G468=0),D468*E468*F468,D468*E468*F468*G468))))))</f>
        <v>0.67800000000000016</v>
      </c>
      <c r="I468" s="39"/>
      <c r="J468" s="40"/>
    </row>
    <row r="469" spans="2:10" s="1" customFormat="1" ht="13.2" x14ac:dyDescent="0.25">
      <c r="B469" s="24"/>
      <c r="C469" s="115"/>
      <c r="F469" s="39" t="s">
        <v>485</v>
      </c>
      <c r="G469" s="39">
        <v>3</v>
      </c>
      <c r="I469" s="39"/>
      <c r="J469" s="40"/>
    </row>
    <row r="470" spans="2:10" s="1" customFormat="1" ht="13.2" x14ac:dyDescent="0.25">
      <c r="B470" s="24"/>
      <c r="C470" s="38" t="s">
        <v>569</v>
      </c>
      <c r="D470" s="59">
        <v>1.25</v>
      </c>
      <c r="E470" s="39">
        <f>+E442</f>
        <v>7.75</v>
      </c>
      <c r="F470" s="39" t="s">
        <v>570</v>
      </c>
      <c r="G470" s="106">
        <f>+PI()*((G469*0.0254)^2)/4</f>
        <v>4.5603673118774788E-3</v>
      </c>
      <c r="H470" s="108">
        <f>+D470*E470*G470</f>
        <v>4.4178558333813074E-2</v>
      </c>
      <c r="I470" s="39"/>
      <c r="J470" s="40"/>
    </row>
    <row r="471" spans="2:10" s="1" customFormat="1" ht="13.2" x14ac:dyDescent="0.25">
      <c r="B471" s="24"/>
      <c r="C471" s="42" t="s">
        <v>566</v>
      </c>
      <c r="D471" s="59"/>
      <c r="E471" s="39"/>
      <c r="F471" s="39"/>
      <c r="G471" s="39"/>
      <c r="H471" s="39"/>
      <c r="I471" s="39"/>
      <c r="J471" s="40"/>
    </row>
    <row r="472" spans="2:10" s="1" customFormat="1" ht="13.2" x14ac:dyDescent="0.25">
      <c r="B472" s="24"/>
      <c r="C472" s="115"/>
      <c r="F472" s="39" t="s">
        <v>485</v>
      </c>
      <c r="G472" s="39">
        <v>6</v>
      </c>
      <c r="I472" s="39"/>
      <c r="J472" s="40"/>
    </row>
    <row r="473" spans="2:10" s="1" customFormat="1" ht="13.2" x14ac:dyDescent="0.25">
      <c r="B473" s="24"/>
      <c r="C473" s="38" t="s">
        <v>569</v>
      </c>
      <c r="D473" s="59">
        <v>1.25</v>
      </c>
      <c r="E473" s="39">
        <f>+E446</f>
        <v>7.35</v>
      </c>
      <c r="F473" s="39" t="s">
        <v>570</v>
      </c>
      <c r="G473" s="39">
        <f>+PI()*((G472*0.0254)^2)/4</f>
        <v>1.8241469247509915E-2</v>
      </c>
      <c r="H473" s="109">
        <f>+D473*E473*G473</f>
        <v>0.16759349871149734</v>
      </c>
      <c r="I473" s="39"/>
      <c r="J473" s="40"/>
    </row>
    <row r="474" spans="2:10" s="1" customFormat="1" ht="13.2" x14ac:dyDescent="0.25">
      <c r="B474" s="24" t="s">
        <v>563</v>
      </c>
      <c r="C474" s="27" t="s">
        <v>358</v>
      </c>
      <c r="D474" s="59"/>
      <c r="E474" s="39"/>
      <c r="F474" s="39"/>
      <c r="G474" s="39"/>
      <c r="H474" s="39"/>
      <c r="I474" s="39">
        <f>+I466</f>
        <v>1.3937720570453107</v>
      </c>
      <c r="J474" s="40" t="s">
        <v>337</v>
      </c>
    </row>
    <row r="475" spans="2:10" s="1" customFormat="1" ht="13.2" x14ac:dyDescent="0.25">
      <c r="B475" s="45"/>
      <c r="C475" s="58"/>
      <c r="D475" s="59"/>
      <c r="E475" s="39"/>
      <c r="F475" s="39"/>
      <c r="G475" s="39"/>
      <c r="H475" s="39"/>
      <c r="I475" s="39"/>
      <c r="J475" s="40"/>
    </row>
    <row r="476" spans="2:10" x14ac:dyDescent="0.3">
      <c r="B476" s="72" t="s">
        <v>365</v>
      </c>
      <c r="C476" s="73" t="s">
        <v>360</v>
      </c>
      <c r="D476" s="22"/>
      <c r="E476" s="22"/>
      <c r="F476" s="22"/>
      <c r="G476" s="22"/>
      <c r="H476" s="23"/>
      <c r="I476" s="24"/>
      <c r="J476" s="25"/>
    </row>
    <row r="477" spans="2:10" s="1" customFormat="1" ht="13.2" x14ac:dyDescent="0.25">
      <c r="B477" s="42" t="s">
        <v>366</v>
      </c>
      <c r="C477" s="24" t="s">
        <v>362</v>
      </c>
      <c r="D477" s="59"/>
      <c r="E477" s="39"/>
      <c r="F477" s="39"/>
      <c r="G477" s="39"/>
      <c r="H477" s="39"/>
      <c r="I477" s="43">
        <f>+H478</f>
        <v>0</v>
      </c>
      <c r="J477" s="44" t="s">
        <v>333</v>
      </c>
    </row>
    <row r="478" spans="2:10" s="115" customFormat="1" ht="17.25" customHeight="1" x14ac:dyDescent="0.25">
      <c r="B478" s="24"/>
      <c r="C478" s="38"/>
      <c r="D478" s="59"/>
      <c r="E478" s="39"/>
      <c r="F478" s="39"/>
      <c r="G478" s="39"/>
      <c r="H478" s="39">
        <v>0</v>
      </c>
      <c r="I478" s="39"/>
      <c r="J478" s="40"/>
    </row>
    <row r="479" spans="2:10" s="1" customFormat="1" ht="13.2" x14ac:dyDescent="0.25">
      <c r="B479" s="42" t="s">
        <v>367</v>
      </c>
      <c r="C479" s="24" t="s">
        <v>364</v>
      </c>
      <c r="D479" s="59"/>
      <c r="E479" s="39"/>
      <c r="F479" s="39"/>
      <c r="G479" s="39"/>
      <c r="H479" s="39"/>
      <c r="I479" s="43">
        <f>+SUM(H480:H480)</f>
        <v>0.48</v>
      </c>
      <c r="J479" s="44" t="s">
        <v>333</v>
      </c>
    </row>
    <row r="480" spans="2:10" s="1" customFormat="1" ht="13.2" x14ac:dyDescent="0.25">
      <c r="B480" s="114"/>
      <c r="C480" s="38" t="s">
        <v>591</v>
      </c>
      <c r="D480" s="39">
        <v>1</v>
      </c>
      <c r="E480" s="39">
        <v>0.6</v>
      </c>
      <c r="F480" s="39">
        <v>0.8</v>
      </c>
      <c r="G480" s="39"/>
      <c r="H480" s="39">
        <f>IF(AND(F480=0,G480=0),D480*E480,IF(AND(E480=0,G480=0),D480*F480,IF(AND(E480=0,F480=0),D480*G480,IF(AND(E480=0),D480*F480*G480,IF(AND(F480=0),D480*E480*G480,IF(AND(G480=0),D480*E480*F480,D480*E480*F480*G480))))))</f>
        <v>0.48</v>
      </c>
      <c r="I480" s="39"/>
      <c r="J480" s="40"/>
    </row>
    <row r="481" spans="2:10" s="1" customFormat="1" ht="13.2" x14ac:dyDescent="0.25">
      <c r="B481" s="42"/>
      <c r="C481" s="38"/>
      <c r="D481" s="59"/>
      <c r="E481" s="39"/>
      <c r="F481" s="39"/>
      <c r="G481" s="39"/>
      <c r="H481" s="39"/>
      <c r="I481" s="43"/>
      <c r="J481" s="44"/>
    </row>
    <row r="482" spans="2:10" s="1" customFormat="1" ht="13.2" x14ac:dyDescent="0.25">
      <c r="B482" s="56" t="s">
        <v>368</v>
      </c>
      <c r="C482" s="57" t="s">
        <v>202</v>
      </c>
      <c r="D482" s="59"/>
      <c r="E482" s="39"/>
      <c r="F482" s="39"/>
      <c r="G482" s="39"/>
      <c r="H482" s="39"/>
      <c r="I482" s="39"/>
      <c r="J482" s="40"/>
    </row>
    <row r="483" spans="2:10" x14ac:dyDescent="0.3">
      <c r="B483" s="42" t="s">
        <v>375</v>
      </c>
      <c r="C483" s="42" t="s">
        <v>397</v>
      </c>
      <c r="D483" s="59"/>
      <c r="E483" s="39"/>
      <c r="F483" s="39"/>
      <c r="G483" s="39"/>
      <c r="H483" s="39"/>
      <c r="I483" s="43">
        <f>SUM(H484:H484)</f>
        <v>0.5</v>
      </c>
      <c r="J483" s="44" t="s">
        <v>102</v>
      </c>
    </row>
    <row r="484" spans="2:10" s="1" customFormat="1" ht="13.2" x14ac:dyDescent="0.25">
      <c r="B484" s="42"/>
      <c r="C484" s="38" t="s">
        <v>591</v>
      </c>
      <c r="D484" s="59">
        <v>1</v>
      </c>
      <c r="E484" s="39">
        <v>0.5</v>
      </c>
      <c r="F484" s="39"/>
      <c r="G484" s="39"/>
      <c r="H484" s="39">
        <f t="shared" ref="H484" si="22">IF(AND(F484=0,G484=0),D484*E484,IF(AND(E484=0,G484=0),D484*F484,IF(AND(E484=0,F484=0),D484*G484,IF(AND(E484=0),D484*F484*G484,IF(AND(F484=0),D484*E484*G484,IF(AND(G484=0),D484*E484*F484,D484*E484*F484*G484))))))</f>
        <v>0.5</v>
      </c>
      <c r="I484" s="43"/>
      <c r="J484" s="44"/>
    </row>
    <row r="485" spans="2:10" s="1" customFormat="1" ht="13.2" x14ac:dyDescent="0.25">
      <c r="B485" s="42" t="s">
        <v>379</v>
      </c>
      <c r="C485" s="24" t="s">
        <v>539</v>
      </c>
      <c r="D485" s="59"/>
      <c r="E485" s="39"/>
      <c r="F485" s="39"/>
      <c r="G485" s="39"/>
      <c r="H485" s="39"/>
      <c r="I485" s="43">
        <f>+SUM(H486)</f>
        <v>7.75</v>
      </c>
      <c r="J485" s="44" t="s">
        <v>102</v>
      </c>
    </row>
    <row r="486" spans="2:10" s="1" customFormat="1" ht="13.2" x14ac:dyDescent="0.25">
      <c r="B486" s="42"/>
      <c r="C486" s="38" t="s">
        <v>593</v>
      </c>
      <c r="D486" s="59">
        <v>1</v>
      </c>
      <c r="E486" s="39">
        <f>3.8+3.95</f>
        <v>7.75</v>
      </c>
      <c r="F486" s="39"/>
      <c r="G486" s="39"/>
      <c r="H486" s="39">
        <f>IF(AND(F486=0,G486=0),D486*E486,IF(AND(E486=0,G486=0),D486*F486,IF(AND(E486=0,F486=0),D486*G486,IF(AND(E486=0),D486*F486*G486,IF(AND(F486=0),D486*E486*G486,IF(AND(G486=0),D486*E486*F486,D486*E486*F486*G486))))))</f>
        <v>7.75</v>
      </c>
      <c r="I486" s="43"/>
      <c r="J486" s="44"/>
    </row>
    <row r="487" spans="2:10" s="1" customFormat="1" ht="15" customHeight="1" x14ac:dyDescent="0.25">
      <c r="B487" s="42" t="s">
        <v>384</v>
      </c>
      <c r="C487" s="42" t="s">
        <v>406</v>
      </c>
      <c r="D487" s="59"/>
      <c r="E487" s="39"/>
      <c r="F487" s="39"/>
      <c r="G487" s="39"/>
      <c r="H487" s="39"/>
      <c r="I487" s="43">
        <f>SUM(H488:H488)</f>
        <v>1</v>
      </c>
      <c r="J487" s="44" t="s">
        <v>102</v>
      </c>
    </row>
    <row r="488" spans="2:10" s="1" customFormat="1" ht="15" customHeight="1" x14ac:dyDescent="0.25">
      <c r="B488" s="114"/>
      <c r="C488" s="38" t="s">
        <v>591</v>
      </c>
      <c r="D488" s="39">
        <v>1</v>
      </c>
      <c r="E488" s="39"/>
      <c r="F488" s="39"/>
      <c r="G488" s="39"/>
      <c r="H488" s="39">
        <f t="shared" ref="H488" si="23">+D488</f>
        <v>1</v>
      </c>
      <c r="I488" s="39"/>
      <c r="J488" s="40"/>
    </row>
    <row r="489" spans="2:10" s="1" customFormat="1" ht="13.2" x14ac:dyDescent="0.25">
      <c r="B489" s="24" t="s">
        <v>394</v>
      </c>
      <c r="C489" s="27" t="s">
        <v>411</v>
      </c>
      <c r="D489" s="59"/>
      <c r="E489" s="39"/>
      <c r="F489" s="39"/>
      <c r="G489" s="39"/>
      <c r="H489" s="39"/>
      <c r="I489" s="39">
        <f>+SUM(H490:H491)</f>
        <v>2.06</v>
      </c>
      <c r="J489" s="40" t="s">
        <v>333</v>
      </c>
    </row>
    <row r="490" spans="2:10" s="1" customFormat="1" ht="13.2" x14ac:dyDescent="0.25">
      <c r="B490" s="24"/>
      <c r="C490" s="38" t="s">
        <v>591</v>
      </c>
      <c r="D490" s="59">
        <v>1</v>
      </c>
      <c r="E490" s="39">
        <v>2</v>
      </c>
      <c r="F490" s="39"/>
      <c r="G490" s="39">
        <f>0.64+0.15</f>
        <v>0.79</v>
      </c>
      <c r="H490" s="39">
        <f t="shared" ref="H490:H491" si="24">IF(AND(F490=0,G490=0),D490*E490,IF(AND(E490=0,G490=0),D490*F490,IF(AND(E490=0,F490=0),D490*G490,IF(AND(E490=0),D490*F490*G490,IF(AND(F490=0),D490*E490*G490,IF(AND(G490=0),D490*E490*F490,D490*E490*F490*G490))))))</f>
        <v>1.58</v>
      </c>
      <c r="I490" s="39"/>
      <c r="J490" s="40"/>
    </row>
    <row r="491" spans="2:10" s="1" customFormat="1" ht="13.2" x14ac:dyDescent="0.25">
      <c r="B491" s="24"/>
      <c r="C491" s="58"/>
      <c r="D491" s="115">
        <v>1</v>
      </c>
      <c r="E491" s="39">
        <v>0.6</v>
      </c>
      <c r="F491" s="39"/>
      <c r="G491" s="39">
        <v>0.8</v>
      </c>
      <c r="H491" s="39">
        <f t="shared" si="24"/>
        <v>0.48</v>
      </c>
      <c r="I491" s="39"/>
      <c r="J491" s="40"/>
    </row>
    <row r="492" spans="2:10" s="1" customFormat="1" ht="13.2" x14ac:dyDescent="0.25">
      <c r="B492" s="56" t="s">
        <v>413</v>
      </c>
      <c r="C492" s="57" t="s">
        <v>234</v>
      </c>
      <c r="D492" s="59"/>
      <c r="E492" s="39"/>
      <c r="F492" s="39"/>
      <c r="G492" s="39"/>
      <c r="H492" s="39"/>
      <c r="I492" s="39"/>
      <c r="J492" s="40"/>
    </row>
    <row r="493" spans="2:10" s="1" customFormat="1" ht="13.2" x14ac:dyDescent="0.25">
      <c r="B493" s="42" t="s">
        <v>414</v>
      </c>
      <c r="C493" s="113" t="s">
        <v>422</v>
      </c>
      <c r="D493" s="59"/>
      <c r="E493" s="39"/>
      <c r="F493" s="39"/>
      <c r="G493" s="39"/>
      <c r="H493" s="39"/>
      <c r="I493" s="43">
        <f>+SUM(H494:H496)</f>
        <v>10</v>
      </c>
      <c r="J493" s="44" t="s">
        <v>30</v>
      </c>
    </row>
    <row r="494" spans="2:10" s="1" customFormat="1" ht="13.2" x14ac:dyDescent="0.25">
      <c r="B494" s="45"/>
      <c r="C494" s="38" t="s">
        <v>472</v>
      </c>
      <c r="D494" s="59">
        <v>3</v>
      </c>
      <c r="E494" s="39">
        <v>1</v>
      </c>
      <c r="F494" s="39"/>
      <c r="G494" s="39"/>
      <c r="H494" s="39">
        <f t="shared" ref="H494:H495" si="25">+D494</f>
        <v>3</v>
      </c>
      <c r="I494" s="39"/>
      <c r="J494" s="40"/>
    </row>
    <row r="495" spans="2:10" s="1" customFormat="1" ht="13.2" x14ac:dyDescent="0.25">
      <c r="B495" s="45"/>
      <c r="C495" s="58" t="s">
        <v>595</v>
      </c>
      <c r="D495" s="59">
        <v>1</v>
      </c>
      <c r="E495" s="39">
        <v>1</v>
      </c>
      <c r="F495" s="39"/>
      <c r="G495" s="39"/>
      <c r="H495" s="39">
        <f t="shared" si="25"/>
        <v>1</v>
      </c>
      <c r="I495" s="39"/>
      <c r="J495" s="40"/>
    </row>
    <row r="496" spans="2:10" s="1" customFormat="1" ht="13.2" x14ac:dyDescent="0.25">
      <c r="B496" s="45"/>
      <c r="C496" s="58" t="s">
        <v>475</v>
      </c>
      <c r="D496" s="59">
        <v>6</v>
      </c>
      <c r="E496" s="39">
        <v>1</v>
      </c>
      <c r="F496" s="39"/>
      <c r="G496" s="39"/>
      <c r="H496" s="39">
        <f t="shared" ref="H496" si="26">+D496</f>
        <v>6</v>
      </c>
      <c r="I496" s="39"/>
      <c r="J496" s="40"/>
    </row>
    <row r="497" spans="2:10" s="1" customFormat="1" ht="13.2" x14ac:dyDescent="0.25">
      <c r="B497" s="45"/>
      <c r="C497" s="58"/>
      <c r="D497" s="59"/>
      <c r="E497" s="39"/>
      <c r="F497" s="39"/>
      <c r="G497" s="39"/>
      <c r="H497" s="39"/>
      <c r="I497" s="39"/>
      <c r="J497" s="40"/>
    </row>
    <row r="498" spans="2:10" s="1" customFormat="1" ht="13.2" x14ac:dyDescent="0.25">
      <c r="B498" s="45"/>
      <c r="C498" s="58"/>
      <c r="D498" s="59"/>
      <c r="E498" s="39"/>
      <c r="F498" s="39"/>
      <c r="G498" s="39"/>
      <c r="H498" s="39"/>
      <c r="I498" s="39"/>
      <c r="J498" s="40"/>
    </row>
    <row r="499" spans="2:10" s="1" customFormat="1" ht="13.2" x14ac:dyDescent="0.25">
      <c r="B499" s="45"/>
      <c r="C499" s="58"/>
      <c r="D499" s="59"/>
      <c r="E499" s="39"/>
      <c r="F499" s="39"/>
      <c r="G499" s="39"/>
      <c r="H499" s="39"/>
      <c r="I499" s="39"/>
      <c r="J499" s="40"/>
    </row>
    <row r="500" spans="2:10" s="1" customFormat="1" ht="13.2" x14ac:dyDescent="0.25">
      <c r="B500" s="45"/>
      <c r="C500" s="58"/>
      <c r="D500" s="59"/>
      <c r="E500" s="39"/>
      <c r="F500" s="39"/>
      <c r="G500" s="39"/>
      <c r="H500" s="39"/>
      <c r="I500" s="39"/>
      <c r="J500" s="40"/>
    </row>
    <row r="501" spans="2:10" s="1" customFormat="1" ht="13.2" x14ac:dyDescent="0.25">
      <c r="B501" s="45"/>
      <c r="C501" s="58"/>
      <c r="D501" s="59"/>
      <c r="E501" s="39"/>
      <c r="F501" s="39"/>
      <c r="G501" s="39"/>
      <c r="H501" s="39"/>
      <c r="I501" s="39"/>
      <c r="J501" s="40"/>
    </row>
    <row r="502" spans="2:10" s="1" customFormat="1" ht="13.2" x14ac:dyDescent="0.25">
      <c r="B502" s="45"/>
      <c r="C502" s="58"/>
      <c r="D502" s="59"/>
      <c r="E502" s="39"/>
      <c r="F502" s="39"/>
      <c r="G502" s="39"/>
      <c r="H502" s="39"/>
      <c r="I502" s="39"/>
      <c r="J502" s="40"/>
    </row>
    <row r="503" spans="2:10" s="1" customFormat="1" ht="13.2" x14ac:dyDescent="0.25">
      <c r="B503" s="45"/>
      <c r="C503" s="58"/>
      <c r="D503" s="59"/>
      <c r="E503" s="39"/>
      <c r="F503" s="39"/>
      <c r="G503" s="39"/>
      <c r="H503" s="39"/>
      <c r="I503" s="39"/>
      <c r="J503" s="40"/>
    </row>
    <row r="504" spans="2:10" s="1" customFormat="1" ht="13.2" x14ac:dyDescent="0.25">
      <c r="B504" s="45"/>
      <c r="C504" s="58"/>
      <c r="D504" s="59"/>
      <c r="E504" s="39"/>
      <c r="F504" s="39"/>
      <c r="G504" s="39"/>
      <c r="H504" s="39"/>
      <c r="I504" s="39"/>
      <c r="J504" s="40"/>
    </row>
    <row r="505" spans="2:10" s="1" customFormat="1" ht="13.2" x14ac:dyDescent="0.25">
      <c r="B505" s="45"/>
      <c r="C505" s="58"/>
      <c r="D505" s="59"/>
      <c r="E505" s="39"/>
      <c r="F505" s="39"/>
      <c r="G505" s="39"/>
      <c r="H505" s="39"/>
      <c r="I505" s="39"/>
      <c r="J505" s="40"/>
    </row>
    <row r="506" spans="2:10" s="1" customFormat="1" ht="13.2" x14ac:dyDescent="0.25">
      <c r="B506" s="45"/>
      <c r="C506" s="58"/>
      <c r="D506" s="59"/>
      <c r="E506" s="39"/>
      <c r="F506" s="39"/>
      <c r="G506" s="39"/>
      <c r="H506" s="39"/>
      <c r="I506" s="39"/>
      <c r="J506" s="40"/>
    </row>
    <row r="507" spans="2:10" s="1" customFormat="1" ht="13.2" x14ac:dyDescent="0.25">
      <c r="B507" s="45"/>
      <c r="C507" s="58"/>
      <c r="D507" s="59"/>
      <c r="E507" s="39"/>
      <c r="F507" s="39"/>
      <c r="G507" s="39"/>
      <c r="H507" s="39"/>
      <c r="I507" s="39"/>
      <c r="J507" s="40"/>
    </row>
    <row r="508" spans="2:10" s="1" customFormat="1" ht="13.2" x14ac:dyDescent="0.25">
      <c r="B508" s="45"/>
      <c r="C508" s="58"/>
      <c r="D508" s="59"/>
      <c r="E508" s="39"/>
      <c r="F508" s="39"/>
      <c r="G508" s="39"/>
      <c r="H508" s="39"/>
      <c r="I508" s="39"/>
      <c r="J508" s="40"/>
    </row>
    <row r="509" spans="2:10" s="1" customFormat="1" ht="13.2" x14ac:dyDescent="0.25">
      <c r="B509" s="45"/>
      <c r="C509" s="58"/>
      <c r="D509" s="59"/>
      <c r="E509" s="39"/>
      <c r="F509" s="39"/>
      <c r="G509" s="39"/>
      <c r="H509" s="39"/>
      <c r="I509" s="39"/>
      <c r="J509" s="40"/>
    </row>
    <row r="510" spans="2:10" s="1" customFormat="1" ht="13.2" x14ac:dyDescent="0.25">
      <c r="B510" s="45"/>
      <c r="C510" s="58"/>
      <c r="D510" s="59"/>
      <c r="E510" s="39"/>
      <c r="F510" s="39"/>
      <c r="G510" s="39"/>
      <c r="H510" s="39"/>
      <c r="I510" s="39"/>
      <c r="J510" s="40"/>
    </row>
    <row r="511" spans="2:10" s="1" customFormat="1" ht="13.2" x14ac:dyDescent="0.25">
      <c r="B511" s="45"/>
      <c r="C511" s="58"/>
      <c r="D511" s="59"/>
      <c r="E511" s="39"/>
      <c r="F511" s="39"/>
      <c r="G511" s="39"/>
      <c r="H511" s="39"/>
      <c r="I511" s="39"/>
      <c r="J511" s="40"/>
    </row>
    <row r="512" spans="2:10" s="1" customFormat="1" ht="13.2" x14ac:dyDescent="0.25">
      <c r="B512" s="45"/>
      <c r="C512" s="58"/>
      <c r="D512" s="59"/>
      <c r="E512" s="39"/>
      <c r="F512" s="39"/>
      <c r="G512" s="39"/>
      <c r="H512" s="39"/>
      <c r="I512" s="39"/>
      <c r="J512" s="40"/>
    </row>
    <row r="513" spans="2:10" s="1" customFormat="1" ht="13.2" x14ac:dyDescent="0.25">
      <c r="B513" s="45"/>
      <c r="C513" s="58"/>
      <c r="D513" s="59"/>
      <c r="E513" s="39"/>
      <c r="F513" s="39"/>
      <c r="G513" s="39"/>
      <c r="H513" s="39"/>
      <c r="I513" s="39"/>
      <c r="J513" s="40"/>
    </row>
    <row r="514" spans="2:10" s="1" customFormat="1" ht="13.2" x14ac:dyDescent="0.25">
      <c r="B514" s="45"/>
      <c r="C514" s="58"/>
      <c r="D514" s="59"/>
      <c r="E514" s="39"/>
      <c r="F514" s="39"/>
      <c r="G514" s="39"/>
      <c r="H514" s="39"/>
      <c r="I514" s="39"/>
      <c r="J514" s="40"/>
    </row>
    <row r="515" spans="2:10" s="1" customFormat="1" ht="13.2" x14ac:dyDescent="0.25">
      <c r="B515" s="45"/>
      <c r="C515" s="58"/>
      <c r="D515" s="59"/>
      <c r="E515" s="39"/>
      <c r="F515" s="39"/>
      <c r="G515" s="39"/>
      <c r="H515" s="39"/>
      <c r="I515" s="39"/>
      <c r="J515" s="40"/>
    </row>
    <row r="516" spans="2:10" s="1" customFormat="1" ht="13.2" x14ac:dyDescent="0.25">
      <c r="B516" s="45"/>
      <c r="C516" s="58"/>
      <c r="D516" s="59"/>
      <c r="E516" s="39"/>
      <c r="F516" s="39"/>
      <c r="G516" s="39"/>
      <c r="H516" s="39"/>
      <c r="I516" s="39"/>
      <c r="J516" s="40"/>
    </row>
    <row r="517" spans="2:10" s="1" customFormat="1" ht="13.2" x14ac:dyDescent="0.25">
      <c r="B517" s="45"/>
      <c r="C517" s="58"/>
      <c r="D517" s="59"/>
      <c r="E517" s="39"/>
      <c r="F517" s="39"/>
      <c r="G517" s="39"/>
      <c r="H517" s="39"/>
      <c r="I517" s="39"/>
      <c r="J517" s="40"/>
    </row>
    <row r="518" spans="2:10" s="1" customFormat="1" ht="13.2" x14ac:dyDescent="0.25">
      <c r="B518" s="45"/>
      <c r="C518" s="58"/>
      <c r="D518" s="59"/>
      <c r="E518" s="39"/>
      <c r="F518" s="39"/>
      <c r="G518" s="39"/>
      <c r="H518" s="39"/>
      <c r="I518" s="39"/>
      <c r="J518" s="40"/>
    </row>
    <row r="519" spans="2:10" s="1" customFormat="1" ht="13.2" x14ac:dyDescent="0.25">
      <c r="B519" s="45"/>
      <c r="C519" s="58"/>
      <c r="D519" s="59"/>
      <c r="E519" s="39"/>
      <c r="F519" s="39"/>
      <c r="G519" s="39"/>
      <c r="H519" s="39"/>
      <c r="I519" s="39"/>
      <c r="J519" s="40"/>
    </row>
    <row r="520" spans="2:10" s="1" customFormat="1" ht="13.2" x14ac:dyDescent="0.25">
      <c r="B520" s="45"/>
      <c r="C520" s="58"/>
      <c r="D520" s="59"/>
      <c r="E520" s="39"/>
      <c r="F520" s="39"/>
      <c r="G520" s="39"/>
      <c r="H520" s="39"/>
      <c r="I520" s="39"/>
      <c r="J520" s="40"/>
    </row>
    <row r="521" spans="2:10" s="1" customFormat="1" ht="13.2" x14ac:dyDescent="0.25">
      <c r="B521" s="45"/>
      <c r="C521" s="58"/>
      <c r="D521" s="59"/>
      <c r="E521" s="39"/>
      <c r="F521" s="39"/>
      <c r="G521" s="39"/>
      <c r="H521" s="39"/>
      <c r="I521" s="39"/>
      <c r="J521" s="40"/>
    </row>
    <row r="522" spans="2:10" s="1" customFormat="1" ht="13.2" x14ac:dyDescent="0.25">
      <c r="B522" s="45"/>
      <c r="C522" s="58"/>
      <c r="D522" s="59"/>
      <c r="E522" s="39"/>
      <c r="F522" s="39"/>
      <c r="G522" s="39"/>
      <c r="H522" s="39"/>
      <c r="I522" s="39"/>
      <c r="J522" s="40"/>
    </row>
    <row r="523" spans="2:10" s="1" customFormat="1" ht="13.2" x14ac:dyDescent="0.25">
      <c r="C523" s="141" t="s">
        <v>0</v>
      </c>
      <c r="D523" s="141"/>
      <c r="E523" s="141"/>
      <c r="F523" s="141"/>
      <c r="G523" s="141"/>
      <c r="H523" s="141"/>
    </row>
    <row r="524" spans="2:10" s="1" customFormat="1" ht="13.2" x14ac:dyDescent="0.25">
      <c r="C524" s="128" t="s">
        <v>1</v>
      </c>
      <c r="D524" s="128"/>
      <c r="E524" s="128"/>
      <c r="F524" s="128"/>
      <c r="G524" s="128"/>
      <c r="H524" s="128"/>
    </row>
    <row r="525" spans="2:10" s="1" customFormat="1" ht="13.2" x14ac:dyDescent="0.25">
      <c r="C525" s="128" t="s">
        <v>2</v>
      </c>
      <c r="D525" s="128"/>
      <c r="E525" s="128"/>
      <c r="F525" s="128"/>
      <c r="G525" s="128"/>
      <c r="H525" s="128"/>
    </row>
    <row r="526" spans="2:10" s="1" customFormat="1" ht="13.2" x14ac:dyDescent="0.25">
      <c r="C526" s="129" t="s">
        <v>3</v>
      </c>
      <c r="D526" s="129"/>
      <c r="E526" s="129"/>
      <c r="F526" s="129"/>
      <c r="G526" s="129"/>
      <c r="H526" s="129"/>
    </row>
    <row r="527" spans="2:10" s="1" customFormat="1" ht="13.2" x14ac:dyDescent="0.25">
      <c r="C527" s="52"/>
      <c r="D527" s="52"/>
      <c r="E527" s="52"/>
      <c r="F527" s="52"/>
      <c r="G527" s="52"/>
      <c r="H527" s="52"/>
    </row>
    <row r="528" spans="2:10" s="1" customFormat="1" ht="26.25" customHeight="1" x14ac:dyDescent="0.25">
      <c r="B528" s="84" t="s">
        <v>458</v>
      </c>
      <c r="C528" s="85"/>
      <c r="D528" s="85"/>
      <c r="E528" s="85"/>
      <c r="F528" s="85"/>
      <c r="G528" s="85"/>
      <c r="H528" s="85"/>
      <c r="I528" s="85"/>
      <c r="J528" s="86"/>
    </row>
    <row r="529" spans="2:10" s="1" customFormat="1" ht="21" x14ac:dyDescent="0.25">
      <c r="B529" s="87" t="s">
        <v>473</v>
      </c>
      <c r="C529" s="88"/>
      <c r="D529" s="88"/>
      <c r="E529" s="88"/>
      <c r="F529" s="88"/>
      <c r="G529" s="88"/>
      <c r="H529" s="88"/>
      <c r="I529" s="88"/>
      <c r="J529" s="89"/>
    </row>
    <row r="530" spans="2:10" s="1" customFormat="1" ht="13.8" thickBot="1" x14ac:dyDescent="0.3">
      <c r="B530" s="53"/>
      <c r="C530" s="53"/>
      <c r="D530" s="53"/>
      <c r="E530" s="53"/>
      <c r="F530" s="53"/>
      <c r="G530" s="53"/>
      <c r="H530" s="53"/>
      <c r="I530" s="53"/>
      <c r="J530" s="53"/>
    </row>
    <row r="531" spans="2:10" s="1" customFormat="1" ht="24.75" customHeight="1" x14ac:dyDescent="0.25">
      <c r="B531" s="123" t="s">
        <v>6</v>
      </c>
      <c r="C531" s="124"/>
      <c r="D531" s="124"/>
      <c r="E531" s="124"/>
      <c r="F531" s="124"/>
      <c r="G531" s="124"/>
      <c r="H531" s="124"/>
      <c r="I531" s="124"/>
      <c r="J531" s="125"/>
    </row>
    <row r="532" spans="2:10" s="1" customFormat="1" ht="13.2" x14ac:dyDescent="0.25">
      <c r="B532" s="2" t="s">
        <v>7</v>
      </c>
      <c r="C532" s="3" t="s">
        <v>8</v>
      </c>
      <c r="D532" s="3"/>
      <c r="E532" s="4"/>
      <c r="F532" s="5"/>
      <c r="G532" s="6" t="s">
        <v>9</v>
      </c>
      <c r="H532" s="126">
        <v>42879</v>
      </c>
      <c r="I532" s="126"/>
      <c r="J532" s="7"/>
    </row>
    <row r="533" spans="2:10" s="1" customFormat="1" ht="13.2" x14ac:dyDescent="0.25">
      <c r="B533" s="2" t="s">
        <v>10</v>
      </c>
      <c r="C533" s="3" t="s">
        <v>11</v>
      </c>
      <c r="F533" s="3"/>
      <c r="G533" s="8" t="s">
        <v>12</v>
      </c>
      <c r="H533" s="4" t="s">
        <v>11</v>
      </c>
      <c r="I533" s="9"/>
      <c r="J533" s="10"/>
    </row>
    <row r="534" spans="2:10" s="1" customFormat="1" ht="13.2" x14ac:dyDescent="0.25">
      <c r="B534" s="2" t="s">
        <v>13</v>
      </c>
      <c r="C534" s="3" t="s">
        <v>11</v>
      </c>
      <c r="F534" s="3"/>
      <c r="G534" s="8" t="s">
        <v>14</v>
      </c>
      <c r="H534" s="4" t="s">
        <v>15</v>
      </c>
      <c r="I534" s="9"/>
      <c r="J534" s="10"/>
    </row>
    <row r="535" spans="2:10" s="1" customFormat="1" ht="13.8" thickBot="1" x14ac:dyDescent="0.3">
      <c r="B535" s="11" t="s">
        <v>16</v>
      </c>
      <c r="C535" s="12" t="s">
        <v>17</v>
      </c>
      <c r="D535" s="13"/>
      <c r="E535" s="13"/>
      <c r="F535" s="12"/>
      <c r="G535" s="14" t="s">
        <v>18</v>
      </c>
      <c r="H535" s="15" t="s">
        <v>19</v>
      </c>
      <c r="I535" s="16"/>
      <c r="J535" s="17"/>
    </row>
    <row r="536" spans="2:10" s="1" customFormat="1" ht="13.2" x14ac:dyDescent="0.25">
      <c r="B536" s="53"/>
      <c r="C536" s="53"/>
      <c r="D536" s="53"/>
      <c r="E536" s="53"/>
      <c r="F536" s="53"/>
      <c r="G536" s="53"/>
      <c r="H536" s="53"/>
      <c r="I536" s="53"/>
      <c r="J536" s="53"/>
    </row>
    <row r="537" spans="2:10" s="1" customFormat="1" ht="13.2" x14ac:dyDescent="0.25">
      <c r="B537" s="20" t="s">
        <v>20</v>
      </c>
      <c r="C537" s="21" t="s">
        <v>21</v>
      </c>
      <c r="D537" s="21" t="s">
        <v>460</v>
      </c>
      <c r="E537" s="21" t="s">
        <v>461</v>
      </c>
      <c r="F537" s="21" t="s">
        <v>462</v>
      </c>
      <c r="G537" s="21" t="s">
        <v>463</v>
      </c>
      <c r="H537" s="21" t="s">
        <v>464</v>
      </c>
      <c r="I537" s="21" t="s">
        <v>22</v>
      </c>
      <c r="J537" s="21" t="s">
        <v>23</v>
      </c>
    </row>
    <row r="538" spans="2:10" s="1" customFormat="1" ht="13.2" x14ac:dyDescent="0.25">
      <c r="B538" s="54">
        <v>4.03</v>
      </c>
      <c r="C538" s="55" t="s">
        <v>182</v>
      </c>
      <c r="D538" s="59"/>
      <c r="E538" s="39"/>
      <c r="F538" s="39"/>
      <c r="G538" s="39"/>
      <c r="H538" s="39"/>
      <c r="I538" s="39"/>
      <c r="J538" s="40"/>
    </row>
    <row r="539" spans="2:10" s="1" customFormat="1" ht="13.2" x14ac:dyDescent="0.25">
      <c r="B539" s="72" t="s">
        <v>183</v>
      </c>
      <c r="C539" s="72" t="s">
        <v>331</v>
      </c>
      <c r="D539" s="59"/>
      <c r="E539" s="39"/>
      <c r="F539" s="39"/>
      <c r="G539" s="39"/>
      <c r="H539" s="39"/>
      <c r="I539" s="39"/>
      <c r="J539" s="40"/>
    </row>
    <row r="540" spans="2:10" s="1" customFormat="1" ht="13.2" x14ac:dyDescent="0.25">
      <c r="B540" s="24" t="s">
        <v>185</v>
      </c>
      <c r="C540" s="27" t="s">
        <v>332</v>
      </c>
      <c r="D540" s="59"/>
      <c r="E540" s="39"/>
      <c r="F540" s="39"/>
      <c r="G540" s="39"/>
      <c r="H540" s="39"/>
      <c r="I540" s="39">
        <f>+SUM(H541:H562)</f>
        <v>86.930920000000015</v>
      </c>
      <c r="J540" s="40" t="s">
        <v>333</v>
      </c>
    </row>
    <row r="541" spans="2:10" s="1" customFormat="1" ht="14.25" customHeight="1" x14ac:dyDescent="0.25">
      <c r="B541" s="45"/>
      <c r="C541" s="38" t="s">
        <v>476</v>
      </c>
      <c r="D541" s="59">
        <v>1</v>
      </c>
      <c r="E541" s="1">
        <v>3</v>
      </c>
      <c r="F541" s="39">
        <v>0.5</v>
      </c>
      <c r="G541" s="39"/>
      <c r="H541" s="39">
        <f t="shared" ref="H541:H562" si="27">IF(AND(F541=0,G541=0),D541*E541,IF(AND(E541=0,G541=0),D541*F541,IF(AND(E541=0,F541=0),D541*G541,IF(AND(E541=0),D541*F541*G541,IF(AND(F541=0),D541*E541*G541,IF(AND(G541=0),D541*E541*F541,D541*E541*F541*G541))))))</f>
        <v>1.5</v>
      </c>
      <c r="I541" s="39"/>
      <c r="J541" s="40"/>
    </row>
    <row r="542" spans="2:10" s="1" customFormat="1" ht="14.25" customHeight="1" x14ac:dyDescent="0.25">
      <c r="B542" s="45"/>
      <c r="C542" s="38" t="s">
        <v>477</v>
      </c>
      <c r="D542" s="1">
        <v>1</v>
      </c>
      <c r="E542" s="75">
        <f>3.5+14.4</f>
        <v>17.899999999999999</v>
      </c>
      <c r="F542" s="39">
        <v>0.5</v>
      </c>
      <c r="G542" s="39"/>
      <c r="H542" s="39">
        <f t="shared" si="27"/>
        <v>8.9499999999999993</v>
      </c>
      <c r="I542" s="39"/>
      <c r="J542" s="40"/>
    </row>
    <row r="543" spans="2:10" s="1" customFormat="1" ht="14.25" customHeight="1" x14ac:dyDescent="0.25">
      <c r="B543" s="45"/>
      <c r="C543" s="38" t="s">
        <v>596</v>
      </c>
      <c r="D543" s="39">
        <v>1</v>
      </c>
      <c r="E543" s="39">
        <v>0.9</v>
      </c>
      <c r="F543" s="39">
        <v>1.2</v>
      </c>
      <c r="G543" s="39"/>
      <c r="H543" s="39">
        <f t="shared" si="27"/>
        <v>1.08</v>
      </c>
      <c r="I543" s="39"/>
      <c r="J543" s="40"/>
    </row>
    <row r="544" spans="2:10" s="1" customFormat="1" ht="14.25" customHeight="1" x14ac:dyDescent="0.25">
      <c r="B544" s="45"/>
      <c r="C544" s="38" t="s">
        <v>597</v>
      </c>
      <c r="D544" s="39">
        <v>1</v>
      </c>
      <c r="E544" s="39">
        <v>0.9</v>
      </c>
      <c r="F544" s="39">
        <v>1.2</v>
      </c>
      <c r="G544" s="39"/>
      <c r="H544" s="39">
        <f t="shared" si="27"/>
        <v>1.08</v>
      </c>
      <c r="I544" s="39"/>
      <c r="J544" s="40"/>
    </row>
    <row r="545" spans="2:10" s="1" customFormat="1" ht="14.25" customHeight="1" x14ac:dyDescent="0.25">
      <c r="B545" s="45"/>
      <c r="C545" s="38" t="s">
        <v>598</v>
      </c>
      <c r="D545" s="59">
        <v>1</v>
      </c>
      <c r="E545" s="39">
        <v>0.9</v>
      </c>
      <c r="F545" s="39">
        <v>1.2</v>
      </c>
      <c r="G545" s="39"/>
      <c r="H545" s="39">
        <f t="shared" si="27"/>
        <v>1.08</v>
      </c>
      <c r="I545" s="39"/>
      <c r="J545" s="40"/>
    </row>
    <row r="546" spans="2:10" s="1" customFormat="1" ht="14.25" customHeight="1" x14ac:dyDescent="0.25">
      <c r="B546" s="45"/>
      <c r="C546" s="38" t="s">
        <v>599</v>
      </c>
      <c r="D546" s="59">
        <v>1</v>
      </c>
      <c r="E546" s="39">
        <v>0.9</v>
      </c>
      <c r="F546" s="39">
        <v>0.9</v>
      </c>
      <c r="G546" s="39"/>
      <c r="H546" s="39">
        <f t="shared" si="27"/>
        <v>0.81</v>
      </c>
      <c r="I546" s="39"/>
      <c r="J546" s="40"/>
    </row>
    <row r="547" spans="2:10" s="1" customFormat="1" ht="14.25" customHeight="1" x14ac:dyDescent="0.25">
      <c r="B547" s="45"/>
      <c r="C547" s="38" t="s">
        <v>600</v>
      </c>
      <c r="D547" s="39">
        <v>1</v>
      </c>
      <c r="E547" s="39">
        <v>0.9</v>
      </c>
      <c r="F547" s="39">
        <v>0.9</v>
      </c>
      <c r="G547" s="39"/>
      <c r="H547" s="39">
        <f t="shared" si="27"/>
        <v>0.81</v>
      </c>
      <c r="I547" s="39"/>
      <c r="J547" s="40"/>
    </row>
    <row r="548" spans="2:10" s="1" customFormat="1" ht="14.25" customHeight="1" x14ac:dyDescent="0.25">
      <c r="B548" s="45"/>
      <c r="C548" s="38" t="s">
        <v>601</v>
      </c>
      <c r="D548" s="39">
        <v>5</v>
      </c>
      <c r="E548" s="39">
        <v>0.9</v>
      </c>
      <c r="F548" s="39">
        <v>0.9</v>
      </c>
      <c r="G548" s="39"/>
      <c r="H548" s="39">
        <f t="shared" si="27"/>
        <v>4.05</v>
      </c>
      <c r="I548" s="39"/>
      <c r="J548" s="40"/>
    </row>
    <row r="549" spans="2:10" s="1" customFormat="1" ht="14.25" customHeight="1" x14ac:dyDescent="0.25">
      <c r="B549" s="45"/>
      <c r="C549" s="38" t="s">
        <v>602</v>
      </c>
      <c r="D549" s="39">
        <v>5</v>
      </c>
      <c r="E549" s="39">
        <v>0.9</v>
      </c>
      <c r="F549" s="39">
        <v>0.9</v>
      </c>
      <c r="G549" s="39"/>
      <c r="H549" s="39">
        <f t="shared" si="27"/>
        <v>4.05</v>
      </c>
      <c r="I549" s="39"/>
      <c r="J549" s="40"/>
    </row>
    <row r="550" spans="2:10" s="1" customFormat="1" ht="14.25" customHeight="1" x14ac:dyDescent="0.25">
      <c r="B550" s="45"/>
      <c r="C550" s="38" t="s">
        <v>603</v>
      </c>
      <c r="D550" s="39">
        <v>1</v>
      </c>
      <c r="E550" s="39">
        <v>1.7</v>
      </c>
      <c r="F550" s="39">
        <v>5.9</v>
      </c>
      <c r="G550" s="39"/>
      <c r="H550" s="39">
        <f t="shared" si="27"/>
        <v>10.030000000000001</v>
      </c>
      <c r="I550" s="39"/>
      <c r="J550" s="40"/>
    </row>
    <row r="551" spans="2:10" s="1" customFormat="1" ht="14.25" customHeight="1" x14ac:dyDescent="0.25">
      <c r="B551" s="45"/>
      <c r="C551" s="38" t="s">
        <v>476</v>
      </c>
      <c r="D551" s="59">
        <v>1</v>
      </c>
      <c r="E551" s="1">
        <v>3</v>
      </c>
      <c r="F551" s="39">
        <v>0.5</v>
      </c>
      <c r="G551" s="39"/>
      <c r="H551" s="39">
        <f t="shared" si="27"/>
        <v>1.5</v>
      </c>
      <c r="I551" s="39"/>
      <c r="J551" s="40"/>
    </row>
    <row r="552" spans="2:10" s="1" customFormat="1" ht="14.25" customHeight="1" x14ac:dyDescent="0.25">
      <c r="B552" s="45"/>
      <c r="C552" s="38" t="s">
        <v>477</v>
      </c>
      <c r="D552" s="1">
        <v>1</v>
      </c>
      <c r="E552" s="75">
        <f>3.5+14.4</f>
        <v>17.899999999999999</v>
      </c>
      <c r="F552" s="39">
        <v>0.5</v>
      </c>
      <c r="G552" s="39"/>
      <c r="H552" s="39">
        <f t="shared" si="27"/>
        <v>8.9499999999999993</v>
      </c>
      <c r="I552" s="39"/>
      <c r="J552" s="40"/>
    </row>
    <row r="553" spans="2:10" s="1" customFormat="1" ht="14.25" customHeight="1" x14ac:dyDescent="0.25">
      <c r="B553" s="45"/>
      <c r="C553" s="42" t="s">
        <v>592</v>
      </c>
      <c r="D553" s="59"/>
      <c r="E553" s="39"/>
      <c r="F553" s="39"/>
      <c r="G553" s="39"/>
      <c r="H553" s="39"/>
      <c r="I553" s="39"/>
      <c r="J553" s="40"/>
    </row>
    <row r="554" spans="2:10" s="1" customFormat="1" ht="14.25" customHeight="1" x14ac:dyDescent="0.25">
      <c r="B554" s="45"/>
      <c r="C554" s="38" t="s">
        <v>604</v>
      </c>
      <c r="D554" s="59">
        <v>1</v>
      </c>
      <c r="E554" s="39">
        <f>1.28+2.12+5.96+1.38</f>
        <v>10.739999999999998</v>
      </c>
      <c r="F554" s="39">
        <v>0.5</v>
      </c>
      <c r="G554" s="39"/>
      <c r="H554" s="39">
        <f t="shared" si="27"/>
        <v>5.3699999999999992</v>
      </c>
      <c r="I554" s="39"/>
      <c r="J554" s="40"/>
    </row>
    <row r="555" spans="2:10" s="1" customFormat="1" ht="14.25" customHeight="1" x14ac:dyDescent="0.25">
      <c r="B555" s="45"/>
      <c r="C555" s="38" t="s">
        <v>605</v>
      </c>
      <c r="D555" s="59">
        <v>1</v>
      </c>
      <c r="E555" s="39">
        <v>22.1</v>
      </c>
      <c r="F555" s="39">
        <v>0.5</v>
      </c>
      <c r="G555" s="39"/>
      <c r="H555" s="39">
        <f t="shared" si="27"/>
        <v>11.05</v>
      </c>
      <c r="I555" s="39"/>
      <c r="J555" s="40"/>
    </row>
    <row r="556" spans="2:10" s="1" customFormat="1" ht="14.25" customHeight="1" x14ac:dyDescent="0.25">
      <c r="B556" s="45"/>
      <c r="C556" s="38"/>
      <c r="D556" s="59"/>
      <c r="E556" s="39"/>
      <c r="F556" s="39"/>
      <c r="G556" s="39"/>
      <c r="H556" s="39">
        <f t="shared" si="27"/>
        <v>0</v>
      </c>
      <c r="I556" s="39"/>
      <c r="J556" s="40"/>
    </row>
    <row r="557" spans="2:10" s="1" customFormat="1" ht="14.25" customHeight="1" x14ac:dyDescent="0.25">
      <c r="B557" s="45"/>
      <c r="C557" s="42" t="s">
        <v>224</v>
      </c>
      <c r="D557" s="59"/>
      <c r="E557" s="39"/>
      <c r="F557" s="39"/>
      <c r="G557" s="39"/>
      <c r="H557" s="39">
        <f t="shared" si="27"/>
        <v>0</v>
      </c>
      <c r="I557" s="39"/>
      <c r="J557" s="40"/>
    </row>
    <row r="558" spans="2:10" s="1" customFormat="1" ht="14.25" customHeight="1" x14ac:dyDescent="0.25">
      <c r="B558" s="45"/>
      <c r="C558" s="38" t="s">
        <v>478</v>
      </c>
      <c r="D558" s="39">
        <v>1</v>
      </c>
      <c r="E558" s="39">
        <v>24.15</v>
      </c>
      <c r="F558" s="39">
        <f>12*0.0254+0.4</f>
        <v>0.70479999999999998</v>
      </c>
      <c r="G558" s="39"/>
      <c r="H558" s="39">
        <f t="shared" si="27"/>
        <v>17.02092</v>
      </c>
      <c r="I558" s="39"/>
      <c r="J558" s="40"/>
    </row>
    <row r="559" spans="2:10" s="1" customFormat="1" ht="14.25" customHeight="1" x14ac:dyDescent="0.25">
      <c r="B559" s="45"/>
      <c r="C559" s="38"/>
      <c r="D559" s="59"/>
      <c r="E559" s="39"/>
      <c r="F559" s="39"/>
      <c r="G559" s="39"/>
      <c r="H559" s="39"/>
      <c r="I559" s="39"/>
      <c r="J559" s="40"/>
    </row>
    <row r="560" spans="2:10" s="1" customFormat="1" ht="14.25" customHeight="1" x14ac:dyDescent="0.25">
      <c r="B560" s="45"/>
      <c r="C560" s="42" t="s">
        <v>226</v>
      </c>
      <c r="D560" s="59"/>
      <c r="E560" s="39"/>
      <c r="F560" s="39"/>
      <c r="G560" s="39"/>
      <c r="H560" s="39"/>
      <c r="I560" s="39"/>
      <c r="J560" s="40"/>
    </row>
    <row r="561" spans="2:10" s="1" customFormat="1" ht="14.25" customHeight="1" x14ac:dyDescent="0.25">
      <c r="B561" s="45"/>
      <c r="C561" s="38" t="s">
        <v>606</v>
      </c>
      <c r="D561" s="39">
        <v>1</v>
      </c>
      <c r="E561" s="39">
        <v>4</v>
      </c>
      <c r="F561" s="39">
        <v>0.8</v>
      </c>
      <c r="G561" s="39"/>
      <c r="H561" s="39">
        <f t="shared" si="27"/>
        <v>3.2</v>
      </c>
      <c r="I561" s="39"/>
      <c r="J561" s="40"/>
    </row>
    <row r="562" spans="2:10" s="1" customFormat="1" ht="14.25" customHeight="1" x14ac:dyDescent="0.25">
      <c r="B562" s="45"/>
      <c r="C562" s="38" t="s">
        <v>607</v>
      </c>
      <c r="D562" s="59">
        <v>1</v>
      </c>
      <c r="E562" s="39">
        <v>8</v>
      </c>
      <c r="F562" s="39">
        <v>0.8</v>
      </c>
      <c r="G562" s="39"/>
      <c r="H562" s="39">
        <f t="shared" si="27"/>
        <v>6.4</v>
      </c>
      <c r="I562" s="39"/>
      <c r="J562" s="40"/>
    </row>
    <row r="563" spans="2:10" x14ac:dyDescent="0.3">
      <c r="B563" s="24" t="s">
        <v>187</v>
      </c>
      <c r="C563" s="27" t="s">
        <v>334</v>
      </c>
      <c r="D563" s="22"/>
      <c r="E563" s="22"/>
      <c r="F563" s="22"/>
      <c r="G563" s="22"/>
      <c r="H563" s="23"/>
      <c r="I563" s="24">
        <f>+I540</f>
        <v>86.930920000000015</v>
      </c>
      <c r="J563" s="25" t="s">
        <v>333</v>
      </c>
    </row>
    <row r="564" spans="2:10" s="1" customFormat="1" ht="13.2" x14ac:dyDescent="0.25">
      <c r="B564" s="45"/>
      <c r="C564" s="58"/>
      <c r="D564" s="59"/>
      <c r="E564" s="39"/>
      <c r="F564" s="39"/>
      <c r="G564" s="39"/>
      <c r="H564" s="39"/>
      <c r="I564" s="39"/>
      <c r="J564" s="40"/>
    </row>
    <row r="565" spans="2:10" s="1" customFormat="1" ht="13.2" x14ac:dyDescent="0.25">
      <c r="B565" s="72" t="s">
        <v>201</v>
      </c>
      <c r="C565" s="72" t="s">
        <v>335</v>
      </c>
      <c r="E565" s="39"/>
      <c r="F565" s="39"/>
      <c r="G565" s="39"/>
      <c r="H565" s="39"/>
      <c r="I565" s="39"/>
      <c r="J565" s="40"/>
    </row>
    <row r="566" spans="2:10" s="1" customFormat="1" ht="13.2" x14ac:dyDescent="0.25">
      <c r="B566" s="45" t="s">
        <v>203</v>
      </c>
      <c r="C566" s="27" t="s">
        <v>336</v>
      </c>
      <c r="D566" s="59"/>
      <c r="E566" s="39"/>
      <c r="F566" s="39" t="s">
        <v>608</v>
      </c>
      <c r="G566" s="39"/>
      <c r="H566" s="39"/>
      <c r="I566" s="43">
        <f>+SUM(H567:H567)</f>
        <v>20.625</v>
      </c>
      <c r="J566" s="44" t="s">
        <v>337</v>
      </c>
    </row>
    <row r="567" spans="2:10" s="1" customFormat="1" ht="13.2" x14ac:dyDescent="0.25">
      <c r="B567" s="45"/>
      <c r="C567" s="58" t="s">
        <v>609</v>
      </c>
      <c r="D567" s="59">
        <v>1</v>
      </c>
      <c r="E567" s="1">
        <v>55</v>
      </c>
      <c r="F567" s="39">
        <f>0.15*1+0.3*0.25+0.15*1</f>
        <v>0.375</v>
      </c>
      <c r="G567" s="39"/>
      <c r="H567" s="39">
        <f>IF(AND(F567=0,G567=0),D567*E567,IF(AND(E567=0,G567=0),D567*F567,IF(AND(E567=0,F567=0),D567*G567,IF(AND(E567=0),D567*F567*G567,IF(AND(F567=0),D567*E567*G567,IF(AND(G567=0),D567*E567*F567,D567*E567*F567*G567))))))</f>
        <v>20.625</v>
      </c>
      <c r="I567" s="39"/>
      <c r="J567" s="40"/>
    </row>
    <row r="568" spans="2:10" s="1" customFormat="1" ht="13.2" x14ac:dyDescent="0.25">
      <c r="B568" s="45"/>
      <c r="C568" s="58"/>
      <c r="D568" s="59"/>
      <c r="E568" s="39"/>
      <c r="F568" s="39"/>
      <c r="G568" s="39"/>
      <c r="H568" s="39"/>
      <c r="I568" s="39"/>
      <c r="J568" s="40"/>
    </row>
    <row r="569" spans="2:10" s="1" customFormat="1" ht="13.2" x14ac:dyDescent="0.25">
      <c r="B569" s="45" t="s">
        <v>205</v>
      </c>
      <c r="C569" s="27" t="s">
        <v>338</v>
      </c>
      <c r="D569" s="59"/>
      <c r="E569" s="39"/>
      <c r="F569" s="39"/>
      <c r="G569" s="39"/>
      <c r="H569" s="39"/>
      <c r="I569" s="43">
        <f>+SUM(H570:H570)</f>
        <v>108</v>
      </c>
      <c r="J569" s="40" t="s">
        <v>333</v>
      </c>
    </row>
    <row r="570" spans="2:10" s="1" customFormat="1" ht="13.2" x14ac:dyDescent="0.25">
      <c r="B570" s="45"/>
      <c r="C570" s="58" t="s">
        <v>610</v>
      </c>
      <c r="D570" s="59">
        <v>1</v>
      </c>
      <c r="E570" s="39">
        <v>120</v>
      </c>
      <c r="F570" s="39">
        <v>0.9</v>
      </c>
      <c r="G570" s="39"/>
      <c r="H570" s="39">
        <f>IF(AND(F570=0,G570=0),D570*E570,IF(AND(E570=0,G570=0),D570*F570,IF(AND(E570=0,F570=0),D570*G570,IF(AND(E570=0),D570*F570*G570,IF(AND(F570=0),D570*E570*G570,IF(AND(G570=0),D570*E570*F570,D570*E570*F570*G570))))))</f>
        <v>108</v>
      </c>
      <c r="I570" s="39"/>
      <c r="J570" s="40"/>
    </row>
    <row r="571" spans="2:10" s="1" customFormat="1" ht="13.2" x14ac:dyDescent="0.25">
      <c r="B571" s="45"/>
      <c r="C571" s="58"/>
      <c r="D571" s="59"/>
      <c r="E571" s="39"/>
      <c r="F571" s="39"/>
      <c r="G571" s="39"/>
      <c r="H571" s="39"/>
    </row>
    <row r="572" spans="2:10" s="1" customFormat="1" ht="13.2" x14ac:dyDescent="0.25">
      <c r="B572" s="72" t="s">
        <v>233</v>
      </c>
      <c r="C572" s="72" t="s">
        <v>339</v>
      </c>
      <c r="D572" s="59"/>
      <c r="E572" s="39"/>
      <c r="F572" s="39"/>
      <c r="G572" s="39"/>
      <c r="H572" s="39"/>
    </row>
    <row r="573" spans="2:10" s="1" customFormat="1" ht="13.2" x14ac:dyDescent="0.25">
      <c r="B573" s="24" t="s">
        <v>235</v>
      </c>
      <c r="C573" s="27" t="s">
        <v>340</v>
      </c>
      <c r="D573" s="59"/>
      <c r="E573" s="39"/>
      <c r="F573" s="39"/>
      <c r="G573" s="39"/>
      <c r="H573" s="39"/>
      <c r="I573" s="121">
        <f>+I569</f>
        <v>108</v>
      </c>
      <c r="J573" s="1" t="s">
        <v>333</v>
      </c>
    </row>
    <row r="574" spans="2:10" s="1" customFormat="1" ht="13.2" x14ac:dyDescent="0.25">
      <c r="B574" s="107"/>
      <c r="C574" s="91"/>
      <c r="D574" s="59"/>
      <c r="E574" s="39"/>
      <c r="F574" s="39"/>
      <c r="G574" s="39"/>
      <c r="H574" s="39"/>
    </row>
    <row r="575" spans="2:10" s="1" customFormat="1" ht="13.2" x14ac:dyDescent="0.25">
      <c r="B575" s="24" t="s">
        <v>237</v>
      </c>
      <c r="C575" s="27" t="s">
        <v>611</v>
      </c>
      <c r="D575" s="59">
        <v>1</v>
      </c>
      <c r="E575" s="39">
        <v>15</v>
      </c>
      <c r="F575" s="39">
        <v>1.2</v>
      </c>
      <c r="G575" s="39"/>
      <c r="H575" s="39">
        <f>IF(AND(F575=0,G575=0),D575*E575,IF(AND(E575=0,G575=0),D575*F575,IF(AND(E575=0,F575=0),D575*G575,IF(AND(E575=0),D575*F575*G575,IF(AND(F575=0),D575*E575*G575,IF(AND(G575=0),D575*E575*F575,D575*E575*F575*G575))))))</f>
        <v>18</v>
      </c>
      <c r="I575" s="43">
        <f>+SUM(H575:H575)</f>
        <v>18</v>
      </c>
      <c r="J575" s="40" t="s">
        <v>612</v>
      </c>
    </row>
    <row r="576" spans="2:10" s="1" customFormat="1" ht="13.2" x14ac:dyDescent="0.25">
      <c r="B576" s="45"/>
      <c r="C576" s="58"/>
      <c r="D576" s="59"/>
      <c r="E576" s="39"/>
      <c r="F576" s="39"/>
      <c r="G576" s="39"/>
      <c r="H576" s="39"/>
      <c r="I576" s="39"/>
      <c r="J576" s="40"/>
    </row>
    <row r="577" spans="2:10" s="1" customFormat="1" ht="13.2" x14ac:dyDescent="0.25">
      <c r="B577" s="72" t="s">
        <v>344</v>
      </c>
      <c r="C577" s="72" t="s">
        <v>342</v>
      </c>
      <c r="D577" s="59"/>
      <c r="E577" s="39"/>
      <c r="F577" s="39" t="s">
        <v>608</v>
      </c>
      <c r="G577" s="39"/>
      <c r="H577" s="39"/>
    </row>
    <row r="578" spans="2:10" s="1" customFormat="1" ht="13.2" x14ac:dyDescent="0.25">
      <c r="B578" s="24" t="s">
        <v>346</v>
      </c>
      <c r="C578" s="1" t="s">
        <v>343</v>
      </c>
      <c r="I578" s="43">
        <f>+SUM(H580:H581)</f>
        <v>31.425000000000001</v>
      </c>
      <c r="J578" s="44" t="s">
        <v>337</v>
      </c>
    </row>
    <row r="579" spans="2:10" s="1" customFormat="1" ht="13.2" x14ac:dyDescent="0.25">
      <c r="B579" s="45"/>
      <c r="C579" s="58"/>
      <c r="D579" s="59"/>
      <c r="F579" s="39" t="s">
        <v>613</v>
      </c>
      <c r="G579" s="39"/>
      <c r="H579" s="39"/>
      <c r="I579" s="39"/>
      <c r="J579" s="40"/>
    </row>
    <row r="580" spans="2:10" s="1" customFormat="1" ht="13.2" x14ac:dyDescent="0.25">
      <c r="B580" s="90"/>
      <c r="C580" s="58" t="s">
        <v>609</v>
      </c>
      <c r="D580" s="59">
        <v>1</v>
      </c>
      <c r="E580" s="1">
        <v>55</v>
      </c>
      <c r="F580" s="39">
        <f>0.15*1+0.3*0.25+0.15*1</f>
        <v>0.375</v>
      </c>
      <c r="G580" s="39"/>
      <c r="H580" s="39">
        <f>IF(AND(F580=0,G580=0),D580*E580,IF(AND(E580=0,G580=0),D580*F580,IF(AND(E580=0,F580=0),D580*G580,IF(AND(E580=0),D580*F580*G580,IF(AND(F580=0),D580*E580*G580,IF(AND(G580=0),D580*E580*F580,D580*E580*F580*G580))))))</f>
        <v>20.625</v>
      </c>
      <c r="I580" s="43"/>
      <c r="J580" s="44"/>
    </row>
    <row r="581" spans="2:10" s="1" customFormat="1" ht="13.2" x14ac:dyDescent="0.25">
      <c r="B581" s="45"/>
      <c r="C581" s="58" t="s">
        <v>610</v>
      </c>
      <c r="D581" s="59">
        <v>1</v>
      </c>
      <c r="E581" s="39">
        <v>120</v>
      </c>
      <c r="F581" s="39">
        <v>0.9</v>
      </c>
      <c r="G581" s="39">
        <v>0.1</v>
      </c>
      <c r="H581" s="39">
        <f>IF(AND(F581=0,G581=0),D581*E581,IF(AND(E581=0,G581=0),D581*F581,IF(AND(E581=0,F581=0),D581*G581,IF(AND(E581=0),D581*F581*G581,IF(AND(F581=0),D581*E581*G581,IF(AND(G581=0),D581*E581*F581,D581*E581*F581*G581))))))</f>
        <v>10.8</v>
      </c>
      <c r="I581" s="39"/>
      <c r="J581" s="40"/>
    </row>
    <row r="582" spans="2:10" s="1" customFormat="1" ht="13.2" x14ac:dyDescent="0.25">
      <c r="B582" s="45"/>
      <c r="C582" s="58"/>
      <c r="D582" s="59"/>
      <c r="E582" s="39"/>
      <c r="F582" s="39"/>
      <c r="G582" s="39"/>
      <c r="H582" s="39"/>
      <c r="I582" s="39"/>
      <c r="J582" s="40"/>
    </row>
    <row r="583" spans="2:10" x14ac:dyDescent="0.3">
      <c r="B583" s="72" t="s">
        <v>359</v>
      </c>
      <c r="C583" s="72" t="s">
        <v>345</v>
      </c>
      <c r="D583" s="22"/>
      <c r="E583" s="22"/>
      <c r="F583" s="22"/>
      <c r="G583" s="22"/>
      <c r="H583" s="23"/>
      <c r="I583" s="24"/>
      <c r="J583" s="25"/>
    </row>
    <row r="584" spans="2:10" s="1" customFormat="1" ht="13.2" x14ac:dyDescent="0.25">
      <c r="B584" s="24" t="s">
        <v>361</v>
      </c>
      <c r="C584" s="1" t="s">
        <v>347</v>
      </c>
      <c r="D584" s="59"/>
      <c r="E584" s="39"/>
      <c r="F584" s="39"/>
      <c r="G584" s="39"/>
      <c r="H584" s="23"/>
      <c r="I584" s="24">
        <f>+SUM(H585:H586)</f>
        <v>11.967499999999999</v>
      </c>
      <c r="J584" s="25" t="s">
        <v>337</v>
      </c>
    </row>
    <row r="585" spans="2:10" s="1" customFormat="1" ht="13.2" x14ac:dyDescent="0.25">
      <c r="B585" s="24"/>
      <c r="C585" s="38" t="s">
        <v>476</v>
      </c>
      <c r="D585" s="59">
        <v>1</v>
      </c>
      <c r="E585" s="1">
        <v>3</v>
      </c>
      <c r="F585" s="39">
        <v>0.5</v>
      </c>
      <c r="G585" s="39">
        <f>0.32+0.2</f>
        <v>0.52</v>
      </c>
      <c r="H585" s="39">
        <f>IF(AND(F585=0,G585=0),D585*E585,IF(AND(E585=0,G585=0),D585*F585,IF(AND(E585=0,F585=0),D585*G585,IF(AND(E585=0),D585*F585*G585,IF(AND(F585=0),D585*E585*G585,IF(AND(G585=0),D585*E585*F585,D585*E585*F585*G585))))))</f>
        <v>0.78</v>
      </c>
      <c r="I585" s="39"/>
      <c r="J585" s="40"/>
    </row>
    <row r="586" spans="2:10" s="1" customFormat="1" ht="13.2" x14ac:dyDescent="0.25">
      <c r="B586" s="24"/>
      <c r="C586" s="38" t="s">
        <v>477</v>
      </c>
      <c r="D586" s="1">
        <v>1</v>
      </c>
      <c r="E586" s="75">
        <f>3.5+14.4</f>
        <v>17.899999999999999</v>
      </c>
      <c r="F586" s="39">
        <v>0.5</v>
      </c>
      <c r="G586" s="39">
        <f>1+0.25</f>
        <v>1.25</v>
      </c>
      <c r="H586" s="39">
        <f>IF(AND(F586=0,G586=0),D586*E586,IF(AND(E586=0,G586=0),D586*F586,IF(AND(E586=0,F586=0),D586*G586,IF(AND(E586=0),D586*F586*G586,IF(AND(F586=0),D586*E586*G586,IF(AND(G586=0),D586*E586*F586,D586*E586*F586*G586))))))</f>
        <v>11.1875</v>
      </c>
      <c r="I586" s="39"/>
      <c r="J586" s="40"/>
    </row>
    <row r="587" spans="2:10" s="1" customFormat="1" ht="13.2" x14ac:dyDescent="0.25">
      <c r="B587" s="24" t="s">
        <v>363</v>
      </c>
      <c r="C587" s="1" t="s">
        <v>348</v>
      </c>
      <c r="D587" s="59"/>
      <c r="E587" s="39"/>
      <c r="F587" s="39"/>
      <c r="G587" s="39"/>
      <c r="H587" s="23"/>
      <c r="I587" s="24">
        <f>+SUM(H588:H595)</f>
        <v>30.404500000000002</v>
      </c>
      <c r="J587" s="25" t="s">
        <v>337</v>
      </c>
    </row>
    <row r="588" spans="2:10" s="1" customFormat="1" ht="13.2" x14ac:dyDescent="0.25">
      <c r="B588" s="56"/>
      <c r="C588" s="38" t="s">
        <v>596</v>
      </c>
      <c r="D588" s="39">
        <v>1</v>
      </c>
      <c r="E588" s="39">
        <v>0.9</v>
      </c>
      <c r="F588" s="39">
        <v>1.2</v>
      </c>
      <c r="G588" s="39">
        <f>0.92+0.25</f>
        <v>1.17</v>
      </c>
      <c r="H588" s="39">
        <f>IF(AND(F588=0,G588=0),D588*E588,IF(AND(E588=0,G588=0),D588*F588,IF(AND(E588=0,F588=0),D588*G588,IF(AND(E588=0),D588*F588*G588,IF(AND(F588=0),D588*E588*G588,IF(AND(G588=0),D588*E588*F588,D588*E588*F588*G588))))))</f>
        <v>1.2636000000000001</v>
      </c>
      <c r="I588" s="39"/>
      <c r="J588" s="40"/>
    </row>
    <row r="589" spans="2:10" s="1" customFormat="1" ht="13.2" x14ac:dyDescent="0.25">
      <c r="B589" s="56"/>
      <c r="C589" s="38" t="s">
        <v>597</v>
      </c>
      <c r="D589" s="39">
        <v>1</v>
      </c>
      <c r="E589" s="39">
        <v>0.9</v>
      </c>
      <c r="F589" s="39">
        <v>1.2</v>
      </c>
      <c r="G589" s="39">
        <f>1.07+0.25</f>
        <v>1.32</v>
      </c>
      <c r="H589" s="39">
        <f>IF(AND(F589=0,G589=0),D589*E589,IF(AND(E589=0,G589=0),D589*F589,IF(AND(E589=0,F589=0),D589*G589,IF(AND(E589=0),D589*F589*G589,IF(AND(F589=0),D589*E589*G589,IF(AND(G589=0),D589*E589*F589,D589*E589*F589*G589))))))</f>
        <v>1.4256000000000002</v>
      </c>
      <c r="I589" s="39"/>
      <c r="J589" s="40"/>
    </row>
    <row r="590" spans="2:10" s="1" customFormat="1" ht="13.2" x14ac:dyDescent="0.25">
      <c r="B590" s="56"/>
      <c r="C590" s="38" t="s">
        <v>598</v>
      </c>
      <c r="D590" s="59">
        <v>1</v>
      </c>
      <c r="E590" s="39">
        <v>0.9</v>
      </c>
      <c r="F590" s="39">
        <v>1.2</v>
      </c>
      <c r="G590" s="39">
        <f>0.61+0.25</f>
        <v>0.86</v>
      </c>
      <c r="H590" s="39">
        <f>IF(AND(F590=0,G590=0),D590*E590,IF(AND(E590=0,G590=0),D590*F590,IF(AND(E590=0,F590=0),D590*G590,IF(AND(E590=0),D590*F590*G590,IF(AND(F590=0),D590*E590*G590,IF(AND(G590=0),D590*E590*F590,D590*E590*F590*G590))))))</f>
        <v>0.92880000000000007</v>
      </c>
      <c r="I590" s="39"/>
      <c r="J590" s="40"/>
    </row>
    <row r="591" spans="2:10" s="1" customFormat="1" ht="13.2" x14ac:dyDescent="0.25">
      <c r="B591" s="56"/>
      <c r="C591" s="38" t="s">
        <v>599</v>
      </c>
      <c r="D591" s="59">
        <v>1</v>
      </c>
      <c r="E591" s="39">
        <v>0.9</v>
      </c>
      <c r="F591" s="39">
        <v>0.9</v>
      </c>
      <c r="G591" s="39">
        <f>0.7+0.25</f>
        <v>0.95</v>
      </c>
      <c r="H591" s="39">
        <f t="shared" ref="H591:H595" si="28">IF(AND(F591=0,G591=0),D591*E591,IF(AND(E591=0,G591=0),D591*F591,IF(AND(E591=0,F591=0),D591*G591,IF(AND(E591=0),D591*F591*G591,IF(AND(F591=0),D591*E591*G591,IF(AND(G591=0),D591*E591*F591,D591*E591*F591*G591))))))</f>
        <v>0.76949999999999996</v>
      </c>
      <c r="I591" s="39"/>
      <c r="J591" s="40"/>
    </row>
    <row r="592" spans="2:10" s="1" customFormat="1" ht="13.2" x14ac:dyDescent="0.25">
      <c r="B592" s="56"/>
      <c r="C592" s="38" t="s">
        <v>600</v>
      </c>
      <c r="D592" s="39">
        <v>1</v>
      </c>
      <c r="E592" s="39">
        <v>0.9</v>
      </c>
      <c r="F592" s="39">
        <v>0.9</v>
      </c>
      <c r="G592" s="39">
        <f>0.7+0.25</f>
        <v>0.95</v>
      </c>
      <c r="H592" s="39">
        <f t="shared" si="28"/>
        <v>0.76949999999999996</v>
      </c>
      <c r="I592" s="39"/>
      <c r="J592" s="40"/>
    </row>
    <row r="593" spans="2:10" s="1" customFormat="1" ht="13.2" x14ac:dyDescent="0.25">
      <c r="B593" s="56"/>
      <c r="C593" s="38" t="s">
        <v>601</v>
      </c>
      <c r="D593" s="39">
        <v>5</v>
      </c>
      <c r="E593" s="39">
        <v>0.9</v>
      </c>
      <c r="F593" s="39">
        <v>0.9</v>
      </c>
      <c r="G593" s="39">
        <f>0.7+0.25</f>
        <v>0.95</v>
      </c>
      <c r="H593" s="39">
        <f t="shared" si="28"/>
        <v>3.8474999999999997</v>
      </c>
      <c r="I593" s="39"/>
      <c r="J593" s="40"/>
    </row>
    <row r="594" spans="2:10" s="1" customFormat="1" ht="13.2" x14ac:dyDescent="0.25">
      <c r="B594" s="56"/>
      <c r="C594" s="38" t="s">
        <v>602</v>
      </c>
      <c r="D594" s="39">
        <v>5</v>
      </c>
      <c r="E594" s="39">
        <v>0.9</v>
      </c>
      <c r="F594" s="39">
        <v>0.9</v>
      </c>
      <c r="G594" s="39">
        <f>0.7+0.25</f>
        <v>0.95</v>
      </c>
      <c r="H594" s="39">
        <f t="shared" si="28"/>
        <v>3.8474999999999997</v>
      </c>
      <c r="I594" s="39"/>
      <c r="J594" s="40"/>
    </row>
    <row r="595" spans="2:10" s="1" customFormat="1" ht="13.2" x14ac:dyDescent="0.25">
      <c r="B595" s="114"/>
      <c r="C595" s="38" t="s">
        <v>603</v>
      </c>
      <c r="D595" s="39">
        <v>1</v>
      </c>
      <c r="E595" s="39">
        <v>1.7</v>
      </c>
      <c r="F595" s="39">
        <v>5.9</v>
      </c>
      <c r="G595" s="39">
        <f>1.45+0.3</f>
        <v>1.75</v>
      </c>
      <c r="H595" s="39">
        <f t="shared" si="28"/>
        <v>17.552500000000002</v>
      </c>
      <c r="I595" s="39"/>
      <c r="J595" s="40"/>
    </row>
    <row r="596" spans="2:10" s="1" customFormat="1" ht="13.2" x14ac:dyDescent="0.25">
      <c r="B596" s="24" t="s">
        <v>555</v>
      </c>
      <c r="C596" s="1" t="s">
        <v>349</v>
      </c>
      <c r="D596" s="59"/>
      <c r="E596" s="39"/>
      <c r="F596" s="39"/>
      <c r="G596" s="39"/>
      <c r="H596" s="39"/>
      <c r="I596" s="39">
        <f>+SUM(H598)</f>
        <v>0</v>
      </c>
      <c r="J596" s="40" t="s">
        <v>337</v>
      </c>
    </row>
    <row r="597" spans="2:10" s="1" customFormat="1" ht="13.2" x14ac:dyDescent="0.25">
      <c r="B597" s="45"/>
      <c r="C597" s="42"/>
      <c r="D597" s="59"/>
      <c r="E597" s="39"/>
      <c r="F597" s="39"/>
      <c r="G597" s="39"/>
      <c r="H597" s="39"/>
      <c r="J597" s="40"/>
    </row>
    <row r="598" spans="2:10" x14ac:dyDescent="0.3">
      <c r="B598" s="24" t="s">
        <v>556</v>
      </c>
      <c r="C598" s="115" t="s">
        <v>350</v>
      </c>
      <c r="D598" s="22"/>
      <c r="E598" s="22"/>
      <c r="F598" s="22"/>
      <c r="G598" s="22"/>
      <c r="I598" s="23">
        <f>+SUM(H599:H608)</f>
        <v>33.44</v>
      </c>
      <c r="J598" s="25" t="s">
        <v>333</v>
      </c>
    </row>
    <row r="599" spans="2:10" s="1" customFormat="1" ht="14.25" customHeight="1" x14ac:dyDescent="0.25">
      <c r="B599" s="45"/>
      <c r="C599" s="38" t="s">
        <v>476</v>
      </c>
      <c r="D599" s="59">
        <v>1</v>
      </c>
      <c r="E599" s="1">
        <v>3</v>
      </c>
      <c r="F599" s="39">
        <v>0.5</v>
      </c>
      <c r="G599" s="39"/>
      <c r="H599" s="39">
        <f>IF(AND(F599=0,G599=0),D599*E599,IF(AND(E599=0,G599=0),D599*F599,IF(AND(E599=0,F599=0),D599*G599,IF(AND(E599=0),D599*F599*G599,IF(AND(F599=0),D599*E599*G599,IF(AND(G599=0),D599*E599*F599,D599*E599*F599*G599))))))</f>
        <v>1.5</v>
      </c>
      <c r="I599" s="39"/>
      <c r="J599" s="40"/>
    </row>
    <row r="600" spans="2:10" s="1" customFormat="1" ht="14.25" customHeight="1" x14ac:dyDescent="0.25">
      <c r="B600" s="45"/>
      <c r="C600" s="38" t="s">
        <v>477</v>
      </c>
      <c r="D600" s="1">
        <v>1</v>
      </c>
      <c r="E600" s="75">
        <f>3.5+14.4</f>
        <v>17.899999999999999</v>
      </c>
      <c r="F600" s="39">
        <v>0.5</v>
      </c>
      <c r="G600" s="39"/>
      <c r="H600" s="39">
        <f>IF(AND(F600=0,G600=0),D600*E600,IF(AND(E600=0,G600=0),D600*F600,IF(AND(E600=0,F600=0),D600*G600,IF(AND(E600=0),D600*F600*G600,IF(AND(F600=0),D600*E600*G600,IF(AND(G600=0),D600*E600*F600,D600*E600*F600*G600))))))</f>
        <v>8.9499999999999993</v>
      </c>
      <c r="I600" s="39"/>
      <c r="J600" s="40"/>
    </row>
    <row r="601" spans="2:10" s="1" customFormat="1" ht="14.25" customHeight="1" x14ac:dyDescent="0.25">
      <c r="B601" s="45"/>
      <c r="C601" s="38" t="s">
        <v>596</v>
      </c>
      <c r="D601" s="39">
        <v>1</v>
      </c>
      <c r="E601" s="39">
        <v>0.9</v>
      </c>
      <c r="F601" s="39">
        <v>1.2</v>
      </c>
      <c r="G601" s="39"/>
      <c r="H601" s="39">
        <f>IF(AND(F601=0,G601=0),D601*E601,IF(AND(E601=0,G601=0),D601*F601,IF(AND(E601=0,F601=0),D601*G601,IF(AND(E601=0),D601*F601*G601,IF(AND(F601=0),D601*E601*G601,IF(AND(G601=0),D601*E601*F601,D601*E601*F601*G601))))))</f>
        <v>1.08</v>
      </c>
      <c r="I601" s="39"/>
      <c r="J601" s="40"/>
    </row>
    <row r="602" spans="2:10" s="1" customFormat="1" ht="14.25" customHeight="1" x14ac:dyDescent="0.25">
      <c r="B602" s="45"/>
      <c r="C602" s="38" t="s">
        <v>597</v>
      </c>
      <c r="D602" s="39">
        <v>1</v>
      </c>
      <c r="E602" s="39">
        <v>0.9</v>
      </c>
      <c r="F602" s="39">
        <v>1.2</v>
      </c>
      <c r="G602" s="39"/>
      <c r="H602" s="39">
        <f>IF(AND(F602=0,G602=0),D602*E602,IF(AND(E602=0,G602=0),D602*F602,IF(AND(E602=0,F602=0),D602*G602,IF(AND(E602=0),D602*F602*G602,IF(AND(F602=0),D602*E602*G602,IF(AND(G602=0),D602*E602*F602,D602*E602*F602*G602))))))</f>
        <v>1.08</v>
      </c>
      <c r="I602" s="39"/>
      <c r="J602" s="40"/>
    </row>
    <row r="603" spans="2:10" s="1" customFormat="1" ht="14.25" customHeight="1" x14ac:dyDescent="0.25">
      <c r="B603" s="45"/>
      <c r="C603" s="38" t="s">
        <v>598</v>
      </c>
      <c r="D603" s="59">
        <v>1</v>
      </c>
      <c r="E603" s="39">
        <v>0.9</v>
      </c>
      <c r="F603" s="39">
        <v>1.2</v>
      </c>
      <c r="G603" s="39"/>
      <c r="H603" s="39">
        <f>IF(AND(F603=0,G603=0),D603*E603,IF(AND(E603=0,G603=0),D603*F603,IF(AND(E603=0,F603=0),D603*G603,IF(AND(E603=0),D603*F603*G603,IF(AND(F603=0),D603*E603*G603,IF(AND(G603=0),D603*E603*F603,D603*E603*F603*G603))))))</f>
        <v>1.08</v>
      </c>
      <c r="I603" s="39"/>
      <c r="J603" s="40"/>
    </row>
    <row r="604" spans="2:10" s="1" customFormat="1" ht="14.25" customHeight="1" x14ac:dyDescent="0.25">
      <c r="B604" s="45"/>
      <c r="C604" s="38" t="s">
        <v>599</v>
      </c>
      <c r="D604" s="59">
        <v>1</v>
      </c>
      <c r="E604" s="39">
        <v>0.9</v>
      </c>
      <c r="F604" s="39">
        <v>0.9</v>
      </c>
      <c r="G604" s="39"/>
      <c r="H604" s="39">
        <f t="shared" ref="H604:H608" si="29">IF(AND(F604=0,G604=0),D604*E604,IF(AND(E604=0,G604=0),D604*F604,IF(AND(E604=0,F604=0),D604*G604,IF(AND(E604=0),D604*F604*G604,IF(AND(F604=0),D604*E604*G604,IF(AND(G604=0),D604*E604*F604,D604*E604*F604*G604))))))</f>
        <v>0.81</v>
      </c>
      <c r="I604" s="39"/>
      <c r="J604" s="40"/>
    </row>
    <row r="605" spans="2:10" s="1" customFormat="1" ht="14.25" customHeight="1" x14ac:dyDescent="0.25">
      <c r="B605" s="45"/>
      <c r="C605" s="38" t="s">
        <v>600</v>
      </c>
      <c r="D605" s="39">
        <v>1</v>
      </c>
      <c r="E605" s="39">
        <v>0.9</v>
      </c>
      <c r="F605" s="39">
        <v>0.9</v>
      </c>
      <c r="G605" s="39"/>
      <c r="H605" s="39">
        <f t="shared" si="29"/>
        <v>0.81</v>
      </c>
      <c r="I605" s="39"/>
      <c r="J605" s="40"/>
    </row>
    <row r="606" spans="2:10" s="1" customFormat="1" ht="14.25" customHeight="1" x14ac:dyDescent="0.25">
      <c r="B606" s="45"/>
      <c r="C606" s="38" t="s">
        <v>601</v>
      </c>
      <c r="D606" s="39">
        <v>5</v>
      </c>
      <c r="E606" s="39">
        <v>0.9</v>
      </c>
      <c r="F606" s="39">
        <v>0.9</v>
      </c>
      <c r="G606" s="39"/>
      <c r="H606" s="39">
        <f t="shared" si="29"/>
        <v>4.05</v>
      </c>
      <c r="I606" s="39"/>
      <c r="J606" s="40"/>
    </row>
    <row r="607" spans="2:10" s="1" customFormat="1" ht="14.25" customHeight="1" x14ac:dyDescent="0.25">
      <c r="B607" s="45"/>
      <c r="C607" s="38" t="s">
        <v>602</v>
      </c>
      <c r="D607" s="39">
        <v>5</v>
      </c>
      <c r="E607" s="39">
        <v>0.9</v>
      </c>
      <c r="F607" s="39">
        <v>0.9</v>
      </c>
      <c r="G607" s="39"/>
      <c r="H607" s="39">
        <f t="shared" si="29"/>
        <v>4.05</v>
      </c>
      <c r="I607" s="39"/>
      <c r="J607" s="40"/>
    </row>
    <row r="608" spans="2:10" s="1" customFormat="1" ht="14.25" customHeight="1" x14ac:dyDescent="0.25">
      <c r="B608" s="45"/>
      <c r="C608" s="38" t="s">
        <v>603</v>
      </c>
      <c r="D608" s="39">
        <v>1</v>
      </c>
      <c r="E608" s="39">
        <v>1.7</v>
      </c>
      <c r="F608" s="39">
        <v>5.9</v>
      </c>
      <c r="G608" s="39"/>
      <c r="H608" s="39">
        <f t="shared" si="29"/>
        <v>10.030000000000001</v>
      </c>
      <c r="I608" s="39"/>
      <c r="J608" s="40"/>
    </row>
    <row r="609" spans="2:10" s="1" customFormat="1" ht="13.2" x14ac:dyDescent="0.25">
      <c r="B609" s="24" t="s">
        <v>557</v>
      </c>
      <c r="C609" s="115" t="s">
        <v>351</v>
      </c>
      <c r="D609" s="59"/>
      <c r="E609" s="39"/>
      <c r="F609" s="39"/>
      <c r="G609" s="39"/>
      <c r="H609" s="39"/>
      <c r="I609" s="39">
        <f>+SUM(H611:H612)--H614+H616-H618+SUM(H620:H621)-H623</f>
        <v>31.477086142375285</v>
      </c>
      <c r="J609" s="40" t="s">
        <v>337</v>
      </c>
    </row>
    <row r="610" spans="2:10" s="1" customFormat="1" ht="13.2" x14ac:dyDescent="0.25">
      <c r="B610" s="45"/>
      <c r="C610" s="42" t="s">
        <v>592</v>
      </c>
      <c r="D610" s="59"/>
      <c r="E610" s="39"/>
      <c r="F610" s="39"/>
      <c r="G610" s="39"/>
      <c r="H610" s="39"/>
      <c r="I610" s="39"/>
      <c r="J610" s="40"/>
    </row>
    <row r="611" spans="2:10" s="1" customFormat="1" ht="13.2" x14ac:dyDescent="0.25">
      <c r="B611" s="45"/>
      <c r="C611" s="38" t="s">
        <v>604</v>
      </c>
      <c r="D611" s="59">
        <v>1</v>
      </c>
      <c r="E611" s="39">
        <f>1.28+2.12+5.96+1.38</f>
        <v>10.739999999999998</v>
      </c>
      <c r="F611" s="39">
        <v>0.5</v>
      </c>
      <c r="G611" s="39">
        <v>0.35</v>
      </c>
      <c r="H611" s="39">
        <f t="shared" ref="H611:H612" si="30">IF(AND(F611=0,G611=0),D611*E611,IF(AND(E611=0,G611=0),D611*F611,IF(AND(E611=0,F611=0),D611*G611,IF(AND(E611=0),D611*F611*G611,IF(AND(F611=0),D611*E611*G611,IF(AND(G611=0),D611*E611*F611,D611*E611*F611*G611))))))</f>
        <v>1.8794999999999995</v>
      </c>
      <c r="I611" s="39"/>
      <c r="J611" s="40"/>
    </row>
    <row r="612" spans="2:10" s="1" customFormat="1" ht="13.2" x14ac:dyDescent="0.25">
      <c r="B612" s="45"/>
      <c r="C612" s="38" t="s">
        <v>605</v>
      </c>
      <c r="D612" s="59">
        <v>1</v>
      </c>
      <c r="E612" s="39">
        <v>22.1</v>
      </c>
      <c r="F612" s="39">
        <v>0.5</v>
      </c>
      <c r="G612" s="39">
        <v>0.35</v>
      </c>
      <c r="H612" s="39">
        <f t="shared" si="30"/>
        <v>3.8675000000000002</v>
      </c>
      <c r="I612" s="39"/>
      <c r="J612" s="40"/>
    </row>
    <row r="613" spans="2:10" s="1" customFormat="1" ht="13.2" x14ac:dyDescent="0.25">
      <c r="B613" s="45"/>
      <c r="F613" s="39" t="s">
        <v>485</v>
      </c>
      <c r="G613" s="39">
        <v>3</v>
      </c>
      <c r="I613" s="39"/>
      <c r="J613" s="40"/>
    </row>
    <row r="614" spans="2:10" s="1" customFormat="1" ht="13.2" x14ac:dyDescent="0.25">
      <c r="B614" s="45"/>
      <c r="C614" s="38" t="s">
        <v>569</v>
      </c>
      <c r="D614" s="59">
        <v>1</v>
      </c>
      <c r="E614" s="39">
        <f>+SUM(E611:E612)</f>
        <v>32.840000000000003</v>
      </c>
      <c r="F614" s="39" t="s">
        <v>570</v>
      </c>
      <c r="G614" s="39">
        <f>+PI()*((G613*0.0254)^2)/4</f>
        <v>4.5603673118774788E-3</v>
      </c>
      <c r="H614" s="39">
        <f>+E614*G614</f>
        <v>0.14976246252205641</v>
      </c>
      <c r="I614" s="39"/>
      <c r="J614" s="40"/>
    </row>
    <row r="615" spans="2:10" s="1" customFormat="1" ht="13.2" x14ac:dyDescent="0.25">
      <c r="B615" s="45"/>
      <c r="C615" s="42" t="s">
        <v>224</v>
      </c>
      <c r="D615" s="59"/>
      <c r="E615" s="39"/>
      <c r="F615" s="39"/>
      <c r="G615" s="39"/>
      <c r="H615" s="39"/>
      <c r="I615" s="39"/>
      <c r="J615" s="40"/>
    </row>
    <row r="616" spans="2:10" s="1" customFormat="1" ht="13.2" x14ac:dyDescent="0.25">
      <c r="B616" s="45"/>
      <c r="C616" s="38" t="s">
        <v>478</v>
      </c>
      <c r="D616" s="39">
        <v>1</v>
      </c>
      <c r="E616" s="39">
        <v>24.15</v>
      </c>
      <c r="F616" s="39">
        <f>12*0.0254+0.4</f>
        <v>0.70479999999999998</v>
      </c>
      <c r="G616" s="39">
        <v>0.68</v>
      </c>
      <c r="H616" s="39">
        <f t="shared" ref="H616" si="31">IF(AND(F616=0,G616=0),D616*E616,IF(AND(E616=0,G616=0),D616*F616,IF(AND(E616=0,F616=0),D616*G616,IF(AND(E616=0),D616*F616*G616,IF(AND(F616=0),D616*E616*G616,IF(AND(G616=0),D616*E616*F616,D616*E616*F616*G616))))))</f>
        <v>11.574225600000002</v>
      </c>
      <c r="I616" s="39"/>
      <c r="J616" s="40"/>
    </row>
    <row r="617" spans="2:10" s="1" customFormat="1" ht="13.2" x14ac:dyDescent="0.25">
      <c r="B617" s="45"/>
      <c r="F617" s="39" t="s">
        <v>485</v>
      </c>
      <c r="G617" s="39">
        <v>12</v>
      </c>
      <c r="I617" s="39"/>
      <c r="J617" s="40"/>
    </row>
    <row r="618" spans="2:10" s="1" customFormat="1" ht="13.2" x14ac:dyDescent="0.25">
      <c r="B618" s="45"/>
      <c r="C618" s="38" t="s">
        <v>569</v>
      </c>
      <c r="D618" s="59">
        <v>1</v>
      </c>
      <c r="E618" s="39">
        <f>+E616</f>
        <v>24.15</v>
      </c>
      <c r="F618" s="39" t="s">
        <v>570</v>
      </c>
      <c r="G618" s="39">
        <f>+PI()*((G617*0.0254)^2)/4</f>
        <v>7.296587699003966E-2</v>
      </c>
      <c r="H618" s="39">
        <f>+E618*G618</f>
        <v>1.7621259293094578</v>
      </c>
      <c r="I618" s="39"/>
      <c r="J618" s="40"/>
    </row>
    <row r="619" spans="2:10" s="1" customFormat="1" ht="13.2" x14ac:dyDescent="0.25">
      <c r="B619" s="45"/>
      <c r="C619" s="42" t="s">
        <v>226</v>
      </c>
      <c r="D619" s="59"/>
      <c r="E619" s="39"/>
      <c r="F619" s="39"/>
      <c r="G619" s="39"/>
      <c r="H619" s="39"/>
      <c r="I619" s="39"/>
      <c r="J619" s="40"/>
    </row>
    <row r="620" spans="2:10" s="1" customFormat="1" ht="13.2" x14ac:dyDescent="0.25">
      <c r="B620" s="45"/>
      <c r="C620" s="38" t="s">
        <v>606</v>
      </c>
      <c r="D620" s="39">
        <v>1</v>
      </c>
      <c r="E620" s="39">
        <v>4</v>
      </c>
      <c r="F620" s="39">
        <v>0.8</v>
      </c>
      <c r="G620" s="39">
        <v>1.3</v>
      </c>
      <c r="H620" s="39">
        <f t="shared" ref="H620:H621" si="32">IF(AND(F620=0,G620=0),D620*E620,IF(AND(E620=0,G620=0),D620*F620,IF(AND(E620=0,F620=0),D620*G620,IF(AND(E620=0),D620*F620*G620,IF(AND(F620=0),D620*E620*G620,IF(AND(G620=0),D620*E620*F620,D620*E620*F620*G620))))))</f>
        <v>4.16</v>
      </c>
      <c r="I620" s="39"/>
      <c r="J620" s="40"/>
    </row>
    <row r="621" spans="2:10" s="1" customFormat="1" ht="14.25" customHeight="1" x14ac:dyDescent="0.25">
      <c r="B621" s="45"/>
      <c r="C621" s="38" t="s">
        <v>607</v>
      </c>
      <c r="D621" s="59">
        <v>1</v>
      </c>
      <c r="E621" s="39">
        <v>8</v>
      </c>
      <c r="F621" s="39">
        <v>0.8</v>
      </c>
      <c r="G621" s="39">
        <v>2</v>
      </c>
      <c r="H621" s="39">
        <f t="shared" si="32"/>
        <v>12.8</v>
      </c>
      <c r="I621" s="39"/>
      <c r="J621" s="40"/>
    </row>
    <row r="622" spans="2:10" s="1" customFormat="1" ht="13.2" x14ac:dyDescent="0.25">
      <c r="B622" s="45"/>
      <c r="F622" s="39" t="s">
        <v>485</v>
      </c>
      <c r="G622" s="39">
        <v>14</v>
      </c>
      <c r="I622" s="39"/>
      <c r="J622" s="40"/>
    </row>
    <row r="623" spans="2:10" s="1" customFormat="1" ht="13.2" x14ac:dyDescent="0.25">
      <c r="B623" s="45"/>
      <c r="C623" s="38" t="s">
        <v>569</v>
      </c>
      <c r="D623" s="59">
        <v>1</v>
      </c>
      <c r="E623" s="39">
        <f>+SUM(E620:E621)</f>
        <v>12</v>
      </c>
      <c r="F623" s="39" t="s">
        <v>570</v>
      </c>
      <c r="G623" s="39">
        <f>+PI()*((G622*0.0254)^2)/4</f>
        <v>9.9314665903109542E-2</v>
      </c>
      <c r="H623" s="39">
        <f>+E623*G623</f>
        <v>1.1917759908373144</v>
      </c>
      <c r="I623" s="39"/>
      <c r="J623" s="40"/>
    </row>
    <row r="624" spans="2:10" s="1" customFormat="1" ht="13.2" x14ac:dyDescent="0.25">
      <c r="B624" s="24" t="s">
        <v>558</v>
      </c>
      <c r="C624" s="27" t="s">
        <v>352</v>
      </c>
      <c r="D624" s="59"/>
      <c r="E624" s="39"/>
      <c r="F624" s="39"/>
      <c r="G624" s="39"/>
      <c r="H624" s="39"/>
      <c r="I624" s="39">
        <f>+SUM(H625:H626)</f>
        <v>58.319999999999993</v>
      </c>
      <c r="J624" s="40" t="s">
        <v>333</v>
      </c>
    </row>
    <row r="625" spans="2:10" s="1" customFormat="1" ht="13.2" x14ac:dyDescent="0.25">
      <c r="B625" s="45"/>
      <c r="C625" s="38" t="s">
        <v>476</v>
      </c>
      <c r="D625" s="59">
        <v>1</v>
      </c>
      <c r="E625" s="1">
        <v>3</v>
      </c>
      <c r="F625" s="39">
        <v>0.5</v>
      </c>
      <c r="G625" s="39">
        <f>0.32+0.2</f>
        <v>0.52</v>
      </c>
      <c r="H625" s="39">
        <f>+(F625+G625*2)*E625</f>
        <v>4.62</v>
      </c>
      <c r="I625" s="39"/>
      <c r="J625" s="40"/>
    </row>
    <row r="626" spans="2:10" s="1" customFormat="1" ht="13.2" x14ac:dyDescent="0.25">
      <c r="B626" s="45"/>
      <c r="C626" s="38" t="s">
        <v>477</v>
      </c>
      <c r="D626" s="1">
        <v>1</v>
      </c>
      <c r="E626" s="75">
        <f>3.5+14.4</f>
        <v>17.899999999999999</v>
      </c>
      <c r="F626" s="39">
        <v>0.5</v>
      </c>
      <c r="G626" s="39">
        <f>1+0.25</f>
        <v>1.25</v>
      </c>
      <c r="H626" s="39">
        <f>+(F626+G626*2)*E626</f>
        <v>53.699999999999996</v>
      </c>
      <c r="I626" s="39"/>
      <c r="J626" s="40"/>
    </row>
    <row r="627" spans="2:10" s="1" customFormat="1" ht="13.2" x14ac:dyDescent="0.25">
      <c r="B627" s="24" t="s">
        <v>559</v>
      </c>
      <c r="C627" s="27" t="s">
        <v>353</v>
      </c>
      <c r="D627" s="59"/>
      <c r="E627" s="39"/>
      <c r="F627" s="39"/>
      <c r="G627" s="39"/>
      <c r="H627" s="39"/>
      <c r="I627" s="39">
        <f>+SUM(H629:H640)</f>
        <v>403.77292</v>
      </c>
      <c r="J627" s="40" t="s">
        <v>333</v>
      </c>
    </row>
    <row r="628" spans="2:10" s="1" customFormat="1" ht="13.2" x14ac:dyDescent="0.25">
      <c r="B628" s="45"/>
      <c r="C628" s="42" t="s">
        <v>592</v>
      </c>
      <c r="D628" s="59"/>
      <c r="E628" s="39"/>
      <c r="F628" s="39"/>
      <c r="G628" s="39"/>
      <c r="H628" s="39"/>
      <c r="I628" s="39"/>
      <c r="J628" s="40"/>
    </row>
    <row r="629" spans="2:10" s="1" customFormat="1" ht="13.2" x14ac:dyDescent="0.25">
      <c r="B629" s="45"/>
      <c r="C629" s="38" t="s">
        <v>604</v>
      </c>
      <c r="D629" s="59">
        <v>1</v>
      </c>
      <c r="E629" s="39">
        <f>1.28+2.12+5.96+1.38</f>
        <v>10.739999999999998</v>
      </c>
      <c r="F629" s="39">
        <v>0.5</v>
      </c>
      <c r="G629" s="39">
        <v>0.35</v>
      </c>
      <c r="H629" s="39">
        <f>+(F629+G629*2)*E629</f>
        <v>12.887999999999998</v>
      </c>
      <c r="I629" s="39"/>
      <c r="J629" s="40"/>
    </row>
    <row r="630" spans="2:10" s="1" customFormat="1" ht="13.2" x14ac:dyDescent="0.25">
      <c r="B630" s="45"/>
      <c r="C630" s="38" t="s">
        <v>605</v>
      </c>
      <c r="D630" s="59">
        <v>1</v>
      </c>
      <c r="E630" s="39">
        <v>22.1</v>
      </c>
      <c r="F630" s="39">
        <v>0.5</v>
      </c>
      <c r="G630" s="39">
        <v>0.35</v>
      </c>
      <c r="H630" s="39">
        <f>+(F630+G630*2)*E630</f>
        <v>26.52</v>
      </c>
      <c r="I630" s="39"/>
      <c r="J630" s="40"/>
    </row>
    <row r="631" spans="2:10" s="1" customFormat="1" ht="13.2" x14ac:dyDescent="0.25">
      <c r="B631" s="45"/>
      <c r="C631" s="38"/>
      <c r="D631" s="59"/>
      <c r="E631" s="39"/>
      <c r="F631" s="39"/>
      <c r="G631" s="39"/>
      <c r="H631" s="39"/>
      <c r="I631" s="39"/>
      <c r="J631" s="40"/>
    </row>
    <row r="632" spans="2:10" s="1" customFormat="1" ht="13.2" x14ac:dyDescent="0.25">
      <c r="B632" s="45"/>
      <c r="C632" s="42" t="s">
        <v>224</v>
      </c>
      <c r="D632" s="59"/>
      <c r="E632" s="39"/>
      <c r="F632" s="39"/>
      <c r="G632" s="39"/>
      <c r="H632" s="39"/>
      <c r="I632" s="39"/>
      <c r="J632" s="40"/>
    </row>
    <row r="633" spans="2:10" s="1" customFormat="1" ht="13.2" x14ac:dyDescent="0.25">
      <c r="B633" s="45"/>
      <c r="C633" s="38" t="s">
        <v>478</v>
      </c>
      <c r="D633" s="39">
        <v>1</v>
      </c>
      <c r="E633" s="39">
        <v>24.15</v>
      </c>
      <c r="F633" s="39">
        <f>12*0.0254+0.4</f>
        <v>0.70479999999999998</v>
      </c>
      <c r="G633" s="39">
        <v>0.68</v>
      </c>
      <c r="H633" s="39">
        <f>+(F633+G633*2)*E633</f>
        <v>49.864919999999998</v>
      </c>
      <c r="I633" s="39"/>
      <c r="J633" s="40"/>
    </row>
    <row r="634" spans="2:10" s="1" customFormat="1" ht="13.2" x14ac:dyDescent="0.25">
      <c r="B634" s="45"/>
      <c r="C634" s="38"/>
      <c r="D634" s="59"/>
      <c r="E634" s="39"/>
      <c r="F634" s="39"/>
      <c r="G634" s="39"/>
      <c r="H634" s="39"/>
      <c r="I634" s="39"/>
      <c r="J634" s="40"/>
    </row>
    <row r="635" spans="2:10" s="1" customFormat="1" ht="13.2" x14ac:dyDescent="0.25">
      <c r="B635" s="45"/>
      <c r="C635" s="42" t="s">
        <v>226</v>
      </c>
      <c r="D635" s="59"/>
      <c r="E635" s="39"/>
      <c r="F635" s="39"/>
      <c r="G635" s="39"/>
      <c r="H635" s="39"/>
      <c r="I635" s="39"/>
      <c r="J635" s="40"/>
    </row>
    <row r="636" spans="2:10" s="1" customFormat="1" ht="13.2" x14ac:dyDescent="0.25">
      <c r="B636" s="45"/>
      <c r="C636" s="38" t="s">
        <v>606</v>
      </c>
      <c r="D636" s="39">
        <v>1</v>
      </c>
      <c r="E636" s="39">
        <v>4</v>
      </c>
      <c r="F636" s="39">
        <v>0.8</v>
      </c>
      <c r="G636" s="39">
        <v>1.3</v>
      </c>
      <c r="H636" s="39">
        <f>+(F636+G636*2)*E636</f>
        <v>13.600000000000001</v>
      </c>
      <c r="I636" s="39"/>
      <c r="J636" s="40"/>
    </row>
    <row r="637" spans="2:10" s="1" customFormat="1" ht="14.25" customHeight="1" x14ac:dyDescent="0.25">
      <c r="B637" s="45"/>
      <c r="C637" s="38" t="s">
        <v>607</v>
      </c>
      <c r="D637" s="59">
        <v>1</v>
      </c>
      <c r="E637" s="39">
        <v>8</v>
      </c>
      <c r="F637" s="39">
        <v>0.8</v>
      </c>
      <c r="G637" s="39">
        <v>2</v>
      </c>
      <c r="H637" s="39">
        <f>+(F637+G637*2)*E637</f>
        <v>38.4</v>
      </c>
      <c r="I637" s="39"/>
      <c r="J637" s="40"/>
    </row>
    <row r="638" spans="2:10" s="1" customFormat="1" ht="14.25" customHeight="1" x14ac:dyDescent="0.25">
      <c r="B638" s="45"/>
      <c r="C638" s="58"/>
      <c r="D638" s="59"/>
      <c r="E638" s="39"/>
      <c r="F638" s="39"/>
      <c r="G638" s="39"/>
      <c r="H638" s="39"/>
      <c r="I638" s="39"/>
      <c r="J638" s="40"/>
    </row>
    <row r="639" spans="2:10" s="1" customFormat="1" ht="14.25" customHeight="1" x14ac:dyDescent="0.25">
      <c r="B639" s="45"/>
      <c r="C639" s="27" t="s">
        <v>614</v>
      </c>
      <c r="D639" s="59"/>
      <c r="E639" s="39"/>
      <c r="F639" s="39"/>
      <c r="G639" s="39"/>
      <c r="H639" s="39"/>
      <c r="I639" s="39"/>
      <c r="J639" s="40"/>
    </row>
    <row r="640" spans="2:10" s="1" customFormat="1" ht="14.25" customHeight="1" x14ac:dyDescent="0.25">
      <c r="B640" s="45"/>
      <c r="C640" s="38" t="s">
        <v>615</v>
      </c>
      <c r="D640" s="59">
        <v>1</v>
      </c>
      <c r="E640" s="39">
        <v>125</v>
      </c>
      <c r="F640" s="39">
        <v>0.9</v>
      </c>
      <c r="G640" s="39">
        <v>0.6</v>
      </c>
      <c r="H640" s="39">
        <f>+(F640+G640*2)*E640</f>
        <v>262.5</v>
      </c>
      <c r="I640" s="39"/>
      <c r="J640" s="40"/>
    </row>
    <row r="641" spans="2:10" s="1" customFormat="1" ht="13.2" x14ac:dyDescent="0.25">
      <c r="B641" s="24" t="s">
        <v>560</v>
      </c>
      <c r="C641" s="27" t="s">
        <v>354</v>
      </c>
      <c r="D641" s="59"/>
      <c r="E641" s="39"/>
      <c r="F641" s="39" t="s">
        <v>571</v>
      </c>
      <c r="G641" s="39"/>
      <c r="H641" s="39"/>
      <c r="I641" s="39">
        <f>+SUM(H642:H652)</f>
        <v>645.54069547132849</v>
      </c>
      <c r="J641" s="40" t="s">
        <v>355</v>
      </c>
    </row>
    <row r="642" spans="2:10" s="1" customFormat="1" ht="13.2" x14ac:dyDescent="0.25">
      <c r="B642" s="107"/>
      <c r="C642" s="38" t="s">
        <v>472</v>
      </c>
      <c r="D642" s="59">
        <v>6</v>
      </c>
      <c r="E642" s="39">
        <f>9.5+1.2</f>
        <v>10.7</v>
      </c>
      <c r="F642" s="39">
        <v>1.64</v>
      </c>
      <c r="G642" s="39"/>
      <c r="H642" s="39">
        <f t="shared" ref="H642:H652" si="33">IF(AND(F642=0,G642=0),D642*E642,IF(AND(E642=0,G642=0),D642*F642,IF(AND(E642=0,F642=0),D642*G642,IF(AND(E642=0),D642*F642*G642,IF(AND(F642=0),D642*E642*G642,IF(AND(G642=0),D642*E642*F642,D642*E642*F642*G642))))))</f>
        <v>105.28799999999997</v>
      </c>
      <c r="I642" s="39"/>
      <c r="J642" s="40"/>
    </row>
    <row r="643" spans="2:10" s="1" customFormat="1" ht="13.2" x14ac:dyDescent="0.25">
      <c r="B643" s="107"/>
      <c r="C643" s="38" t="s">
        <v>474</v>
      </c>
      <c r="D643" s="59">
        <v>1</v>
      </c>
      <c r="E643" s="78">
        <v>10.7</v>
      </c>
      <c r="F643" s="39">
        <v>1.64</v>
      </c>
      <c r="G643" s="39"/>
      <c r="H643" s="39">
        <f t="shared" si="33"/>
        <v>17.547999999999998</v>
      </c>
      <c r="I643" s="39"/>
      <c r="J643" s="40"/>
    </row>
    <row r="644" spans="2:10" s="1" customFormat="1" ht="13.2" x14ac:dyDescent="0.25">
      <c r="B644" s="107"/>
      <c r="C644" s="58" t="s">
        <v>475</v>
      </c>
      <c r="D644" s="59">
        <v>1</v>
      </c>
      <c r="E644" s="39">
        <v>2.1</v>
      </c>
      <c r="F644" s="39">
        <v>1.64</v>
      </c>
      <c r="G644" s="39"/>
      <c r="H644" s="39">
        <f t="shared" si="33"/>
        <v>3.444</v>
      </c>
      <c r="I644" s="39"/>
      <c r="J644" s="40"/>
    </row>
    <row r="645" spans="2:10" s="1" customFormat="1" ht="13.2" x14ac:dyDescent="0.25">
      <c r="B645" s="107"/>
      <c r="C645" s="42" t="s">
        <v>592</v>
      </c>
      <c r="D645" s="59"/>
      <c r="E645" s="39"/>
      <c r="G645" s="39"/>
      <c r="H645" s="39"/>
      <c r="I645" s="39"/>
      <c r="J645" s="40"/>
    </row>
    <row r="646" spans="2:10" s="1" customFormat="1" ht="13.2" x14ac:dyDescent="0.25">
      <c r="B646" s="107"/>
      <c r="C646" s="38" t="s">
        <v>604</v>
      </c>
      <c r="D646" s="59">
        <v>1</v>
      </c>
      <c r="E646" s="39">
        <f>1.28+2.12+5.96+1.38</f>
        <v>10.739999999999998</v>
      </c>
      <c r="F646" s="39">
        <v>1.64</v>
      </c>
      <c r="G646" s="39"/>
      <c r="H646" s="39">
        <f t="shared" si="33"/>
        <v>17.613599999999998</v>
      </c>
      <c r="I646" s="39"/>
      <c r="J646" s="40"/>
    </row>
    <row r="647" spans="2:10" s="1" customFormat="1" ht="13.2" x14ac:dyDescent="0.25">
      <c r="B647" s="107"/>
      <c r="C647" s="38" t="s">
        <v>605</v>
      </c>
      <c r="D647" s="59">
        <v>1</v>
      </c>
      <c r="E647" s="39">
        <v>22.1</v>
      </c>
      <c r="F647" s="39">
        <v>1.64</v>
      </c>
      <c r="G647" s="39"/>
      <c r="H647" s="39">
        <f t="shared" si="33"/>
        <v>36.244</v>
      </c>
      <c r="I647" s="39"/>
      <c r="J647" s="40"/>
    </row>
    <row r="648" spans="2:10" s="1" customFormat="1" ht="13.2" x14ac:dyDescent="0.25">
      <c r="B648" s="107"/>
      <c r="C648" s="42" t="s">
        <v>224</v>
      </c>
      <c r="D648" s="59"/>
      <c r="E648" s="39"/>
      <c r="F648" s="39"/>
      <c r="G648" s="39"/>
      <c r="H648" s="39">
        <f t="shared" si="33"/>
        <v>0</v>
      </c>
      <c r="I648" s="39"/>
      <c r="J648" s="40"/>
    </row>
    <row r="649" spans="2:10" s="1" customFormat="1" ht="13.2" x14ac:dyDescent="0.25">
      <c r="B649" s="107"/>
      <c r="C649" s="38" t="s">
        <v>478</v>
      </c>
      <c r="D649" s="39">
        <v>1</v>
      </c>
      <c r="E649" s="39">
        <v>24.15</v>
      </c>
      <c r="F649" s="39">
        <f>68/(5.77)</f>
        <v>11.785095320623917</v>
      </c>
      <c r="G649" s="39"/>
      <c r="H649" s="39">
        <f t="shared" si="33"/>
        <v>284.6100519930676</v>
      </c>
      <c r="I649" s="39"/>
      <c r="J649" s="40"/>
    </row>
    <row r="650" spans="2:10" s="1" customFormat="1" ht="13.2" x14ac:dyDescent="0.25">
      <c r="B650" s="107"/>
      <c r="C650" s="42" t="s">
        <v>226</v>
      </c>
      <c r="D650" s="59"/>
      <c r="E650" s="39"/>
      <c r="F650" s="39"/>
      <c r="G650" s="39"/>
      <c r="H650" s="39"/>
      <c r="I650" s="39"/>
      <c r="J650" s="40"/>
    </row>
    <row r="651" spans="2:10" s="1" customFormat="1" ht="13.2" x14ac:dyDescent="0.25">
      <c r="B651" s="107"/>
      <c r="C651" s="38" t="s">
        <v>606</v>
      </c>
      <c r="D651" s="39">
        <v>1</v>
      </c>
      <c r="E651" s="39">
        <v>4</v>
      </c>
      <c r="F651" s="39">
        <f>86.63/5.75</f>
        <v>15.066086956521739</v>
      </c>
      <c r="G651" s="39"/>
      <c r="H651" s="39">
        <f t="shared" si="33"/>
        <v>60.264347826086954</v>
      </c>
      <c r="I651" s="39"/>
      <c r="J651" s="40"/>
    </row>
    <row r="652" spans="2:10" s="1" customFormat="1" ht="13.2" x14ac:dyDescent="0.25">
      <c r="B652" s="107"/>
      <c r="C652" s="38" t="s">
        <v>607</v>
      </c>
      <c r="D652" s="59">
        <v>1</v>
      </c>
      <c r="E652" s="39">
        <v>8</v>
      </c>
      <c r="F652" s="39">
        <f>86.63/5.75</f>
        <v>15.066086956521739</v>
      </c>
      <c r="G652" s="39"/>
      <c r="H652" s="39">
        <f t="shared" si="33"/>
        <v>120.52869565217391</v>
      </c>
      <c r="I652" s="39"/>
      <c r="J652" s="40"/>
    </row>
    <row r="653" spans="2:10" s="1" customFormat="1" ht="13.2" x14ac:dyDescent="0.25">
      <c r="B653" s="24" t="s">
        <v>561</v>
      </c>
      <c r="C653" s="27" t="s">
        <v>356</v>
      </c>
      <c r="D653" s="59"/>
      <c r="E653" s="39"/>
      <c r="F653" s="39"/>
      <c r="G653" s="39"/>
      <c r="H653" s="39"/>
      <c r="I653" s="39">
        <f>+SUM(H654:H673)</f>
        <v>28.848000000000003</v>
      </c>
      <c r="J653" s="40" t="s">
        <v>337</v>
      </c>
    </row>
    <row r="654" spans="2:10" s="1" customFormat="1" ht="14.25" customHeight="1" x14ac:dyDescent="0.25">
      <c r="B654" s="45"/>
      <c r="C654" s="38" t="s">
        <v>476</v>
      </c>
      <c r="D654" s="59">
        <v>2</v>
      </c>
      <c r="E654" s="1">
        <v>3</v>
      </c>
      <c r="F654" s="39">
        <v>0.1</v>
      </c>
      <c r="G654" s="39">
        <v>0.32</v>
      </c>
      <c r="H654" s="39">
        <f t="shared" ref="H654:H673" si="34">IF(AND(F654=0,G654=0),D654*E654,IF(AND(E654=0,G654=0),D654*F654,IF(AND(E654=0,F654=0),D654*G654,IF(AND(E654=0),D654*F654*G654,IF(AND(F654=0),D654*E654*G654,IF(AND(G654=0),D654*E654*F654,D654*E654*F654*G654))))))</f>
        <v>0.19200000000000003</v>
      </c>
      <c r="I654" s="39"/>
      <c r="J654" s="40"/>
    </row>
    <row r="655" spans="2:10" s="1" customFormat="1" ht="14.25" customHeight="1" x14ac:dyDescent="0.25">
      <c r="B655" s="45"/>
      <c r="C655" s="38"/>
      <c r="D655" s="22">
        <v>1</v>
      </c>
      <c r="E655" s="1">
        <v>3</v>
      </c>
      <c r="F655" s="39">
        <v>0.5</v>
      </c>
      <c r="G655" s="39">
        <v>0.1</v>
      </c>
      <c r="H655" s="39">
        <f t="shared" si="34"/>
        <v>0.15000000000000002</v>
      </c>
      <c r="I655" s="39"/>
      <c r="J655" s="40"/>
    </row>
    <row r="656" spans="2:10" s="1" customFormat="1" ht="14.25" customHeight="1" x14ac:dyDescent="0.25">
      <c r="B656" s="45"/>
      <c r="C656" s="38" t="s">
        <v>477</v>
      </c>
      <c r="D656" s="1">
        <v>2</v>
      </c>
      <c r="E656" s="75">
        <f>3.5+14.4</f>
        <v>17.899999999999999</v>
      </c>
      <c r="F656" s="39">
        <v>0.15</v>
      </c>
      <c r="G656" s="39">
        <v>1</v>
      </c>
      <c r="H656" s="39">
        <f t="shared" si="34"/>
        <v>5.3699999999999992</v>
      </c>
      <c r="I656" s="39"/>
      <c r="J656" s="40"/>
    </row>
    <row r="657" spans="2:10" s="1" customFormat="1" ht="14.25" customHeight="1" x14ac:dyDescent="0.25">
      <c r="B657" s="45"/>
      <c r="C657" s="38"/>
      <c r="D657" s="1">
        <v>1</v>
      </c>
      <c r="E657" s="75">
        <v>179</v>
      </c>
      <c r="F657" s="39">
        <v>0.5</v>
      </c>
      <c r="G657" s="39">
        <v>0.15</v>
      </c>
      <c r="H657" s="39">
        <f t="shared" si="34"/>
        <v>13.424999999999999</v>
      </c>
      <c r="I657" s="39"/>
      <c r="J657" s="40"/>
    </row>
    <row r="658" spans="2:10" s="1" customFormat="1" ht="14.25" customHeight="1" x14ac:dyDescent="0.25">
      <c r="B658" s="45"/>
      <c r="C658" s="38" t="s">
        <v>596</v>
      </c>
      <c r="D658" s="39">
        <v>2</v>
      </c>
      <c r="E658" s="39">
        <v>1.2</v>
      </c>
      <c r="F658" s="39">
        <v>0.15</v>
      </c>
      <c r="G658" s="39">
        <v>0.97</v>
      </c>
      <c r="H658" s="39">
        <f t="shared" si="34"/>
        <v>0.34919999999999995</v>
      </c>
      <c r="I658" s="39"/>
      <c r="J658" s="40"/>
    </row>
    <row r="659" spans="2:10" s="1" customFormat="1" ht="14.25" customHeight="1" x14ac:dyDescent="0.25">
      <c r="B659" s="45"/>
      <c r="C659" s="38"/>
      <c r="D659" s="39">
        <v>2</v>
      </c>
      <c r="E659" s="39">
        <v>0.6</v>
      </c>
      <c r="F659" s="39">
        <v>0.15</v>
      </c>
      <c r="G659" s="39">
        <v>0.97</v>
      </c>
      <c r="H659" s="39">
        <f t="shared" si="34"/>
        <v>0.17459999999999998</v>
      </c>
      <c r="I659" s="39"/>
      <c r="J659" s="40"/>
    </row>
    <row r="660" spans="2:10" s="1" customFormat="1" ht="14.25" customHeight="1" x14ac:dyDescent="0.25">
      <c r="B660" s="45"/>
      <c r="C660" s="38" t="s">
        <v>597</v>
      </c>
      <c r="D660" s="39">
        <v>2</v>
      </c>
      <c r="E660" s="39">
        <v>1.2</v>
      </c>
      <c r="F660" s="39">
        <v>0.15</v>
      </c>
      <c r="G660" s="39">
        <v>1.22</v>
      </c>
      <c r="H660" s="39">
        <f t="shared" si="34"/>
        <v>0.43919999999999998</v>
      </c>
      <c r="I660" s="39"/>
      <c r="J660" s="40"/>
    </row>
    <row r="661" spans="2:10" s="1" customFormat="1" ht="14.25" customHeight="1" x14ac:dyDescent="0.25">
      <c r="B661" s="45"/>
      <c r="C661" s="38"/>
      <c r="D661" s="39">
        <v>2</v>
      </c>
      <c r="E661" s="39">
        <v>0.6</v>
      </c>
      <c r="F661" s="39">
        <v>0.15</v>
      </c>
      <c r="G661" s="39">
        <v>1.22</v>
      </c>
      <c r="H661" s="39">
        <f t="shared" si="34"/>
        <v>0.21959999999999999</v>
      </c>
      <c r="I661" s="39"/>
      <c r="J661" s="40"/>
    </row>
    <row r="662" spans="2:10" s="1" customFormat="1" ht="14.25" customHeight="1" x14ac:dyDescent="0.25">
      <c r="B662" s="45"/>
      <c r="C662" s="38" t="s">
        <v>598</v>
      </c>
      <c r="D662" s="39">
        <v>2</v>
      </c>
      <c r="E662" s="39">
        <v>1.2</v>
      </c>
      <c r="F662" s="39">
        <v>0.15</v>
      </c>
      <c r="G662" s="39">
        <v>0.76</v>
      </c>
      <c r="H662" s="39">
        <f t="shared" si="34"/>
        <v>0.27360000000000001</v>
      </c>
      <c r="I662" s="39"/>
      <c r="J662" s="40"/>
    </row>
    <row r="663" spans="2:10" s="1" customFormat="1" ht="14.25" customHeight="1" x14ac:dyDescent="0.25">
      <c r="B663" s="45"/>
      <c r="C663" s="38"/>
      <c r="D663" s="39">
        <v>2</v>
      </c>
      <c r="E663" s="39">
        <v>0.6</v>
      </c>
      <c r="F663" s="39">
        <v>0.15</v>
      </c>
      <c r="G663" s="39">
        <v>0.76</v>
      </c>
      <c r="H663" s="39">
        <f t="shared" si="34"/>
        <v>0.1368</v>
      </c>
      <c r="I663" s="39"/>
      <c r="J663" s="40"/>
    </row>
    <row r="664" spans="2:10" s="1" customFormat="1" ht="14.25" customHeight="1" x14ac:dyDescent="0.25">
      <c r="B664" s="45"/>
      <c r="C664" s="38" t="s">
        <v>599</v>
      </c>
      <c r="D664" s="59">
        <v>2</v>
      </c>
      <c r="E664" s="39">
        <v>0.9</v>
      </c>
      <c r="F664" s="39">
        <v>0.15</v>
      </c>
      <c r="G664" s="39">
        <v>0.85</v>
      </c>
      <c r="H664" s="39">
        <f t="shared" si="34"/>
        <v>0.22950000000000001</v>
      </c>
      <c r="I664" s="39"/>
      <c r="J664" s="40"/>
    </row>
    <row r="665" spans="2:10" s="1" customFormat="1" ht="14.25" customHeight="1" x14ac:dyDescent="0.25">
      <c r="B665" s="45"/>
      <c r="C665" s="38"/>
      <c r="D665" s="59">
        <v>2</v>
      </c>
      <c r="E665" s="39">
        <v>0.6</v>
      </c>
      <c r="F665" s="39">
        <v>0.15</v>
      </c>
      <c r="G665" s="39">
        <v>0.85</v>
      </c>
      <c r="H665" s="39">
        <f t="shared" si="34"/>
        <v>0.153</v>
      </c>
      <c r="I665" s="39"/>
      <c r="J665" s="40"/>
    </row>
    <row r="666" spans="2:10" s="1" customFormat="1" ht="14.25" customHeight="1" x14ac:dyDescent="0.25">
      <c r="B666" s="45"/>
      <c r="C666" s="38" t="s">
        <v>600</v>
      </c>
      <c r="D666" s="59">
        <v>2</v>
      </c>
      <c r="E666" s="39">
        <v>0.9</v>
      </c>
      <c r="F666" s="39">
        <v>0.15</v>
      </c>
      <c r="G666" s="39">
        <v>0.85</v>
      </c>
      <c r="H666" s="39">
        <f t="shared" si="34"/>
        <v>0.22950000000000001</v>
      </c>
      <c r="I666" s="39"/>
      <c r="J666" s="40"/>
    </row>
    <row r="667" spans="2:10" s="1" customFormat="1" ht="14.25" customHeight="1" x14ac:dyDescent="0.25">
      <c r="B667" s="45"/>
      <c r="C667" s="38"/>
      <c r="D667" s="59">
        <v>2</v>
      </c>
      <c r="E667" s="39">
        <v>0.6</v>
      </c>
      <c r="F667" s="39">
        <v>0.15</v>
      </c>
      <c r="G667" s="39">
        <v>0.85</v>
      </c>
      <c r="H667" s="39">
        <f t="shared" si="34"/>
        <v>0.153</v>
      </c>
      <c r="I667" s="39"/>
      <c r="J667" s="40"/>
    </row>
    <row r="668" spans="2:10" s="1" customFormat="1" ht="14.25" customHeight="1" x14ac:dyDescent="0.25">
      <c r="B668" s="45"/>
      <c r="C668" s="38" t="s">
        <v>601</v>
      </c>
      <c r="D668" s="39">
        <v>10</v>
      </c>
      <c r="E668" s="39">
        <v>0.9</v>
      </c>
      <c r="F668" s="39">
        <v>0.15</v>
      </c>
      <c r="G668" s="39">
        <v>0.85</v>
      </c>
      <c r="H668" s="39">
        <f t="shared" si="34"/>
        <v>1.1475</v>
      </c>
      <c r="I668" s="39"/>
      <c r="J668" s="40"/>
    </row>
    <row r="669" spans="2:10" s="1" customFormat="1" ht="14.25" customHeight="1" x14ac:dyDescent="0.25">
      <c r="B669" s="45"/>
      <c r="C669" s="38"/>
      <c r="D669" s="39">
        <v>2</v>
      </c>
      <c r="E669" s="39">
        <v>0.6</v>
      </c>
      <c r="F669" s="39">
        <v>0.15</v>
      </c>
      <c r="G669" s="39">
        <v>0.85</v>
      </c>
      <c r="H669" s="39">
        <f t="shared" si="34"/>
        <v>0.153</v>
      </c>
      <c r="I669" s="39"/>
      <c r="J669" s="40"/>
    </row>
    <row r="670" spans="2:10" s="1" customFormat="1" ht="14.25" customHeight="1" x14ac:dyDescent="0.25">
      <c r="B670" s="45"/>
      <c r="C670" s="38" t="s">
        <v>602</v>
      </c>
      <c r="D670" s="39">
        <v>10</v>
      </c>
      <c r="E670" s="39">
        <v>0.9</v>
      </c>
      <c r="F670" s="39">
        <v>0.15</v>
      </c>
      <c r="G670" s="39">
        <v>0.85</v>
      </c>
      <c r="H670" s="39">
        <f t="shared" si="34"/>
        <v>1.1475</v>
      </c>
      <c r="I670" s="39"/>
      <c r="J670" s="40"/>
    </row>
    <row r="671" spans="2:10" s="1" customFormat="1" ht="14.25" customHeight="1" x14ac:dyDescent="0.25">
      <c r="B671" s="45"/>
      <c r="C671" s="38"/>
      <c r="D671" s="39">
        <v>2</v>
      </c>
      <c r="E671" s="39">
        <v>0.6</v>
      </c>
      <c r="F671" s="39">
        <v>0.15</v>
      </c>
      <c r="G671" s="39">
        <v>0.85</v>
      </c>
      <c r="H671" s="39">
        <f t="shared" si="34"/>
        <v>0.153</v>
      </c>
      <c r="I671" s="39"/>
      <c r="J671" s="40"/>
    </row>
    <row r="672" spans="2:10" s="1" customFormat="1" ht="14.25" customHeight="1" x14ac:dyDescent="0.25">
      <c r="B672" s="45"/>
      <c r="C672" s="102" t="s">
        <v>603</v>
      </c>
      <c r="D672" s="39">
        <v>2</v>
      </c>
      <c r="E672" s="39">
        <v>5.9</v>
      </c>
      <c r="F672" s="39">
        <v>0.2</v>
      </c>
      <c r="G672" s="39">
        <v>1.65</v>
      </c>
      <c r="H672" s="39">
        <f t="shared" si="34"/>
        <v>3.8940000000000001</v>
      </c>
      <c r="I672" s="39"/>
      <c r="J672" s="40"/>
    </row>
    <row r="673" spans="2:10" s="1" customFormat="1" ht="14.25" customHeight="1" x14ac:dyDescent="0.25">
      <c r="B673" s="45"/>
      <c r="C673" s="58"/>
      <c r="D673" s="59">
        <v>2</v>
      </c>
      <c r="E673" s="39">
        <v>1.3</v>
      </c>
      <c r="F673" s="39">
        <v>0.2</v>
      </c>
      <c r="G673" s="39">
        <v>1.65</v>
      </c>
      <c r="H673" s="39">
        <f t="shared" si="34"/>
        <v>0.85799999999999998</v>
      </c>
      <c r="I673" s="39"/>
      <c r="J673" s="40"/>
    </row>
    <row r="674" spans="2:10" s="1" customFormat="1" ht="13.2" x14ac:dyDescent="0.25">
      <c r="B674" s="24" t="s">
        <v>555</v>
      </c>
      <c r="C674" s="1" t="s">
        <v>349</v>
      </c>
      <c r="D674" s="59"/>
      <c r="E674" s="39"/>
      <c r="F674" s="39"/>
      <c r="G674" s="39"/>
      <c r="H674" s="39"/>
      <c r="I674" s="39">
        <f>+SUM(H676)</f>
        <v>96</v>
      </c>
      <c r="J674" s="40" t="s">
        <v>337</v>
      </c>
    </row>
    <row r="675" spans="2:10" s="1" customFormat="1" ht="13.2" x14ac:dyDescent="0.25">
      <c r="B675" s="45"/>
      <c r="C675" s="42" t="s">
        <v>566</v>
      </c>
      <c r="D675" s="59"/>
      <c r="E675" s="39"/>
      <c r="F675" s="39"/>
      <c r="G675" s="39"/>
      <c r="H675" s="39"/>
      <c r="J675" s="40"/>
    </row>
    <row r="676" spans="2:10" s="1" customFormat="1" ht="13.2" x14ac:dyDescent="0.25">
      <c r="B676" s="45"/>
      <c r="C676" s="38" t="s">
        <v>616</v>
      </c>
      <c r="D676" s="1">
        <v>1</v>
      </c>
      <c r="E676" s="39">
        <v>24</v>
      </c>
      <c r="F676" s="39">
        <v>1</v>
      </c>
      <c r="G676" s="39">
        <v>4</v>
      </c>
      <c r="H676" s="39">
        <f>IF(AND(F676=0,G676=0),D676*E676,IF(AND(E676=0,G676=0),D676*F676,IF(AND(E676=0,F676=0),D676*G676,IF(AND(E676=0),D676*F676*G676,IF(AND(F676=0),D676*E676*G676,IF(AND(G676=0),D676*E676*F676,D676*E676*F676*G676))))))</f>
        <v>96</v>
      </c>
      <c r="I676" s="39"/>
      <c r="J676" s="40"/>
    </row>
    <row r="677" spans="2:10" s="1" customFormat="1" ht="13.2" x14ac:dyDescent="0.25">
      <c r="B677" s="24" t="s">
        <v>562</v>
      </c>
      <c r="C677" s="27" t="s">
        <v>357</v>
      </c>
      <c r="D677" s="59" t="s">
        <v>574</v>
      </c>
      <c r="E677" s="39"/>
      <c r="F677" s="39"/>
      <c r="G677" s="39"/>
      <c r="H677" s="39"/>
      <c r="I677" s="39">
        <f>+SUM(H678:H696)</f>
        <v>56.844580478336042</v>
      </c>
      <c r="J677" s="40" t="s">
        <v>337</v>
      </c>
    </row>
    <row r="678" spans="2:10" s="1" customFormat="1" ht="13.2" x14ac:dyDescent="0.25">
      <c r="B678" s="24"/>
      <c r="C678" s="38" t="s">
        <v>476</v>
      </c>
      <c r="D678" s="59">
        <v>1.25</v>
      </c>
      <c r="E678" s="1">
        <v>3</v>
      </c>
      <c r="F678" s="39">
        <v>0.5</v>
      </c>
      <c r="G678" s="39">
        <f>0.32+0.2</f>
        <v>0.52</v>
      </c>
      <c r="H678" s="39">
        <f>IF(AND(F678=0,G678=0),D678*E678,IF(AND(E678=0,G678=0),D678*F678,IF(AND(E678=0,F678=0),D678*G678,IF(AND(E678=0),D678*F678*G678,IF(AND(F678=0),D678*E678*G678,IF(AND(G678=0),D678*E678*F678,D678*E678*F678*G678))))))</f>
        <v>0.97500000000000009</v>
      </c>
      <c r="I678" s="39"/>
      <c r="J678" s="40"/>
    </row>
    <row r="679" spans="2:10" s="1" customFormat="1" ht="13.2" x14ac:dyDescent="0.25">
      <c r="B679" s="90"/>
      <c r="C679" s="38" t="s">
        <v>477</v>
      </c>
      <c r="D679" s="59">
        <v>1.25</v>
      </c>
      <c r="E679" s="75">
        <f>3.5+14.4</f>
        <v>17.899999999999999</v>
      </c>
      <c r="F679" s="39">
        <v>0.5</v>
      </c>
      <c r="G679" s="39">
        <f>1+0.25</f>
        <v>1.25</v>
      </c>
      <c r="H679" s="39">
        <f>IF(AND(F679=0,G679=0),D679*E679,IF(AND(E679=0,G679=0),D679*F679,IF(AND(E679=0,F679=0),D679*G679,IF(AND(E679=0),D679*F679*G679,IF(AND(F679=0),D679*E679*G679,IF(AND(G679=0),D679*E679*F679,D679*E679*F679*G679))))))</f>
        <v>13.984375</v>
      </c>
      <c r="I679" s="39"/>
      <c r="J679" s="40"/>
    </row>
    <row r="680" spans="2:10" s="1" customFormat="1" ht="13.2" x14ac:dyDescent="0.25">
      <c r="B680" s="90"/>
      <c r="C680" s="38" t="s">
        <v>596</v>
      </c>
      <c r="D680" s="59">
        <v>1.25</v>
      </c>
      <c r="E680" s="39">
        <v>0.9</v>
      </c>
      <c r="F680" s="39">
        <v>1.2</v>
      </c>
      <c r="G680" s="39">
        <f>0.92+0.25</f>
        <v>1.17</v>
      </c>
      <c r="H680" s="39">
        <f>IF(AND(F680=0,G680=0),D680*E680,IF(AND(E680=0,G680=0),D680*F680,IF(AND(E680=0,F680=0),D680*G680,IF(AND(E680=0),D680*F680*G680,IF(AND(F680=0),D680*E680*G680,IF(AND(G680=0),D680*E680*F680,D680*E680*F680*G680))))))</f>
        <v>1.5794999999999997</v>
      </c>
      <c r="I680" s="39"/>
      <c r="J680" s="40"/>
    </row>
    <row r="681" spans="2:10" s="1" customFormat="1" ht="13.2" x14ac:dyDescent="0.25">
      <c r="B681" s="90"/>
      <c r="C681" s="38" t="s">
        <v>597</v>
      </c>
      <c r="D681" s="59">
        <v>1.25</v>
      </c>
      <c r="E681" s="39">
        <v>0.9</v>
      </c>
      <c r="F681" s="39">
        <v>1.2</v>
      </c>
      <c r="G681" s="39">
        <f>1.07+0.25</f>
        <v>1.32</v>
      </c>
      <c r="H681" s="39">
        <f>IF(AND(F681=0,G681=0),D681*E681,IF(AND(E681=0,G681=0),D681*F681,IF(AND(E681=0,F681=0),D681*G681,IF(AND(E681=0),D681*F681*G681,IF(AND(F681=0),D681*E681*G681,IF(AND(G681=0),D681*E681*F681,D681*E681*F681*G681))))))</f>
        <v>1.7819999999999998</v>
      </c>
      <c r="I681" s="39"/>
      <c r="J681" s="40"/>
    </row>
    <row r="682" spans="2:10" s="1" customFormat="1" ht="13.2" x14ac:dyDescent="0.25">
      <c r="B682" s="90"/>
      <c r="C682" s="38" t="s">
        <v>598</v>
      </c>
      <c r="D682" s="59">
        <v>1.25</v>
      </c>
      <c r="E682" s="39">
        <v>0.9</v>
      </c>
      <c r="F682" s="39">
        <v>1.2</v>
      </c>
      <c r="G682" s="39">
        <f>0.61+0.25</f>
        <v>0.86</v>
      </c>
      <c r="H682" s="39">
        <f>IF(AND(F682=0,G682=0),D682*E682,IF(AND(E682=0,G682=0),D682*F682,IF(AND(E682=0,F682=0),D682*G682,IF(AND(E682=0),D682*F682*G682,IF(AND(F682=0),D682*E682*G682,IF(AND(G682=0),D682*E682*F682,D682*E682*F682*G682))))))</f>
        <v>1.1609999999999998</v>
      </c>
      <c r="I682" s="39"/>
      <c r="J682" s="40"/>
    </row>
    <row r="683" spans="2:10" s="1" customFormat="1" ht="13.2" x14ac:dyDescent="0.25">
      <c r="B683" s="90"/>
      <c r="C683" s="38" t="s">
        <v>599</v>
      </c>
      <c r="D683" s="59">
        <v>1.25</v>
      </c>
      <c r="E683" s="39">
        <v>0.9</v>
      </c>
      <c r="F683" s="39">
        <v>0.9</v>
      </c>
      <c r="G683" s="39">
        <f>0.7+0.25</f>
        <v>0.95</v>
      </c>
      <c r="H683" s="39">
        <f t="shared" ref="H683:H687" si="35">IF(AND(F683=0,G683=0),D683*E683,IF(AND(E683=0,G683=0),D683*F683,IF(AND(E683=0,F683=0),D683*G683,IF(AND(E683=0),D683*F683*G683,IF(AND(F683=0),D683*E683*G683,IF(AND(G683=0),D683*E683*F683,D683*E683*F683*G683))))))</f>
        <v>0.96187499999999992</v>
      </c>
      <c r="I683" s="39"/>
      <c r="J683" s="40"/>
    </row>
    <row r="684" spans="2:10" s="1" customFormat="1" ht="13.2" x14ac:dyDescent="0.25">
      <c r="B684" s="90"/>
      <c r="C684" s="38" t="s">
        <v>600</v>
      </c>
      <c r="D684" s="59">
        <v>1.25</v>
      </c>
      <c r="E684" s="39">
        <v>0.9</v>
      </c>
      <c r="F684" s="39">
        <v>0.9</v>
      </c>
      <c r="G684" s="39">
        <f>0.7+0.25</f>
        <v>0.95</v>
      </c>
      <c r="H684" s="39">
        <f t="shared" si="35"/>
        <v>0.96187499999999992</v>
      </c>
      <c r="I684" s="39"/>
      <c r="J684" s="40"/>
    </row>
    <row r="685" spans="2:10" s="1" customFormat="1" ht="13.2" x14ac:dyDescent="0.25">
      <c r="B685" s="90"/>
      <c r="C685" s="38" t="s">
        <v>601</v>
      </c>
      <c r="D685" s="39">
        <f>1.25*5</f>
        <v>6.25</v>
      </c>
      <c r="E685" s="39">
        <v>0.9</v>
      </c>
      <c r="F685" s="39">
        <v>0.9</v>
      </c>
      <c r="G685" s="39">
        <f>0.7+0.25</f>
        <v>0.95</v>
      </c>
      <c r="H685" s="39">
        <f t="shared" si="35"/>
        <v>4.8093750000000002</v>
      </c>
      <c r="I685" s="39"/>
      <c r="J685" s="40"/>
    </row>
    <row r="686" spans="2:10" s="1" customFormat="1" ht="13.2" x14ac:dyDescent="0.25">
      <c r="B686" s="90"/>
      <c r="C686" s="38" t="s">
        <v>602</v>
      </c>
      <c r="D686" s="39">
        <f>1.25*5</f>
        <v>6.25</v>
      </c>
      <c r="E686" s="39">
        <v>0.9</v>
      </c>
      <c r="F686" s="39">
        <v>0.9</v>
      </c>
      <c r="G686" s="39">
        <f>0.7+0.25</f>
        <v>0.95</v>
      </c>
      <c r="H686" s="39">
        <f t="shared" si="35"/>
        <v>4.8093750000000002</v>
      </c>
      <c r="I686" s="39"/>
      <c r="J686" s="40"/>
    </row>
    <row r="687" spans="2:10" s="1" customFormat="1" ht="13.2" x14ac:dyDescent="0.25">
      <c r="C687" s="38" t="s">
        <v>603</v>
      </c>
      <c r="D687" s="39">
        <v>1.25</v>
      </c>
      <c r="E687" s="39">
        <v>1.7</v>
      </c>
      <c r="F687" s="39">
        <v>5.9</v>
      </c>
      <c r="G687" s="39">
        <f>1.45+0.3</f>
        <v>1.75</v>
      </c>
      <c r="H687" s="39">
        <f t="shared" si="35"/>
        <v>21.940625000000004</v>
      </c>
    </row>
    <row r="688" spans="2:10" s="1" customFormat="1" ht="13.2" x14ac:dyDescent="0.25">
      <c r="B688" s="45"/>
      <c r="C688" s="42" t="s">
        <v>592</v>
      </c>
      <c r="D688" s="59"/>
      <c r="E688" s="39"/>
      <c r="F688" s="39"/>
      <c r="G688" s="39"/>
      <c r="H688" s="39"/>
      <c r="I688" s="39"/>
      <c r="J688" s="40"/>
    </row>
    <row r="689" spans="2:10" s="1" customFormat="1" ht="13.2" x14ac:dyDescent="0.25">
      <c r="B689" s="45"/>
      <c r="F689" s="39" t="s">
        <v>485</v>
      </c>
      <c r="G689" s="39">
        <v>3</v>
      </c>
      <c r="I689" s="39"/>
      <c r="J689" s="40"/>
    </row>
    <row r="690" spans="2:10" s="1" customFormat="1" ht="13.2" x14ac:dyDescent="0.25">
      <c r="B690" s="45"/>
      <c r="C690" s="38" t="s">
        <v>569</v>
      </c>
      <c r="D690" s="59">
        <v>1.25</v>
      </c>
      <c r="E690" s="39">
        <f>+E614</f>
        <v>32.840000000000003</v>
      </c>
      <c r="F690" s="39" t="s">
        <v>570</v>
      </c>
      <c r="G690" s="39">
        <f>+PI()*((G689*0.0254)^2)/4</f>
        <v>4.5603673118774788E-3</v>
      </c>
      <c r="H690" s="39">
        <f>+D690*E690*G690</f>
        <v>0.18720307815257053</v>
      </c>
      <c r="I690" s="39"/>
      <c r="J690" s="40"/>
    </row>
    <row r="691" spans="2:10" s="1" customFormat="1" ht="13.2" x14ac:dyDescent="0.25">
      <c r="B691" s="45"/>
      <c r="C691" s="42" t="s">
        <v>224</v>
      </c>
      <c r="D691" s="59"/>
      <c r="E691" s="39"/>
      <c r="F691" s="39"/>
      <c r="G691" s="39"/>
      <c r="H691" s="39"/>
      <c r="I691" s="39"/>
      <c r="J691" s="40"/>
    </row>
    <row r="692" spans="2:10" s="1" customFormat="1" ht="13.2" x14ac:dyDescent="0.25">
      <c r="B692" s="45"/>
      <c r="F692" s="39" t="s">
        <v>485</v>
      </c>
      <c r="G692" s="39">
        <v>12</v>
      </c>
      <c r="I692" s="39"/>
      <c r="J692" s="40"/>
    </row>
    <row r="693" spans="2:10" s="1" customFormat="1" ht="13.2" x14ac:dyDescent="0.25">
      <c r="B693" s="45"/>
      <c r="C693" s="38" t="s">
        <v>569</v>
      </c>
      <c r="D693" s="59">
        <v>1.25</v>
      </c>
      <c r="E693" s="39">
        <f>+E618</f>
        <v>24.15</v>
      </c>
      <c r="F693" s="39" t="s">
        <v>570</v>
      </c>
      <c r="G693" s="39">
        <f>+PI()*((G692*0.0254)^2)/4</f>
        <v>7.296587699003966E-2</v>
      </c>
      <c r="H693" s="39">
        <f>+D693*E693*G693</f>
        <v>2.2026574116368223</v>
      </c>
      <c r="I693" s="39"/>
      <c r="J693" s="40"/>
    </row>
    <row r="694" spans="2:10" s="1" customFormat="1" ht="13.2" x14ac:dyDescent="0.25">
      <c r="B694" s="45"/>
      <c r="C694" s="42" t="s">
        <v>226</v>
      </c>
      <c r="D694" s="59"/>
      <c r="E694" s="39"/>
      <c r="F694" s="39"/>
      <c r="G694" s="39"/>
      <c r="H694" s="39"/>
      <c r="I694" s="39"/>
      <c r="J694" s="40"/>
    </row>
    <row r="695" spans="2:10" s="1" customFormat="1" ht="13.2" x14ac:dyDescent="0.25">
      <c r="B695" s="45"/>
      <c r="F695" s="39" t="s">
        <v>485</v>
      </c>
      <c r="G695" s="39">
        <v>14</v>
      </c>
      <c r="I695" s="39"/>
      <c r="J695" s="40"/>
    </row>
    <row r="696" spans="2:10" s="1" customFormat="1" ht="13.2" x14ac:dyDescent="0.25">
      <c r="B696" s="45"/>
      <c r="C696" s="38" t="s">
        <v>569</v>
      </c>
      <c r="D696" s="59">
        <v>1.25</v>
      </c>
      <c r="E696" s="39">
        <f>+E623</f>
        <v>12</v>
      </c>
      <c r="F696" s="39" t="s">
        <v>570</v>
      </c>
      <c r="G696" s="39">
        <f>+PI()*((G695*0.0254)^2)/4</f>
        <v>9.9314665903109542E-2</v>
      </c>
      <c r="H696" s="39">
        <f>+D696*E696*G696</f>
        <v>1.4897199885466432</v>
      </c>
      <c r="I696" s="39"/>
      <c r="J696" s="40"/>
    </row>
    <row r="697" spans="2:10" s="1" customFormat="1" ht="13.2" x14ac:dyDescent="0.25">
      <c r="B697" s="24" t="s">
        <v>563</v>
      </c>
      <c r="C697" s="27" t="s">
        <v>358</v>
      </c>
      <c r="D697" s="59"/>
      <c r="E697" s="39"/>
      <c r="F697" s="39"/>
      <c r="G697" s="39"/>
      <c r="H697" s="39"/>
      <c r="I697" s="39">
        <f>+I677</f>
        <v>56.844580478336042</v>
      </c>
      <c r="J697" s="40"/>
    </row>
    <row r="698" spans="2:10" s="1" customFormat="1" ht="13.2" x14ac:dyDescent="0.25">
      <c r="B698" s="45"/>
      <c r="C698" s="58"/>
      <c r="D698" s="59"/>
      <c r="E698" s="39"/>
      <c r="F698" s="39"/>
      <c r="G698" s="39"/>
      <c r="H698" s="39"/>
      <c r="I698" s="39"/>
      <c r="J698" s="40"/>
    </row>
    <row r="699" spans="2:10" x14ac:dyDescent="0.3">
      <c r="B699" s="72" t="s">
        <v>365</v>
      </c>
      <c r="C699" s="73" t="s">
        <v>360</v>
      </c>
      <c r="D699" s="22"/>
      <c r="E699" s="22"/>
      <c r="F699" s="22"/>
      <c r="G699" s="22"/>
      <c r="H699" s="23"/>
      <c r="I699" s="24"/>
      <c r="J699" s="25"/>
    </row>
    <row r="700" spans="2:10" s="1" customFormat="1" ht="13.2" x14ac:dyDescent="0.25">
      <c r="B700" s="42" t="s">
        <v>366</v>
      </c>
      <c r="C700" s="24" t="s">
        <v>362</v>
      </c>
      <c r="D700" s="59"/>
      <c r="E700" s="39"/>
      <c r="F700" s="39"/>
      <c r="G700" s="39"/>
      <c r="H700" s="39"/>
      <c r="I700" s="43">
        <f>+SUM(H701:H702)</f>
        <v>10.45</v>
      </c>
      <c r="J700" s="44" t="s">
        <v>333</v>
      </c>
    </row>
    <row r="701" spans="2:10" s="1" customFormat="1" ht="13.2" x14ac:dyDescent="0.25">
      <c r="B701" s="24"/>
      <c r="C701" s="38" t="s">
        <v>476</v>
      </c>
      <c r="D701" s="59">
        <v>1</v>
      </c>
      <c r="E701" s="1">
        <v>3</v>
      </c>
      <c r="F701" s="39">
        <v>0.5</v>
      </c>
      <c r="G701" s="39"/>
      <c r="H701" s="39">
        <f>IF(AND(F701=0,G701=0),D701*E701,IF(AND(E701=0,G701=0),D701*F701,IF(AND(E701=0,F701=0),D701*G701,IF(AND(E701=0),D701*F701*G701,IF(AND(F701=0),D701*E701*G701,IF(AND(G701=0),D701*E701*F701,D701*E701*F701*G701))))))</f>
        <v>1.5</v>
      </c>
      <c r="I701" s="39"/>
      <c r="J701" s="40"/>
    </row>
    <row r="702" spans="2:10" s="1" customFormat="1" ht="13.2" x14ac:dyDescent="0.25">
      <c r="B702" s="24"/>
      <c r="C702" s="38" t="s">
        <v>477</v>
      </c>
      <c r="D702" s="1">
        <v>1</v>
      </c>
      <c r="E702" s="75">
        <f>3.5+14.4</f>
        <v>17.899999999999999</v>
      </c>
      <c r="F702" s="39">
        <v>0.5</v>
      </c>
      <c r="G702" s="39"/>
      <c r="H702" s="39">
        <f>IF(AND(F702=0,G702=0),D702*E702,IF(AND(E702=0,G702=0),D702*F702,IF(AND(E702=0,F702=0),D702*G702,IF(AND(E702=0),D702*F702*G702,IF(AND(F702=0),D702*E702*G702,IF(AND(G702=0),D702*E702*F702,D702*E702*F702*G702))))))</f>
        <v>8.9499999999999993</v>
      </c>
      <c r="I702" s="39"/>
      <c r="J702" s="40"/>
    </row>
    <row r="703" spans="2:10" s="1" customFormat="1" ht="13.2" x14ac:dyDescent="0.25">
      <c r="B703" s="42" t="s">
        <v>367</v>
      </c>
      <c r="C703" s="24" t="s">
        <v>364</v>
      </c>
      <c r="D703" s="59"/>
      <c r="E703" s="39"/>
      <c r="F703" s="39"/>
      <c r="G703" s="39"/>
      <c r="H703" s="39"/>
      <c r="I703" s="43">
        <f>+SUM(H704:H711)</f>
        <v>22.990000000000002</v>
      </c>
      <c r="J703" s="44" t="s">
        <v>333</v>
      </c>
    </row>
    <row r="704" spans="2:10" s="1" customFormat="1" ht="13.2" x14ac:dyDescent="0.25">
      <c r="B704" s="114"/>
      <c r="C704" s="38" t="s">
        <v>596</v>
      </c>
      <c r="D704" s="39">
        <v>1</v>
      </c>
      <c r="E704" s="39">
        <v>0.9</v>
      </c>
      <c r="F704" s="39">
        <v>1.2</v>
      </c>
      <c r="G704" s="39"/>
      <c r="H704" s="39">
        <f>IF(AND(F704=0,G704=0),D704*E704,IF(AND(E704=0,G704=0),D704*F704,IF(AND(E704=0,F704=0),D704*G704,IF(AND(E704=0),D704*F704*G704,IF(AND(F704=0),D704*E704*G704,IF(AND(G704=0),D704*E704*F704,D704*E704*F704*G704))))))</f>
        <v>1.08</v>
      </c>
      <c r="I704" s="39"/>
      <c r="J704" s="40"/>
    </row>
    <row r="705" spans="2:10" s="1" customFormat="1" ht="13.2" x14ac:dyDescent="0.25">
      <c r="B705" s="42"/>
      <c r="C705" s="38" t="s">
        <v>597</v>
      </c>
      <c r="D705" s="39">
        <v>1</v>
      </c>
      <c r="E705" s="39">
        <v>0.9</v>
      </c>
      <c r="F705" s="39">
        <v>1.2</v>
      </c>
      <c r="G705" s="39"/>
      <c r="H705" s="39">
        <f>IF(AND(F705=0,G705=0),D705*E705,IF(AND(E705=0,G705=0),D705*F705,IF(AND(E705=0,F705=0),D705*G705,IF(AND(E705=0),D705*F705*G705,IF(AND(F705=0),D705*E705*G705,IF(AND(G705=0),D705*E705*F705,D705*E705*F705*G705))))))</f>
        <v>1.08</v>
      </c>
      <c r="I705" s="43"/>
      <c r="J705" s="44"/>
    </row>
    <row r="706" spans="2:10" s="1" customFormat="1" ht="13.2" x14ac:dyDescent="0.25">
      <c r="B706" s="94"/>
      <c r="C706" s="38" t="s">
        <v>598</v>
      </c>
      <c r="D706" s="59">
        <v>1</v>
      </c>
      <c r="E706" s="39">
        <v>0.9</v>
      </c>
      <c r="F706" s="39">
        <v>1.2</v>
      </c>
      <c r="G706" s="39"/>
      <c r="H706" s="39">
        <f>IF(AND(F706=0,G706=0),D706*E706,IF(AND(E706=0,G706=0),D706*F706,IF(AND(E706=0,F706=0),D706*G706,IF(AND(E706=0),D706*F706*G706,IF(AND(F706=0),D706*E706*G706,IF(AND(G706=0),D706*E706*F706,D706*E706*F706*G706))))))</f>
        <v>1.08</v>
      </c>
      <c r="I706" s="43"/>
      <c r="J706" s="44"/>
    </row>
    <row r="707" spans="2:10" s="1" customFormat="1" ht="13.2" x14ac:dyDescent="0.25">
      <c r="B707" s="94"/>
      <c r="C707" s="38" t="s">
        <v>599</v>
      </c>
      <c r="D707" s="59">
        <v>1</v>
      </c>
      <c r="E707" s="39">
        <v>0.9</v>
      </c>
      <c r="F707" s="39">
        <v>0.9</v>
      </c>
      <c r="G707" s="39"/>
      <c r="H707" s="39">
        <f t="shared" ref="H707:H711" si="36">IF(AND(F707=0,G707=0),D707*E707,IF(AND(E707=0,G707=0),D707*F707,IF(AND(E707=0,F707=0),D707*G707,IF(AND(E707=0),D707*F707*G707,IF(AND(F707=0),D707*E707*G707,IF(AND(G707=0),D707*E707*F707,D707*E707*F707*G707))))))</f>
        <v>0.81</v>
      </c>
      <c r="I707" s="43"/>
      <c r="J707" s="44"/>
    </row>
    <row r="708" spans="2:10" s="1" customFormat="1" ht="13.2" x14ac:dyDescent="0.25">
      <c r="B708" s="94"/>
      <c r="C708" s="38" t="s">
        <v>600</v>
      </c>
      <c r="D708" s="39">
        <v>1</v>
      </c>
      <c r="E708" s="39">
        <v>0.9</v>
      </c>
      <c r="F708" s="39">
        <v>0.9</v>
      </c>
      <c r="G708" s="39"/>
      <c r="H708" s="39">
        <f t="shared" si="36"/>
        <v>0.81</v>
      </c>
      <c r="I708" s="43"/>
      <c r="J708" s="44"/>
    </row>
    <row r="709" spans="2:10" s="1" customFormat="1" ht="13.2" x14ac:dyDescent="0.25">
      <c r="B709" s="94"/>
      <c r="C709" s="38" t="s">
        <v>601</v>
      </c>
      <c r="D709" s="39">
        <v>5</v>
      </c>
      <c r="E709" s="39">
        <v>0.9</v>
      </c>
      <c r="F709" s="39">
        <v>0.9</v>
      </c>
      <c r="G709" s="39"/>
      <c r="H709" s="39">
        <f t="shared" si="36"/>
        <v>4.05</v>
      </c>
      <c r="I709" s="43"/>
      <c r="J709" s="44"/>
    </row>
    <row r="710" spans="2:10" s="1" customFormat="1" ht="13.2" x14ac:dyDescent="0.25">
      <c r="B710" s="94"/>
      <c r="C710" s="38" t="s">
        <v>602</v>
      </c>
      <c r="D710" s="39">
        <v>5</v>
      </c>
      <c r="E710" s="39">
        <v>0.9</v>
      </c>
      <c r="F710" s="39">
        <v>0.9</v>
      </c>
      <c r="G710" s="39"/>
      <c r="H710" s="39">
        <f t="shared" si="36"/>
        <v>4.05</v>
      </c>
      <c r="I710" s="43"/>
      <c r="J710" s="44"/>
    </row>
    <row r="711" spans="2:10" s="1" customFormat="1" ht="13.2" x14ac:dyDescent="0.25">
      <c r="B711" s="94"/>
      <c r="C711" s="38" t="s">
        <v>603</v>
      </c>
      <c r="D711" s="39">
        <v>1</v>
      </c>
      <c r="E711" s="39">
        <v>1.7</v>
      </c>
      <c r="F711" s="39">
        <v>5.9</v>
      </c>
      <c r="G711" s="39"/>
      <c r="H711" s="39">
        <f t="shared" si="36"/>
        <v>10.030000000000001</v>
      </c>
      <c r="I711" s="43"/>
      <c r="J711" s="44"/>
    </row>
    <row r="712" spans="2:10" s="1" customFormat="1" ht="13.2" x14ac:dyDescent="0.25">
      <c r="B712" s="94"/>
      <c r="C712" s="38"/>
      <c r="D712" s="59"/>
      <c r="E712" s="39"/>
      <c r="F712" s="39"/>
      <c r="G712" s="39"/>
      <c r="H712" s="39"/>
      <c r="I712" s="43"/>
      <c r="J712" s="44"/>
    </row>
    <row r="713" spans="2:10" s="1" customFormat="1" ht="13.2" x14ac:dyDescent="0.25">
      <c r="B713" s="72" t="s">
        <v>368</v>
      </c>
      <c r="C713" s="57" t="s">
        <v>202</v>
      </c>
      <c r="D713" s="59"/>
      <c r="E713" s="39"/>
      <c r="F713" s="39"/>
      <c r="G713" s="39"/>
      <c r="H713" s="39"/>
      <c r="I713" s="39"/>
      <c r="J713" s="40"/>
    </row>
    <row r="714" spans="2:10" s="1" customFormat="1" ht="17.25" customHeight="1" x14ac:dyDescent="0.25">
      <c r="B714" s="42" t="s">
        <v>369</v>
      </c>
      <c r="C714" s="45" t="s">
        <v>385</v>
      </c>
      <c r="D714" s="22"/>
      <c r="E714" s="22"/>
      <c r="F714" s="39"/>
      <c r="G714" s="39"/>
      <c r="I714" s="43">
        <f>SUM(H715)</f>
        <v>17.899999999999999</v>
      </c>
      <c r="J714" s="44" t="s">
        <v>102</v>
      </c>
    </row>
    <row r="715" spans="2:10" s="1" customFormat="1" ht="17.25" customHeight="1" x14ac:dyDescent="0.25">
      <c r="B715" s="114"/>
      <c r="C715" s="45" t="s">
        <v>477</v>
      </c>
      <c r="D715" s="115">
        <v>1</v>
      </c>
      <c r="E715" s="116">
        <f>3.5+14.4</f>
        <v>17.899999999999999</v>
      </c>
      <c r="F715" s="39"/>
      <c r="G715" s="39"/>
      <c r="H715" s="39">
        <f>IF(AND(F715=0,G715=0),D715*E715,IF(AND(E715=0,G715=0),D715*F715,IF(AND(E715=0,F715=0),D715*G715,IF(AND(E715=0),D715*F715*G715,IF(AND(F715=0),D715*E715*G715,IF(AND(G715=0),D715*E715*F715,D715*E715*F715*G715))))))</f>
        <v>17.899999999999999</v>
      </c>
      <c r="I715" s="39"/>
      <c r="J715" s="40"/>
    </row>
    <row r="716" spans="2:10" s="1" customFormat="1" ht="17.25" customHeight="1" x14ac:dyDescent="0.25">
      <c r="B716" s="114"/>
      <c r="C716" s="45" t="s">
        <v>617</v>
      </c>
      <c r="D716" s="115"/>
      <c r="E716" s="116"/>
      <c r="F716" s="39" t="s">
        <v>618</v>
      </c>
      <c r="G716" s="39" t="s">
        <v>619</v>
      </c>
      <c r="I716" s="78">
        <f>+SUM(G717:G718)</f>
        <v>8.1999999999999993</v>
      </c>
      <c r="J716" s="40"/>
    </row>
    <row r="717" spans="2:10" s="1" customFormat="1" ht="17.25" customHeight="1" x14ac:dyDescent="0.25">
      <c r="B717" s="114"/>
      <c r="C717" s="38" t="s">
        <v>620</v>
      </c>
      <c r="D717" s="115">
        <f>6+6+4</f>
        <v>16</v>
      </c>
      <c r="E717" s="115">
        <v>1</v>
      </c>
      <c r="F717" s="39">
        <v>0.25</v>
      </c>
      <c r="G717" s="39">
        <f>+D717*E717*F717</f>
        <v>4</v>
      </c>
      <c r="H717" s="39"/>
      <c r="I717" s="39"/>
      <c r="J717" s="40"/>
    </row>
    <row r="718" spans="2:10" s="1" customFormat="1" ht="13.2" x14ac:dyDescent="0.25">
      <c r="B718" s="114"/>
      <c r="C718" s="38" t="s">
        <v>621</v>
      </c>
      <c r="D718" s="59">
        <v>6</v>
      </c>
      <c r="E718" s="39">
        <f>1.1*2+0.6</f>
        <v>2.8000000000000003</v>
      </c>
      <c r="F718" s="39">
        <v>0.25</v>
      </c>
      <c r="G718" s="39">
        <f>+D718*E718*F718</f>
        <v>4.2</v>
      </c>
      <c r="H718" s="39"/>
      <c r="I718" s="39"/>
      <c r="J718" s="40"/>
    </row>
    <row r="719" spans="2:10" s="1" customFormat="1" ht="13.2" x14ac:dyDescent="0.25">
      <c r="B719" s="42" t="s">
        <v>372</v>
      </c>
      <c r="C719" s="42" t="s">
        <v>391</v>
      </c>
      <c r="D719" s="59"/>
      <c r="E719" s="39"/>
      <c r="F719" s="39"/>
      <c r="G719" s="39"/>
      <c r="H719" s="39"/>
      <c r="I719" s="43">
        <f>+SUM(H720:H722)</f>
        <v>7.7</v>
      </c>
      <c r="J719" s="44" t="s">
        <v>30</v>
      </c>
    </row>
    <row r="720" spans="2:10" s="1" customFormat="1" ht="13.2" x14ac:dyDescent="0.25">
      <c r="B720" s="114"/>
      <c r="C720" s="38" t="s">
        <v>600</v>
      </c>
      <c r="D720" s="39">
        <v>1</v>
      </c>
      <c r="E720" s="39">
        <v>0.7</v>
      </c>
      <c r="F720" s="39"/>
      <c r="G720" s="39"/>
      <c r="H720" s="39">
        <f>IF(AND(F720=0,G720=0),D720*E720,IF(AND(E720=0,G720=0),D720*F720,IF(AND(E720=0,F720=0),D720*G720,IF(AND(E720=0),D720*F720*G720,IF(AND(F720=0),D720*E720*G720,IF(AND(G720=0),D720*E720*F720,D720*E720*F720*G720))))))</f>
        <v>0.7</v>
      </c>
      <c r="I720" s="39"/>
      <c r="J720" s="40"/>
    </row>
    <row r="721" spans="2:10" s="1" customFormat="1" ht="13.2" x14ac:dyDescent="0.25">
      <c r="B721" s="114"/>
      <c r="C721" s="38" t="s">
        <v>601</v>
      </c>
      <c r="D721" s="39">
        <v>5</v>
      </c>
      <c r="E721" s="39">
        <v>0.7</v>
      </c>
      <c r="F721" s="39"/>
      <c r="G721" s="39"/>
      <c r="H721" s="39">
        <f t="shared" ref="H721:H722" si="37">IF(AND(F721=0,G721=0),D721*E721,IF(AND(E721=0,G721=0),D721*F721,IF(AND(E721=0,F721=0),D721*G721,IF(AND(E721=0),D721*F721*G721,IF(AND(F721=0),D721*E721*G721,IF(AND(G721=0),D721*E721*F721,D721*E721*F721*G721))))))</f>
        <v>3.5</v>
      </c>
      <c r="I721" s="39"/>
      <c r="J721" s="40"/>
    </row>
    <row r="722" spans="2:10" s="1" customFormat="1" ht="13.2" x14ac:dyDescent="0.25">
      <c r="B722" s="114"/>
      <c r="C722" s="38" t="s">
        <v>602</v>
      </c>
      <c r="D722" s="39">
        <v>5</v>
      </c>
      <c r="E722" s="39">
        <v>0.7</v>
      </c>
      <c r="F722" s="39"/>
      <c r="G722" s="39"/>
      <c r="H722" s="39">
        <f t="shared" si="37"/>
        <v>3.5</v>
      </c>
      <c r="I722" s="39"/>
      <c r="J722" s="40"/>
    </row>
    <row r="723" spans="2:10" s="1" customFormat="1" ht="13.2" x14ac:dyDescent="0.25">
      <c r="B723" s="42" t="s">
        <v>373</v>
      </c>
      <c r="C723" s="42" t="s">
        <v>393</v>
      </c>
      <c r="D723" s="59"/>
      <c r="E723" s="39"/>
      <c r="F723" s="39"/>
      <c r="G723" s="39"/>
      <c r="H723" s="39"/>
      <c r="I723" s="43">
        <f>+SUM(H724:H726)</f>
        <v>3</v>
      </c>
      <c r="J723" s="44" t="s">
        <v>30</v>
      </c>
    </row>
    <row r="724" spans="2:10" s="1" customFormat="1" ht="13.2" x14ac:dyDescent="0.25">
      <c r="B724" s="114"/>
      <c r="C724" s="38" t="s">
        <v>596</v>
      </c>
      <c r="D724" s="39">
        <v>1</v>
      </c>
      <c r="E724" s="39">
        <v>1</v>
      </c>
      <c r="F724" s="39"/>
      <c r="G724" s="39"/>
      <c r="H724" s="39">
        <f>IF(AND(F724=0,G724=0),D724*E724,IF(AND(E724=0,G724=0),D724*F724,IF(AND(E724=0,F724=0),D724*G724,IF(AND(E724=0),D724*F724*G724,IF(AND(F724=0),D724*E724*G724,IF(AND(G724=0),D724*E724*F724,D724*E724*F724*G724))))))</f>
        <v>1</v>
      </c>
      <c r="I724" s="39"/>
      <c r="J724" s="40"/>
    </row>
    <row r="725" spans="2:10" s="1" customFormat="1" ht="13.2" x14ac:dyDescent="0.25">
      <c r="B725" s="114"/>
      <c r="C725" s="38" t="s">
        <v>597</v>
      </c>
      <c r="D725" s="39">
        <v>1</v>
      </c>
      <c r="E725" s="39">
        <v>1</v>
      </c>
      <c r="F725" s="39"/>
      <c r="G725" s="39"/>
      <c r="H725" s="39">
        <f>IF(AND(F725=0,G725=0),D725*E725,IF(AND(E725=0,G725=0),D725*F725,IF(AND(E725=0,F725=0),D725*G725,IF(AND(E725=0),D725*F725*G725,IF(AND(F725=0),D725*E725*G725,IF(AND(G725=0),D725*E725*F725,D725*E725*F725*G725))))))</f>
        <v>1</v>
      </c>
      <c r="I725" s="39"/>
      <c r="J725" s="40"/>
    </row>
    <row r="726" spans="2:10" s="1" customFormat="1" ht="13.2" x14ac:dyDescent="0.25">
      <c r="B726" s="114"/>
      <c r="C726" s="38" t="s">
        <v>598</v>
      </c>
      <c r="D726" s="39">
        <v>1</v>
      </c>
      <c r="E726" s="39">
        <v>1</v>
      </c>
      <c r="F726" s="39"/>
      <c r="G726" s="39"/>
      <c r="H726" s="39">
        <f>IF(AND(F726=0,G726=0),D726*E726,IF(AND(E726=0,G726=0),D726*F726,IF(AND(E726=0,F726=0),D726*G726,IF(AND(E726=0),D726*F726*G726,IF(AND(F726=0),D726*E726*G726,IF(AND(G726=0),D726*E726*F726,D726*E726*F726*G726))))))</f>
        <v>1</v>
      </c>
      <c r="I726" s="39"/>
      <c r="J726" s="40"/>
    </row>
    <row r="727" spans="2:10" s="1" customFormat="1" ht="13.2" x14ac:dyDescent="0.25">
      <c r="B727" s="42" t="s">
        <v>376</v>
      </c>
      <c r="C727" s="42" t="s">
        <v>398</v>
      </c>
      <c r="D727" s="59"/>
      <c r="E727" s="39"/>
      <c r="F727" s="39"/>
      <c r="G727" s="39"/>
      <c r="H727" s="39"/>
      <c r="I727" s="43">
        <f>SUM(H728)</f>
        <v>0.7</v>
      </c>
      <c r="J727" s="44" t="s">
        <v>102</v>
      </c>
    </row>
    <row r="728" spans="2:10" s="1" customFormat="1" ht="13.2" x14ac:dyDescent="0.25">
      <c r="B728" s="115"/>
      <c r="C728" s="38" t="s">
        <v>622</v>
      </c>
      <c r="D728" s="59">
        <v>1</v>
      </c>
      <c r="E728" s="39">
        <v>0.7</v>
      </c>
      <c r="F728" s="39"/>
      <c r="G728" s="39"/>
      <c r="H728" s="39">
        <f t="shared" ref="H728" si="38">IF(AND(F728=0,G728=0),D728*E728,IF(AND(E728=0,G728=0),D728*F728,IF(AND(E728=0,F728=0),D728*G728,IF(AND(E728=0),D728*F728*G728,IF(AND(F728=0),D728*E728*G728,IF(AND(G728=0),D728*E728*F728,D728*E728*F728*G728))))))</f>
        <v>0.7</v>
      </c>
      <c r="I728" s="39"/>
      <c r="J728" s="40"/>
    </row>
    <row r="729" spans="2:10" s="1" customFormat="1" ht="13.2" x14ac:dyDescent="0.25">
      <c r="B729" s="42" t="s">
        <v>378</v>
      </c>
      <c r="C729" s="42" t="s">
        <v>400</v>
      </c>
      <c r="D729" s="59"/>
      <c r="E729" s="39"/>
      <c r="F729" s="39"/>
      <c r="G729" s="39"/>
      <c r="H729" s="39"/>
      <c r="I729" s="43">
        <f>SUM(H730)</f>
        <v>5.7</v>
      </c>
      <c r="J729" s="44" t="s">
        <v>102</v>
      </c>
    </row>
    <row r="730" spans="2:10" s="1" customFormat="1" ht="13.2" x14ac:dyDescent="0.25">
      <c r="B730" s="42"/>
      <c r="C730" s="38" t="s">
        <v>623</v>
      </c>
      <c r="D730" s="39">
        <v>1</v>
      </c>
      <c r="E730" s="39">
        <v>5.7</v>
      </c>
      <c r="F730" s="39"/>
      <c r="G730" s="39"/>
      <c r="H730" s="39">
        <f>IF(AND(F730=0,G730=0),D730*E730,IF(AND(E730=0,G730=0),D730*F730,IF(AND(E730=0,F730=0),D730*G730,IF(AND(E730=0),D730*F730*G730,IF(AND(F730=0),D730*E730*G730,IF(AND(G730=0),D730*E730*F730,D730*E730*F730*G730))))))</f>
        <v>5.7</v>
      </c>
      <c r="I730" s="39"/>
      <c r="J730" s="40"/>
    </row>
    <row r="731" spans="2:10" s="1" customFormat="1" ht="13.2" x14ac:dyDescent="0.25">
      <c r="B731" s="42" t="s">
        <v>379</v>
      </c>
      <c r="C731" s="24" t="s">
        <v>539</v>
      </c>
      <c r="D731" s="59"/>
      <c r="E731" s="39"/>
      <c r="F731" s="39"/>
      <c r="G731" s="39"/>
      <c r="H731" s="39"/>
      <c r="I731" s="43">
        <f>+SUM(H732:H733)</f>
        <v>32.840000000000003</v>
      </c>
      <c r="J731" s="44" t="s">
        <v>102</v>
      </c>
    </row>
    <row r="732" spans="2:10" s="1" customFormat="1" ht="13.2" x14ac:dyDescent="0.25">
      <c r="B732" s="42"/>
      <c r="C732" s="38" t="s">
        <v>604</v>
      </c>
      <c r="D732" s="59">
        <v>1</v>
      </c>
      <c r="E732" s="39">
        <f>1.28+2.12+5.96+1.38</f>
        <v>10.739999999999998</v>
      </c>
      <c r="F732" s="39"/>
      <c r="G732" s="39"/>
      <c r="H732" s="39">
        <f>IF(AND(F732=0,G732=0),D732*E732,IF(AND(E732=0,G732=0),D732*F732,IF(AND(E732=0,F732=0),D732*G732,IF(AND(E732=0),D732*F732*G732,IF(AND(F732=0),D732*E732*G732,IF(AND(G732=0),D732*E732*F732,D732*E732*F732*G732))))))</f>
        <v>10.739999999999998</v>
      </c>
      <c r="I732" s="43"/>
      <c r="J732" s="44"/>
    </row>
    <row r="733" spans="2:10" s="1" customFormat="1" ht="13.2" x14ac:dyDescent="0.25">
      <c r="B733" s="42"/>
      <c r="C733" s="38" t="s">
        <v>605</v>
      </c>
      <c r="D733" s="59">
        <v>1</v>
      </c>
      <c r="E733" s="39">
        <v>22.1</v>
      </c>
      <c r="F733" s="39"/>
      <c r="G733" s="39"/>
      <c r="H733" s="39">
        <f>IF(AND(F733=0,G733=0),D733*E733,IF(AND(E733=0,G733=0),D733*F733,IF(AND(E733=0,F733=0),D733*G733,IF(AND(E733=0),D733*F733*G733,IF(AND(F733=0),D733*E733*G733,IF(AND(G733=0),D733*E733*F733,D733*E733*F733*G733))))))</f>
        <v>22.1</v>
      </c>
      <c r="I733" s="43"/>
      <c r="J733" s="44"/>
    </row>
    <row r="734" spans="2:10" s="1" customFormat="1" ht="13.2" x14ac:dyDescent="0.25">
      <c r="B734" s="42" t="s">
        <v>382</v>
      </c>
      <c r="C734" s="27" t="s">
        <v>614</v>
      </c>
      <c r="D734" s="59"/>
      <c r="E734" s="39"/>
      <c r="F734" s="39"/>
      <c r="G734" s="39"/>
      <c r="H734" s="39"/>
      <c r="I734" s="43">
        <f>SUM(H735:H735)</f>
        <v>125</v>
      </c>
      <c r="J734" s="44" t="str">
        <f>+J735</f>
        <v>und</v>
      </c>
    </row>
    <row r="735" spans="2:10" s="1" customFormat="1" ht="13.2" x14ac:dyDescent="0.25">
      <c r="B735" s="114"/>
      <c r="C735" s="38" t="s">
        <v>615</v>
      </c>
      <c r="D735" s="59">
        <v>1</v>
      </c>
      <c r="E735" s="39">
        <v>125</v>
      </c>
      <c r="F735" s="39"/>
      <c r="G735" s="39"/>
      <c r="H735" s="39">
        <f>IF(AND(F735=0,G735=0),D735*E735,IF(AND(E735=0,G735=0),D735*F735,IF(AND(E735=0,F735=0),D735*G735,IF(AND(E735=0),D735*F735*G735,IF(AND(F735=0),D735*E735*G735,IF(AND(G735=0),D735*E735*F735,D735*E735*F735*G735))))))</f>
        <v>125</v>
      </c>
      <c r="I735" s="39"/>
      <c r="J735" s="40" t="s">
        <v>30</v>
      </c>
    </row>
    <row r="736" spans="2:10" s="1" customFormat="1" ht="13.2" x14ac:dyDescent="0.25">
      <c r="B736" s="24" t="s">
        <v>388</v>
      </c>
      <c r="C736" s="27" t="s">
        <v>624</v>
      </c>
      <c r="D736" s="59"/>
      <c r="E736" s="39"/>
      <c r="F736" s="39"/>
      <c r="G736" s="39"/>
      <c r="H736" s="39"/>
      <c r="I736" s="43">
        <f>SUM(H737:H739)</f>
        <v>3</v>
      </c>
      <c r="J736" s="40" t="s">
        <v>30</v>
      </c>
    </row>
    <row r="737" spans="2:10" s="1" customFormat="1" ht="13.2" x14ac:dyDescent="0.25">
      <c r="B737" s="42"/>
      <c r="C737" s="38" t="s">
        <v>596</v>
      </c>
      <c r="D737" s="39">
        <v>1</v>
      </c>
      <c r="E737" s="39"/>
      <c r="F737" s="39"/>
      <c r="G737" s="39"/>
      <c r="H737" s="39">
        <f>+D737</f>
        <v>1</v>
      </c>
      <c r="I737" s="39"/>
      <c r="J737" s="40"/>
    </row>
    <row r="738" spans="2:10" s="1" customFormat="1" ht="13.2" x14ac:dyDescent="0.25">
      <c r="B738" s="42"/>
      <c r="C738" s="38" t="s">
        <v>597</v>
      </c>
      <c r="D738" s="39">
        <v>1</v>
      </c>
      <c r="E738" s="39"/>
      <c r="F738" s="39"/>
      <c r="G738" s="39"/>
      <c r="H738" s="39">
        <f t="shared" ref="H738" si="39">+D738</f>
        <v>1</v>
      </c>
      <c r="I738" s="39"/>
      <c r="J738" s="40"/>
    </row>
    <row r="739" spans="2:10" s="1" customFormat="1" ht="13.2" x14ac:dyDescent="0.25">
      <c r="B739" s="42"/>
      <c r="C739" s="38" t="s">
        <v>598</v>
      </c>
      <c r="D739" s="59">
        <v>1</v>
      </c>
      <c r="E739" s="39"/>
      <c r="F739" s="39"/>
      <c r="G739" s="39"/>
      <c r="H739" s="39">
        <f>+D739</f>
        <v>1</v>
      </c>
      <c r="I739" s="39"/>
      <c r="J739" s="40"/>
    </row>
    <row r="740" spans="2:10" s="1" customFormat="1" ht="13.2" x14ac:dyDescent="0.25">
      <c r="B740" s="42" t="s">
        <v>386</v>
      </c>
      <c r="C740" s="42" t="s">
        <v>625</v>
      </c>
      <c r="D740" s="59"/>
      <c r="E740" s="39"/>
      <c r="F740" s="39"/>
      <c r="G740" s="39"/>
      <c r="H740" s="39"/>
      <c r="I740" s="43">
        <f>SUM(H741:H744)</f>
        <v>12</v>
      </c>
      <c r="J740" s="44" t="s">
        <v>30</v>
      </c>
    </row>
    <row r="741" spans="2:10" s="1" customFormat="1" ht="13.2" x14ac:dyDescent="0.25">
      <c r="B741" s="114"/>
      <c r="C741" s="38" t="s">
        <v>599</v>
      </c>
      <c r="D741" s="59">
        <v>1</v>
      </c>
      <c r="E741" s="39"/>
      <c r="G741" s="39"/>
      <c r="H741" s="39">
        <f>+D741</f>
        <v>1</v>
      </c>
      <c r="I741" s="39"/>
      <c r="J741" s="40"/>
    </row>
    <row r="742" spans="2:10" s="1" customFormat="1" ht="13.2" x14ac:dyDescent="0.25">
      <c r="B742" s="114"/>
      <c r="C742" s="38" t="s">
        <v>600</v>
      </c>
      <c r="D742" s="39">
        <v>1</v>
      </c>
      <c r="E742" s="39"/>
      <c r="F742" s="39"/>
      <c r="G742" s="39"/>
      <c r="H742" s="39">
        <f t="shared" ref="H742:H744" si="40">+D742</f>
        <v>1</v>
      </c>
      <c r="I742" s="39"/>
      <c r="J742" s="40"/>
    </row>
    <row r="743" spans="2:10" s="1" customFormat="1" ht="13.2" x14ac:dyDescent="0.25">
      <c r="B743" s="42"/>
      <c r="C743" s="38" t="s">
        <v>601</v>
      </c>
      <c r="D743" s="39">
        <v>5</v>
      </c>
      <c r="E743" s="39"/>
      <c r="F743" s="39"/>
      <c r="G743" s="39"/>
      <c r="H743" s="39">
        <f t="shared" si="40"/>
        <v>5</v>
      </c>
      <c r="J743" s="44" t="s">
        <v>30</v>
      </c>
    </row>
    <row r="744" spans="2:10" s="1" customFormat="1" ht="13.2" x14ac:dyDescent="0.25">
      <c r="B744" s="42"/>
      <c r="C744" s="38" t="s">
        <v>602</v>
      </c>
      <c r="D744" s="39">
        <v>5</v>
      </c>
      <c r="E744" s="39"/>
      <c r="F744" s="39"/>
      <c r="G744" s="39"/>
      <c r="H744" s="39">
        <f t="shared" si="40"/>
        <v>5</v>
      </c>
      <c r="I744" s="39"/>
      <c r="J744" s="40" t="s">
        <v>30</v>
      </c>
    </row>
    <row r="745" spans="2:10" s="1" customFormat="1" ht="13.2" x14ac:dyDescent="0.25">
      <c r="B745" s="42" t="s">
        <v>392</v>
      </c>
      <c r="C745" s="42" t="s">
        <v>626</v>
      </c>
      <c r="D745" s="59"/>
      <c r="E745" s="39"/>
      <c r="F745" s="39"/>
      <c r="G745" s="39"/>
      <c r="H745" s="39"/>
      <c r="I745" s="43">
        <f>SUM(H746)</f>
        <v>0.38</v>
      </c>
      <c r="J745" s="44" t="s">
        <v>30</v>
      </c>
    </row>
    <row r="746" spans="2:10" s="1" customFormat="1" ht="13.2" x14ac:dyDescent="0.25">
      <c r="B746" s="114"/>
      <c r="C746" s="38" t="s">
        <v>603</v>
      </c>
      <c r="D746" s="39">
        <v>0.38</v>
      </c>
      <c r="E746" s="39"/>
      <c r="F746" s="39"/>
      <c r="G746" s="39"/>
      <c r="H746" s="39">
        <f>+D746</f>
        <v>0.38</v>
      </c>
      <c r="I746" s="39"/>
      <c r="J746" s="40" t="s">
        <v>30</v>
      </c>
    </row>
    <row r="747" spans="2:10" s="1" customFormat="1" ht="13.2" x14ac:dyDescent="0.25">
      <c r="B747" s="24" t="s">
        <v>394</v>
      </c>
      <c r="C747" s="27" t="s">
        <v>411</v>
      </c>
      <c r="D747" s="59"/>
      <c r="E747" s="39"/>
      <c r="F747" s="39"/>
      <c r="G747" s="39"/>
      <c r="H747" s="39"/>
      <c r="I747" s="43">
        <f>+SUM(H748:H763)</f>
        <v>71.72999999999999</v>
      </c>
      <c r="J747" s="40" t="s">
        <v>333</v>
      </c>
    </row>
    <row r="748" spans="2:10" s="1" customFormat="1" ht="13.2" x14ac:dyDescent="0.25">
      <c r="B748" s="90"/>
      <c r="C748" s="38" t="s">
        <v>596</v>
      </c>
      <c r="D748" s="39">
        <v>1</v>
      </c>
      <c r="E748" s="39">
        <f>1.5*2</f>
        <v>3</v>
      </c>
      <c r="F748" s="39"/>
      <c r="G748" s="39">
        <f>0.92+0.2</f>
        <v>1.1200000000000001</v>
      </c>
      <c r="H748" s="39">
        <f t="shared" ref="H748:H763" si="41">IF(AND(F748=0,G748=0),D748*E748,IF(AND(E748=0,G748=0),D748*F748,IF(AND(E748=0,F748=0),D748*G748,IF(AND(E748=0),D748*F748*G748,IF(AND(F748=0),D748*E748*G748,IF(AND(G748=0),D748*E748*F748,D748*E748*F748*G748))))))</f>
        <v>3.3600000000000003</v>
      </c>
      <c r="I748" s="39"/>
      <c r="J748" s="40"/>
    </row>
    <row r="749" spans="2:10" s="1" customFormat="1" ht="13.2" x14ac:dyDescent="0.25">
      <c r="B749" s="90"/>
      <c r="C749" s="38"/>
      <c r="D749" s="39">
        <v>1</v>
      </c>
      <c r="E749" s="39">
        <v>0.6</v>
      </c>
      <c r="F749" s="39"/>
      <c r="G749" s="39">
        <v>0.9</v>
      </c>
      <c r="H749" s="39">
        <f t="shared" si="41"/>
        <v>0.54</v>
      </c>
      <c r="I749" s="39"/>
      <c r="J749" s="40"/>
    </row>
    <row r="750" spans="2:10" s="1" customFormat="1" ht="13.2" x14ac:dyDescent="0.25">
      <c r="B750" s="90"/>
      <c r="C750" s="38" t="s">
        <v>597</v>
      </c>
      <c r="D750" s="39">
        <v>1</v>
      </c>
      <c r="E750" s="39">
        <f>1.5*2</f>
        <v>3</v>
      </c>
      <c r="F750" s="39"/>
      <c r="G750" s="39">
        <f>1.07+0.2</f>
        <v>1.27</v>
      </c>
      <c r="H750" s="39">
        <f t="shared" si="41"/>
        <v>3.81</v>
      </c>
      <c r="I750" s="39"/>
      <c r="J750" s="40"/>
    </row>
    <row r="751" spans="2:10" s="1" customFormat="1" ht="13.2" x14ac:dyDescent="0.25">
      <c r="B751" s="90"/>
      <c r="C751" s="38"/>
      <c r="D751" s="39">
        <v>1</v>
      </c>
      <c r="E751" s="39">
        <v>0.6</v>
      </c>
      <c r="F751" s="39"/>
      <c r="G751" s="39">
        <v>0.9</v>
      </c>
      <c r="H751" s="39">
        <f t="shared" si="41"/>
        <v>0.54</v>
      </c>
      <c r="I751" s="39"/>
      <c r="J751" s="40"/>
    </row>
    <row r="752" spans="2:10" s="1" customFormat="1" ht="13.2" x14ac:dyDescent="0.25">
      <c r="B752" s="90"/>
      <c r="C752" s="38" t="s">
        <v>598</v>
      </c>
      <c r="D752" s="39">
        <v>1</v>
      </c>
      <c r="E752" s="39">
        <f>1.5*2</f>
        <v>3</v>
      </c>
      <c r="F752" s="39"/>
      <c r="G752" s="39">
        <f>0.61+0.2</f>
        <v>0.81</v>
      </c>
      <c r="H752" s="39">
        <f t="shared" si="41"/>
        <v>2.4300000000000002</v>
      </c>
      <c r="I752" s="39"/>
      <c r="J752" s="40"/>
    </row>
    <row r="753" spans="2:10" s="1" customFormat="1" ht="13.2" x14ac:dyDescent="0.25">
      <c r="B753" s="90"/>
      <c r="C753" s="38"/>
      <c r="D753" s="39">
        <v>1</v>
      </c>
      <c r="E753" s="39">
        <v>0.6</v>
      </c>
      <c r="F753" s="39"/>
      <c r="G753" s="39">
        <v>0.9</v>
      </c>
      <c r="H753" s="39">
        <f t="shared" si="41"/>
        <v>0.54</v>
      </c>
      <c r="I753" s="39"/>
      <c r="J753" s="40"/>
    </row>
    <row r="754" spans="2:10" s="1" customFormat="1" ht="13.2" x14ac:dyDescent="0.25">
      <c r="B754" s="90"/>
      <c r="C754" s="38" t="s">
        <v>599</v>
      </c>
      <c r="D754" s="59">
        <v>1</v>
      </c>
      <c r="E754" s="39">
        <f>0.6*4</f>
        <v>2.4</v>
      </c>
      <c r="F754" s="39"/>
      <c r="G754" s="39">
        <f>0.7+0.2</f>
        <v>0.89999999999999991</v>
      </c>
      <c r="H754" s="39">
        <f t="shared" si="41"/>
        <v>2.1599999999999997</v>
      </c>
      <c r="I754" s="39"/>
      <c r="J754" s="40"/>
    </row>
    <row r="755" spans="2:10" s="1" customFormat="1" ht="13.2" x14ac:dyDescent="0.25">
      <c r="B755" s="90"/>
      <c r="C755" s="38"/>
      <c r="D755" s="59">
        <v>1</v>
      </c>
      <c r="E755" s="39">
        <v>0.6</v>
      </c>
      <c r="F755" s="39"/>
      <c r="G755" s="39">
        <v>0.6</v>
      </c>
      <c r="H755" s="39">
        <f t="shared" si="41"/>
        <v>0.36</v>
      </c>
      <c r="I755" s="39"/>
      <c r="J755" s="40"/>
    </row>
    <row r="756" spans="2:10" s="1" customFormat="1" ht="13.2" x14ac:dyDescent="0.25">
      <c r="B756" s="90"/>
      <c r="C756" s="38" t="s">
        <v>600</v>
      </c>
      <c r="D756" s="59">
        <v>1</v>
      </c>
      <c r="E756" s="39">
        <f>0.6*4</f>
        <v>2.4</v>
      </c>
      <c r="F756" s="39"/>
      <c r="G756" s="39">
        <f>0.7+0.2</f>
        <v>0.89999999999999991</v>
      </c>
      <c r="H756" s="39">
        <f t="shared" si="41"/>
        <v>2.1599999999999997</v>
      </c>
      <c r="I756" s="39"/>
      <c r="J756" s="40"/>
    </row>
    <row r="757" spans="2:10" s="1" customFormat="1" ht="13.2" x14ac:dyDescent="0.25">
      <c r="B757" s="90"/>
      <c r="C757" s="38"/>
      <c r="D757" s="59">
        <v>1</v>
      </c>
      <c r="E757" s="39">
        <v>0.6</v>
      </c>
      <c r="F757" s="39"/>
      <c r="G757" s="39">
        <v>0.6</v>
      </c>
      <c r="H757" s="39">
        <f t="shared" si="41"/>
        <v>0.36</v>
      </c>
      <c r="I757" s="39"/>
      <c r="J757" s="40"/>
    </row>
    <row r="758" spans="2:10" s="1" customFormat="1" ht="13.2" x14ac:dyDescent="0.25">
      <c r="B758" s="90"/>
      <c r="C758" s="38" t="s">
        <v>601</v>
      </c>
      <c r="D758" s="59">
        <v>5</v>
      </c>
      <c r="E758" s="39">
        <f>0.6*4</f>
        <v>2.4</v>
      </c>
      <c r="F758" s="39"/>
      <c r="G758" s="39">
        <f>0.7+0.2</f>
        <v>0.89999999999999991</v>
      </c>
      <c r="H758" s="39">
        <f t="shared" si="41"/>
        <v>10.799999999999999</v>
      </c>
      <c r="I758" s="39"/>
      <c r="J758" s="40"/>
    </row>
    <row r="759" spans="2:10" s="1" customFormat="1" ht="13.2" x14ac:dyDescent="0.25">
      <c r="B759" s="90"/>
      <c r="C759" s="38"/>
      <c r="D759" s="59">
        <v>5</v>
      </c>
      <c r="E759" s="39">
        <v>0.6</v>
      </c>
      <c r="F759" s="39"/>
      <c r="G759" s="39">
        <v>0.6</v>
      </c>
      <c r="H759" s="39">
        <f t="shared" si="41"/>
        <v>1.7999999999999998</v>
      </c>
      <c r="I759" s="39"/>
      <c r="J759" s="40"/>
    </row>
    <row r="760" spans="2:10" s="1" customFormat="1" ht="13.2" x14ac:dyDescent="0.25">
      <c r="B760" s="90"/>
      <c r="C760" s="38" t="s">
        <v>602</v>
      </c>
      <c r="D760" s="59">
        <v>5</v>
      </c>
      <c r="E760" s="39">
        <f>0.6*4</f>
        <v>2.4</v>
      </c>
      <c r="F760" s="39"/>
      <c r="G760" s="39">
        <f>0.7+0.2</f>
        <v>0.89999999999999991</v>
      </c>
      <c r="H760" s="39">
        <f t="shared" si="41"/>
        <v>10.799999999999999</v>
      </c>
      <c r="I760" s="39"/>
      <c r="J760" s="40"/>
    </row>
    <row r="761" spans="2:10" s="1" customFormat="1" ht="13.2" x14ac:dyDescent="0.25">
      <c r="B761" s="90"/>
      <c r="C761" s="38"/>
      <c r="D761" s="59">
        <v>5</v>
      </c>
      <c r="E761" s="39">
        <v>0.6</v>
      </c>
      <c r="F761" s="39"/>
      <c r="G761" s="39">
        <v>0.6</v>
      </c>
      <c r="H761" s="39">
        <f t="shared" si="41"/>
        <v>1.7999999999999998</v>
      </c>
      <c r="I761" s="39"/>
      <c r="J761" s="40"/>
    </row>
    <row r="762" spans="2:10" s="1" customFormat="1" ht="13.2" x14ac:dyDescent="0.25">
      <c r="B762" s="90"/>
      <c r="C762" s="102" t="s">
        <v>603</v>
      </c>
      <c r="D762" s="39">
        <v>1</v>
      </c>
      <c r="E762" s="39">
        <f>1.3*2+5.5*2</f>
        <v>13.6</v>
      </c>
      <c r="F762" s="39"/>
      <c r="G762" s="39">
        <f>1.45+0.25</f>
        <v>1.7</v>
      </c>
      <c r="H762" s="39">
        <f t="shared" si="41"/>
        <v>23.119999999999997</v>
      </c>
      <c r="I762" s="39"/>
      <c r="J762" s="40"/>
    </row>
    <row r="763" spans="2:10" s="1" customFormat="1" ht="13.2" x14ac:dyDescent="0.25">
      <c r="B763" s="90"/>
      <c r="C763" s="58"/>
      <c r="D763" s="59">
        <v>1</v>
      </c>
      <c r="E763" s="39">
        <v>1.3</v>
      </c>
      <c r="F763" s="39"/>
      <c r="G763" s="39">
        <v>5.5</v>
      </c>
      <c r="H763" s="39">
        <f t="shared" si="41"/>
        <v>7.15</v>
      </c>
      <c r="I763" s="39"/>
      <c r="J763" s="40"/>
    </row>
    <row r="764" spans="2:10" s="115" customFormat="1" ht="13.2" x14ac:dyDescent="0.25">
      <c r="B764" s="24" t="s">
        <v>396</v>
      </c>
      <c r="C764" s="27" t="s">
        <v>412</v>
      </c>
      <c r="D764" s="59"/>
      <c r="E764" s="39"/>
      <c r="F764" s="39"/>
      <c r="G764" s="39"/>
      <c r="H764" s="39"/>
      <c r="I764" s="39">
        <f>+SUM(H765:H768)</f>
        <v>52.04999999999999</v>
      </c>
      <c r="J764" s="40" t="s">
        <v>333</v>
      </c>
    </row>
    <row r="765" spans="2:10" s="115" customFormat="1" ht="13.2" x14ac:dyDescent="0.25">
      <c r="B765" s="45"/>
      <c r="C765" s="38" t="s">
        <v>476</v>
      </c>
      <c r="D765" s="59">
        <v>2</v>
      </c>
      <c r="E765" s="115">
        <v>3</v>
      </c>
      <c r="F765" s="39"/>
      <c r="G765" s="39">
        <f>0.32+0.15</f>
        <v>0.47</v>
      </c>
      <c r="H765" s="39">
        <f t="shared" ref="H765:H768" si="42">IF(AND(F765=0,G765=0),D765*E765,IF(AND(E765=0,G765=0),D765*F765,IF(AND(E765=0,F765=0),D765*G765,IF(AND(E765=0),D765*F765*G765,IF(AND(F765=0),D765*E765*G765,IF(AND(G765=0),D765*E765*F765,D765*E765*F765*G765))))))</f>
        <v>2.82</v>
      </c>
      <c r="I765" s="39"/>
      <c r="J765" s="40"/>
    </row>
    <row r="766" spans="2:10" s="1" customFormat="1" ht="13.2" x14ac:dyDescent="0.25">
      <c r="B766" s="45"/>
      <c r="C766" s="38"/>
      <c r="D766" s="22">
        <v>1</v>
      </c>
      <c r="E766" s="1">
        <v>3</v>
      </c>
      <c r="F766" s="39"/>
      <c r="G766" s="39">
        <v>0.3</v>
      </c>
      <c r="H766" s="39">
        <f t="shared" si="42"/>
        <v>0.89999999999999991</v>
      </c>
      <c r="I766" s="39"/>
      <c r="J766" s="40"/>
    </row>
    <row r="767" spans="2:10" s="1" customFormat="1" ht="13.2" x14ac:dyDescent="0.25">
      <c r="B767" s="45"/>
      <c r="C767" s="38" t="s">
        <v>477</v>
      </c>
      <c r="D767" s="1">
        <v>2</v>
      </c>
      <c r="E767" s="75">
        <f>3.5+14.4</f>
        <v>17.899999999999999</v>
      </c>
      <c r="F767" s="39"/>
      <c r="G767" s="39">
        <f>1+0.2</f>
        <v>1.2</v>
      </c>
      <c r="H767" s="39">
        <f t="shared" si="42"/>
        <v>42.959999999999994</v>
      </c>
      <c r="I767" s="39"/>
      <c r="J767" s="40"/>
    </row>
    <row r="768" spans="2:10" s="1" customFormat="1" ht="13.2" x14ac:dyDescent="0.25">
      <c r="B768" s="45"/>
      <c r="C768" s="38"/>
      <c r="D768" s="1">
        <v>1</v>
      </c>
      <c r="E768" s="75">
        <v>17.899999999999999</v>
      </c>
      <c r="F768" s="39"/>
      <c r="G768" s="39">
        <v>0.3</v>
      </c>
      <c r="H768" s="39">
        <f t="shared" si="42"/>
        <v>5.3699999999999992</v>
      </c>
      <c r="I768" s="39"/>
      <c r="J768" s="40"/>
    </row>
    <row r="769" spans="2:10" s="1" customFormat="1" ht="13.2" x14ac:dyDescent="0.25">
      <c r="B769" s="56"/>
      <c r="C769" s="38"/>
      <c r="D769" s="59"/>
      <c r="E769" s="39"/>
      <c r="F769" s="39"/>
      <c r="G769" s="39"/>
      <c r="H769" s="39"/>
      <c r="I769" s="39"/>
      <c r="J769" s="40"/>
    </row>
    <row r="770" spans="2:10" s="1" customFormat="1" ht="13.2" x14ac:dyDescent="0.25">
      <c r="B770" s="56" t="s">
        <v>413</v>
      </c>
      <c r="C770" s="57" t="s">
        <v>234</v>
      </c>
      <c r="D770" s="59"/>
      <c r="E770" s="39"/>
      <c r="F770" s="39"/>
      <c r="G770" s="39"/>
      <c r="H770" s="39"/>
      <c r="I770" s="39"/>
      <c r="J770" s="40"/>
    </row>
    <row r="771" spans="2:10" s="1" customFormat="1" ht="13.2" x14ac:dyDescent="0.25">
      <c r="B771" s="42" t="s">
        <v>414</v>
      </c>
      <c r="C771" s="42" t="s">
        <v>422</v>
      </c>
      <c r="D771" s="59"/>
      <c r="E771" s="39"/>
      <c r="F771" s="39"/>
      <c r="G771" s="39"/>
      <c r="H771" s="39"/>
      <c r="I771" s="43">
        <f>+SUM(H772:H775)</f>
        <v>19</v>
      </c>
      <c r="J771" s="44" t="s">
        <v>30</v>
      </c>
    </row>
    <row r="772" spans="2:10" s="1" customFormat="1" ht="13.2" x14ac:dyDescent="0.25">
      <c r="B772" s="42"/>
      <c r="C772" s="41" t="s">
        <v>627</v>
      </c>
      <c r="D772" s="59">
        <f>6*2</f>
        <v>12</v>
      </c>
      <c r="E772" s="39"/>
      <c r="F772" s="39"/>
      <c r="G772" s="39"/>
      <c r="H772" s="39">
        <f>+D772</f>
        <v>12</v>
      </c>
      <c r="I772" s="43"/>
      <c r="J772" s="44"/>
    </row>
    <row r="773" spans="2:10" s="1" customFormat="1" ht="13.2" x14ac:dyDescent="0.25">
      <c r="B773" s="45"/>
      <c r="C773" s="38" t="s">
        <v>628</v>
      </c>
      <c r="D773" s="59">
        <v>2</v>
      </c>
      <c r="E773" s="39"/>
      <c r="F773" s="39"/>
      <c r="G773" s="39"/>
      <c r="H773" s="39">
        <f t="shared" ref="H773:H774" si="43">+D773</f>
        <v>2</v>
      </c>
      <c r="I773" s="39"/>
      <c r="J773" s="40"/>
    </row>
    <row r="774" spans="2:10" s="1" customFormat="1" ht="13.2" x14ac:dyDescent="0.25">
      <c r="B774" s="45"/>
      <c r="C774" s="38" t="s">
        <v>605</v>
      </c>
      <c r="D774" s="59">
        <v>1</v>
      </c>
      <c r="E774" s="39"/>
      <c r="F774" s="39"/>
      <c r="G774" s="39"/>
      <c r="H774" s="39">
        <f t="shared" si="43"/>
        <v>1</v>
      </c>
      <c r="I774" s="39"/>
      <c r="J774" s="40"/>
    </row>
    <row r="775" spans="2:10" s="1" customFormat="1" ht="13.2" x14ac:dyDescent="0.25">
      <c r="B775" s="45"/>
      <c r="C775" s="58" t="s">
        <v>475</v>
      </c>
      <c r="D775" s="59">
        <v>4</v>
      </c>
      <c r="E775" s="39">
        <v>1</v>
      </c>
      <c r="F775" s="39"/>
      <c r="G775" s="39"/>
      <c r="H775" s="39">
        <f t="shared" ref="H775" si="44">+D775</f>
        <v>4</v>
      </c>
      <c r="I775" s="39"/>
      <c r="J775" s="40"/>
    </row>
    <row r="776" spans="2:10" s="1" customFormat="1" ht="13.2" x14ac:dyDescent="0.25">
      <c r="B776" s="42" t="s">
        <v>425</v>
      </c>
      <c r="C776" s="117" t="s">
        <v>580</v>
      </c>
      <c r="E776" s="39"/>
      <c r="F776" s="39"/>
      <c r="G776" s="39"/>
      <c r="H776" s="39"/>
      <c r="I776" s="43">
        <f>+SUM(H777:H777)</f>
        <v>2</v>
      </c>
      <c r="J776" s="44" t="s">
        <v>30</v>
      </c>
    </row>
    <row r="777" spans="2:10" s="1" customFormat="1" ht="13.2" x14ac:dyDescent="0.25">
      <c r="B777" s="45"/>
      <c r="C777" s="38" t="s">
        <v>629</v>
      </c>
      <c r="D777" s="59">
        <v>2</v>
      </c>
      <c r="E777" s="39"/>
      <c r="F777" s="39"/>
      <c r="G777" s="39"/>
      <c r="H777" s="39">
        <f t="shared" ref="H777" si="45">+D777</f>
        <v>2</v>
      </c>
      <c r="I777" s="39"/>
      <c r="J777" s="40"/>
    </row>
    <row r="778" spans="2:10" s="1" customFormat="1" ht="13.2" x14ac:dyDescent="0.25">
      <c r="B778" s="45"/>
      <c r="C778" s="58"/>
      <c r="E778" s="39"/>
      <c r="F778" s="39"/>
      <c r="G778" s="39"/>
      <c r="H778" s="39"/>
      <c r="I778" s="39"/>
      <c r="J778" s="40"/>
    </row>
    <row r="779" spans="2:10" s="1" customFormat="1" ht="13.2" x14ac:dyDescent="0.25">
      <c r="B779" s="45"/>
      <c r="C779" s="58"/>
      <c r="D779" s="59"/>
      <c r="E779" s="39"/>
      <c r="F779" s="39"/>
      <c r="G779" s="39"/>
      <c r="H779" s="39"/>
      <c r="I779" s="39"/>
      <c r="J779" s="40"/>
    </row>
    <row r="780" spans="2:10" s="1" customFormat="1" ht="13.2" x14ac:dyDescent="0.25">
      <c r="B780" s="45"/>
      <c r="C780" s="58"/>
      <c r="D780" s="59"/>
      <c r="E780" s="39"/>
      <c r="F780" s="39"/>
      <c r="G780" s="39"/>
      <c r="H780" s="39"/>
      <c r="I780" s="39"/>
      <c r="J780" s="40"/>
    </row>
    <row r="781" spans="2:10" s="1" customFormat="1" ht="13.2" x14ac:dyDescent="0.25">
      <c r="B781" s="45"/>
      <c r="C781" s="58"/>
      <c r="D781" s="59"/>
      <c r="E781" s="39"/>
      <c r="F781" s="39"/>
      <c r="G781" s="39"/>
      <c r="H781" s="39"/>
      <c r="I781" s="39"/>
      <c r="J781" s="40"/>
    </row>
    <row r="782" spans="2:10" s="1" customFormat="1" ht="13.2" x14ac:dyDescent="0.25">
      <c r="B782" s="45"/>
      <c r="C782" s="58"/>
      <c r="D782" s="59"/>
      <c r="E782" s="39"/>
      <c r="F782" s="39"/>
      <c r="G782" s="39"/>
      <c r="H782" s="39"/>
      <c r="I782" s="39"/>
      <c r="J782" s="40"/>
    </row>
    <row r="783" spans="2:10" s="1" customFormat="1" ht="13.2" x14ac:dyDescent="0.25">
      <c r="B783" s="45"/>
      <c r="C783" s="58"/>
      <c r="D783" s="59"/>
      <c r="E783" s="39"/>
      <c r="F783" s="39"/>
      <c r="G783" s="39"/>
      <c r="H783" s="39"/>
      <c r="I783" s="39"/>
      <c r="J783" s="40"/>
    </row>
    <row r="784" spans="2:10" s="1" customFormat="1" ht="13.2" x14ac:dyDescent="0.25">
      <c r="B784" s="45"/>
      <c r="C784" s="58"/>
      <c r="D784" s="59"/>
      <c r="E784" s="39"/>
      <c r="F784" s="39"/>
      <c r="G784" s="39"/>
      <c r="H784" s="39"/>
      <c r="I784" s="39"/>
      <c r="J784" s="40"/>
    </row>
    <row r="785" spans="2:10" s="1" customFormat="1" ht="13.2" x14ac:dyDescent="0.25">
      <c r="B785" s="45"/>
      <c r="C785" s="58"/>
      <c r="D785" s="59"/>
      <c r="E785" s="39"/>
      <c r="F785" s="39"/>
      <c r="G785" s="39"/>
      <c r="H785" s="39"/>
      <c r="I785" s="39"/>
      <c r="J785" s="40"/>
    </row>
    <row r="786" spans="2:10" s="1" customFormat="1" ht="13.2" x14ac:dyDescent="0.25">
      <c r="B786" s="45"/>
      <c r="C786" s="58"/>
      <c r="D786" s="59"/>
      <c r="E786" s="39"/>
      <c r="F786" s="39"/>
      <c r="G786" s="39"/>
      <c r="H786" s="39"/>
      <c r="I786" s="39"/>
      <c r="J786" s="40"/>
    </row>
    <row r="787" spans="2:10" s="1" customFormat="1" ht="13.2" x14ac:dyDescent="0.25">
      <c r="B787" s="45"/>
      <c r="C787" s="58"/>
      <c r="D787" s="59"/>
      <c r="E787" s="39"/>
      <c r="F787" s="39"/>
      <c r="G787" s="39"/>
      <c r="H787" s="39"/>
      <c r="I787" s="39"/>
      <c r="J787" s="40"/>
    </row>
    <row r="788" spans="2:10" s="1" customFormat="1" ht="13.2" x14ac:dyDescent="0.25">
      <c r="B788" s="45"/>
      <c r="C788" s="58"/>
      <c r="D788" s="59"/>
      <c r="E788" s="39"/>
      <c r="F788" s="39"/>
      <c r="G788" s="39"/>
      <c r="H788" s="39"/>
      <c r="I788" s="39"/>
      <c r="J788" s="40"/>
    </row>
    <row r="789" spans="2:10" s="1" customFormat="1" ht="13.2" x14ac:dyDescent="0.25">
      <c r="B789" s="45"/>
      <c r="C789" s="58"/>
      <c r="D789" s="59"/>
      <c r="E789" s="39"/>
      <c r="F789" s="39"/>
      <c r="G789" s="39"/>
      <c r="H789" s="39"/>
      <c r="I789" s="39"/>
      <c r="J789" s="40"/>
    </row>
    <row r="790" spans="2:10" s="1" customFormat="1" ht="13.2" x14ac:dyDescent="0.25">
      <c r="B790" s="45"/>
      <c r="C790" s="58"/>
      <c r="D790" s="59"/>
      <c r="E790" s="39"/>
      <c r="F790" s="39"/>
      <c r="G790" s="39"/>
      <c r="H790" s="39"/>
      <c r="I790" s="39"/>
      <c r="J790" s="40"/>
    </row>
    <row r="791" spans="2:10" s="1" customFormat="1" ht="13.2" x14ac:dyDescent="0.25">
      <c r="B791" s="45"/>
      <c r="C791" s="58"/>
      <c r="D791" s="59"/>
      <c r="E791" s="39"/>
      <c r="F791" s="39"/>
      <c r="G791" s="39"/>
      <c r="H791" s="39"/>
      <c r="I791" s="39"/>
      <c r="J791" s="40"/>
    </row>
    <row r="792" spans="2:10" s="1" customFormat="1" ht="13.2" x14ac:dyDescent="0.25">
      <c r="B792" s="45"/>
      <c r="C792" s="58"/>
      <c r="D792" s="59"/>
      <c r="E792" s="39"/>
      <c r="F792" s="39"/>
      <c r="G792" s="39"/>
      <c r="H792" s="39"/>
      <c r="I792" s="39"/>
      <c r="J792" s="40"/>
    </row>
    <row r="793" spans="2:10" s="1" customFormat="1" ht="13.2" x14ac:dyDescent="0.25">
      <c r="B793" s="45"/>
      <c r="C793" s="58"/>
      <c r="D793" s="59"/>
      <c r="E793" s="39"/>
      <c r="F793" s="39"/>
      <c r="G793" s="39"/>
      <c r="H793" s="39"/>
      <c r="I793" s="39"/>
      <c r="J793" s="40"/>
    </row>
    <row r="794" spans="2:10" s="1" customFormat="1" ht="13.2" x14ac:dyDescent="0.25">
      <c r="B794" s="45"/>
      <c r="C794" s="58"/>
      <c r="D794" s="59"/>
      <c r="E794" s="39"/>
      <c r="F794" s="39"/>
      <c r="G794" s="39"/>
      <c r="H794" s="39"/>
      <c r="I794" s="39"/>
      <c r="J794" s="40"/>
    </row>
    <row r="795" spans="2:10" s="1" customFormat="1" ht="14.25" customHeight="1" x14ac:dyDescent="0.25">
      <c r="B795" s="45"/>
      <c r="C795" s="58"/>
      <c r="D795" s="59"/>
      <c r="E795" s="39"/>
      <c r="F795" s="39"/>
      <c r="G795" s="39"/>
      <c r="H795" s="39"/>
      <c r="I795" s="39"/>
      <c r="J795" s="40"/>
    </row>
    <row r="796" spans="2:10" s="1" customFormat="1" ht="14.25" customHeight="1" x14ac:dyDescent="0.25">
      <c r="B796" s="45"/>
      <c r="C796" s="58"/>
      <c r="D796" s="59"/>
      <c r="E796" s="39"/>
      <c r="F796" s="39"/>
      <c r="G796" s="39"/>
      <c r="H796" s="39"/>
      <c r="I796" s="39"/>
      <c r="J796" s="40"/>
    </row>
    <row r="797" spans="2:10" s="1" customFormat="1" ht="14.25" customHeight="1" x14ac:dyDescent="0.25">
      <c r="B797" s="45"/>
      <c r="C797" s="58"/>
      <c r="D797" s="59"/>
      <c r="E797" s="39"/>
      <c r="F797" s="39"/>
      <c r="G797" s="39"/>
      <c r="H797" s="39"/>
      <c r="I797" s="39"/>
      <c r="J797" s="40"/>
    </row>
    <row r="798" spans="2:10" s="1" customFormat="1" ht="13.2" x14ac:dyDescent="0.25">
      <c r="C798" s="141" t="s">
        <v>0</v>
      </c>
      <c r="D798" s="141"/>
      <c r="E798" s="141"/>
      <c r="F798" s="141"/>
      <c r="G798" s="141"/>
      <c r="H798" s="141"/>
    </row>
    <row r="799" spans="2:10" s="1" customFormat="1" ht="13.2" x14ac:dyDescent="0.25">
      <c r="C799" s="128" t="s">
        <v>1</v>
      </c>
      <c r="D799" s="128"/>
      <c r="E799" s="128"/>
      <c r="F799" s="128"/>
      <c r="G799" s="128"/>
      <c r="H799" s="128"/>
    </row>
    <row r="800" spans="2:10" s="1" customFormat="1" ht="13.2" x14ac:dyDescent="0.25">
      <c r="C800" s="128" t="s">
        <v>2</v>
      </c>
      <c r="D800" s="128"/>
      <c r="E800" s="128"/>
      <c r="F800" s="128"/>
      <c r="G800" s="128"/>
      <c r="H800" s="128"/>
    </row>
    <row r="801" spans="2:10" s="1" customFormat="1" ht="13.2" x14ac:dyDescent="0.25">
      <c r="C801" s="129" t="s">
        <v>3</v>
      </c>
      <c r="D801" s="129"/>
      <c r="E801" s="129"/>
      <c r="F801" s="129"/>
      <c r="G801" s="129"/>
      <c r="H801" s="129"/>
    </row>
    <row r="802" spans="2:10" s="1" customFormat="1" ht="13.2" x14ac:dyDescent="0.25">
      <c r="C802" s="52"/>
      <c r="D802" s="52"/>
      <c r="E802" s="52"/>
      <c r="F802" s="52"/>
      <c r="G802" s="52"/>
      <c r="H802" s="52"/>
    </row>
    <row r="803" spans="2:10" s="1" customFormat="1" ht="32.25" customHeight="1" x14ac:dyDescent="0.25">
      <c r="B803" s="84" t="s">
        <v>458</v>
      </c>
      <c r="C803" s="85"/>
      <c r="D803" s="85"/>
      <c r="E803" s="85"/>
      <c r="F803" s="85"/>
      <c r="G803" s="85"/>
      <c r="H803" s="85"/>
      <c r="I803" s="85"/>
      <c r="J803" s="86"/>
    </row>
    <row r="804" spans="2:10" s="1" customFormat="1" ht="21" x14ac:dyDescent="0.25">
      <c r="B804" s="87" t="s">
        <v>479</v>
      </c>
      <c r="C804" s="88"/>
      <c r="D804" s="88"/>
      <c r="E804" s="88"/>
      <c r="F804" s="88"/>
      <c r="G804" s="88"/>
      <c r="H804" s="88"/>
      <c r="I804" s="88"/>
      <c r="J804" s="89"/>
    </row>
    <row r="805" spans="2:10" s="1" customFormat="1" ht="13.8" thickBot="1" x14ac:dyDescent="0.3">
      <c r="B805" s="53"/>
      <c r="C805" s="53"/>
      <c r="D805" s="53"/>
      <c r="E805" s="53"/>
      <c r="F805" s="53"/>
      <c r="G805" s="53"/>
      <c r="H805" s="53"/>
      <c r="I805" s="53"/>
      <c r="J805" s="53"/>
    </row>
    <row r="806" spans="2:10" s="1" customFormat="1" ht="24.75" customHeight="1" x14ac:dyDescent="0.25">
      <c r="B806" s="123" t="s">
        <v>6</v>
      </c>
      <c r="C806" s="124"/>
      <c r="D806" s="124"/>
      <c r="E806" s="124"/>
      <c r="F806" s="124"/>
      <c r="G806" s="124"/>
      <c r="H806" s="124"/>
      <c r="I806" s="124"/>
      <c r="J806" s="125"/>
    </row>
    <row r="807" spans="2:10" s="1" customFormat="1" ht="13.2" x14ac:dyDescent="0.25">
      <c r="B807" s="2" t="s">
        <v>7</v>
      </c>
      <c r="C807" s="3" t="s">
        <v>8</v>
      </c>
      <c r="D807" s="3"/>
      <c r="E807" s="4"/>
      <c r="F807" s="5"/>
      <c r="G807" s="6" t="s">
        <v>9</v>
      </c>
      <c r="H807" s="126">
        <v>42879</v>
      </c>
      <c r="I807" s="126"/>
      <c r="J807" s="7"/>
    </row>
    <row r="808" spans="2:10" s="1" customFormat="1" ht="13.2" x14ac:dyDescent="0.25">
      <c r="B808" s="2" t="s">
        <v>10</v>
      </c>
      <c r="C808" s="3" t="s">
        <v>11</v>
      </c>
      <c r="F808" s="3"/>
      <c r="G808" s="8" t="s">
        <v>12</v>
      </c>
      <c r="H808" s="4" t="s">
        <v>11</v>
      </c>
      <c r="I808" s="9"/>
      <c r="J808" s="10"/>
    </row>
    <row r="809" spans="2:10" s="1" customFormat="1" ht="13.2" x14ac:dyDescent="0.25">
      <c r="B809" s="2" t="s">
        <v>13</v>
      </c>
      <c r="C809" s="3" t="s">
        <v>11</v>
      </c>
      <c r="F809" s="3"/>
      <c r="G809" s="8" t="s">
        <v>14</v>
      </c>
      <c r="H809" s="4" t="s">
        <v>15</v>
      </c>
      <c r="I809" s="9"/>
      <c r="J809" s="10"/>
    </row>
    <row r="810" spans="2:10" s="1" customFormat="1" ht="13.8" thickBot="1" x14ac:dyDescent="0.3">
      <c r="B810" s="11" t="s">
        <v>16</v>
      </c>
      <c r="C810" s="12" t="s">
        <v>17</v>
      </c>
      <c r="D810" s="13"/>
      <c r="E810" s="13"/>
      <c r="F810" s="12"/>
      <c r="G810" s="14" t="s">
        <v>18</v>
      </c>
      <c r="H810" s="15" t="s">
        <v>19</v>
      </c>
      <c r="I810" s="16"/>
      <c r="J810" s="17"/>
    </row>
    <row r="811" spans="2:10" s="1" customFormat="1" ht="13.2" x14ac:dyDescent="0.25">
      <c r="B811" s="53"/>
      <c r="C811" s="53"/>
      <c r="D811" s="53"/>
      <c r="E811" s="53"/>
      <c r="F811" s="53"/>
      <c r="G811" s="53"/>
      <c r="H811" s="53"/>
      <c r="I811" s="53"/>
      <c r="J811" s="53"/>
    </row>
    <row r="812" spans="2:10" s="1" customFormat="1" ht="13.2" x14ac:dyDescent="0.25">
      <c r="B812" s="20" t="s">
        <v>20</v>
      </c>
      <c r="C812" s="21" t="s">
        <v>21</v>
      </c>
      <c r="D812" s="21" t="s">
        <v>460</v>
      </c>
      <c r="E812" s="21" t="s">
        <v>461</v>
      </c>
      <c r="F812" s="21" t="s">
        <v>462</v>
      </c>
      <c r="G812" s="21" t="s">
        <v>463</v>
      </c>
      <c r="H812" s="21" t="s">
        <v>464</v>
      </c>
      <c r="I812" s="21" t="s">
        <v>22</v>
      </c>
      <c r="J812" s="21" t="s">
        <v>23</v>
      </c>
    </row>
    <row r="813" spans="2:10" s="1" customFormat="1" ht="13.2" x14ac:dyDescent="0.25">
      <c r="B813" s="54">
        <v>4.03</v>
      </c>
      <c r="C813" s="55" t="s">
        <v>182</v>
      </c>
      <c r="D813" s="59"/>
      <c r="E813" s="39"/>
      <c r="F813" s="39"/>
      <c r="G813" s="39"/>
      <c r="H813" s="39"/>
      <c r="I813" s="39"/>
      <c r="J813" s="40"/>
    </row>
    <row r="814" spans="2:10" s="1" customFormat="1" ht="13.2" x14ac:dyDescent="0.25">
      <c r="B814" s="72" t="s">
        <v>183</v>
      </c>
      <c r="C814" s="72" t="s">
        <v>331</v>
      </c>
      <c r="D814" s="59"/>
      <c r="E814" s="39"/>
      <c r="F814" s="39"/>
      <c r="G814" s="39"/>
      <c r="H814" s="39"/>
      <c r="I814" s="39"/>
      <c r="J814" s="40"/>
    </row>
    <row r="815" spans="2:10" s="1" customFormat="1" ht="13.2" x14ac:dyDescent="0.25">
      <c r="B815" s="24" t="s">
        <v>185</v>
      </c>
      <c r="C815" s="27" t="s">
        <v>332</v>
      </c>
      <c r="D815" s="59"/>
      <c r="E815" s="39"/>
      <c r="F815" s="39"/>
      <c r="G815" s="39"/>
      <c r="H815" s="39"/>
      <c r="I815" s="39">
        <f>+SUM(H816:H829)</f>
        <v>60.970679999999994</v>
      </c>
      <c r="J815" s="40" t="s">
        <v>333</v>
      </c>
    </row>
    <row r="816" spans="2:10" s="1" customFormat="1" ht="13.2" x14ac:dyDescent="0.25">
      <c r="B816" s="45"/>
      <c r="C816" s="38" t="s">
        <v>630</v>
      </c>
      <c r="D816" s="59">
        <v>1</v>
      </c>
      <c r="E816" s="39">
        <v>9</v>
      </c>
      <c r="F816" s="39">
        <v>0.4</v>
      </c>
      <c r="G816" s="39"/>
      <c r="H816" s="39">
        <f t="shared" ref="H816:H823" si="46">IF(AND(F816=0,G816=0),D816*E816,IF(AND(E816=0,G816=0),D816*F816,IF(AND(E816=0,F816=0),D816*G816,IF(AND(E816=0),D816*F816*G816,IF(AND(F816=0),D816*E816*G816,IF(AND(G816=0),D816*E816*F816,D816*E816*F816*G816))))))</f>
        <v>3.6</v>
      </c>
      <c r="I816" s="39"/>
      <c r="J816" s="40"/>
    </row>
    <row r="817" spans="2:10" s="1" customFormat="1" ht="13.2" x14ac:dyDescent="0.25">
      <c r="B817" s="45"/>
      <c r="C817" s="38" t="s">
        <v>631</v>
      </c>
      <c r="D817" s="59">
        <v>1</v>
      </c>
      <c r="E817" s="39">
        <v>17.399999999999999</v>
      </c>
      <c r="F817" s="39">
        <v>0.4</v>
      </c>
      <c r="G817" s="39"/>
      <c r="H817" s="39">
        <f t="shared" si="46"/>
        <v>6.96</v>
      </c>
      <c r="I817" s="39"/>
      <c r="J817" s="40"/>
    </row>
    <row r="818" spans="2:10" s="1" customFormat="1" ht="13.2" x14ac:dyDescent="0.25">
      <c r="B818" s="45"/>
      <c r="C818" s="38" t="s">
        <v>632</v>
      </c>
      <c r="D818" s="59">
        <v>1</v>
      </c>
      <c r="E818" s="39">
        <v>2</v>
      </c>
      <c r="F818" s="39">
        <v>0.5</v>
      </c>
      <c r="G818" s="39"/>
      <c r="H818" s="39">
        <f t="shared" si="46"/>
        <v>1</v>
      </c>
      <c r="I818" s="39"/>
      <c r="J818" s="40"/>
    </row>
    <row r="819" spans="2:10" s="1" customFormat="1" ht="13.2" x14ac:dyDescent="0.25">
      <c r="B819" s="45"/>
      <c r="C819" s="38" t="s">
        <v>633</v>
      </c>
      <c r="D819" s="1">
        <v>1</v>
      </c>
      <c r="E819" s="75">
        <f>20.5+0.9+1.75</f>
        <v>23.15</v>
      </c>
      <c r="F819" s="39">
        <v>0.5</v>
      </c>
      <c r="G819" s="39"/>
      <c r="H819" s="39">
        <f t="shared" si="46"/>
        <v>11.574999999999999</v>
      </c>
      <c r="I819" s="39"/>
      <c r="J819" s="40"/>
    </row>
    <row r="820" spans="2:10" s="1" customFormat="1" ht="13.2" x14ac:dyDescent="0.25">
      <c r="B820" s="45"/>
      <c r="C820" s="38" t="s">
        <v>634</v>
      </c>
      <c r="D820" s="39">
        <v>1</v>
      </c>
      <c r="E820" s="39">
        <v>0.9</v>
      </c>
      <c r="F820" s="39">
        <v>1.2</v>
      </c>
      <c r="G820" s="39"/>
      <c r="H820" s="39">
        <f t="shared" si="46"/>
        <v>1.08</v>
      </c>
      <c r="I820" s="39"/>
      <c r="J820" s="40"/>
    </row>
    <row r="821" spans="2:10" s="1" customFormat="1" ht="13.2" x14ac:dyDescent="0.25">
      <c r="B821" s="45"/>
      <c r="C821" s="38" t="s">
        <v>635</v>
      </c>
      <c r="D821" s="39">
        <v>1</v>
      </c>
      <c r="E821" s="39">
        <v>0.9</v>
      </c>
      <c r="F821" s="39">
        <v>1.2</v>
      </c>
      <c r="G821" s="39"/>
      <c r="H821" s="39">
        <f t="shared" si="46"/>
        <v>1.08</v>
      </c>
      <c r="I821" s="39"/>
      <c r="J821" s="40"/>
    </row>
    <row r="822" spans="2:10" s="1" customFormat="1" ht="13.2" x14ac:dyDescent="0.25">
      <c r="B822" s="45"/>
      <c r="C822" s="42" t="s">
        <v>636</v>
      </c>
      <c r="D822" s="59"/>
      <c r="E822" s="39"/>
      <c r="F822" s="39"/>
      <c r="G822" s="39"/>
      <c r="H822" s="39">
        <f t="shared" si="46"/>
        <v>0</v>
      </c>
      <c r="I822" s="39"/>
      <c r="J822" s="40"/>
    </row>
    <row r="823" spans="2:10" s="1" customFormat="1" ht="13.2" x14ac:dyDescent="0.25">
      <c r="B823" s="45"/>
      <c r="C823" s="38" t="s">
        <v>637</v>
      </c>
      <c r="D823" s="39">
        <v>1</v>
      </c>
      <c r="E823" s="39">
        <v>7.3</v>
      </c>
      <c r="F823" s="39">
        <f>4*0.0254+0.4</f>
        <v>0.50160000000000005</v>
      </c>
      <c r="G823" s="39"/>
      <c r="H823" s="39">
        <f t="shared" si="46"/>
        <v>3.66168</v>
      </c>
      <c r="I823" s="39"/>
      <c r="J823" s="40"/>
    </row>
    <row r="824" spans="2:10" s="1" customFormat="1" ht="13.2" x14ac:dyDescent="0.25">
      <c r="B824" s="45"/>
      <c r="C824" s="38"/>
      <c r="D824" s="59"/>
      <c r="E824" s="39"/>
      <c r="F824" s="39"/>
      <c r="G824" s="39"/>
      <c r="H824" s="39"/>
      <c r="I824" s="39"/>
      <c r="J824" s="40"/>
    </row>
    <row r="825" spans="2:10" s="1" customFormat="1" ht="13.2" x14ac:dyDescent="0.25">
      <c r="B825" s="45"/>
      <c r="C825" s="42" t="s">
        <v>566</v>
      </c>
      <c r="D825" s="59"/>
      <c r="E825" s="39"/>
      <c r="F825" s="39"/>
      <c r="G825" s="39"/>
      <c r="H825" s="39"/>
      <c r="I825" s="39"/>
      <c r="J825" s="40"/>
    </row>
    <row r="826" spans="2:10" s="1" customFormat="1" ht="13.2" x14ac:dyDescent="0.25">
      <c r="B826" s="45"/>
      <c r="C826" s="38" t="s">
        <v>616</v>
      </c>
      <c r="D826" s="1">
        <v>1</v>
      </c>
      <c r="E826" s="39">
        <f>5.22+12.22+5.75+1</f>
        <v>24.19</v>
      </c>
      <c r="F826" s="39">
        <v>0.6</v>
      </c>
      <c r="G826" s="39"/>
      <c r="H826" s="39">
        <f>IF(AND(F826=0,G826=0),D826*E826,IF(AND(E826=0,G826=0),D826*F826,IF(AND(E826=0,F826=0),D826*G826,IF(AND(E826=0),D826*F826*G826,IF(AND(F826=0),D826*E826*G826,IF(AND(G826=0),D826*E826*F826,D826*E826*F826*G826))))))</f>
        <v>14.513999999999999</v>
      </c>
      <c r="I826" s="39"/>
      <c r="J826" s="40"/>
    </row>
    <row r="827" spans="2:10" s="1" customFormat="1" ht="13.2" x14ac:dyDescent="0.25">
      <c r="B827" s="45"/>
      <c r="C827" s="38"/>
      <c r="D827" s="59"/>
      <c r="E827" s="39"/>
      <c r="F827" s="39"/>
      <c r="G827" s="39"/>
      <c r="H827" s="39"/>
      <c r="I827" s="39"/>
      <c r="J827" s="40"/>
    </row>
    <row r="828" spans="2:10" s="1" customFormat="1" ht="13.2" x14ac:dyDescent="0.25">
      <c r="B828" s="45"/>
      <c r="C828" s="42" t="s">
        <v>222</v>
      </c>
      <c r="D828" s="59"/>
      <c r="E828" s="39"/>
      <c r="F828" s="39"/>
      <c r="G828" s="39"/>
      <c r="H828" s="39"/>
      <c r="I828" s="39"/>
      <c r="J828" s="40"/>
    </row>
    <row r="829" spans="2:10" s="1" customFormat="1" ht="13.2" x14ac:dyDescent="0.25">
      <c r="B829" s="45"/>
      <c r="C829" s="38" t="s">
        <v>638</v>
      </c>
      <c r="D829" s="39">
        <v>1</v>
      </c>
      <c r="E829" s="39">
        <v>25</v>
      </c>
      <c r="F829" s="39">
        <v>0.7</v>
      </c>
      <c r="G829" s="39"/>
      <c r="H829" s="39">
        <f>IF(AND(F829=0,G829=0),D829*E829,IF(AND(E829=0,G829=0),D829*F829,IF(AND(E829=0,F829=0),D829*G829,IF(AND(E829=0),D829*F829*G829,IF(AND(F829=0),D829*E829*G829,IF(AND(G829=0),D829*E829*F829,D829*E829*F829*G829))))))</f>
        <v>17.5</v>
      </c>
      <c r="I829" s="39"/>
      <c r="J829" s="40"/>
    </row>
    <row r="830" spans="2:10" x14ac:dyDescent="0.3">
      <c r="B830" s="24" t="s">
        <v>187</v>
      </c>
      <c r="C830" s="27" t="s">
        <v>334</v>
      </c>
      <c r="D830" s="22"/>
      <c r="E830" s="22"/>
      <c r="F830" s="22"/>
      <c r="G830" s="22"/>
      <c r="H830" s="23"/>
      <c r="I830" s="24">
        <f>+I815</f>
        <v>60.970679999999994</v>
      </c>
      <c r="J830" s="25" t="s">
        <v>333</v>
      </c>
    </row>
    <row r="831" spans="2:10" s="1" customFormat="1" ht="14.25" customHeight="1" x14ac:dyDescent="0.25">
      <c r="B831" s="42"/>
      <c r="C831" s="42"/>
      <c r="D831" s="59"/>
      <c r="E831" s="39"/>
      <c r="F831" s="39"/>
      <c r="G831" s="39"/>
      <c r="H831" s="39"/>
      <c r="I831" s="43"/>
      <c r="J831" s="44"/>
    </row>
    <row r="832" spans="2:10" x14ac:dyDescent="0.3">
      <c r="B832" s="72" t="s">
        <v>359</v>
      </c>
      <c r="C832" s="72" t="s">
        <v>345</v>
      </c>
      <c r="D832" s="22"/>
      <c r="E832" s="22"/>
      <c r="F832" s="22"/>
      <c r="G832" s="22"/>
      <c r="H832" s="23"/>
      <c r="I832" s="24"/>
      <c r="J832" s="25"/>
    </row>
    <row r="833" spans="2:10" s="1" customFormat="1" ht="13.2" x14ac:dyDescent="0.25">
      <c r="B833" s="24" t="s">
        <v>361</v>
      </c>
      <c r="C833" s="1" t="s">
        <v>347</v>
      </c>
      <c r="D833" s="59"/>
      <c r="E833" s="39"/>
      <c r="F833" s="39"/>
      <c r="G833" s="39"/>
      <c r="H833" s="23"/>
      <c r="I833" s="24">
        <f>+SUM(H834:H837)</f>
        <v>14.4985</v>
      </c>
      <c r="J833" s="25" t="s">
        <v>337</v>
      </c>
    </row>
    <row r="834" spans="2:10" s="1" customFormat="1" ht="13.2" x14ac:dyDescent="0.25">
      <c r="B834" s="24"/>
      <c r="C834" s="38" t="s">
        <v>639</v>
      </c>
      <c r="D834" s="59">
        <v>1</v>
      </c>
      <c r="E834" s="39">
        <v>9</v>
      </c>
      <c r="F834" s="39">
        <v>0.4</v>
      </c>
      <c r="G834" s="39">
        <f>0.3+0.2</f>
        <v>0.5</v>
      </c>
      <c r="H834" s="39">
        <f>IF(AND(F834=0,G834=0),D834*E834,IF(AND(E834=0,G834=0),D834*F834,IF(AND(E834=0,F834=0),D834*G834,IF(AND(E834=0),D834*F834*G834,IF(AND(F834=0),D834*E834*G834,IF(AND(G834=0),D834*E834*F834,D834*E834*F834*G834))))))</f>
        <v>1.8</v>
      </c>
      <c r="I834" s="39"/>
      <c r="J834" s="40"/>
    </row>
    <row r="835" spans="2:10" s="1" customFormat="1" ht="13.2" x14ac:dyDescent="0.25">
      <c r="B835" s="56"/>
      <c r="C835" s="38" t="s">
        <v>640</v>
      </c>
      <c r="D835" s="59">
        <v>1</v>
      </c>
      <c r="E835" s="39">
        <v>17.399999999999999</v>
      </c>
      <c r="F835" s="39">
        <v>0.4</v>
      </c>
      <c r="G835" s="39">
        <f>0.4+0.2</f>
        <v>0.60000000000000009</v>
      </c>
      <c r="H835" s="39">
        <f>IF(AND(F835=0,G835=0),D835*E835,IF(AND(E835=0,G835=0),D835*F835,IF(AND(E835=0,F835=0),D835*G835,IF(AND(E835=0),D835*F835*G835,IF(AND(F835=0),D835*E835*G835,IF(AND(G835=0),D835*E835*F835,D835*E835*F835*G835))))))</f>
        <v>4.1760000000000002</v>
      </c>
      <c r="I835" s="39"/>
      <c r="J835" s="40"/>
    </row>
    <row r="836" spans="2:10" s="1" customFormat="1" ht="13.2" x14ac:dyDescent="0.25">
      <c r="B836" s="56"/>
      <c r="C836" s="38" t="s">
        <v>483</v>
      </c>
      <c r="D836" s="59">
        <v>1</v>
      </c>
      <c r="E836" s="39">
        <v>2</v>
      </c>
      <c r="F836" s="39">
        <v>0.5</v>
      </c>
      <c r="G836" s="39">
        <f>0.22+0.2</f>
        <v>0.42000000000000004</v>
      </c>
      <c r="H836" s="39">
        <f>IF(AND(F836=0,G836=0),D836*E836,IF(AND(E836=0,G836=0),D836*F836,IF(AND(E836=0,F836=0),D836*G836,IF(AND(E836=0),D836*F836*G836,IF(AND(F836=0),D836*E836*G836,IF(AND(G836=0),D836*E836*F836,D836*E836*F836*G836))))))</f>
        <v>0.42000000000000004</v>
      </c>
      <c r="I836" s="39"/>
      <c r="J836" s="40"/>
    </row>
    <row r="837" spans="2:10" s="1" customFormat="1" ht="13.2" x14ac:dyDescent="0.25">
      <c r="B837" s="56"/>
      <c r="C837" s="38" t="s">
        <v>633</v>
      </c>
      <c r="D837" s="1">
        <v>1</v>
      </c>
      <c r="E837" s="75">
        <f>20.5+0.9+1.75</f>
        <v>23.15</v>
      </c>
      <c r="F837" s="39">
        <v>0.5</v>
      </c>
      <c r="G837" s="39">
        <f>0.45+0.25</f>
        <v>0.7</v>
      </c>
      <c r="H837" s="39">
        <f>IF(AND(F837=0,G837=0),D837*E837,IF(AND(E837=0,G837=0),D837*F837,IF(AND(E837=0,F837=0),D837*G837,IF(AND(E837=0),D837*F837*G837,IF(AND(F837=0),D837*E837*G837,IF(AND(G837=0),D837*E837*F837,D837*E837*F837*G837))))))</f>
        <v>8.1024999999999991</v>
      </c>
      <c r="I837" s="39"/>
      <c r="J837" s="40"/>
    </row>
    <row r="838" spans="2:10" s="1" customFormat="1" ht="13.2" x14ac:dyDescent="0.25">
      <c r="B838" s="24" t="s">
        <v>363</v>
      </c>
      <c r="C838" s="1" t="s">
        <v>348</v>
      </c>
      <c r="D838" s="59"/>
      <c r="E838" s="39"/>
      <c r="F838" s="39"/>
      <c r="G838" s="39"/>
      <c r="H838" s="23"/>
      <c r="I838" s="24">
        <f>+SUM(H839:H840)</f>
        <v>1.8036000000000001</v>
      </c>
      <c r="J838" s="25" t="s">
        <v>337</v>
      </c>
    </row>
    <row r="839" spans="2:10" s="1" customFormat="1" ht="13.2" x14ac:dyDescent="0.25">
      <c r="B839" s="56"/>
      <c r="C839" s="38" t="s">
        <v>634</v>
      </c>
      <c r="D839" s="39">
        <v>1</v>
      </c>
      <c r="E839" s="39">
        <v>0.9</v>
      </c>
      <c r="F839" s="39">
        <v>1.2</v>
      </c>
      <c r="G839" s="39">
        <f>0.57+0.25</f>
        <v>0.82</v>
      </c>
      <c r="H839" s="39">
        <f>IF(AND(F839=0,G839=0),D839*E839,IF(AND(E839=0,G839=0),D839*F839,IF(AND(E839=0,F839=0),D839*G839,IF(AND(E839=0),D839*F839*G839,IF(AND(F839=0),D839*E839*G839,IF(AND(G839=0),D839*E839*F839,D839*E839*F839*G839))))))</f>
        <v>0.88560000000000005</v>
      </c>
      <c r="I839" s="39"/>
      <c r="J839" s="40"/>
    </row>
    <row r="840" spans="2:10" s="1" customFormat="1" ht="13.2" x14ac:dyDescent="0.25">
      <c r="B840" s="56"/>
      <c r="C840" s="38" t="s">
        <v>635</v>
      </c>
      <c r="D840" s="39">
        <v>1</v>
      </c>
      <c r="E840" s="39">
        <v>0.9</v>
      </c>
      <c r="F840" s="39">
        <v>1.2</v>
      </c>
      <c r="G840" s="39">
        <f>0.6+0.25</f>
        <v>0.85</v>
      </c>
      <c r="H840" s="39">
        <f>IF(AND(F840=0,G840=0),D840*E840,IF(AND(E840=0,G840=0),D840*F840,IF(AND(E840=0,F840=0),D840*G840,IF(AND(E840=0),D840*F840*G840,IF(AND(F840=0),D840*E840*G840,IF(AND(G840=0),D840*E840*F840,D840*E840*F840*G840))))))</f>
        <v>0.91800000000000004</v>
      </c>
      <c r="I840" s="39"/>
      <c r="J840" s="40"/>
    </row>
    <row r="841" spans="2:10" s="1" customFormat="1" ht="13.2" x14ac:dyDescent="0.25">
      <c r="B841" s="24" t="s">
        <v>555</v>
      </c>
      <c r="C841" s="1" t="s">
        <v>349</v>
      </c>
      <c r="D841" s="59"/>
      <c r="E841" s="39"/>
      <c r="F841" s="39"/>
      <c r="G841" s="39"/>
      <c r="H841" s="39"/>
      <c r="I841" s="39">
        <f>+SUM(H864)</f>
        <v>0</v>
      </c>
      <c r="J841" s="40" t="s">
        <v>337</v>
      </c>
    </row>
    <row r="842" spans="2:10" s="1" customFormat="1" ht="13.2" x14ac:dyDescent="0.25">
      <c r="B842" s="45"/>
      <c r="C842" s="42"/>
      <c r="D842" s="59"/>
      <c r="E842" s="39"/>
      <c r="F842" s="39"/>
      <c r="G842" s="39"/>
      <c r="H842" s="39"/>
      <c r="J842" s="40"/>
    </row>
    <row r="843" spans="2:10" x14ac:dyDescent="0.3">
      <c r="B843" s="24" t="s">
        <v>556</v>
      </c>
      <c r="C843" s="115" t="s">
        <v>350</v>
      </c>
      <c r="D843" s="22"/>
      <c r="E843" s="22"/>
      <c r="F843" s="22"/>
      <c r="G843" s="22"/>
      <c r="I843" s="23">
        <f>+SUM(H844:H849)</f>
        <v>25.294999999999998</v>
      </c>
      <c r="J843" s="25" t="s">
        <v>333</v>
      </c>
    </row>
    <row r="844" spans="2:10" x14ac:dyDescent="0.3">
      <c r="B844" s="24"/>
      <c r="C844" s="38" t="s">
        <v>634</v>
      </c>
      <c r="D844" s="39">
        <v>1</v>
      </c>
      <c r="E844" s="39">
        <v>0.9</v>
      </c>
      <c r="F844" s="39">
        <v>1.2</v>
      </c>
      <c r="G844" s="39"/>
      <c r="H844" s="39">
        <f t="shared" ref="H844:H849" si="47">IF(AND(F844=0,G844=0),D844*E844,IF(AND(E844=0,G844=0),D844*F844,IF(AND(E844=0,F844=0),D844*G844,IF(AND(E844=0),D844*F844*G844,IF(AND(F844=0),D844*E844*G844,IF(AND(G844=0),D844*E844*F844,D844*E844*F844*G844))))))</f>
        <v>1.08</v>
      </c>
      <c r="I844" s="24"/>
      <c r="J844" s="25"/>
    </row>
    <row r="845" spans="2:10" x14ac:dyDescent="0.3">
      <c r="B845" s="24"/>
      <c r="C845" s="38" t="s">
        <v>635</v>
      </c>
      <c r="D845" s="39">
        <v>1</v>
      </c>
      <c r="E845" s="39">
        <v>0.9</v>
      </c>
      <c r="F845" s="39">
        <v>1.2</v>
      </c>
      <c r="G845" s="39"/>
      <c r="H845" s="39">
        <f t="shared" si="47"/>
        <v>1.08</v>
      </c>
      <c r="I845" s="24"/>
      <c r="J845" s="25"/>
    </row>
    <row r="846" spans="2:10" x14ac:dyDescent="0.3">
      <c r="B846" s="24"/>
      <c r="C846" s="38" t="s">
        <v>641</v>
      </c>
      <c r="D846" s="59">
        <v>1</v>
      </c>
      <c r="E846" s="39">
        <v>9</v>
      </c>
      <c r="F846" s="39">
        <v>0.4</v>
      </c>
      <c r="G846" s="39"/>
      <c r="H846" s="39">
        <f t="shared" si="47"/>
        <v>3.6</v>
      </c>
      <c r="I846" s="24"/>
      <c r="J846" s="25"/>
    </row>
    <row r="847" spans="2:10" x14ac:dyDescent="0.3">
      <c r="B847" s="24"/>
      <c r="C847" s="38" t="s">
        <v>631</v>
      </c>
      <c r="D847" s="59">
        <v>1</v>
      </c>
      <c r="E847" s="39">
        <v>17.399999999999999</v>
      </c>
      <c r="F847" s="39">
        <v>0.4</v>
      </c>
      <c r="G847" s="39"/>
      <c r="H847" s="39">
        <f t="shared" si="47"/>
        <v>6.96</v>
      </c>
      <c r="I847" s="24"/>
      <c r="J847" s="25"/>
    </row>
    <row r="848" spans="2:10" x14ac:dyDescent="0.3">
      <c r="B848" s="24"/>
      <c r="C848" s="38" t="s">
        <v>642</v>
      </c>
      <c r="D848" s="59">
        <v>1</v>
      </c>
      <c r="E848" s="39">
        <v>2</v>
      </c>
      <c r="F848" s="39">
        <v>0.5</v>
      </c>
      <c r="G848" s="39"/>
      <c r="H848" s="39">
        <f t="shared" si="47"/>
        <v>1</v>
      </c>
      <c r="I848" s="24"/>
      <c r="J848" s="25"/>
    </row>
    <row r="849" spans="2:10" x14ac:dyDescent="0.3">
      <c r="B849" s="24"/>
      <c r="C849" s="38" t="s">
        <v>633</v>
      </c>
      <c r="D849" s="1">
        <v>1</v>
      </c>
      <c r="E849" s="75">
        <f>20.5+0.9+1.75</f>
        <v>23.15</v>
      </c>
      <c r="F849" s="39">
        <v>0.5</v>
      </c>
      <c r="G849" s="39"/>
      <c r="H849" s="39">
        <f t="shared" si="47"/>
        <v>11.574999999999999</v>
      </c>
      <c r="I849" s="24"/>
      <c r="J849" s="25"/>
    </row>
    <row r="850" spans="2:10" s="1" customFormat="1" ht="13.2" x14ac:dyDescent="0.25">
      <c r="B850" s="24" t="s">
        <v>557</v>
      </c>
      <c r="C850" s="115" t="s">
        <v>351</v>
      </c>
      <c r="D850" s="59"/>
      <c r="E850" s="39"/>
      <c r="F850" s="39"/>
      <c r="G850" s="39"/>
      <c r="H850" s="39"/>
      <c r="I850" s="39">
        <f>+H852+H856+H861-H854-H858-H863</f>
        <v>121.07446672760041</v>
      </c>
      <c r="J850" s="40" t="s">
        <v>337</v>
      </c>
    </row>
    <row r="851" spans="2:10" s="1" customFormat="1" ht="13.2" x14ac:dyDescent="0.25">
      <c r="B851" s="45"/>
      <c r="C851" s="42" t="s">
        <v>636</v>
      </c>
      <c r="D851" s="59"/>
      <c r="E851" s="39"/>
      <c r="F851" s="39"/>
      <c r="G851" s="39"/>
      <c r="H851" s="39"/>
      <c r="I851" s="39"/>
      <c r="J851" s="40"/>
    </row>
    <row r="852" spans="2:10" s="1" customFormat="1" ht="13.2" x14ac:dyDescent="0.25">
      <c r="B852" s="45"/>
      <c r="C852" s="38" t="s">
        <v>637</v>
      </c>
      <c r="D852" s="39">
        <v>1</v>
      </c>
      <c r="E852" s="39">
        <v>7.3</v>
      </c>
      <c r="F852" s="39">
        <f>4*0.0254+0.4</f>
        <v>0.50160000000000005</v>
      </c>
      <c r="G852" s="39">
        <v>0.35</v>
      </c>
      <c r="H852" s="39">
        <f>+(F852+G852*2)*E852</f>
        <v>8.7716799999999999</v>
      </c>
      <c r="I852" s="39"/>
      <c r="J852" s="40"/>
    </row>
    <row r="853" spans="2:10" s="1" customFormat="1" ht="13.2" x14ac:dyDescent="0.25">
      <c r="B853" s="45"/>
      <c r="C853" s="115"/>
      <c r="F853" s="39" t="s">
        <v>485</v>
      </c>
      <c r="G853" s="39">
        <v>4</v>
      </c>
      <c r="I853" s="39"/>
      <c r="J853" s="40"/>
    </row>
    <row r="854" spans="2:10" s="1" customFormat="1" ht="13.2" x14ac:dyDescent="0.25">
      <c r="B854" s="45"/>
      <c r="C854" s="38" t="s">
        <v>569</v>
      </c>
      <c r="D854" s="59">
        <v>1</v>
      </c>
      <c r="E854" s="39">
        <f>+SUM(E852:E852)</f>
        <v>7.3</v>
      </c>
      <c r="F854" s="39" t="s">
        <v>570</v>
      </c>
      <c r="G854" s="39">
        <f>+PI()*((G853*0.0254)^2)/4</f>
        <v>8.107319665559963E-3</v>
      </c>
      <c r="H854" s="39">
        <f>+E854*G854</f>
        <v>5.9183433558587725E-2</v>
      </c>
      <c r="I854" s="39"/>
      <c r="J854" s="40"/>
    </row>
    <row r="855" spans="2:10" s="1" customFormat="1" ht="13.2" x14ac:dyDescent="0.25">
      <c r="B855" s="45"/>
      <c r="C855" s="42" t="s">
        <v>566</v>
      </c>
      <c r="D855" s="59"/>
      <c r="E855" s="39"/>
      <c r="F855" s="39"/>
      <c r="G855" s="39"/>
      <c r="H855" s="39"/>
      <c r="I855" s="39"/>
      <c r="J855" s="40"/>
    </row>
    <row r="856" spans="2:10" s="1" customFormat="1" ht="13.2" x14ac:dyDescent="0.25">
      <c r="B856" s="45"/>
      <c r="C856" s="38" t="s">
        <v>616</v>
      </c>
      <c r="D856" s="1">
        <v>1</v>
      </c>
      <c r="E856" s="39">
        <f>5.22+12.22+5.75+1</f>
        <v>24.19</v>
      </c>
      <c r="F856" s="39">
        <v>1</v>
      </c>
      <c r="G856" s="39">
        <v>1</v>
      </c>
      <c r="H856" s="39">
        <f>+(F856+G856*2)*E856</f>
        <v>72.570000000000007</v>
      </c>
      <c r="I856" s="39"/>
      <c r="J856" s="40"/>
    </row>
    <row r="857" spans="2:10" s="1" customFormat="1" ht="13.2" x14ac:dyDescent="0.25">
      <c r="B857" s="45"/>
      <c r="F857" s="39" t="s">
        <v>485</v>
      </c>
      <c r="G857" s="39">
        <v>6</v>
      </c>
      <c r="I857" s="39"/>
      <c r="J857" s="40"/>
    </row>
    <row r="858" spans="2:10" s="1" customFormat="1" ht="13.2" x14ac:dyDescent="0.25">
      <c r="B858" s="45"/>
      <c r="C858" s="38" t="s">
        <v>569</v>
      </c>
      <c r="D858" s="59">
        <v>1</v>
      </c>
      <c r="E858" s="39">
        <f>+SUM(E856:E856)</f>
        <v>24.19</v>
      </c>
      <c r="F858" s="39" t="s">
        <v>570</v>
      </c>
      <c r="G858" s="39">
        <f>+PI()*((G857*0.0254)^2)/4</f>
        <v>1.8241469247509915E-2</v>
      </c>
      <c r="H858" s="39">
        <f>+E858*G858</f>
        <v>0.44126114109726489</v>
      </c>
      <c r="I858" s="39"/>
      <c r="J858" s="40"/>
    </row>
    <row r="859" spans="2:10" s="1" customFormat="1" ht="13.2" x14ac:dyDescent="0.25">
      <c r="B859" s="45"/>
      <c r="C859" s="38"/>
      <c r="D859" s="59"/>
      <c r="E859" s="39"/>
      <c r="F859" s="39"/>
      <c r="G859" s="39"/>
      <c r="H859" s="39"/>
      <c r="I859" s="39"/>
      <c r="J859" s="40"/>
    </row>
    <row r="860" spans="2:10" s="1" customFormat="1" ht="13.2" x14ac:dyDescent="0.25">
      <c r="B860" s="45"/>
      <c r="C860" s="42" t="s">
        <v>222</v>
      </c>
      <c r="D860" s="59"/>
      <c r="E860" s="39"/>
      <c r="F860" s="39"/>
      <c r="G860" s="39"/>
      <c r="H860" s="39"/>
      <c r="I860" s="39"/>
      <c r="J860" s="40"/>
    </row>
    <row r="861" spans="2:10" s="1" customFormat="1" ht="13.2" x14ac:dyDescent="0.25">
      <c r="B861" s="45"/>
      <c r="C861" s="38" t="s">
        <v>638</v>
      </c>
      <c r="D861" s="39">
        <v>1</v>
      </c>
      <c r="E861" s="39">
        <v>25</v>
      </c>
      <c r="F861" s="39">
        <v>0.7</v>
      </c>
      <c r="G861" s="39">
        <v>0.48</v>
      </c>
      <c r="H861" s="39">
        <f>+(F861+G861*2)*E861</f>
        <v>41.5</v>
      </c>
      <c r="I861" s="39"/>
      <c r="J861" s="40"/>
    </row>
    <row r="862" spans="2:10" s="1" customFormat="1" ht="13.2" x14ac:dyDescent="0.25">
      <c r="B862" s="45"/>
      <c r="F862" s="39" t="s">
        <v>485</v>
      </c>
      <c r="G862" s="39">
        <v>10</v>
      </c>
      <c r="I862" s="39"/>
      <c r="J862" s="40"/>
    </row>
    <row r="863" spans="2:10" s="1" customFormat="1" ht="13.2" x14ac:dyDescent="0.25">
      <c r="B863" s="45"/>
      <c r="C863" s="38" t="s">
        <v>569</v>
      </c>
      <c r="D863" s="59">
        <v>1</v>
      </c>
      <c r="E863" s="39">
        <f>+SUM(E861:E861)</f>
        <v>25</v>
      </c>
      <c r="F863" s="39" t="s">
        <v>570</v>
      </c>
      <c r="G863" s="39">
        <f>+PI()*((G862*0.0254)^2)/4</f>
        <v>5.0670747909749778E-2</v>
      </c>
      <c r="H863" s="39">
        <f>+E863*G863</f>
        <v>1.2667686977437445</v>
      </c>
      <c r="I863" s="39"/>
      <c r="J863" s="40"/>
    </row>
    <row r="864" spans="2:10" s="1" customFormat="1" ht="13.2" x14ac:dyDescent="0.25">
      <c r="B864" s="24" t="s">
        <v>558</v>
      </c>
      <c r="C864" s="27" t="s">
        <v>352</v>
      </c>
      <c r="D864" s="59"/>
      <c r="E864" s="39"/>
      <c r="F864" s="39"/>
      <c r="G864" s="39"/>
      <c r="H864" s="39"/>
      <c r="I864" s="39">
        <f>+SUM(H865:H868)</f>
        <v>84.789999999999992</v>
      </c>
      <c r="J864" s="40" t="s">
        <v>333</v>
      </c>
    </row>
    <row r="865" spans="2:10" s="1" customFormat="1" ht="13.2" x14ac:dyDescent="0.25">
      <c r="B865" s="45"/>
      <c r="C865" s="38" t="s">
        <v>639</v>
      </c>
      <c r="D865" s="59">
        <v>1</v>
      </c>
      <c r="E865" s="39">
        <v>9</v>
      </c>
      <c r="F865" s="39">
        <v>0.4</v>
      </c>
      <c r="G865" s="39">
        <f>0.3+0.2</f>
        <v>0.5</v>
      </c>
      <c r="H865" s="39">
        <f>+(F865+G865*2)*E865</f>
        <v>12.6</v>
      </c>
      <c r="I865" s="39"/>
      <c r="J865" s="40"/>
    </row>
    <row r="866" spans="2:10" s="1" customFormat="1" ht="13.2" x14ac:dyDescent="0.25">
      <c r="B866" s="45"/>
      <c r="C866" s="38" t="s">
        <v>640</v>
      </c>
      <c r="D866" s="59">
        <v>1</v>
      </c>
      <c r="E866" s="39">
        <v>17.399999999999999</v>
      </c>
      <c r="F866" s="39">
        <v>0.4</v>
      </c>
      <c r="G866" s="39">
        <f>0.4+0.2</f>
        <v>0.60000000000000009</v>
      </c>
      <c r="H866" s="39">
        <f>+(F866+G866*2)*E866</f>
        <v>27.84</v>
      </c>
      <c r="I866" s="39"/>
      <c r="J866" s="40"/>
    </row>
    <row r="867" spans="2:10" s="1" customFormat="1" ht="13.2" x14ac:dyDescent="0.25">
      <c r="B867" s="45"/>
      <c r="C867" s="38" t="s">
        <v>483</v>
      </c>
      <c r="D867" s="59">
        <v>1</v>
      </c>
      <c r="E867" s="39">
        <v>2</v>
      </c>
      <c r="F867" s="39">
        <v>0.5</v>
      </c>
      <c r="G867" s="39">
        <f>0.22+0.2</f>
        <v>0.42000000000000004</v>
      </c>
      <c r="H867" s="39">
        <f>+(F867+G867*2)*E867</f>
        <v>2.68</v>
      </c>
      <c r="I867" s="39"/>
      <c r="J867" s="40"/>
    </row>
    <row r="868" spans="2:10" s="1" customFormat="1" ht="13.2" x14ac:dyDescent="0.25">
      <c r="B868" s="45"/>
      <c r="C868" s="38" t="s">
        <v>633</v>
      </c>
      <c r="D868" s="1">
        <v>1</v>
      </c>
      <c r="E868" s="75">
        <f>20.5+0.9+1.75</f>
        <v>23.15</v>
      </c>
      <c r="F868" s="39">
        <v>0.5</v>
      </c>
      <c r="G868" s="39">
        <f>0.45+0.2</f>
        <v>0.65</v>
      </c>
      <c r="H868" s="39">
        <f>+(F868+G868*2)*E868</f>
        <v>41.67</v>
      </c>
      <c r="I868" s="39"/>
      <c r="J868" s="40"/>
    </row>
    <row r="869" spans="2:10" s="1" customFormat="1" ht="13.2" x14ac:dyDescent="0.25">
      <c r="B869" s="24" t="s">
        <v>559</v>
      </c>
      <c r="C869" s="27" t="s">
        <v>353</v>
      </c>
      <c r="D869" s="59"/>
      <c r="E869" s="39"/>
      <c r="F869" s="39"/>
      <c r="G869" s="39"/>
      <c r="H869" s="39"/>
      <c r="I869" s="39">
        <f>+SUM(H871:H877)</f>
        <v>113.16568000000001</v>
      </c>
      <c r="J869" s="40" t="s">
        <v>333</v>
      </c>
    </row>
    <row r="870" spans="2:10" s="1" customFormat="1" ht="13.2" x14ac:dyDescent="0.25">
      <c r="B870" s="45"/>
      <c r="C870" s="42" t="s">
        <v>636</v>
      </c>
      <c r="D870" s="59"/>
      <c r="E870" s="39"/>
      <c r="F870" s="39"/>
      <c r="G870" s="39"/>
      <c r="H870" s="39"/>
      <c r="I870" s="39"/>
      <c r="J870" s="40"/>
    </row>
    <row r="871" spans="2:10" s="1" customFormat="1" ht="13.2" x14ac:dyDescent="0.25">
      <c r="B871" s="45"/>
      <c r="C871" s="38" t="s">
        <v>637</v>
      </c>
      <c r="D871" s="39">
        <v>1</v>
      </c>
      <c r="E871" s="39">
        <v>7.3</v>
      </c>
      <c r="F871" s="39">
        <f>4*0.0254+0.4</f>
        <v>0.50160000000000005</v>
      </c>
      <c r="G871" s="39">
        <v>0.35</v>
      </c>
      <c r="H871" s="39">
        <f>+(F871+G871*2)*E871</f>
        <v>8.7716799999999999</v>
      </c>
      <c r="I871" s="39"/>
      <c r="J871" s="40"/>
    </row>
    <row r="872" spans="2:10" s="1" customFormat="1" ht="13.2" x14ac:dyDescent="0.25">
      <c r="B872" s="45"/>
      <c r="C872" s="38"/>
      <c r="D872" s="59"/>
      <c r="E872" s="39"/>
      <c r="F872" s="39"/>
      <c r="G872" s="39"/>
      <c r="H872" s="39"/>
      <c r="I872" s="39"/>
      <c r="J872" s="40"/>
    </row>
    <row r="873" spans="2:10" s="1" customFormat="1" ht="13.2" x14ac:dyDescent="0.25">
      <c r="B873" s="45"/>
      <c r="C873" s="42" t="s">
        <v>566</v>
      </c>
      <c r="D873" s="59"/>
      <c r="E873" s="39"/>
      <c r="F873" s="39"/>
      <c r="G873" s="39"/>
      <c r="H873" s="39"/>
      <c r="I873" s="39"/>
      <c r="J873" s="40"/>
    </row>
    <row r="874" spans="2:10" s="1" customFormat="1" ht="13.2" x14ac:dyDescent="0.25">
      <c r="B874" s="45"/>
      <c r="C874" s="38" t="s">
        <v>616</v>
      </c>
      <c r="D874" s="1">
        <v>1</v>
      </c>
      <c r="E874" s="39">
        <f>5.22+12.22+5.75+1</f>
        <v>24.19</v>
      </c>
      <c r="F874" s="39">
        <v>0.6</v>
      </c>
      <c r="G874" s="39">
        <v>1</v>
      </c>
      <c r="H874" s="39">
        <f>+(F874+G874*2)*E874</f>
        <v>62.894000000000005</v>
      </c>
      <c r="I874" s="39"/>
      <c r="J874" s="40"/>
    </row>
    <row r="875" spans="2:10" s="1" customFormat="1" ht="13.2" x14ac:dyDescent="0.25">
      <c r="B875" s="45"/>
      <c r="C875" s="38"/>
      <c r="D875" s="59"/>
      <c r="E875" s="39"/>
      <c r="F875" s="39"/>
      <c r="G875" s="39"/>
      <c r="H875" s="39"/>
      <c r="I875" s="39"/>
      <c r="J875" s="40"/>
    </row>
    <row r="876" spans="2:10" s="1" customFormat="1" ht="13.2" x14ac:dyDescent="0.25">
      <c r="B876" s="45"/>
      <c r="C876" s="42" t="s">
        <v>222</v>
      </c>
      <c r="D876" s="59"/>
      <c r="E876" s="39"/>
      <c r="F876" s="39"/>
      <c r="G876" s="39"/>
      <c r="H876" s="39"/>
      <c r="I876" s="39"/>
      <c r="J876" s="40"/>
    </row>
    <row r="877" spans="2:10" s="1" customFormat="1" ht="13.2" x14ac:dyDescent="0.25">
      <c r="B877" s="45"/>
      <c r="C877" s="38" t="s">
        <v>638</v>
      </c>
      <c r="D877" s="39">
        <v>1</v>
      </c>
      <c r="E877" s="39">
        <v>25</v>
      </c>
      <c r="F877" s="39">
        <v>0.7</v>
      </c>
      <c r="G877" s="39">
        <v>0.48</v>
      </c>
      <c r="H877" s="39">
        <f>+(F877+G877*2)*E877</f>
        <v>41.5</v>
      </c>
      <c r="I877" s="39"/>
      <c r="J877" s="40"/>
    </row>
    <row r="878" spans="2:10" s="1" customFormat="1" ht="13.2" x14ac:dyDescent="0.25">
      <c r="B878" s="24" t="s">
        <v>560</v>
      </c>
      <c r="C878" s="27" t="s">
        <v>354</v>
      </c>
      <c r="D878" s="59"/>
      <c r="E878" s="39"/>
      <c r="F878" s="39" t="s">
        <v>571</v>
      </c>
      <c r="G878" s="39"/>
      <c r="H878" s="39"/>
      <c r="I878" s="39">
        <f>+SUM(H879:H889)</f>
        <v>407.58850294794655</v>
      </c>
      <c r="J878" s="40" t="s">
        <v>355</v>
      </c>
    </row>
    <row r="879" spans="2:10" s="1" customFormat="1" ht="13.2" x14ac:dyDescent="0.25">
      <c r="B879" s="107"/>
      <c r="C879" s="38" t="s">
        <v>480</v>
      </c>
      <c r="D879" s="59">
        <v>4</v>
      </c>
      <c r="E879" s="39">
        <v>14.8</v>
      </c>
      <c r="F879" s="39">
        <v>1.64</v>
      </c>
      <c r="G879" s="39"/>
      <c r="H879" s="39">
        <f>IF(AND(F879=0,G879=0),D879*E879,IF(AND(E879=0,G879=0),D879*F879,IF(AND(E879=0,F879=0),D879*G879,IF(AND(E879=0),D879*F879*G879,IF(AND(F879=0),D879*E879*G879,IF(AND(G879=0),D879*E879*F879,D879*E879*F879*G879))))))</f>
        <v>97.087999999999994</v>
      </c>
      <c r="I879" s="39"/>
      <c r="J879" s="40"/>
    </row>
    <row r="880" spans="2:10" s="1" customFormat="1" ht="13.2" x14ac:dyDescent="0.25">
      <c r="B880" s="107"/>
      <c r="C880" s="38" t="s">
        <v>481</v>
      </c>
      <c r="D880" s="59">
        <v>1</v>
      </c>
      <c r="E880" s="78">
        <v>11.3</v>
      </c>
      <c r="F880" s="39">
        <v>1.64</v>
      </c>
      <c r="G880" s="39"/>
      <c r="H880" s="39">
        <f>IF(AND(F880=0,G880=0),D880*E880,IF(AND(E880=0,G880=0),D880*F880,IF(AND(E880=0,F880=0),D880*G880,IF(AND(E880=0),D880*F880*G880,IF(AND(F880=0),D880*E880*G880,IF(AND(G880=0),D880*E880*F880,D880*E880*F880*G880))))))</f>
        <v>18.532</v>
      </c>
      <c r="I880" s="39"/>
      <c r="J880" s="40"/>
    </row>
    <row r="881" spans="2:10" s="1" customFormat="1" ht="13.2" x14ac:dyDescent="0.25">
      <c r="B881" s="107"/>
      <c r="C881" s="38" t="s">
        <v>482</v>
      </c>
      <c r="D881" s="59">
        <v>1</v>
      </c>
      <c r="E881" s="78">
        <v>4.6500000000000004</v>
      </c>
      <c r="F881" s="39">
        <v>1.64</v>
      </c>
      <c r="G881" s="39"/>
      <c r="H881" s="39">
        <f>IF(AND(F881=0,G881=0),D881*E881,IF(AND(E881=0,G881=0),D881*F881,IF(AND(E881=0,F881=0),D881*G881,IF(AND(E881=0),D881*F881*G881,IF(AND(F881=0),D881*E881*G881,IF(AND(G881=0),D881*E881*F881,D881*E881*F881*G881))))))</f>
        <v>7.6260000000000003</v>
      </c>
      <c r="I881" s="39"/>
      <c r="J881" s="40"/>
    </row>
    <row r="882" spans="2:10" s="1" customFormat="1" ht="13.2" x14ac:dyDescent="0.25">
      <c r="B882" s="107"/>
      <c r="C882" s="42" t="s">
        <v>636</v>
      </c>
      <c r="D882" s="59"/>
      <c r="E882" s="39"/>
      <c r="G882" s="39"/>
      <c r="H882" s="39"/>
      <c r="I882" s="39"/>
      <c r="J882" s="40"/>
    </row>
    <row r="883" spans="2:10" s="1" customFormat="1" ht="13.2" x14ac:dyDescent="0.25">
      <c r="B883" s="107"/>
      <c r="C883" s="38" t="s">
        <v>637</v>
      </c>
      <c r="D883" s="39">
        <v>1</v>
      </c>
      <c r="E883" s="39">
        <v>7.3</v>
      </c>
      <c r="F883" s="39">
        <f>13.58/5</f>
        <v>2.7160000000000002</v>
      </c>
      <c r="G883" s="39"/>
      <c r="H883" s="39">
        <f>IF(AND(F883=0,G883=0),D883*E883,IF(AND(E883=0,G883=0),D883*F883,IF(AND(E883=0,F883=0),D883*G883,IF(AND(E883=0),D883*F883*G883,IF(AND(F883=0),D883*E883*G883,IF(AND(G883=0),D883*E883*F883,D883*E883*F883*G883))))))</f>
        <v>19.826800000000002</v>
      </c>
      <c r="I883" s="39"/>
      <c r="J883" s="40"/>
    </row>
    <row r="884" spans="2:10" s="1" customFormat="1" ht="13.2" x14ac:dyDescent="0.25">
      <c r="B884" s="107"/>
      <c r="C884" s="38"/>
      <c r="D884" s="59"/>
      <c r="E884" s="39"/>
      <c r="F884" s="39"/>
      <c r="G884" s="39"/>
      <c r="H884" s="39"/>
      <c r="I884" s="39"/>
      <c r="J884" s="40"/>
    </row>
    <row r="885" spans="2:10" s="1" customFormat="1" ht="13.2" x14ac:dyDescent="0.25">
      <c r="B885" s="107"/>
      <c r="C885" s="42" t="s">
        <v>566</v>
      </c>
      <c r="D885" s="59"/>
      <c r="E885" s="39"/>
      <c r="F885" s="39"/>
      <c r="G885" s="39"/>
      <c r="H885" s="39"/>
      <c r="I885" s="39"/>
      <c r="J885" s="40"/>
    </row>
    <row r="886" spans="2:10" s="1" customFormat="1" ht="13.2" x14ac:dyDescent="0.25">
      <c r="B886" s="107"/>
      <c r="C886" s="38" t="s">
        <v>616</v>
      </c>
      <c r="D886" s="1">
        <v>1</v>
      </c>
      <c r="E886" s="39">
        <f>5.22+12.22+5.75+1</f>
        <v>24.19</v>
      </c>
      <c r="F886" s="39">
        <f>18.14/5.83</f>
        <v>3.1114922813036023</v>
      </c>
      <c r="G886" s="39"/>
      <c r="H886" s="39">
        <f>IF(AND(F886=0,G886=0),D886*E886,IF(AND(E886=0,G886=0),D886*F886,IF(AND(E886=0,F886=0),D886*G886,IF(AND(E886=0),D886*F886*G886,IF(AND(F886=0),D886*E886*G886,IF(AND(G886=0),D886*E886*F886,D886*E886*F886*G886))))))</f>
        <v>75.266998284734143</v>
      </c>
      <c r="I886" s="39"/>
      <c r="J886" s="40"/>
    </row>
    <row r="887" spans="2:10" s="1" customFormat="1" ht="13.2" x14ac:dyDescent="0.25">
      <c r="B887" s="107"/>
      <c r="C887" s="38"/>
      <c r="E887" s="39"/>
      <c r="F887" s="39"/>
      <c r="G887" s="39"/>
      <c r="H887" s="39"/>
      <c r="I887" s="39"/>
      <c r="J887" s="40"/>
    </row>
    <row r="888" spans="2:10" s="1" customFormat="1" ht="13.2" x14ac:dyDescent="0.25">
      <c r="B888" s="107"/>
      <c r="C888" s="42" t="s">
        <v>222</v>
      </c>
      <c r="D888" s="59"/>
      <c r="E888" s="39"/>
      <c r="F888" s="39"/>
      <c r="G888" s="39"/>
      <c r="H888" s="39"/>
      <c r="I888" s="39"/>
      <c r="J888" s="40"/>
    </row>
    <row r="889" spans="2:10" s="1" customFormat="1" ht="13.2" x14ac:dyDescent="0.25">
      <c r="B889" s="107"/>
      <c r="C889" s="38" t="s">
        <v>638</v>
      </c>
      <c r="D889" s="39">
        <v>1</v>
      </c>
      <c r="E889" s="39">
        <v>25</v>
      </c>
      <c r="F889" s="22">
        <f>43.83/5.79</f>
        <v>7.5699481865284968</v>
      </c>
      <c r="G889" s="22"/>
      <c r="H889" s="39">
        <f>IF(AND(F889=0,G889=0),D889*E889,IF(AND(E889=0,G889=0),D889*F889,IF(AND(E889=0,F889=0),D889*G889,IF(AND(E889=0),D889*F889*G889,IF(AND(F889=0),D889*E889*G889,IF(AND(G889=0),D889*E889*F889,D889*E889*F889*G889))))))</f>
        <v>189.24870466321241</v>
      </c>
      <c r="I889" s="23"/>
      <c r="J889" s="25"/>
    </row>
    <row r="890" spans="2:10" s="1" customFormat="1" ht="13.2" x14ac:dyDescent="0.25">
      <c r="B890" s="24" t="s">
        <v>561</v>
      </c>
      <c r="C890" s="27" t="s">
        <v>356</v>
      </c>
      <c r="D890" s="59"/>
      <c r="E890" s="39"/>
      <c r="F890" s="39"/>
      <c r="G890" s="39"/>
      <c r="H890" s="39"/>
      <c r="I890" s="39">
        <f>+SUM(H891:H902)</f>
        <v>8.1352999999999991</v>
      </c>
      <c r="J890" s="40" t="s">
        <v>337</v>
      </c>
    </row>
    <row r="891" spans="2:10" s="1" customFormat="1" ht="13.2" x14ac:dyDescent="0.25">
      <c r="B891" s="45"/>
      <c r="C891" s="38" t="s">
        <v>630</v>
      </c>
      <c r="D891" s="59">
        <v>2</v>
      </c>
      <c r="E891" s="39">
        <v>9</v>
      </c>
      <c r="F891" s="39">
        <v>0.1</v>
      </c>
      <c r="G891" s="39">
        <v>0.3</v>
      </c>
      <c r="H891" s="39">
        <f t="shared" ref="H891:H902" si="48">IF(AND(F891=0,G891=0),D891*E891,IF(AND(E891=0,G891=0),D891*F891,IF(AND(E891=0,F891=0),D891*G891,IF(AND(E891=0),D891*F891*G891,IF(AND(F891=0),D891*E891*G891,IF(AND(G891=0),D891*E891*F891,D891*E891*F891*G891))))))</f>
        <v>0.54</v>
      </c>
      <c r="I891" s="39"/>
      <c r="J891" s="40"/>
    </row>
    <row r="892" spans="2:10" s="1" customFormat="1" ht="13.2" x14ac:dyDescent="0.25">
      <c r="B892" s="45"/>
      <c r="C892" s="38"/>
      <c r="D892" s="59">
        <v>1</v>
      </c>
      <c r="E892" s="39">
        <v>9</v>
      </c>
      <c r="F892" s="39">
        <v>0.4</v>
      </c>
      <c r="G892" s="39">
        <v>0.1</v>
      </c>
      <c r="H892" s="39">
        <f t="shared" si="48"/>
        <v>0.36000000000000004</v>
      </c>
      <c r="I892" s="39"/>
      <c r="J892" s="40"/>
    </row>
    <row r="893" spans="2:10" s="1" customFormat="1" ht="13.2" x14ac:dyDescent="0.25">
      <c r="B893" s="45"/>
      <c r="C893" s="38" t="s">
        <v>643</v>
      </c>
      <c r="D893" s="59">
        <v>1</v>
      </c>
      <c r="E893" s="39">
        <v>17.399999999999999</v>
      </c>
      <c r="F893" s="39">
        <v>0.1</v>
      </c>
      <c r="G893" s="39">
        <v>0.4</v>
      </c>
      <c r="H893" s="39">
        <f t="shared" si="48"/>
        <v>0.69600000000000006</v>
      </c>
      <c r="I893" s="39"/>
      <c r="J893" s="40"/>
    </row>
    <row r="894" spans="2:10" s="1" customFormat="1" ht="13.2" x14ac:dyDescent="0.25">
      <c r="B894" s="45"/>
      <c r="C894" s="38"/>
      <c r="D894" s="59">
        <v>1</v>
      </c>
      <c r="E894" s="39">
        <v>17.399999999999999</v>
      </c>
      <c r="F894" s="39">
        <v>0.4</v>
      </c>
      <c r="G894" s="39">
        <v>0.1</v>
      </c>
      <c r="H894" s="39">
        <f t="shared" si="48"/>
        <v>0.69600000000000006</v>
      </c>
      <c r="I894" s="39"/>
      <c r="J894" s="40"/>
    </row>
    <row r="895" spans="2:10" s="1" customFormat="1" ht="13.2" x14ac:dyDescent="0.25">
      <c r="B895" s="45"/>
      <c r="C895" s="38" t="s">
        <v>483</v>
      </c>
      <c r="D895" s="59">
        <v>2</v>
      </c>
      <c r="E895" s="39">
        <v>2</v>
      </c>
      <c r="F895" s="39">
        <v>0.1</v>
      </c>
      <c r="G895" s="39">
        <v>0.22</v>
      </c>
      <c r="H895" s="39">
        <f t="shared" si="48"/>
        <v>8.8000000000000009E-2</v>
      </c>
      <c r="I895" s="39"/>
      <c r="J895" s="40"/>
    </row>
    <row r="896" spans="2:10" s="1" customFormat="1" ht="13.2" x14ac:dyDescent="0.25">
      <c r="B896" s="45"/>
      <c r="C896" s="38"/>
      <c r="D896" s="22">
        <v>1</v>
      </c>
      <c r="E896" s="23">
        <v>2</v>
      </c>
      <c r="F896" s="39">
        <v>0.5</v>
      </c>
      <c r="G896" s="39">
        <v>0.1</v>
      </c>
      <c r="H896" s="39">
        <f t="shared" si="48"/>
        <v>0.1</v>
      </c>
      <c r="I896" s="39"/>
      <c r="J896" s="40"/>
    </row>
    <row r="897" spans="2:10" s="1" customFormat="1" ht="13.2" x14ac:dyDescent="0.25">
      <c r="B897" s="45"/>
      <c r="C897" s="38" t="s">
        <v>633</v>
      </c>
      <c r="D897" s="1">
        <v>2</v>
      </c>
      <c r="E897" s="75">
        <f>20.5+0.9+1.75</f>
        <v>23.15</v>
      </c>
      <c r="F897" s="39">
        <v>0.15</v>
      </c>
      <c r="G897" s="39">
        <v>0.45</v>
      </c>
      <c r="H897" s="39">
        <f t="shared" si="48"/>
        <v>3.1252499999999999</v>
      </c>
      <c r="I897" s="39"/>
      <c r="J897" s="40"/>
    </row>
    <row r="898" spans="2:10" s="1" customFormat="1" ht="13.2" x14ac:dyDescent="0.25">
      <c r="B898" s="45"/>
      <c r="C898" s="38"/>
      <c r="D898" s="1">
        <v>1</v>
      </c>
      <c r="E898" s="75">
        <v>23.15</v>
      </c>
      <c r="F898" s="39">
        <v>0.5</v>
      </c>
      <c r="G898" s="39">
        <v>0.15</v>
      </c>
      <c r="H898" s="39">
        <f t="shared" si="48"/>
        <v>1.7362499999999998</v>
      </c>
      <c r="I898" s="39"/>
      <c r="J898" s="40"/>
    </row>
    <row r="899" spans="2:10" s="1" customFormat="1" ht="13.2" x14ac:dyDescent="0.25">
      <c r="B899" s="45"/>
      <c r="C899" s="38" t="s">
        <v>634</v>
      </c>
      <c r="D899" s="39">
        <v>2</v>
      </c>
      <c r="E899" s="39">
        <v>1.2</v>
      </c>
      <c r="F899" s="39">
        <v>0.15</v>
      </c>
      <c r="G899" s="39">
        <v>0.72</v>
      </c>
      <c r="H899" s="39">
        <f t="shared" si="48"/>
        <v>0.25919999999999999</v>
      </c>
      <c r="I899" s="39"/>
      <c r="J899" s="40"/>
    </row>
    <row r="900" spans="2:10" s="1" customFormat="1" ht="13.2" x14ac:dyDescent="0.25">
      <c r="B900" s="45"/>
      <c r="C900" s="38"/>
      <c r="D900" s="39">
        <v>2</v>
      </c>
      <c r="E900" s="39">
        <v>0.6</v>
      </c>
      <c r="F900" s="39">
        <v>0.15</v>
      </c>
      <c r="G900" s="39">
        <v>0.72</v>
      </c>
      <c r="H900" s="39">
        <f t="shared" si="48"/>
        <v>0.12959999999999999</v>
      </c>
      <c r="I900" s="39"/>
      <c r="J900" s="40"/>
    </row>
    <row r="901" spans="2:10" s="1" customFormat="1" ht="13.2" x14ac:dyDescent="0.25">
      <c r="B901" s="45"/>
      <c r="C901" s="38" t="s">
        <v>635</v>
      </c>
      <c r="D901" s="39">
        <v>2</v>
      </c>
      <c r="E901" s="39">
        <v>1.2</v>
      </c>
      <c r="F901" s="39">
        <v>0.15</v>
      </c>
      <c r="G901" s="39">
        <v>0.75</v>
      </c>
      <c r="H901" s="39">
        <f t="shared" si="48"/>
        <v>0.27</v>
      </c>
      <c r="I901" s="39"/>
      <c r="J901" s="40"/>
    </row>
    <row r="902" spans="2:10" s="1" customFormat="1" ht="13.2" x14ac:dyDescent="0.25">
      <c r="B902" s="45"/>
      <c r="C902" s="58"/>
      <c r="D902" s="39">
        <v>2</v>
      </c>
      <c r="E902" s="39">
        <v>0.6</v>
      </c>
      <c r="F902" s="39">
        <v>0.15</v>
      </c>
      <c r="G902" s="39">
        <v>0.75</v>
      </c>
      <c r="H902" s="39">
        <f t="shared" si="48"/>
        <v>0.13500000000000001</v>
      </c>
      <c r="I902" s="39"/>
      <c r="J902" s="40"/>
    </row>
    <row r="903" spans="2:10" s="1" customFormat="1" ht="13.2" x14ac:dyDescent="0.25">
      <c r="B903" s="24" t="s">
        <v>562</v>
      </c>
      <c r="C903" s="27" t="s">
        <v>357</v>
      </c>
      <c r="D903" s="59" t="s">
        <v>574</v>
      </c>
      <c r="E903" s="39"/>
      <c r="F903" s="39"/>
      <c r="G903" s="39"/>
      <c r="H903" s="39"/>
      <c r="I903" s="39">
        <f>+SUM(H904:H920)</f>
        <v>22.144838272399596</v>
      </c>
      <c r="J903" s="40" t="s">
        <v>337</v>
      </c>
    </row>
    <row r="904" spans="2:10" s="1" customFormat="1" ht="13.2" x14ac:dyDescent="0.25">
      <c r="B904" s="90"/>
      <c r="C904" s="38" t="s">
        <v>639</v>
      </c>
      <c r="D904" s="59">
        <v>1.25</v>
      </c>
      <c r="E904" s="39">
        <v>9</v>
      </c>
      <c r="F904" s="39">
        <v>0.4</v>
      </c>
      <c r="G904" s="39">
        <f>0.3+0.2</f>
        <v>0.5</v>
      </c>
      <c r="H904" s="39">
        <f t="shared" ref="H904:H909" si="49">IF(AND(F904=0,G904=0),D904*E904,IF(AND(E904=0,G904=0),D904*F904,IF(AND(E904=0,F904=0),D904*G904,IF(AND(E904=0),D904*F904*G904,IF(AND(F904=0),D904*E904*G904,IF(AND(G904=0),D904*E904*F904,D904*E904*F904*G904))))))</f>
        <v>2.25</v>
      </c>
      <c r="I904" s="39"/>
      <c r="J904" s="40"/>
    </row>
    <row r="905" spans="2:10" s="1" customFormat="1" ht="13.2" x14ac:dyDescent="0.25">
      <c r="B905" s="90"/>
      <c r="C905" s="38" t="s">
        <v>640</v>
      </c>
      <c r="D905" s="59">
        <v>1.25</v>
      </c>
      <c r="E905" s="39">
        <v>17.399999999999999</v>
      </c>
      <c r="F905" s="39">
        <v>0.4</v>
      </c>
      <c r="G905" s="39">
        <f>0.4+0.2</f>
        <v>0.60000000000000009</v>
      </c>
      <c r="H905" s="39">
        <f t="shared" si="49"/>
        <v>5.2200000000000015</v>
      </c>
      <c r="I905" s="39"/>
      <c r="J905" s="40"/>
    </row>
    <row r="906" spans="2:10" s="1" customFormat="1" ht="13.2" x14ac:dyDescent="0.25">
      <c r="B906" s="90"/>
      <c r="C906" s="38" t="s">
        <v>483</v>
      </c>
      <c r="D906" s="59">
        <v>1.25</v>
      </c>
      <c r="E906" s="39">
        <v>2</v>
      </c>
      <c r="F906" s="39">
        <v>0.5</v>
      </c>
      <c r="G906" s="39">
        <f>0.22+0.2</f>
        <v>0.42000000000000004</v>
      </c>
      <c r="H906" s="39">
        <f t="shared" si="49"/>
        <v>0.52500000000000002</v>
      </c>
      <c r="I906" s="39"/>
      <c r="J906" s="40"/>
    </row>
    <row r="907" spans="2:10" s="1" customFormat="1" ht="13.2" x14ac:dyDescent="0.25">
      <c r="B907" s="90"/>
      <c r="C907" s="38" t="s">
        <v>633</v>
      </c>
      <c r="D907" s="59">
        <v>1.25</v>
      </c>
      <c r="E907" s="75">
        <f>20.5+0.9+1.75</f>
        <v>23.15</v>
      </c>
      <c r="F907" s="39">
        <v>0.5</v>
      </c>
      <c r="G907" s="39">
        <f>0.45+0.25</f>
        <v>0.7</v>
      </c>
      <c r="H907" s="39">
        <f t="shared" si="49"/>
        <v>10.128124999999999</v>
      </c>
      <c r="I907" s="39"/>
      <c r="J907" s="40"/>
    </row>
    <row r="908" spans="2:10" s="1" customFormat="1" ht="13.2" x14ac:dyDescent="0.25">
      <c r="B908" s="90"/>
      <c r="C908" s="38" t="s">
        <v>634</v>
      </c>
      <c r="D908" s="59">
        <v>1.25</v>
      </c>
      <c r="E908" s="39">
        <v>0.9</v>
      </c>
      <c r="F908" s="39">
        <v>1.2</v>
      </c>
      <c r="G908" s="39">
        <f>0.57+0.25</f>
        <v>0.82</v>
      </c>
      <c r="H908" s="39">
        <f t="shared" si="49"/>
        <v>1.1069999999999998</v>
      </c>
      <c r="I908" s="39"/>
      <c r="J908" s="40"/>
    </row>
    <row r="909" spans="2:10" s="1" customFormat="1" ht="13.2" x14ac:dyDescent="0.25">
      <c r="B909" s="90"/>
      <c r="C909" s="38" t="s">
        <v>635</v>
      </c>
      <c r="D909" s="59">
        <v>1.25</v>
      </c>
      <c r="E909" s="39">
        <v>0.9</v>
      </c>
      <c r="F909" s="39">
        <v>1.2</v>
      </c>
      <c r="G909" s="39">
        <f>0.6+0.25</f>
        <v>0.85</v>
      </c>
      <c r="H909" s="39">
        <f t="shared" si="49"/>
        <v>1.1475</v>
      </c>
      <c r="I909" s="39"/>
      <c r="J909" s="40"/>
    </row>
    <row r="910" spans="2:10" s="1" customFormat="1" ht="13.2" x14ac:dyDescent="0.25">
      <c r="B910" s="45"/>
      <c r="C910" s="58"/>
      <c r="D910" s="59"/>
      <c r="E910" s="39"/>
      <c r="F910" s="39"/>
      <c r="G910" s="39"/>
      <c r="H910" s="39"/>
      <c r="I910" s="39"/>
      <c r="J910" s="40"/>
    </row>
    <row r="911" spans="2:10" s="1" customFormat="1" ht="13.2" x14ac:dyDescent="0.25">
      <c r="B911" s="45"/>
      <c r="C911" s="42" t="s">
        <v>636</v>
      </c>
      <c r="D911" s="59"/>
      <c r="E911" s="39"/>
      <c r="F911" s="39"/>
      <c r="G911" s="39"/>
      <c r="H911" s="39"/>
      <c r="I911" s="39"/>
      <c r="J911" s="40"/>
    </row>
    <row r="912" spans="2:10" s="1" customFormat="1" ht="13.2" x14ac:dyDescent="0.25">
      <c r="B912" s="45"/>
      <c r="F912" s="39" t="s">
        <v>485</v>
      </c>
      <c r="G912" s="39">
        <v>4</v>
      </c>
      <c r="I912" s="39"/>
      <c r="J912" s="40"/>
    </row>
    <row r="913" spans="2:10" s="1" customFormat="1" ht="13.2" x14ac:dyDescent="0.25">
      <c r="B913" s="45"/>
      <c r="C913" s="38" t="s">
        <v>569</v>
      </c>
      <c r="D913" s="59">
        <v>1.25</v>
      </c>
      <c r="E913" s="39">
        <f>+E854</f>
        <v>7.3</v>
      </c>
      <c r="F913" s="39" t="s">
        <v>570</v>
      </c>
      <c r="G913" s="39">
        <f>+PI()*((G912*0.0254)^2)/4</f>
        <v>8.107319665559963E-3</v>
      </c>
      <c r="H913" s="39">
        <f>+E913*G913</f>
        <v>5.9183433558587725E-2</v>
      </c>
      <c r="I913" s="39"/>
      <c r="J913" s="40"/>
    </row>
    <row r="914" spans="2:10" s="1" customFormat="1" ht="13.2" x14ac:dyDescent="0.25">
      <c r="B914" s="45"/>
      <c r="C914" s="42" t="s">
        <v>566</v>
      </c>
      <c r="D914" s="59"/>
      <c r="E914" s="39"/>
      <c r="F914" s="39"/>
      <c r="G914" s="39"/>
      <c r="H914" s="39"/>
      <c r="I914" s="39"/>
      <c r="J914" s="40"/>
    </row>
    <row r="915" spans="2:10" s="1" customFormat="1" ht="13.2" x14ac:dyDescent="0.25">
      <c r="B915" s="45"/>
      <c r="F915" s="39" t="s">
        <v>485</v>
      </c>
      <c r="G915" s="39">
        <v>6</v>
      </c>
      <c r="I915" s="39"/>
      <c r="J915" s="40"/>
    </row>
    <row r="916" spans="2:10" s="1" customFormat="1" ht="13.2" x14ac:dyDescent="0.25">
      <c r="B916" s="45"/>
      <c r="C916" s="38" t="s">
        <v>569</v>
      </c>
      <c r="D916" s="59">
        <v>1.25</v>
      </c>
      <c r="E916" s="39">
        <f>+E858</f>
        <v>24.19</v>
      </c>
      <c r="F916" s="39" t="s">
        <v>570</v>
      </c>
      <c r="G916" s="39">
        <f>+PI()*((G915*0.0254)^2)/4</f>
        <v>1.8241469247509915E-2</v>
      </c>
      <c r="H916" s="39">
        <f>+E916*G916</f>
        <v>0.44126114109726489</v>
      </c>
      <c r="I916" s="39"/>
      <c r="J916" s="40"/>
    </row>
    <row r="917" spans="2:10" s="1" customFormat="1" ht="13.2" x14ac:dyDescent="0.25">
      <c r="B917" s="45"/>
      <c r="C917" s="38"/>
      <c r="D917" s="59"/>
      <c r="E917" s="39"/>
      <c r="F917" s="39"/>
      <c r="G917" s="39"/>
      <c r="H917" s="39"/>
      <c r="I917" s="39"/>
      <c r="J917" s="40"/>
    </row>
    <row r="918" spans="2:10" s="1" customFormat="1" ht="13.2" x14ac:dyDescent="0.25">
      <c r="B918" s="45"/>
      <c r="C918" s="42" t="s">
        <v>222</v>
      </c>
      <c r="D918" s="59"/>
      <c r="E918" s="39"/>
      <c r="F918" s="39"/>
      <c r="G918" s="39"/>
      <c r="H918" s="39"/>
      <c r="I918" s="39"/>
      <c r="J918" s="40"/>
    </row>
    <row r="919" spans="2:10" s="1" customFormat="1" ht="13.2" x14ac:dyDescent="0.25">
      <c r="B919" s="45"/>
      <c r="F919" s="39" t="s">
        <v>485</v>
      </c>
      <c r="G919" s="39">
        <v>10</v>
      </c>
      <c r="I919" s="39"/>
      <c r="J919" s="40"/>
    </row>
    <row r="920" spans="2:10" s="1" customFormat="1" ht="13.2" x14ac:dyDescent="0.25">
      <c r="B920" s="45"/>
      <c r="C920" s="38" t="s">
        <v>569</v>
      </c>
      <c r="D920" s="59">
        <v>1.25</v>
      </c>
      <c r="E920" s="39">
        <f>+E863</f>
        <v>25</v>
      </c>
      <c r="F920" s="39" t="s">
        <v>570</v>
      </c>
      <c r="G920" s="39">
        <f>+PI()*((G919*0.0254)^2)/4</f>
        <v>5.0670747909749778E-2</v>
      </c>
      <c r="H920" s="39">
        <f>+E920*G920</f>
        <v>1.2667686977437445</v>
      </c>
      <c r="I920" s="39"/>
      <c r="J920" s="40"/>
    </row>
    <row r="921" spans="2:10" s="115" customFormat="1" ht="13.2" x14ac:dyDescent="0.25">
      <c r="B921" s="24" t="s">
        <v>563</v>
      </c>
      <c r="C921" s="27" t="s">
        <v>358</v>
      </c>
      <c r="D921" s="59"/>
      <c r="E921" s="39"/>
      <c r="F921" s="39"/>
      <c r="G921" s="39"/>
      <c r="H921" s="39"/>
      <c r="I921" s="39">
        <f>+I903</f>
        <v>22.144838272399596</v>
      </c>
      <c r="J921" s="40" t="s">
        <v>337</v>
      </c>
    </row>
    <row r="922" spans="2:10" s="115" customFormat="1" ht="13.2" x14ac:dyDescent="0.25">
      <c r="B922" s="45"/>
      <c r="C922" s="38"/>
      <c r="E922" s="116"/>
      <c r="F922" s="39"/>
      <c r="G922" s="39"/>
      <c r="H922" s="39"/>
      <c r="I922" s="39"/>
      <c r="J922" s="40"/>
    </row>
    <row r="923" spans="2:10" x14ac:dyDescent="0.3">
      <c r="B923" s="72" t="s">
        <v>365</v>
      </c>
      <c r="C923" s="73" t="s">
        <v>360</v>
      </c>
      <c r="D923" s="22"/>
      <c r="E923" s="22"/>
      <c r="F923" s="22"/>
      <c r="G923" s="22"/>
      <c r="H923" s="23"/>
      <c r="I923" s="24"/>
      <c r="J923" s="25"/>
    </row>
    <row r="924" spans="2:10" s="1" customFormat="1" ht="13.2" x14ac:dyDescent="0.25">
      <c r="B924" s="42" t="s">
        <v>366</v>
      </c>
      <c r="C924" s="24" t="s">
        <v>362</v>
      </c>
      <c r="D924" s="59"/>
      <c r="E924" s="39"/>
      <c r="F924" s="39"/>
      <c r="G924" s="39"/>
      <c r="H924" s="39"/>
      <c r="I924" s="43">
        <f>+SUM(H925:H928)</f>
        <v>23.134999999999998</v>
      </c>
      <c r="J924" s="44" t="s">
        <v>333</v>
      </c>
    </row>
    <row r="925" spans="2:10" s="1" customFormat="1" ht="13.2" x14ac:dyDescent="0.25">
      <c r="B925" s="24"/>
      <c r="C925" s="38" t="s">
        <v>639</v>
      </c>
      <c r="D925" s="59">
        <v>1</v>
      </c>
      <c r="E925" s="39">
        <v>9</v>
      </c>
      <c r="F925" s="39">
        <v>0.4</v>
      </c>
      <c r="G925" s="39"/>
      <c r="H925" s="39">
        <f>IF(AND(F925=0,G925=0),D925*E925,IF(AND(E925=0,G925=0),D925*F925,IF(AND(E925=0,F925=0),D925*G925,IF(AND(E925=0),D925*F925*G925,IF(AND(F925=0),D925*E925*G925,IF(AND(G925=0),D925*E925*F925,D925*E925*F925*G925))))))</f>
        <v>3.6</v>
      </c>
      <c r="I925" s="39"/>
      <c r="J925" s="40"/>
    </row>
    <row r="926" spans="2:10" s="1" customFormat="1" ht="13.2" x14ac:dyDescent="0.25">
      <c r="B926" s="56"/>
      <c r="C926" s="38" t="s">
        <v>640</v>
      </c>
      <c r="D926" s="59">
        <v>1</v>
      </c>
      <c r="E926" s="39">
        <v>17.399999999999999</v>
      </c>
      <c r="F926" s="39">
        <v>0.4</v>
      </c>
      <c r="G926" s="39"/>
      <c r="H926" s="39">
        <f>IF(AND(F926=0,G926=0),D926*E926,IF(AND(E926=0,G926=0),D926*F926,IF(AND(E926=0,F926=0),D926*G926,IF(AND(E926=0),D926*F926*G926,IF(AND(F926=0),D926*E926*G926,IF(AND(G926=0),D926*E926*F926,D926*E926*F926*G926))))))</f>
        <v>6.96</v>
      </c>
      <c r="I926" s="39"/>
      <c r="J926" s="40"/>
    </row>
    <row r="927" spans="2:10" s="1" customFormat="1" ht="13.2" x14ac:dyDescent="0.25">
      <c r="B927" s="56"/>
      <c r="C927" s="38" t="s">
        <v>483</v>
      </c>
      <c r="D927" s="59">
        <v>1</v>
      </c>
      <c r="E927" s="39">
        <v>2</v>
      </c>
      <c r="F927" s="39">
        <v>0.5</v>
      </c>
      <c r="G927" s="39"/>
      <c r="H927" s="39">
        <f>IF(AND(F927=0,G927=0),D927*E927,IF(AND(E927=0,G927=0),D927*F927,IF(AND(E927=0,F927=0),D927*G927,IF(AND(E927=0),D927*F927*G927,IF(AND(F927=0),D927*E927*G927,IF(AND(G927=0),D927*E927*F927,D927*E927*F927*G927))))))</f>
        <v>1</v>
      </c>
      <c r="I927" s="39"/>
      <c r="J927" s="40"/>
    </row>
    <row r="928" spans="2:10" s="1" customFormat="1" ht="13.2" x14ac:dyDescent="0.25">
      <c r="B928" s="56"/>
      <c r="C928" s="38" t="s">
        <v>633</v>
      </c>
      <c r="D928" s="1">
        <v>1</v>
      </c>
      <c r="E928" s="75">
        <f>20.5+0.9+1.75</f>
        <v>23.15</v>
      </c>
      <c r="F928" s="39">
        <v>0.5</v>
      </c>
      <c r="G928" s="39"/>
      <c r="H928" s="39">
        <f>IF(AND(F928=0,G928=0),D928*E928,IF(AND(E928=0,G928=0),D928*F928,IF(AND(E928=0,F928=0),D928*G928,IF(AND(E928=0),D928*F928*G928,IF(AND(F928=0),D928*E928*G928,IF(AND(G928=0),D928*E928*F928,D928*E928*F928*G928))))))</f>
        <v>11.574999999999999</v>
      </c>
      <c r="I928" s="39"/>
      <c r="J928" s="40"/>
    </row>
    <row r="929" spans="2:10" s="1" customFormat="1" ht="13.2" x14ac:dyDescent="0.25">
      <c r="B929" s="42" t="s">
        <v>367</v>
      </c>
      <c r="C929" s="24" t="s">
        <v>364</v>
      </c>
      <c r="D929" s="59"/>
      <c r="E929" s="39"/>
      <c r="F929" s="39"/>
      <c r="G929" s="39"/>
      <c r="H929" s="39"/>
      <c r="I929" s="43">
        <f>+SUM(H930:H931)</f>
        <v>2.16</v>
      </c>
      <c r="J929" s="44" t="s">
        <v>333</v>
      </c>
    </row>
    <row r="930" spans="2:10" s="1" customFormat="1" ht="13.2" x14ac:dyDescent="0.25">
      <c r="B930" s="56"/>
      <c r="C930" s="38" t="s">
        <v>634</v>
      </c>
      <c r="D930" s="39">
        <v>1</v>
      </c>
      <c r="E930" s="39">
        <v>0.9</v>
      </c>
      <c r="F930" s="39">
        <v>1.2</v>
      </c>
      <c r="G930" s="39"/>
      <c r="H930" s="39">
        <f>IF(AND(F930=0,G930=0),D930*E930,IF(AND(E930=0,G930=0),D930*F930,IF(AND(E930=0,F930=0),D930*G930,IF(AND(E930=0),D930*F930*G930,IF(AND(F930=0),D930*E930*G930,IF(AND(G930=0),D930*E930*F930,D930*E930*F930*G930))))))</f>
        <v>1.08</v>
      </c>
      <c r="I930" s="39"/>
      <c r="J930" s="40"/>
    </row>
    <row r="931" spans="2:10" s="1" customFormat="1" ht="13.2" x14ac:dyDescent="0.25">
      <c r="B931" s="56"/>
      <c r="C931" s="38" t="s">
        <v>635</v>
      </c>
      <c r="D931" s="39">
        <v>1</v>
      </c>
      <c r="E931" s="39">
        <v>0.9</v>
      </c>
      <c r="F931" s="39">
        <v>1.2</v>
      </c>
      <c r="G931" s="39"/>
      <c r="H931" s="39">
        <f>IF(AND(F931=0,G931=0),D931*E931,IF(AND(E931=0,G931=0),D931*F931,IF(AND(E931=0,F931=0),D931*G931,IF(AND(E931=0),D931*F931*G931,IF(AND(F931=0),D931*E931*G931,IF(AND(G931=0),D931*E931*F931,D931*E931*F931*G931))))))</f>
        <v>1.08</v>
      </c>
      <c r="I931" s="39"/>
      <c r="J931" s="40"/>
    </row>
    <row r="932" spans="2:10" s="1" customFormat="1" ht="13.2" x14ac:dyDescent="0.25">
      <c r="B932" s="69"/>
      <c r="C932" s="38"/>
      <c r="D932" s="59"/>
      <c r="E932" s="39"/>
      <c r="F932" s="39"/>
      <c r="G932" s="39"/>
      <c r="H932" s="39"/>
      <c r="I932" s="39"/>
      <c r="J932" s="40"/>
    </row>
    <row r="933" spans="2:10" s="1" customFormat="1" ht="13.2" x14ac:dyDescent="0.25">
      <c r="B933" s="72" t="s">
        <v>368</v>
      </c>
      <c r="C933" s="57" t="s">
        <v>202</v>
      </c>
      <c r="D933" s="59"/>
      <c r="E933" s="39"/>
      <c r="F933" s="39"/>
      <c r="G933" s="39"/>
      <c r="H933" s="39"/>
      <c r="I933" s="39"/>
      <c r="J933" s="40"/>
    </row>
    <row r="934" spans="2:10" s="1" customFormat="1" ht="13.2" x14ac:dyDescent="0.25">
      <c r="B934" s="42" t="s">
        <v>369</v>
      </c>
      <c r="C934" s="45" t="s">
        <v>385</v>
      </c>
      <c r="D934" s="22"/>
      <c r="E934" s="22"/>
      <c r="F934" s="39"/>
      <c r="G934" s="39"/>
      <c r="I934" s="43">
        <f>SUM(H935:H936)</f>
        <v>23.15</v>
      </c>
      <c r="J934" s="44" t="s">
        <v>102</v>
      </c>
    </row>
    <row r="935" spans="2:10" s="1" customFormat="1" ht="13.2" x14ac:dyDescent="0.25">
      <c r="B935" s="114"/>
      <c r="C935" s="45" t="s">
        <v>633</v>
      </c>
      <c r="D935" s="1">
        <v>1</v>
      </c>
      <c r="E935" s="75">
        <f>20.5+0.9+1.75</f>
        <v>23.15</v>
      </c>
      <c r="F935" s="39"/>
      <c r="G935" s="39"/>
      <c r="H935" s="39">
        <f>IF(AND(F935=0,G935=0),D935*E935,IF(AND(E935=0,G935=0),D935*F935,IF(AND(E935=0,F935=0),D935*G935,IF(AND(E935=0),D935*F935*G935,IF(AND(F935=0),D935*E935*G935,IF(AND(G935=0),D935*E935*F935,D935*E935*F935*G935))))))</f>
        <v>23.15</v>
      </c>
      <c r="I935" s="39"/>
      <c r="J935" s="40"/>
    </row>
    <row r="936" spans="2:10" s="1" customFormat="1" ht="13.8" x14ac:dyDescent="0.25">
      <c r="B936" s="114"/>
      <c r="C936" s="45" t="s">
        <v>617</v>
      </c>
      <c r="D936" s="76"/>
      <c r="E936" s="77"/>
      <c r="F936" s="39" t="s">
        <v>618</v>
      </c>
      <c r="G936" s="39" t="s">
        <v>619</v>
      </c>
      <c r="I936" s="39">
        <f>+SUM(G937:G938)</f>
        <v>5.6999999999999993</v>
      </c>
      <c r="J936" s="40"/>
    </row>
    <row r="937" spans="2:10" s="1" customFormat="1" ht="13.2" x14ac:dyDescent="0.25">
      <c r="B937" s="114"/>
      <c r="C937" s="38" t="s">
        <v>620</v>
      </c>
      <c r="D937" s="1">
        <f>4+4+4</f>
        <v>12</v>
      </c>
      <c r="E937" s="1">
        <v>1</v>
      </c>
      <c r="F937" s="39">
        <v>0.25</v>
      </c>
      <c r="G937" s="39">
        <f>+D937*E937*F937</f>
        <v>3</v>
      </c>
      <c r="H937" s="39"/>
      <c r="I937" s="39"/>
      <c r="J937" s="40"/>
    </row>
    <row r="938" spans="2:10" s="1" customFormat="1" ht="13.2" x14ac:dyDescent="0.25">
      <c r="B938" s="114"/>
      <c r="C938" s="38" t="s">
        <v>621</v>
      </c>
      <c r="D938" s="59">
        <v>6</v>
      </c>
      <c r="E938" s="39">
        <f>0.6*2+0.6</f>
        <v>1.7999999999999998</v>
      </c>
      <c r="F938" s="39">
        <v>0.25</v>
      </c>
      <c r="G938" s="39">
        <f>+D938*E938*F938</f>
        <v>2.6999999999999997</v>
      </c>
      <c r="H938" s="39"/>
      <c r="I938" s="39"/>
      <c r="J938" s="40"/>
    </row>
    <row r="939" spans="2:10" s="1" customFormat="1" ht="13.2" x14ac:dyDescent="0.25">
      <c r="B939" s="42" t="s">
        <v>373</v>
      </c>
      <c r="C939" s="42" t="s">
        <v>393</v>
      </c>
      <c r="D939" s="59"/>
      <c r="E939" s="39"/>
      <c r="F939" s="39"/>
      <c r="G939" s="39"/>
      <c r="H939" s="39"/>
      <c r="I939" s="43">
        <f>+SUM(H940:H941)</f>
        <v>2</v>
      </c>
      <c r="J939" s="44" t="s">
        <v>102</v>
      </c>
    </row>
    <row r="940" spans="2:10" s="1" customFormat="1" ht="13.2" x14ac:dyDescent="0.25">
      <c r="B940" s="114"/>
      <c r="C940" s="38" t="s">
        <v>634</v>
      </c>
      <c r="D940" s="39">
        <v>1</v>
      </c>
      <c r="E940" s="39">
        <v>1</v>
      </c>
      <c r="F940" s="39"/>
      <c r="G940" s="39"/>
      <c r="H940" s="39">
        <f t="shared" ref="H940:H941" si="50">IF(AND(F940=0,G940=0),D940*E940,IF(AND(E940=0,G940=0),D940*F940,IF(AND(E940=0,F940=0),D940*G940,IF(AND(E940=0),D940*F940*G940,IF(AND(F940=0),D940*E940*G940,IF(AND(G940=0),D940*E940*F940,D940*E940*F940*G940))))))</f>
        <v>1</v>
      </c>
      <c r="I940" s="39"/>
      <c r="J940" s="40"/>
    </row>
    <row r="941" spans="2:10" s="1" customFormat="1" ht="13.2" x14ac:dyDescent="0.25">
      <c r="B941" s="114"/>
      <c r="C941" s="38" t="s">
        <v>635</v>
      </c>
      <c r="D941" s="39">
        <v>1</v>
      </c>
      <c r="E941" s="39">
        <v>1</v>
      </c>
      <c r="F941" s="39"/>
      <c r="G941" s="39"/>
      <c r="H941" s="39">
        <f t="shared" si="50"/>
        <v>1</v>
      </c>
      <c r="I941" s="39"/>
      <c r="J941" s="40"/>
    </row>
    <row r="942" spans="2:10" s="1" customFormat="1" ht="13.2" x14ac:dyDescent="0.25">
      <c r="B942" s="42" t="s">
        <v>380</v>
      </c>
      <c r="C942" s="42" t="s">
        <v>636</v>
      </c>
      <c r="D942" s="59"/>
      <c r="E942" s="39"/>
      <c r="F942" s="39"/>
      <c r="G942" s="39"/>
      <c r="H942" s="39"/>
      <c r="I942" s="43">
        <f>SUM(H943:H943)</f>
        <v>7.3</v>
      </c>
      <c r="J942" s="44" t="str">
        <f>+J943</f>
        <v>ml</v>
      </c>
    </row>
    <row r="943" spans="2:10" s="1" customFormat="1" ht="13.2" x14ac:dyDescent="0.25">
      <c r="B943" s="56"/>
      <c r="C943" s="38" t="s">
        <v>637</v>
      </c>
      <c r="D943" s="39">
        <v>1</v>
      </c>
      <c r="E943" s="39">
        <v>7.3</v>
      </c>
      <c r="F943" s="39"/>
      <c r="G943" s="39"/>
      <c r="H943" s="39">
        <f>IF(AND(F943=0,G943=0),D943*E943,IF(AND(E943=0,G943=0),D943*F943,IF(AND(E943=0,F943=0),D943*G943,IF(AND(E943=0),D943*F943*G943,IF(AND(F943=0),D943*E943*G943,IF(AND(G943=0),D943*E943*F943,D943*E943*F943*G943))))))</f>
        <v>7.3</v>
      </c>
      <c r="I943" s="39"/>
      <c r="J943" s="40" t="str">
        <f>IF(AND(E943=0,F943&lt;&gt;0,G943&lt;&gt;0),"m2",IF(AND(F943=0,E943&lt;&gt;0,G943&lt;&gt;0),"m2",IF(AND(G943=0,E943&lt;&gt;0,F943&lt;&gt;0),"m2",IF(AND(F943=0,G943=0),"ml",IF(AND(E943=0,G943=0),"ml",IF(AND(E943=0,F943=0),"ml",IF(AND(E943&lt;&gt;0,F943&lt;&gt;0,G943&lt;&gt;0),"m3",0)))))))</f>
        <v>ml</v>
      </c>
    </row>
    <row r="944" spans="2:10" s="1" customFormat="1" ht="13.2" x14ac:dyDescent="0.25">
      <c r="B944" s="42" t="s">
        <v>381</v>
      </c>
      <c r="C944" s="42" t="s">
        <v>566</v>
      </c>
      <c r="D944" s="59"/>
      <c r="E944" s="39"/>
      <c r="F944" s="39"/>
      <c r="G944" s="39"/>
      <c r="H944" s="39"/>
      <c r="I944" s="43">
        <f>SUM(H945:H945)</f>
        <v>24.19</v>
      </c>
      <c r="J944" s="44" t="s">
        <v>102</v>
      </c>
    </row>
    <row r="945" spans="2:10" s="1" customFormat="1" ht="13.2" x14ac:dyDescent="0.25">
      <c r="B945" s="56"/>
      <c r="C945" s="38" t="s">
        <v>616</v>
      </c>
      <c r="D945" s="1">
        <v>1</v>
      </c>
      <c r="E945" s="39">
        <f>5.22+12.22+5.75+1</f>
        <v>24.19</v>
      </c>
      <c r="F945" s="39"/>
      <c r="G945" s="39"/>
      <c r="H945" s="39">
        <f>IF(AND(F945=0,G945=0),D945*E945,IF(AND(E945=0,G945=0),D945*F945,IF(AND(E945=0,F945=0),D945*G945,IF(AND(E945=0),D945*F945*G945,IF(AND(F945=0),D945*E945*G945,IF(AND(G945=0),D945*E945*F945,D945*E945*F945*G945))))))</f>
        <v>24.19</v>
      </c>
      <c r="I945" s="39"/>
      <c r="J945" s="40"/>
    </row>
    <row r="946" spans="2:10" s="1" customFormat="1" ht="13.2" x14ac:dyDescent="0.25">
      <c r="B946" s="24" t="s">
        <v>388</v>
      </c>
      <c r="C946" s="27" t="s">
        <v>624</v>
      </c>
      <c r="D946" s="59"/>
      <c r="E946" s="39"/>
      <c r="F946" s="39"/>
      <c r="G946" s="39"/>
      <c r="H946" s="39"/>
      <c r="I946" s="43">
        <f>SUM(H947:H948)</f>
        <v>2</v>
      </c>
      <c r="J946" s="40" t="s">
        <v>30</v>
      </c>
    </row>
    <row r="947" spans="2:10" s="1" customFormat="1" ht="13.2" x14ac:dyDescent="0.25">
      <c r="B947" s="42"/>
      <c r="C947" s="38" t="s">
        <v>634</v>
      </c>
      <c r="D947" s="39">
        <v>1</v>
      </c>
      <c r="E947" s="39"/>
      <c r="F947" s="39"/>
      <c r="G947" s="39"/>
      <c r="H947" s="39">
        <f>+D947</f>
        <v>1</v>
      </c>
      <c r="I947" s="39"/>
      <c r="J947" s="40"/>
    </row>
    <row r="948" spans="2:10" s="1" customFormat="1" ht="13.2" x14ac:dyDescent="0.25">
      <c r="B948" s="114"/>
      <c r="C948" s="38" t="s">
        <v>635</v>
      </c>
      <c r="D948" s="39">
        <v>1</v>
      </c>
      <c r="E948" s="39"/>
      <c r="F948" s="39"/>
      <c r="G948" s="39"/>
      <c r="H948" s="39">
        <f>+D948</f>
        <v>1</v>
      </c>
      <c r="I948" s="39"/>
      <c r="J948" s="40"/>
    </row>
    <row r="949" spans="2:10" s="1" customFormat="1" ht="13.2" x14ac:dyDescent="0.25">
      <c r="B949" s="24" t="s">
        <v>394</v>
      </c>
      <c r="C949" s="27" t="s">
        <v>411</v>
      </c>
      <c r="D949" s="59"/>
      <c r="E949" s="39"/>
      <c r="F949" s="39"/>
      <c r="G949" s="39"/>
      <c r="H949" s="39"/>
      <c r="I949" s="43">
        <f>+SUM(H950:H953)</f>
        <v>5.79</v>
      </c>
      <c r="J949" s="40" t="s">
        <v>333</v>
      </c>
    </row>
    <row r="950" spans="2:10" s="1" customFormat="1" ht="13.2" x14ac:dyDescent="0.25">
      <c r="B950" s="24"/>
      <c r="C950" s="38" t="s">
        <v>634</v>
      </c>
      <c r="D950" s="39">
        <v>1</v>
      </c>
      <c r="E950" s="39">
        <f>0.6*2+0.9*2</f>
        <v>3</v>
      </c>
      <c r="F950" s="39"/>
      <c r="G950" s="39">
        <f>0.57+0.2</f>
        <v>0.77</v>
      </c>
      <c r="H950" s="39">
        <f t="shared" ref="H950:H953" si="51">IF(AND(F950=0,G950=0),D950*E950,IF(AND(E950=0,G950=0),D950*F950,IF(AND(E950=0,F950=0),D950*G950,IF(AND(E950=0),D950*F950*G950,IF(AND(F950=0),D950*E950*G950,IF(AND(G950=0),D950*E950*F950,D950*E950*F950*G950))))))</f>
        <v>2.31</v>
      </c>
      <c r="I950" s="39"/>
      <c r="J950" s="40"/>
    </row>
    <row r="951" spans="2:10" s="1" customFormat="1" ht="13.2" x14ac:dyDescent="0.25">
      <c r="B951" s="24"/>
      <c r="C951" s="38"/>
      <c r="D951" s="39">
        <v>1</v>
      </c>
      <c r="E951" s="39">
        <v>0.6</v>
      </c>
      <c r="F951" s="39"/>
      <c r="G951" s="39">
        <v>0.9</v>
      </c>
      <c r="H951" s="39">
        <f t="shared" si="51"/>
        <v>0.54</v>
      </c>
      <c r="I951" s="39"/>
      <c r="J951" s="40"/>
    </row>
    <row r="952" spans="2:10" s="1" customFormat="1" ht="13.2" x14ac:dyDescent="0.25">
      <c r="B952" s="24"/>
      <c r="C952" s="38" t="s">
        <v>635</v>
      </c>
      <c r="D952" s="39">
        <v>1</v>
      </c>
      <c r="E952" s="39">
        <v>3</v>
      </c>
      <c r="F952" s="39"/>
      <c r="G952" s="39">
        <f>0.6+0.2</f>
        <v>0.8</v>
      </c>
      <c r="H952" s="39">
        <f t="shared" si="51"/>
        <v>2.4000000000000004</v>
      </c>
      <c r="I952" s="39"/>
      <c r="J952" s="40"/>
    </row>
    <row r="953" spans="2:10" s="1" customFormat="1" ht="13.2" x14ac:dyDescent="0.25">
      <c r="B953" s="24"/>
      <c r="C953" s="58"/>
      <c r="D953" s="39">
        <v>1</v>
      </c>
      <c r="E953" s="39">
        <v>0.6</v>
      </c>
      <c r="F953" s="39"/>
      <c r="G953" s="39">
        <v>0.9</v>
      </c>
      <c r="H953" s="39">
        <f t="shared" si="51"/>
        <v>0.54</v>
      </c>
      <c r="I953" s="39"/>
      <c r="J953" s="40"/>
    </row>
    <row r="954" spans="2:10" s="1" customFormat="1" ht="13.2" x14ac:dyDescent="0.25">
      <c r="B954" s="24" t="s">
        <v>396</v>
      </c>
      <c r="C954" s="27" t="s">
        <v>412</v>
      </c>
      <c r="D954" s="59"/>
      <c r="E954" s="39"/>
      <c r="F954" s="39"/>
      <c r="G954" s="39"/>
      <c r="H954" s="39"/>
      <c r="I954" s="43">
        <f>+SUM(H955:H962)</f>
        <v>71.439999999999984</v>
      </c>
      <c r="J954" s="40" t="s">
        <v>333</v>
      </c>
    </row>
    <row r="955" spans="2:10" s="1" customFormat="1" ht="13.2" x14ac:dyDescent="0.25">
      <c r="B955" s="45"/>
      <c r="C955" s="38" t="s">
        <v>630</v>
      </c>
      <c r="D955" s="59">
        <v>2</v>
      </c>
      <c r="E955" s="39">
        <v>9</v>
      </c>
      <c r="F955" s="39"/>
      <c r="G955" s="39">
        <f>0.3+0.15</f>
        <v>0.44999999999999996</v>
      </c>
      <c r="H955" s="39">
        <f>IF(AND(F955=0,G955=0),D955*E955,IF(AND(E955=0,G955=0),D955*F955,IF(AND(E955=0,F955=0),D955*G955,IF(AND(E955=0),D955*F955*G955,IF(AND(F955=0),D955*E955*G955,IF(AND(G955=0),D955*E955*F955,D955*E955*F955*G955))))))</f>
        <v>8.1</v>
      </c>
      <c r="I955" s="39"/>
      <c r="J955" s="40"/>
    </row>
    <row r="956" spans="2:10" s="1" customFormat="1" ht="13.2" x14ac:dyDescent="0.25">
      <c r="B956" s="45"/>
      <c r="C956" s="38"/>
      <c r="D956" s="59">
        <v>1</v>
      </c>
      <c r="E956" s="39">
        <v>9</v>
      </c>
      <c r="F956" s="39"/>
      <c r="G956" s="39">
        <v>0.2</v>
      </c>
      <c r="H956" s="39">
        <f t="shared" ref="H956:H962" si="52">IF(AND(F956=0,G956=0),D956*E956,IF(AND(E956=0,G956=0),D956*F956,IF(AND(E956=0,F956=0),D956*G956,IF(AND(E956=0),D956*F956*G956,IF(AND(F956=0),D956*E956*G956,IF(AND(G956=0),D956*E956*F956,D956*E956*F956*G956))))))</f>
        <v>1.8</v>
      </c>
      <c r="I956" s="39"/>
      <c r="J956" s="40"/>
    </row>
    <row r="957" spans="2:10" s="1" customFormat="1" ht="13.2" x14ac:dyDescent="0.25">
      <c r="B957" s="45"/>
      <c r="C957" s="38" t="s">
        <v>643</v>
      </c>
      <c r="D957" s="59">
        <v>2</v>
      </c>
      <c r="E957" s="39">
        <v>17.399999999999999</v>
      </c>
      <c r="F957" s="39"/>
      <c r="G957" s="39">
        <f>0.4+0.15</f>
        <v>0.55000000000000004</v>
      </c>
      <c r="H957" s="39">
        <f t="shared" si="52"/>
        <v>19.14</v>
      </c>
      <c r="I957" s="39"/>
      <c r="J957" s="40"/>
    </row>
    <row r="958" spans="2:10" s="1" customFormat="1" ht="13.2" x14ac:dyDescent="0.25">
      <c r="B958" s="45"/>
      <c r="C958" s="38"/>
      <c r="D958" s="59">
        <v>1</v>
      </c>
      <c r="E958" s="39">
        <v>17.399999999999999</v>
      </c>
      <c r="F958" s="39"/>
      <c r="G958" s="39">
        <v>0.2</v>
      </c>
      <c r="H958" s="39">
        <f t="shared" si="52"/>
        <v>3.48</v>
      </c>
      <c r="I958" s="39"/>
      <c r="J958" s="40"/>
    </row>
    <row r="959" spans="2:10" s="1" customFormat="1" ht="13.2" x14ac:dyDescent="0.25">
      <c r="B959" s="45"/>
      <c r="C959" s="38" t="s">
        <v>483</v>
      </c>
      <c r="D959" s="59">
        <v>2</v>
      </c>
      <c r="E959" s="39">
        <v>2</v>
      </c>
      <c r="F959" s="39"/>
      <c r="G959" s="39">
        <f>0.22+0.15</f>
        <v>0.37</v>
      </c>
      <c r="H959" s="39">
        <f t="shared" si="52"/>
        <v>1.48</v>
      </c>
      <c r="I959" s="39"/>
      <c r="J959" s="40"/>
    </row>
    <row r="960" spans="2:10" s="1" customFormat="1" ht="13.2" x14ac:dyDescent="0.25">
      <c r="B960" s="45"/>
      <c r="C960" s="38"/>
      <c r="D960" s="22">
        <v>1</v>
      </c>
      <c r="E960" s="23">
        <v>2</v>
      </c>
      <c r="F960" s="39"/>
      <c r="G960" s="39">
        <v>0.2</v>
      </c>
      <c r="H960" s="39">
        <f t="shared" si="52"/>
        <v>0.4</v>
      </c>
      <c r="I960" s="39"/>
      <c r="J960" s="40"/>
    </row>
    <row r="961" spans="2:10" s="1" customFormat="1" ht="13.2" x14ac:dyDescent="0.25">
      <c r="B961" s="45"/>
      <c r="C961" s="38" t="s">
        <v>633</v>
      </c>
      <c r="D961" s="1">
        <v>2</v>
      </c>
      <c r="E961" s="75">
        <f>20.5+0.9+1.75</f>
        <v>23.15</v>
      </c>
      <c r="F961" s="39"/>
      <c r="G961" s="39">
        <f>0.45+0.2</f>
        <v>0.65</v>
      </c>
      <c r="H961" s="39">
        <f t="shared" si="52"/>
        <v>30.094999999999999</v>
      </c>
      <c r="I961" s="39"/>
      <c r="J961" s="40"/>
    </row>
    <row r="962" spans="2:10" s="1" customFormat="1" ht="13.2" x14ac:dyDescent="0.25">
      <c r="B962" s="45"/>
      <c r="C962" s="38"/>
      <c r="D962" s="1">
        <v>1</v>
      </c>
      <c r="E962" s="75">
        <v>23.15</v>
      </c>
      <c r="F962" s="39"/>
      <c r="G962" s="39">
        <v>0.3</v>
      </c>
      <c r="H962" s="39">
        <f t="shared" si="52"/>
        <v>6.9449999999999994</v>
      </c>
      <c r="I962" s="39"/>
      <c r="J962" s="40"/>
    </row>
    <row r="963" spans="2:10" s="1" customFormat="1" ht="13.2" x14ac:dyDescent="0.25">
      <c r="B963" s="56"/>
      <c r="C963" s="38"/>
      <c r="D963" s="59"/>
      <c r="E963" s="39"/>
      <c r="F963" s="39"/>
      <c r="G963" s="39"/>
      <c r="H963" s="39"/>
      <c r="I963" s="39"/>
      <c r="J963" s="40"/>
    </row>
    <row r="964" spans="2:10" s="1" customFormat="1" ht="13.2" x14ac:dyDescent="0.25">
      <c r="B964" s="56" t="s">
        <v>413</v>
      </c>
      <c r="C964" s="57" t="s">
        <v>234</v>
      </c>
      <c r="D964" s="59"/>
      <c r="E964" s="39"/>
      <c r="F964" s="39"/>
      <c r="G964" s="39"/>
      <c r="H964" s="39"/>
      <c r="I964" s="39"/>
      <c r="J964" s="40"/>
    </row>
    <row r="965" spans="2:10" s="1" customFormat="1" ht="13.2" x14ac:dyDescent="0.25">
      <c r="B965" s="42" t="s">
        <v>414</v>
      </c>
      <c r="C965" s="42" t="s">
        <v>422</v>
      </c>
      <c r="D965" s="59"/>
      <c r="E965" s="39"/>
      <c r="F965" s="39"/>
      <c r="G965" s="39"/>
      <c r="H965" s="39"/>
      <c r="I965" s="43">
        <f>+SUM(H966:H969)</f>
        <v>22</v>
      </c>
      <c r="J965" s="44" t="s">
        <v>30</v>
      </c>
    </row>
    <row r="966" spans="2:10" s="1" customFormat="1" ht="13.2" x14ac:dyDescent="0.25">
      <c r="B966" s="45"/>
      <c r="C966" s="58" t="s">
        <v>644</v>
      </c>
      <c r="D966" s="59">
        <v>4</v>
      </c>
      <c r="E966" s="39">
        <v>1</v>
      </c>
      <c r="F966" s="39"/>
      <c r="G966" s="39"/>
      <c r="H966" s="39">
        <f t="shared" ref="H966" si="53">+D966</f>
        <v>4</v>
      </c>
      <c r="I966" s="39"/>
      <c r="J966" s="40"/>
    </row>
    <row r="967" spans="2:10" s="1" customFormat="1" ht="13.2" x14ac:dyDescent="0.25">
      <c r="B967" s="45"/>
      <c r="C967" s="58" t="s">
        <v>645</v>
      </c>
      <c r="D967" s="59">
        <v>8</v>
      </c>
      <c r="E967" s="39"/>
      <c r="F967" s="39"/>
      <c r="G967" s="39"/>
      <c r="H967" s="39">
        <f>+D967</f>
        <v>8</v>
      </c>
      <c r="I967" s="39"/>
      <c r="J967" s="40"/>
    </row>
    <row r="968" spans="2:10" s="1" customFormat="1" ht="14.25" customHeight="1" x14ac:dyDescent="0.25">
      <c r="B968" s="45"/>
      <c r="C968" s="58"/>
      <c r="D968" s="59">
        <v>2</v>
      </c>
      <c r="E968" s="39"/>
      <c r="F968" s="39"/>
      <c r="G968" s="39"/>
      <c r="H968" s="39">
        <f>+D968</f>
        <v>2</v>
      </c>
      <c r="I968" s="39"/>
      <c r="J968" s="40"/>
    </row>
    <row r="969" spans="2:10" s="1" customFormat="1" ht="14.25" customHeight="1" x14ac:dyDescent="0.25">
      <c r="B969" s="45"/>
      <c r="C969" s="38" t="s">
        <v>472</v>
      </c>
      <c r="D969" s="1">
        <v>8</v>
      </c>
      <c r="E969" s="39"/>
      <c r="F969" s="39"/>
      <c r="G969" s="39"/>
      <c r="H969" s="39">
        <f>+D969</f>
        <v>8</v>
      </c>
      <c r="I969" s="39"/>
      <c r="J969" s="40"/>
    </row>
    <row r="970" spans="2:10" s="1" customFormat="1" ht="13.2" x14ac:dyDescent="0.25">
      <c r="B970" s="42" t="s">
        <v>417</v>
      </c>
      <c r="C970" s="27" t="s">
        <v>646</v>
      </c>
      <c r="D970" s="59"/>
      <c r="E970" s="39"/>
      <c r="F970" s="39"/>
      <c r="G970" s="39"/>
      <c r="H970" s="39"/>
      <c r="I970" s="43">
        <f>+SUM(H971:H971)</f>
        <v>1</v>
      </c>
      <c r="J970" s="44" t="s">
        <v>30</v>
      </c>
    </row>
    <row r="971" spans="2:10" s="1" customFormat="1" ht="13.2" x14ac:dyDescent="0.25">
      <c r="B971" s="45"/>
      <c r="C971" s="38" t="s">
        <v>647</v>
      </c>
      <c r="D971" s="59">
        <v>1</v>
      </c>
      <c r="E971" s="39">
        <v>1</v>
      </c>
      <c r="F971" s="39"/>
      <c r="G971" s="39"/>
      <c r="H971" s="39">
        <f>+D971</f>
        <v>1</v>
      </c>
      <c r="I971" s="39"/>
      <c r="J971" s="40"/>
    </row>
    <row r="972" spans="2:10" s="1" customFormat="1" ht="14.25" customHeight="1" x14ac:dyDescent="0.25">
      <c r="B972" s="42" t="s">
        <v>418</v>
      </c>
      <c r="C972" s="42" t="s">
        <v>578</v>
      </c>
      <c r="D972" s="59"/>
      <c r="E972" s="39"/>
      <c r="F972" s="39"/>
      <c r="G972" s="39"/>
      <c r="H972" s="39"/>
      <c r="I972" s="43">
        <f>+SUM(H973)</f>
        <v>5</v>
      </c>
      <c r="J972" s="44" t="s">
        <v>30</v>
      </c>
    </row>
    <row r="973" spans="2:10" s="1" customFormat="1" ht="13.2" x14ac:dyDescent="0.25">
      <c r="B973" s="45"/>
      <c r="C973" s="38" t="s">
        <v>648</v>
      </c>
      <c r="D973" s="59">
        <v>5</v>
      </c>
      <c r="E973" s="39"/>
      <c r="F973" s="39"/>
      <c r="G973" s="39"/>
      <c r="H973" s="39">
        <f>+D973</f>
        <v>5</v>
      </c>
      <c r="I973" s="39"/>
      <c r="J973" s="40"/>
    </row>
    <row r="974" spans="2:10" s="1" customFormat="1" ht="13.2" x14ac:dyDescent="0.25">
      <c r="B974" s="42" t="s">
        <v>427</v>
      </c>
      <c r="C974" s="27" t="s">
        <v>649</v>
      </c>
      <c r="D974" s="59"/>
      <c r="E974" s="39"/>
      <c r="F974" s="39"/>
      <c r="G974" s="39"/>
      <c r="H974" s="39"/>
      <c r="I974" s="43">
        <f>+SUM(H975:H975)</f>
        <v>1</v>
      </c>
      <c r="J974" s="44" t="s">
        <v>30</v>
      </c>
    </row>
    <row r="975" spans="2:10" s="1" customFormat="1" ht="13.2" x14ac:dyDescent="0.25">
      <c r="B975" s="45"/>
      <c r="C975" s="38" t="s">
        <v>650</v>
      </c>
      <c r="D975" s="59">
        <v>1</v>
      </c>
      <c r="E975" s="39"/>
      <c r="F975" s="39"/>
      <c r="G975" s="39"/>
      <c r="H975" s="39">
        <f>+D975</f>
        <v>1</v>
      </c>
      <c r="I975" s="39"/>
      <c r="J975" s="40"/>
    </row>
    <row r="976" spans="2:10" s="1" customFormat="1" ht="13.2" x14ac:dyDescent="0.25">
      <c r="B976" s="42" t="s">
        <v>429</v>
      </c>
      <c r="C976" s="27" t="s">
        <v>582</v>
      </c>
      <c r="D976" s="59"/>
      <c r="E976" s="39"/>
      <c r="F976" s="39"/>
      <c r="G976" s="39"/>
      <c r="H976" s="39"/>
      <c r="I976" s="43">
        <f>+SUM(H977:H978)</f>
        <v>1</v>
      </c>
      <c r="J976" s="44" t="s">
        <v>30</v>
      </c>
    </row>
    <row r="977" spans="2:10" s="1" customFormat="1" ht="13.2" x14ac:dyDescent="0.25">
      <c r="B977" s="45"/>
      <c r="C977" s="38" t="s">
        <v>647</v>
      </c>
      <c r="D977" s="59">
        <v>1</v>
      </c>
      <c r="E977" s="39"/>
      <c r="F977" s="39"/>
      <c r="G977" s="39"/>
      <c r="H977" s="39">
        <f>+D977</f>
        <v>1</v>
      </c>
      <c r="I977" s="39"/>
      <c r="J977" s="40"/>
    </row>
    <row r="978" spans="2:10" s="1" customFormat="1" ht="13.2" x14ac:dyDescent="0.25">
      <c r="B978" s="45"/>
      <c r="C978" s="58"/>
      <c r="D978" s="59"/>
      <c r="E978" s="39"/>
      <c r="F978" s="39"/>
      <c r="G978" s="39"/>
      <c r="H978" s="39"/>
      <c r="I978" s="39"/>
      <c r="J978" s="40"/>
    </row>
    <row r="979" spans="2:10" s="1" customFormat="1" ht="13.2" x14ac:dyDescent="0.25">
      <c r="B979" s="42" t="s">
        <v>431</v>
      </c>
      <c r="C979" s="27" t="s">
        <v>651</v>
      </c>
      <c r="D979" s="59"/>
      <c r="E979" s="39"/>
      <c r="F979" s="39"/>
      <c r="G979" s="39"/>
      <c r="H979" s="39"/>
      <c r="I979" s="43">
        <f>+SUM(H980:H980)</f>
        <v>1</v>
      </c>
      <c r="J979" s="44" t="s">
        <v>30</v>
      </c>
    </row>
    <row r="980" spans="2:10" s="1" customFormat="1" ht="14.25" customHeight="1" x14ac:dyDescent="0.25">
      <c r="B980" s="45"/>
      <c r="C980" s="38" t="s">
        <v>650</v>
      </c>
      <c r="D980" s="59">
        <v>1</v>
      </c>
      <c r="E980" s="39"/>
      <c r="F980" s="39"/>
      <c r="G980" s="39"/>
      <c r="H980" s="39">
        <f>+D980</f>
        <v>1</v>
      </c>
      <c r="I980" s="39"/>
      <c r="J980" s="40"/>
    </row>
    <row r="981" spans="2:10" s="1" customFormat="1" ht="14.25" customHeight="1" x14ac:dyDescent="0.25">
      <c r="B981" s="42" t="s">
        <v>435</v>
      </c>
      <c r="C981" s="122" t="s">
        <v>585</v>
      </c>
      <c r="D981" s="59"/>
      <c r="E981" s="39"/>
      <c r="F981" s="39"/>
      <c r="G981" s="39"/>
      <c r="H981" s="39"/>
      <c r="I981" s="43">
        <f>+SUM(H982:H982)</f>
        <v>1</v>
      </c>
      <c r="J981" s="44" t="s">
        <v>30</v>
      </c>
    </row>
    <row r="982" spans="2:10" s="1" customFormat="1" ht="13.2" x14ac:dyDescent="0.25">
      <c r="B982" s="45"/>
      <c r="C982" s="38" t="s">
        <v>647</v>
      </c>
      <c r="D982" s="59">
        <v>1</v>
      </c>
      <c r="E982" s="39"/>
      <c r="F982" s="39"/>
      <c r="G982" s="39"/>
      <c r="H982" s="39">
        <f>+D982</f>
        <v>1</v>
      </c>
      <c r="I982" s="39"/>
      <c r="J982" s="40"/>
    </row>
    <row r="983" spans="2:10" s="1" customFormat="1" ht="13.2" x14ac:dyDescent="0.25">
      <c r="B983" s="45"/>
      <c r="C983" s="58"/>
      <c r="D983" s="59"/>
      <c r="E983" s="39"/>
      <c r="F983" s="39"/>
      <c r="G983" s="39"/>
      <c r="H983" s="39"/>
      <c r="I983" s="39"/>
      <c r="J983" s="40"/>
    </row>
    <row r="984" spans="2:10" s="1" customFormat="1" ht="13.2" x14ac:dyDescent="0.25">
      <c r="B984" s="45"/>
      <c r="C984" s="38"/>
      <c r="E984" s="75"/>
      <c r="F984" s="39"/>
      <c r="G984" s="39"/>
      <c r="H984" s="39"/>
      <c r="I984" s="39"/>
      <c r="J984" s="40"/>
    </row>
    <row r="985" spans="2:10" s="1" customFormat="1" ht="13.2" x14ac:dyDescent="0.25">
      <c r="B985" s="45"/>
      <c r="C985" s="38"/>
      <c r="E985" s="75"/>
      <c r="F985" s="39"/>
      <c r="G985" s="39"/>
      <c r="H985" s="39"/>
      <c r="I985" s="39"/>
      <c r="J985" s="40"/>
    </row>
    <row r="986" spans="2:10" s="1" customFormat="1" ht="13.2" x14ac:dyDescent="0.25">
      <c r="B986" s="45"/>
      <c r="C986" s="38"/>
      <c r="E986" s="75"/>
      <c r="F986" s="39"/>
      <c r="G986" s="39"/>
      <c r="H986" s="39"/>
      <c r="I986" s="39"/>
      <c r="J986" s="40"/>
    </row>
    <row r="987" spans="2:10" s="1" customFormat="1" ht="13.2" x14ac:dyDescent="0.25">
      <c r="B987" s="45"/>
      <c r="C987" s="38"/>
      <c r="E987" s="75"/>
      <c r="F987" s="39"/>
      <c r="G987" s="39"/>
      <c r="H987" s="39"/>
      <c r="I987" s="39"/>
      <c r="J987" s="40"/>
    </row>
    <row r="988" spans="2:10" s="1" customFormat="1" ht="13.2" x14ac:dyDescent="0.25">
      <c r="B988" s="45"/>
      <c r="C988" s="38"/>
      <c r="D988" s="39"/>
      <c r="E988" s="39"/>
      <c r="F988" s="39"/>
      <c r="G988" s="39"/>
      <c r="H988" s="39"/>
      <c r="I988" s="39"/>
      <c r="J988" s="40"/>
    </row>
    <row r="989" spans="2:10" s="1" customFormat="1" ht="13.2" x14ac:dyDescent="0.25">
      <c r="B989" s="45"/>
      <c r="C989" s="38"/>
      <c r="E989" s="75"/>
      <c r="F989" s="39"/>
      <c r="G989" s="39"/>
      <c r="H989" s="39"/>
      <c r="I989" s="39"/>
      <c r="J989" s="40"/>
    </row>
    <row r="990" spans="2:10" s="1" customFormat="1" ht="13.2" x14ac:dyDescent="0.25">
      <c r="B990" s="45"/>
      <c r="C990" s="38"/>
      <c r="D990" s="39"/>
      <c r="E990" s="39"/>
      <c r="F990" s="39"/>
      <c r="G990" s="39"/>
      <c r="H990" s="39"/>
      <c r="I990" s="39"/>
      <c r="J990" s="40"/>
    </row>
    <row r="991" spans="2:10" s="1" customFormat="1" ht="13.2" x14ac:dyDescent="0.25">
      <c r="C991" s="83" t="s">
        <v>0</v>
      </c>
      <c r="D991" s="83"/>
      <c r="E991" s="83"/>
      <c r="F991" s="83"/>
      <c r="G991" s="83"/>
      <c r="H991" s="83"/>
    </row>
    <row r="992" spans="2:10" s="1" customFormat="1" ht="13.2" x14ac:dyDescent="0.25">
      <c r="C992" s="83" t="s">
        <v>1</v>
      </c>
      <c r="D992" s="83"/>
      <c r="E992" s="83"/>
      <c r="F992" s="83"/>
      <c r="G992" s="83"/>
      <c r="H992" s="83"/>
    </row>
    <row r="993" spans="2:10" s="1" customFormat="1" ht="13.2" x14ac:dyDescent="0.25">
      <c r="C993" s="83" t="s">
        <v>2</v>
      </c>
      <c r="D993" s="52"/>
      <c r="E993" s="52"/>
      <c r="F993" s="52"/>
      <c r="G993" s="52"/>
      <c r="H993" s="52"/>
    </row>
    <row r="994" spans="2:10" s="1" customFormat="1" ht="13.2" x14ac:dyDescent="0.25">
      <c r="C994" s="52" t="s">
        <v>3</v>
      </c>
      <c r="D994" s="52"/>
      <c r="E994" s="52"/>
      <c r="F994" s="52"/>
      <c r="G994" s="52"/>
      <c r="H994" s="52"/>
    </row>
    <row r="995" spans="2:10" s="1" customFormat="1" ht="24.75" customHeight="1" x14ac:dyDescent="0.25">
      <c r="C995" s="52"/>
      <c r="D995" s="85"/>
      <c r="E995" s="85"/>
      <c r="F995" s="85"/>
      <c r="G995" s="85"/>
      <c r="H995" s="85"/>
      <c r="I995" s="85"/>
      <c r="J995" s="86"/>
    </row>
    <row r="996" spans="2:10" s="1" customFormat="1" ht="24.75" customHeight="1" x14ac:dyDescent="0.25">
      <c r="B996" s="84" t="s">
        <v>458</v>
      </c>
      <c r="C996" s="85"/>
      <c r="D996" s="85"/>
      <c r="E996" s="85"/>
      <c r="F996" s="85"/>
      <c r="G996" s="85"/>
      <c r="H996" s="85"/>
      <c r="I996" s="85"/>
      <c r="J996" s="86"/>
    </row>
    <row r="997" spans="2:10" s="1" customFormat="1" ht="21.6" thickBot="1" x14ac:dyDescent="0.3">
      <c r="B997" s="98" t="s">
        <v>486</v>
      </c>
      <c r="C997" s="99"/>
      <c r="D997" s="99"/>
      <c r="E997" s="99"/>
      <c r="F997" s="99"/>
      <c r="G997" s="99"/>
      <c r="H997" s="99"/>
      <c r="I997" s="99"/>
      <c r="J997" s="100"/>
    </row>
    <row r="998" spans="2:10" s="1" customFormat="1" ht="13.8" thickBot="1" x14ac:dyDescent="0.3">
      <c r="B998" s="95"/>
      <c r="C998" s="96"/>
      <c r="D998" s="96"/>
      <c r="E998" s="96"/>
      <c r="F998" s="96"/>
      <c r="G998" s="96"/>
      <c r="H998" s="96"/>
      <c r="I998" s="96"/>
      <c r="J998" s="97"/>
    </row>
    <row r="999" spans="2:10" s="1" customFormat="1" ht="24.75" customHeight="1" x14ac:dyDescent="0.25">
      <c r="B999" s="80" t="s">
        <v>6</v>
      </c>
      <c r="C999" s="81"/>
      <c r="D999" s="81"/>
      <c r="E999" s="81"/>
      <c r="F999" s="81"/>
      <c r="G999" s="81" t="s">
        <v>9</v>
      </c>
      <c r="H999" s="81">
        <v>42879</v>
      </c>
      <c r="I999" s="81"/>
      <c r="J999" s="82"/>
    </row>
    <row r="1000" spans="2:10" s="1" customFormat="1" ht="13.2" x14ac:dyDescent="0.25">
      <c r="B1000" s="2" t="s">
        <v>7</v>
      </c>
      <c r="C1000" s="3" t="s">
        <v>8</v>
      </c>
      <c r="D1000" s="3"/>
      <c r="E1000" s="4"/>
      <c r="F1000" s="5"/>
      <c r="G1000" s="6" t="s">
        <v>12</v>
      </c>
      <c r="H1000" s="126" t="s">
        <v>11</v>
      </c>
      <c r="I1000" s="126"/>
      <c r="J1000" s="7"/>
    </row>
    <row r="1001" spans="2:10" s="1" customFormat="1" ht="13.2" x14ac:dyDescent="0.25">
      <c r="B1001" s="2" t="s">
        <v>10</v>
      </c>
      <c r="C1001" s="3" t="s">
        <v>11</v>
      </c>
      <c r="F1001" s="3"/>
      <c r="G1001" s="8" t="s">
        <v>14</v>
      </c>
      <c r="H1001" s="4" t="s">
        <v>15</v>
      </c>
      <c r="I1001" s="9"/>
      <c r="J1001" s="10"/>
    </row>
    <row r="1002" spans="2:10" s="1" customFormat="1" ht="13.2" x14ac:dyDescent="0.25">
      <c r="B1002" s="2" t="s">
        <v>13</v>
      </c>
      <c r="C1002" s="3" t="s">
        <v>11</v>
      </c>
      <c r="F1002" s="3"/>
      <c r="G1002" s="8"/>
      <c r="H1002" s="4"/>
      <c r="I1002" s="9"/>
      <c r="J1002" s="10"/>
    </row>
    <row r="1003" spans="2:10" s="1" customFormat="1" ht="13.8" thickBot="1" x14ac:dyDescent="0.3">
      <c r="B1003" s="11" t="s">
        <v>16</v>
      </c>
      <c r="C1003" s="12" t="s">
        <v>17</v>
      </c>
      <c r="D1003" s="13"/>
      <c r="E1003" s="13"/>
      <c r="F1003" s="12"/>
      <c r="G1003" s="14"/>
      <c r="H1003" s="15"/>
      <c r="I1003" s="16"/>
      <c r="J1003" s="17"/>
    </row>
    <row r="1004" spans="2:10" s="1" customFormat="1" ht="13.2" x14ac:dyDescent="0.25">
      <c r="B1004" s="53"/>
      <c r="C1004" s="53"/>
      <c r="D1004" s="53"/>
      <c r="E1004" s="53"/>
      <c r="F1004" s="53"/>
      <c r="G1004" s="53"/>
      <c r="H1004" s="53"/>
      <c r="I1004" s="53"/>
      <c r="J1004" s="53"/>
    </row>
    <row r="1005" spans="2:10" s="1" customFormat="1" ht="13.2" x14ac:dyDescent="0.25">
      <c r="B1005" s="20" t="s">
        <v>20</v>
      </c>
      <c r="C1005" s="21" t="s">
        <v>21</v>
      </c>
      <c r="D1005" s="21" t="s">
        <v>460</v>
      </c>
      <c r="E1005" s="21" t="s">
        <v>461</v>
      </c>
      <c r="F1005" s="21" t="s">
        <v>462</v>
      </c>
      <c r="G1005" s="21" t="s">
        <v>463</v>
      </c>
      <c r="H1005" s="21" t="s">
        <v>464</v>
      </c>
      <c r="I1005" s="21" t="s">
        <v>22</v>
      </c>
      <c r="J1005" s="21" t="s">
        <v>23</v>
      </c>
    </row>
    <row r="1006" spans="2:10" s="1" customFormat="1" ht="13.2" x14ac:dyDescent="0.25">
      <c r="B1006" s="54">
        <v>4.03</v>
      </c>
      <c r="C1006" s="55" t="s">
        <v>182</v>
      </c>
      <c r="D1006" s="59"/>
      <c r="E1006" s="39"/>
      <c r="F1006" s="39"/>
      <c r="G1006" s="39"/>
      <c r="H1006" s="39"/>
      <c r="I1006" s="39"/>
      <c r="J1006" s="40"/>
    </row>
    <row r="1007" spans="2:10" s="1" customFormat="1" ht="13.2" x14ac:dyDescent="0.25">
      <c r="B1007" s="72" t="s">
        <v>183</v>
      </c>
      <c r="C1007" s="72" t="s">
        <v>331</v>
      </c>
      <c r="D1007" s="59"/>
      <c r="E1007" s="39"/>
      <c r="F1007" s="39"/>
      <c r="G1007" s="39"/>
      <c r="H1007" s="39"/>
      <c r="I1007" s="39"/>
      <c r="J1007" s="40"/>
    </row>
    <row r="1008" spans="2:10" s="1" customFormat="1" ht="13.2" x14ac:dyDescent="0.25">
      <c r="B1008" s="24" t="s">
        <v>185</v>
      </c>
      <c r="C1008" s="27" t="s">
        <v>332</v>
      </c>
      <c r="D1008" s="59"/>
      <c r="E1008" s="39"/>
      <c r="F1008" s="39"/>
      <c r="G1008" s="39"/>
      <c r="H1008" s="39"/>
      <c r="I1008" s="39">
        <f>+SUM(H1009:H1020)</f>
        <v>99.783919999999995</v>
      </c>
      <c r="J1008" s="40" t="s">
        <v>333</v>
      </c>
    </row>
    <row r="1009" spans="2:10" s="1" customFormat="1" ht="13.2" x14ac:dyDescent="0.25">
      <c r="B1009" s="45"/>
      <c r="C1009" s="38" t="s">
        <v>490</v>
      </c>
      <c r="D1009" s="39">
        <v>1</v>
      </c>
      <c r="E1009" s="39">
        <v>7.5</v>
      </c>
      <c r="F1009" s="39">
        <v>0.5</v>
      </c>
      <c r="G1009" s="39"/>
      <c r="H1009" s="39">
        <f t="shared" ref="H1009:H1020" si="54">IF(AND(F1009=0,G1009=0),D1009*E1009,IF(AND(E1009=0,G1009=0),D1009*F1009,IF(AND(E1009=0,F1009=0),D1009*G1009,IF(AND(E1009=0),D1009*F1009*G1009,IF(AND(F1009=0),D1009*E1009*G1009,IF(AND(G1009=0),D1009*E1009*F1009,D1009*E1009*F1009*G1009))))))</f>
        <v>3.75</v>
      </c>
      <c r="I1009" s="39"/>
      <c r="J1009" s="40"/>
    </row>
    <row r="1010" spans="2:10" s="1" customFormat="1" ht="13.2" x14ac:dyDescent="0.25">
      <c r="B1010" s="45"/>
      <c r="C1010" s="38" t="s">
        <v>652</v>
      </c>
      <c r="D1010" s="39">
        <v>1</v>
      </c>
      <c r="E1010" s="39">
        <v>0.9</v>
      </c>
      <c r="F1010" s="39">
        <v>1.2</v>
      </c>
      <c r="G1010" s="39"/>
      <c r="H1010" s="39">
        <f t="shared" si="54"/>
        <v>1.08</v>
      </c>
      <c r="I1010" s="39"/>
      <c r="J1010" s="40"/>
    </row>
    <row r="1011" spans="2:10" s="1" customFormat="1" ht="13.2" x14ac:dyDescent="0.25">
      <c r="B1011" s="45"/>
      <c r="C1011" s="38" t="s">
        <v>653</v>
      </c>
      <c r="D1011" s="39">
        <v>1</v>
      </c>
      <c r="E1011" s="39">
        <v>0.6</v>
      </c>
      <c r="F1011" s="39">
        <v>0.8</v>
      </c>
      <c r="G1011" s="39"/>
      <c r="H1011" s="39">
        <f t="shared" si="54"/>
        <v>0.48</v>
      </c>
      <c r="I1011" s="39"/>
      <c r="J1011" s="40"/>
    </row>
    <row r="1012" spans="2:10" s="1" customFormat="1" ht="13.2" x14ac:dyDescent="0.25">
      <c r="B1012" s="45"/>
      <c r="C1012" s="42" t="s">
        <v>636</v>
      </c>
      <c r="D1012" s="59"/>
      <c r="E1012" s="39"/>
      <c r="F1012" s="39"/>
      <c r="G1012" s="39"/>
      <c r="H1012" s="39">
        <f t="shared" si="54"/>
        <v>0</v>
      </c>
      <c r="I1012" s="39"/>
      <c r="J1012" s="40"/>
    </row>
    <row r="1013" spans="2:10" s="1" customFormat="1" ht="13.2" x14ac:dyDescent="0.25">
      <c r="B1013" s="45"/>
      <c r="C1013" s="38" t="s">
        <v>654</v>
      </c>
      <c r="D1013" s="39">
        <v>1</v>
      </c>
      <c r="E1013" s="39">
        <v>17.45</v>
      </c>
      <c r="F1013" s="39">
        <f>4*0.0254+0.4</f>
        <v>0.50160000000000005</v>
      </c>
      <c r="G1013" s="39"/>
      <c r="H1013" s="39">
        <f t="shared" si="54"/>
        <v>8.7529199999999996</v>
      </c>
      <c r="I1013" s="39"/>
      <c r="J1013" s="40"/>
    </row>
    <row r="1014" spans="2:10" s="1" customFormat="1" ht="13.2" x14ac:dyDescent="0.25">
      <c r="B1014" s="45"/>
      <c r="C1014" s="38"/>
      <c r="D1014" s="59"/>
      <c r="E1014" s="39"/>
      <c r="F1014" s="39"/>
      <c r="G1014" s="39"/>
      <c r="H1014" s="39"/>
      <c r="I1014" s="39"/>
      <c r="J1014" s="40"/>
    </row>
    <row r="1015" spans="2:10" s="1" customFormat="1" ht="13.2" x14ac:dyDescent="0.25">
      <c r="B1015" s="45"/>
      <c r="C1015" s="42" t="s">
        <v>222</v>
      </c>
      <c r="D1015" s="59"/>
      <c r="E1015" s="39"/>
      <c r="F1015" s="39"/>
      <c r="G1015" s="39"/>
      <c r="H1015" s="39"/>
      <c r="I1015" s="39"/>
      <c r="J1015" s="40"/>
    </row>
    <row r="1016" spans="2:10" s="1" customFormat="1" ht="13.2" x14ac:dyDescent="0.25">
      <c r="B1016" s="45"/>
      <c r="C1016" s="38" t="s">
        <v>655</v>
      </c>
      <c r="D1016" s="1">
        <v>1</v>
      </c>
      <c r="E1016" s="39">
        <f>1.1+22.93</f>
        <v>24.03</v>
      </c>
      <c r="F1016" s="39">
        <v>0.7</v>
      </c>
      <c r="G1016" s="39"/>
      <c r="H1016" s="39">
        <f t="shared" si="54"/>
        <v>16.820999999999998</v>
      </c>
      <c r="I1016" s="39"/>
      <c r="J1016" s="40"/>
    </row>
    <row r="1017" spans="2:10" s="1" customFormat="1" ht="13.2" x14ac:dyDescent="0.25">
      <c r="B1017" s="45"/>
      <c r="C1017" s="38" t="s">
        <v>656</v>
      </c>
      <c r="D1017" s="59">
        <v>1</v>
      </c>
      <c r="E1017" s="39">
        <v>3.7</v>
      </c>
      <c r="F1017" s="39">
        <v>0.7</v>
      </c>
      <c r="G1017" s="39"/>
      <c r="H1017" s="39">
        <f t="shared" si="54"/>
        <v>2.59</v>
      </c>
      <c r="I1017" s="39"/>
      <c r="J1017" s="40"/>
    </row>
    <row r="1018" spans="2:10" s="1" customFormat="1" ht="13.2" x14ac:dyDescent="0.25">
      <c r="B1018" s="45"/>
      <c r="C1018" s="38" t="s">
        <v>657</v>
      </c>
      <c r="D1018" s="59">
        <v>1</v>
      </c>
      <c r="E1018" s="39">
        <v>3.3</v>
      </c>
      <c r="F1018" s="39">
        <v>0.7</v>
      </c>
      <c r="G1018" s="39"/>
      <c r="H1018" s="39">
        <f t="shared" si="54"/>
        <v>2.3099999999999996</v>
      </c>
      <c r="I1018" s="39"/>
      <c r="J1018" s="40"/>
    </row>
    <row r="1019" spans="2:10" s="1" customFormat="1" ht="13.2" x14ac:dyDescent="0.25">
      <c r="B1019" s="45"/>
      <c r="C1019" s="42" t="s">
        <v>226</v>
      </c>
      <c r="D1019" s="59"/>
      <c r="E1019" s="39"/>
      <c r="F1019" s="39"/>
      <c r="G1019" s="39"/>
      <c r="H1019" s="39"/>
      <c r="I1019" s="39"/>
      <c r="J1019" s="40"/>
    </row>
    <row r="1020" spans="2:10" s="1" customFormat="1" ht="13.2" x14ac:dyDescent="0.25">
      <c r="B1020" s="45"/>
      <c r="C1020" s="38" t="s">
        <v>658</v>
      </c>
      <c r="D1020" s="39">
        <v>1</v>
      </c>
      <c r="E1020" s="39">
        <v>80</v>
      </c>
      <c r="F1020" s="39">
        <v>0.8</v>
      </c>
      <c r="G1020" s="39"/>
      <c r="H1020" s="39">
        <f t="shared" si="54"/>
        <v>64</v>
      </c>
      <c r="I1020" s="39"/>
      <c r="J1020" s="40"/>
    </row>
    <row r="1021" spans="2:10" x14ac:dyDescent="0.3">
      <c r="B1021" s="24" t="s">
        <v>187</v>
      </c>
      <c r="C1021" s="27" t="s">
        <v>334</v>
      </c>
      <c r="D1021" s="22"/>
      <c r="E1021" s="22"/>
      <c r="F1021" s="22"/>
      <c r="G1021" s="22"/>
      <c r="H1021" s="23"/>
      <c r="I1021" s="24">
        <f>+I1008</f>
        <v>99.783919999999995</v>
      </c>
      <c r="J1021" s="25" t="s">
        <v>333</v>
      </c>
    </row>
    <row r="1022" spans="2:10" s="1" customFormat="1" ht="13.2" x14ac:dyDescent="0.25">
      <c r="B1022" s="45"/>
      <c r="C1022" s="58"/>
      <c r="D1022" s="59"/>
      <c r="E1022" s="39"/>
      <c r="F1022" s="39"/>
      <c r="G1022" s="39"/>
      <c r="H1022" s="39"/>
      <c r="I1022" s="39"/>
      <c r="J1022" s="40"/>
    </row>
    <row r="1023" spans="2:10" x14ac:dyDescent="0.3">
      <c r="B1023" s="72" t="s">
        <v>359</v>
      </c>
      <c r="C1023" s="72" t="s">
        <v>345</v>
      </c>
      <c r="D1023" s="22"/>
      <c r="E1023" s="22"/>
      <c r="F1023" s="22"/>
      <c r="G1023" s="22"/>
      <c r="H1023" s="23"/>
      <c r="I1023" s="24"/>
      <c r="J1023" s="25"/>
    </row>
    <row r="1024" spans="2:10" s="1" customFormat="1" ht="13.2" x14ac:dyDescent="0.25">
      <c r="B1024" s="24" t="s">
        <v>361</v>
      </c>
      <c r="C1024" s="1" t="s">
        <v>347</v>
      </c>
      <c r="D1024" s="59"/>
      <c r="E1024" s="39"/>
      <c r="F1024" s="39"/>
      <c r="G1024" s="39"/>
      <c r="H1024" s="23"/>
      <c r="I1024" s="24">
        <f>+SUM(H1025)</f>
        <v>1.8</v>
      </c>
      <c r="J1024" s="25" t="s">
        <v>337</v>
      </c>
    </row>
    <row r="1025" spans="2:10" s="1" customFormat="1" ht="13.2" x14ac:dyDescent="0.25">
      <c r="B1025" s="24"/>
      <c r="C1025" s="38" t="s">
        <v>490</v>
      </c>
      <c r="D1025" s="39">
        <v>1</v>
      </c>
      <c r="E1025" s="39">
        <v>7.5</v>
      </c>
      <c r="F1025" s="39">
        <v>0.5</v>
      </c>
      <c r="G1025" s="39">
        <f>0.28+0.2</f>
        <v>0.48000000000000004</v>
      </c>
      <c r="H1025" s="39">
        <f>IF(AND(F1025=0,G1025=0),D1025*E1025,IF(AND(E1025=0,G1025=0),D1025*F1025,IF(AND(E1025=0,F1025=0),D1025*G1025,IF(AND(E1025=0),D1025*F1025*G1025,IF(AND(F1025=0),D1025*E1025*G1025,IF(AND(G1025=0),D1025*E1025*F1025,D1025*E1025*F1025*G1025))))))</f>
        <v>1.8</v>
      </c>
      <c r="I1025" s="39"/>
      <c r="J1025" s="40"/>
    </row>
    <row r="1026" spans="2:10" s="1" customFormat="1" ht="13.2" x14ac:dyDescent="0.25">
      <c r="B1026" s="24"/>
      <c r="D1026" s="59"/>
      <c r="E1026" s="39"/>
      <c r="F1026" s="39"/>
      <c r="G1026" s="39"/>
      <c r="H1026" s="39"/>
      <c r="I1026" s="39"/>
      <c r="J1026" s="40"/>
    </row>
    <row r="1027" spans="2:10" s="1" customFormat="1" ht="13.2" x14ac:dyDescent="0.25">
      <c r="B1027" s="24" t="s">
        <v>363</v>
      </c>
      <c r="C1027" s="1" t="s">
        <v>348</v>
      </c>
      <c r="D1027" s="59"/>
      <c r="E1027" s="39"/>
      <c r="F1027" s="39"/>
      <c r="G1027" s="39"/>
      <c r="H1027" s="23"/>
      <c r="I1027" s="24">
        <f>+SUM(H1028:H1029)</f>
        <v>1.7460000000000002</v>
      </c>
      <c r="J1027" s="25" t="s">
        <v>337</v>
      </c>
    </row>
    <row r="1028" spans="2:10" s="1" customFormat="1" ht="13.2" x14ac:dyDescent="0.25">
      <c r="B1028" s="56"/>
      <c r="C1028" s="38" t="s">
        <v>652</v>
      </c>
      <c r="D1028" s="39">
        <v>1</v>
      </c>
      <c r="E1028" s="39">
        <v>0.9</v>
      </c>
      <c r="F1028" s="39">
        <v>1.2</v>
      </c>
      <c r="G1028" s="39">
        <f>1.1+0.25</f>
        <v>1.35</v>
      </c>
      <c r="H1028" s="39">
        <f>IF(AND(F1028=0,G1028=0),D1028*E1028,IF(AND(E1028=0,G1028=0),D1028*F1028,IF(AND(E1028=0,F1028=0),D1028*G1028,IF(AND(E1028=0),D1028*F1028*G1028,IF(AND(F1028=0),D1028*E1028*G1028,IF(AND(G1028=0),D1028*E1028*F1028,D1028*E1028*F1028*G1028))))))</f>
        <v>1.4580000000000002</v>
      </c>
      <c r="I1028" s="39"/>
      <c r="J1028" s="40"/>
    </row>
    <row r="1029" spans="2:10" s="1" customFormat="1" ht="13.2" x14ac:dyDescent="0.25">
      <c r="B1029" s="56"/>
      <c r="C1029" s="38" t="s">
        <v>653</v>
      </c>
      <c r="D1029" s="39">
        <v>1</v>
      </c>
      <c r="E1029" s="39">
        <v>0.6</v>
      </c>
      <c r="F1029" s="39">
        <v>0.8</v>
      </c>
      <c r="G1029" s="39">
        <f>0.4+0.2</f>
        <v>0.60000000000000009</v>
      </c>
      <c r="H1029" s="39">
        <f>IF(AND(F1029=0,G1029=0),D1029*E1029,IF(AND(E1029=0,G1029=0),D1029*F1029,IF(AND(E1029=0,F1029=0),D1029*G1029,IF(AND(E1029=0),D1029*F1029*G1029,IF(AND(F1029=0),D1029*E1029*G1029,IF(AND(G1029=0),D1029*E1029*F1029,D1029*E1029*F1029*G1029))))))</f>
        <v>0.28800000000000003</v>
      </c>
      <c r="I1029" s="39"/>
      <c r="J1029" s="40"/>
    </row>
    <row r="1030" spans="2:10" s="1" customFormat="1" ht="13.2" x14ac:dyDescent="0.25">
      <c r="B1030" s="45"/>
      <c r="C1030" s="58"/>
      <c r="D1030" s="59"/>
      <c r="E1030" s="39"/>
      <c r="F1030" s="39"/>
      <c r="G1030" s="39"/>
      <c r="H1030" s="39"/>
      <c r="I1030" s="39"/>
      <c r="J1030" s="40"/>
    </row>
    <row r="1031" spans="2:10" s="1" customFormat="1" ht="13.2" x14ac:dyDescent="0.25">
      <c r="B1031" s="24" t="s">
        <v>555</v>
      </c>
      <c r="C1031" s="1" t="s">
        <v>349</v>
      </c>
      <c r="D1031" s="59"/>
      <c r="E1031" s="39"/>
      <c r="F1031" s="39"/>
      <c r="G1031" s="39"/>
      <c r="H1031" s="39"/>
      <c r="I1031" s="39">
        <f>+SUM(H1032)</f>
        <v>0</v>
      </c>
      <c r="J1031" s="40" t="s">
        <v>337</v>
      </c>
    </row>
    <row r="1032" spans="2:10" s="1" customFormat="1" ht="13.2" x14ac:dyDescent="0.25">
      <c r="B1032" s="45"/>
      <c r="C1032" s="38"/>
      <c r="E1032" s="39"/>
      <c r="F1032" s="39"/>
      <c r="G1032" s="39"/>
      <c r="H1032" s="39">
        <f>IF(AND(F1032=0,G1032=0),D1032*E1032,IF(AND(E1032=0,G1032=0),D1032*F1032,IF(AND(E1032=0,F1032=0),D1032*G1032,IF(AND(E1032=0),D1032*F1032*G1032,IF(AND(F1032=0),D1032*E1032*G1032,IF(AND(G1032=0),D1032*E1032*F1032,D1032*E1032*F1032*G1032))))))</f>
        <v>0</v>
      </c>
      <c r="I1032" s="39"/>
      <c r="J1032" s="40"/>
    </row>
    <row r="1033" spans="2:10" x14ac:dyDescent="0.3">
      <c r="B1033" s="24" t="s">
        <v>556</v>
      </c>
      <c r="C1033" s="115" t="s">
        <v>350</v>
      </c>
      <c r="D1033" s="22"/>
      <c r="E1033" s="22"/>
      <c r="F1033" s="22"/>
      <c r="G1033" s="22"/>
      <c r="I1033" s="23">
        <f>+SUM(H1034:H1036)</f>
        <v>5.3100000000000005</v>
      </c>
      <c r="J1033" s="25" t="s">
        <v>333</v>
      </c>
    </row>
    <row r="1034" spans="2:10" x14ac:dyDescent="0.3">
      <c r="B1034" s="24"/>
      <c r="C1034" s="38" t="s">
        <v>652</v>
      </c>
      <c r="D1034" s="39">
        <v>1</v>
      </c>
      <c r="E1034" s="39">
        <v>0.9</v>
      </c>
      <c r="F1034" s="39">
        <v>1.2</v>
      </c>
      <c r="G1034" s="39"/>
      <c r="H1034" s="39">
        <f>IF(AND(F1034=0,G1034=0),D1034*E1034,IF(AND(E1034=0,G1034=0),D1034*F1034,IF(AND(E1034=0,F1034=0),D1034*G1034,IF(AND(E1034=0),D1034*F1034*G1034,IF(AND(F1034=0),D1034*E1034*G1034,IF(AND(G1034=0),D1034*E1034*F1034,D1034*E1034*F1034*G1034))))))</f>
        <v>1.08</v>
      </c>
      <c r="I1034" s="24"/>
      <c r="J1034" s="25"/>
    </row>
    <row r="1035" spans="2:10" x14ac:dyDescent="0.3">
      <c r="B1035" s="24"/>
      <c r="C1035" s="38" t="s">
        <v>653</v>
      </c>
      <c r="D1035" s="39">
        <v>1</v>
      </c>
      <c r="E1035" s="39">
        <v>0.6</v>
      </c>
      <c r="F1035" s="39">
        <v>0.8</v>
      </c>
      <c r="G1035" s="39"/>
      <c r="H1035" s="39">
        <f>IF(AND(F1035=0,G1035=0),D1035*E1035,IF(AND(E1035=0,G1035=0),D1035*F1035,IF(AND(E1035=0,F1035=0),D1035*G1035,IF(AND(E1035=0),D1035*F1035*G1035,IF(AND(F1035=0),D1035*E1035*G1035,IF(AND(G1035=0),D1035*E1035*F1035,D1035*E1035*F1035*G1035))))))</f>
        <v>0.48</v>
      </c>
      <c r="I1035" s="24"/>
      <c r="J1035" s="25"/>
    </row>
    <row r="1036" spans="2:10" x14ac:dyDescent="0.3">
      <c r="B1036" s="24"/>
      <c r="C1036" s="38" t="s">
        <v>490</v>
      </c>
      <c r="D1036" s="39">
        <v>1</v>
      </c>
      <c r="E1036" s="39">
        <v>7.5</v>
      </c>
      <c r="F1036" s="39">
        <v>0.5</v>
      </c>
      <c r="G1036" s="39"/>
      <c r="H1036" s="39">
        <f>IF(AND(F1036=0,G1036=0),D1036*E1036,IF(AND(E1036=0,G1036=0),D1036*F1036,IF(AND(E1036=0,F1036=0),D1036*G1036,IF(AND(E1036=0),D1036*F1036*G1036,IF(AND(F1036=0),D1036*E1036*G1036,IF(AND(G1036=0),D1036*E1036*F1036,D1036*E1036*F1036*G1036))))))</f>
        <v>3.75</v>
      </c>
      <c r="I1036" s="24"/>
      <c r="J1036" s="25"/>
    </row>
    <row r="1037" spans="2:10" x14ac:dyDescent="0.3">
      <c r="B1037" s="24"/>
      <c r="C1037" s="115"/>
      <c r="D1037" s="22"/>
      <c r="E1037" s="22"/>
      <c r="F1037" s="22"/>
      <c r="G1037" s="22"/>
      <c r="H1037" s="23"/>
      <c r="I1037" s="24"/>
      <c r="J1037" s="25"/>
    </row>
    <row r="1038" spans="2:10" s="1" customFormat="1" ht="13.2" x14ac:dyDescent="0.25">
      <c r="B1038" s="24" t="s">
        <v>557</v>
      </c>
      <c r="C1038" s="115" t="s">
        <v>351</v>
      </c>
      <c r="D1038" s="59"/>
      <c r="E1038" s="39"/>
      <c r="F1038" s="39"/>
      <c r="G1038" s="39"/>
      <c r="H1038" s="39"/>
      <c r="I1038" s="39">
        <f>+H1040+H1044+H1048-H1042-H1046-H1050</f>
        <v>55.544457927315925</v>
      </c>
      <c r="J1038" s="40" t="s">
        <v>337</v>
      </c>
    </row>
    <row r="1039" spans="2:10" s="1" customFormat="1" ht="13.2" x14ac:dyDescent="0.25">
      <c r="B1039" s="45"/>
      <c r="C1039" s="42" t="s">
        <v>636</v>
      </c>
      <c r="D1039" s="59"/>
      <c r="E1039" s="39"/>
      <c r="F1039" s="39"/>
      <c r="G1039" s="39"/>
      <c r="H1039" s="39"/>
      <c r="I1039" s="39"/>
      <c r="J1039" s="40"/>
    </row>
    <row r="1040" spans="2:10" s="1" customFormat="1" ht="13.2" x14ac:dyDescent="0.25">
      <c r="B1040" s="45"/>
      <c r="C1040" s="38" t="s">
        <v>654</v>
      </c>
      <c r="D1040" s="39">
        <v>1</v>
      </c>
      <c r="E1040" s="39">
        <v>17.45</v>
      </c>
      <c r="F1040" s="39">
        <f>4*0.0254+0.4</f>
        <v>0.50160000000000005</v>
      </c>
      <c r="G1040" s="39">
        <v>0.35</v>
      </c>
      <c r="H1040" s="39">
        <f t="shared" ref="H1040" si="55">IF(AND(F1040=0,G1040=0),D1040*E1040,IF(AND(E1040=0,G1040=0),D1040*F1040,IF(AND(E1040=0,F1040=0),D1040*G1040,IF(AND(E1040=0),D1040*F1040*G1040,IF(AND(F1040=0),D1040*E1040*G1040,IF(AND(G1040=0),D1040*E1040*F1040,D1040*E1040*F1040*G1040))))))</f>
        <v>3.0635219999999999</v>
      </c>
      <c r="I1040" s="39"/>
      <c r="J1040" s="40"/>
    </row>
    <row r="1041" spans="2:10" s="1" customFormat="1" ht="13.2" x14ac:dyDescent="0.25">
      <c r="B1041" s="45"/>
      <c r="F1041" s="39" t="s">
        <v>485</v>
      </c>
      <c r="G1041" s="39">
        <v>4</v>
      </c>
      <c r="I1041" s="39"/>
      <c r="J1041" s="40"/>
    </row>
    <row r="1042" spans="2:10" s="1" customFormat="1" ht="13.2" x14ac:dyDescent="0.25">
      <c r="B1042" s="45"/>
      <c r="C1042" s="38" t="s">
        <v>569</v>
      </c>
      <c r="D1042" s="59">
        <v>1</v>
      </c>
      <c r="E1042" s="39">
        <f>+SUM(E1040)</f>
        <v>17.45</v>
      </c>
      <c r="F1042" s="39" t="s">
        <v>570</v>
      </c>
      <c r="G1042" s="106">
        <f>+PI()*((G1041*0.0254)^2)/4</f>
        <v>8.107319665559963E-3</v>
      </c>
      <c r="H1042" s="39">
        <f>+E1042*G1042</f>
        <v>0.14147272816402134</v>
      </c>
      <c r="I1042" s="39"/>
      <c r="J1042" s="40"/>
    </row>
    <row r="1043" spans="2:10" s="1" customFormat="1" ht="13.2" x14ac:dyDescent="0.25">
      <c r="B1043" s="45"/>
      <c r="C1043" s="42" t="s">
        <v>222</v>
      </c>
      <c r="D1043" s="59"/>
      <c r="E1043" s="39"/>
      <c r="F1043" s="39"/>
      <c r="G1043" s="39"/>
      <c r="H1043" s="39"/>
      <c r="I1043" s="39"/>
      <c r="J1043" s="40"/>
    </row>
    <row r="1044" spans="2:10" s="1" customFormat="1" ht="13.2" x14ac:dyDescent="0.25">
      <c r="B1044" s="45"/>
      <c r="C1044" s="38" t="s">
        <v>655</v>
      </c>
      <c r="D1044" s="1">
        <v>1</v>
      </c>
      <c r="E1044" s="39">
        <f>1.1+22.93</f>
        <v>24.03</v>
      </c>
      <c r="F1044" s="39">
        <v>0.7</v>
      </c>
      <c r="G1044" s="39">
        <v>1.2</v>
      </c>
      <c r="H1044" s="39">
        <f t="shared" ref="H1044" si="56">IF(AND(F1044=0,G1044=0),D1044*E1044,IF(AND(E1044=0,G1044=0),D1044*F1044,IF(AND(E1044=0,F1044=0),D1044*G1044,IF(AND(E1044=0),D1044*F1044*G1044,IF(AND(F1044=0),D1044*E1044*G1044,IF(AND(G1044=0),D1044*E1044*F1044,D1044*E1044*F1044*G1044))))))</f>
        <v>20.185199999999998</v>
      </c>
      <c r="I1044" s="39"/>
      <c r="J1044" s="40"/>
    </row>
    <row r="1045" spans="2:10" s="1" customFormat="1" ht="13.2" x14ac:dyDescent="0.25">
      <c r="B1045" s="45"/>
      <c r="F1045" s="39" t="s">
        <v>485</v>
      </c>
      <c r="G1045" s="39">
        <v>10</v>
      </c>
      <c r="I1045" s="39"/>
      <c r="J1045" s="40"/>
    </row>
    <row r="1046" spans="2:10" s="1" customFormat="1" ht="13.2" x14ac:dyDescent="0.25">
      <c r="B1046" s="45"/>
      <c r="C1046" s="38" t="s">
        <v>569</v>
      </c>
      <c r="D1046" s="59">
        <v>1</v>
      </c>
      <c r="E1046" s="39">
        <f>+SUM(E1044:E1044)</f>
        <v>24.03</v>
      </c>
      <c r="F1046" s="39" t="s">
        <v>570</v>
      </c>
      <c r="G1046" s="39">
        <f>+PI()*((G1045*0.0254)^2)/4</f>
        <v>5.0670747909749778E-2</v>
      </c>
      <c r="H1046" s="39">
        <f>+E1046*G1046</f>
        <v>1.2176180722712873</v>
      </c>
      <c r="I1046" s="39"/>
      <c r="J1046" s="40"/>
    </row>
    <row r="1047" spans="2:10" s="1" customFormat="1" ht="13.2" x14ac:dyDescent="0.25">
      <c r="B1047" s="45"/>
      <c r="C1047" s="42" t="s">
        <v>226</v>
      </c>
      <c r="D1047" s="59"/>
      <c r="E1047" s="39"/>
      <c r="F1047" s="39"/>
      <c r="G1047" s="39"/>
      <c r="H1047" s="39"/>
      <c r="I1047" s="39"/>
      <c r="J1047" s="40"/>
    </row>
    <row r="1048" spans="2:10" s="1" customFormat="1" ht="13.2" x14ac:dyDescent="0.25">
      <c r="B1048" s="45"/>
      <c r="C1048" s="38" t="s">
        <v>658</v>
      </c>
      <c r="D1048" s="39">
        <v>1</v>
      </c>
      <c r="E1048" s="39">
        <v>80</v>
      </c>
      <c r="F1048" s="39">
        <v>0.8</v>
      </c>
      <c r="G1048" s="39">
        <v>0.65</v>
      </c>
      <c r="H1048" s="39">
        <f t="shared" ref="H1048" si="57">IF(AND(F1048=0,G1048=0),D1048*E1048,IF(AND(E1048=0,G1048=0),D1048*F1048,IF(AND(E1048=0,F1048=0),D1048*G1048,IF(AND(E1048=0),D1048*F1048*G1048,IF(AND(F1048=0),D1048*E1048*G1048,IF(AND(G1048=0),D1048*E1048*F1048,D1048*E1048*F1048*G1048))))))</f>
        <v>41.6</v>
      </c>
      <c r="I1048" s="39"/>
      <c r="J1048" s="40"/>
    </row>
    <row r="1049" spans="2:10" s="1" customFormat="1" ht="13.2" x14ac:dyDescent="0.25">
      <c r="B1049" s="45"/>
      <c r="F1049" s="39" t="s">
        <v>485</v>
      </c>
      <c r="G1049" s="39">
        <v>14</v>
      </c>
      <c r="I1049" s="39"/>
      <c r="J1049" s="40"/>
    </row>
    <row r="1050" spans="2:10" s="1" customFormat="1" ht="13.2" x14ac:dyDescent="0.25">
      <c r="B1050" s="45"/>
      <c r="C1050" s="38" t="s">
        <v>569</v>
      </c>
      <c r="D1050" s="59">
        <v>1</v>
      </c>
      <c r="E1050" s="39">
        <f>+E1048</f>
        <v>80</v>
      </c>
      <c r="F1050" s="39" t="s">
        <v>570</v>
      </c>
      <c r="G1050" s="39">
        <f>+PI()*((G1049*0.0254)^2)/4</f>
        <v>9.9314665903109542E-2</v>
      </c>
      <c r="H1050" s="39">
        <f>+E1050*G1050</f>
        <v>7.9451732722487636</v>
      </c>
      <c r="I1050" s="39"/>
      <c r="J1050" s="40"/>
    </row>
    <row r="1051" spans="2:10" s="1" customFormat="1" ht="13.2" x14ac:dyDescent="0.25">
      <c r="B1051" s="24" t="s">
        <v>558</v>
      </c>
      <c r="C1051" s="27" t="s">
        <v>352</v>
      </c>
      <c r="D1051" s="59"/>
      <c r="E1051" s="39"/>
      <c r="F1051" s="39"/>
      <c r="G1051" s="39"/>
      <c r="H1051" s="39"/>
      <c r="I1051" s="39">
        <f>+SUM(H1052)</f>
        <v>10.95</v>
      </c>
      <c r="J1051" s="40" t="s">
        <v>333</v>
      </c>
    </row>
    <row r="1052" spans="2:10" s="1" customFormat="1" ht="13.2" x14ac:dyDescent="0.25">
      <c r="B1052" s="45"/>
      <c r="C1052" s="38" t="s">
        <v>490</v>
      </c>
      <c r="D1052" s="39">
        <v>1</v>
      </c>
      <c r="E1052" s="39">
        <v>7.5</v>
      </c>
      <c r="F1052" s="39">
        <v>0.5</v>
      </c>
      <c r="G1052" s="39">
        <f>0.28+0.2</f>
        <v>0.48000000000000004</v>
      </c>
      <c r="H1052" s="39">
        <f>+(F1052+G1052*2)*E1052</f>
        <v>10.95</v>
      </c>
      <c r="I1052" s="39"/>
      <c r="J1052" s="40"/>
    </row>
    <row r="1053" spans="2:10" s="1" customFormat="1" ht="13.2" x14ac:dyDescent="0.25">
      <c r="B1053" s="24" t="s">
        <v>559</v>
      </c>
      <c r="C1053" s="27" t="s">
        <v>353</v>
      </c>
      <c r="D1053" s="59"/>
      <c r="E1053" s="39"/>
      <c r="F1053" s="39"/>
      <c r="G1053" s="39"/>
      <c r="H1053" s="39"/>
      <c r="I1053" s="39">
        <f>+SUM(H1055:H1062)</f>
        <v>263.46091999999999</v>
      </c>
      <c r="J1053" s="40" t="s">
        <v>333</v>
      </c>
    </row>
    <row r="1054" spans="2:10" s="1" customFormat="1" ht="13.2" x14ac:dyDescent="0.25">
      <c r="B1054" s="45"/>
      <c r="C1054" s="42" t="s">
        <v>636</v>
      </c>
      <c r="D1054" s="59"/>
      <c r="E1054" s="39"/>
      <c r="F1054" s="39"/>
      <c r="G1054" s="39"/>
      <c r="H1054" s="39"/>
      <c r="I1054" s="39"/>
      <c r="J1054" s="40"/>
    </row>
    <row r="1055" spans="2:10" s="1" customFormat="1" ht="13.2" x14ac:dyDescent="0.25">
      <c r="B1055" s="45"/>
      <c r="C1055" s="38" t="s">
        <v>654</v>
      </c>
      <c r="D1055" s="39">
        <v>1</v>
      </c>
      <c r="E1055" s="39">
        <v>17.45</v>
      </c>
      <c r="F1055" s="39">
        <f>4*0.0254+0.4</f>
        <v>0.50160000000000005</v>
      </c>
      <c r="G1055" s="39">
        <v>0.35</v>
      </c>
      <c r="H1055" s="39">
        <f>+(F1055+G1055*2)*E1055</f>
        <v>20.967919999999999</v>
      </c>
      <c r="I1055" s="39"/>
      <c r="J1055" s="40"/>
    </row>
    <row r="1056" spans="2:10" s="1" customFormat="1" ht="13.2" x14ac:dyDescent="0.25">
      <c r="B1056" s="45"/>
      <c r="C1056" s="38"/>
      <c r="D1056" s="59"/>
      <c r="E1056" s="39"/>
      <c r="F1056" s="39"/>
      <c r="G1056" s="39"/>
      <c r="H1056" s="39"/>
      <c r="I1056" s="39"/>
      <c r="J1056" s="40"/>
    </row>
    <row r="1057" spans="2:10" s="1" customFormat="1" ht="13.2" x14ac:dyDescent="0.25">
      <c r="B1057" s="45"/>
      <c r="C1057" s="42" t="s">
        <v>222</v>
      </c>
      <c r="D1057" s="59"/>
      <c r="E1057" s="39"/>
      <c r="F1057" s="39"/>
      <c r="G1057" s="39"/>
      <c r="H1057" s="39"/>
      <c r="I1057" s="39"/>
      <c r="J1057" s="40"/>
    </row>
    <row r="1058" spans="2:10" s="1" customFormat="1" ht="13.2" x14ac:dyDescent="0.25">
      <c r="B1058" s="45"/>
      <c r="C1058" s="38" t="s">
        <v>655</v>
      </c>
      <c r="D1058" s="1">
        <v>1</v>
      </c>
      <c r="E1058" s="39">
        <f>1.1+22.93</f>
        <v>24.03</v>
      </c>
      <c r="F1058" s="39">
        <v>0.7</v>
      </c>
      <c r="G1058" s="39">
        <v>1.2</v>
      </c>
      <c r="H1058" s="39">
        <f>+(F1058+G1058*2)*E1058</f>
        <v>74.492999999999995</v>
      </c>
      <c r="I1058" s="39"/>
      <c r="J1058" s="40"/>
    </row>
    <row r="1059" spans="2:10" s="1" customFormat="1" ht="13.2" x14ac:dyDescent="0.25">
      <c r="B1059" s="45"/>
      <c r="C1059" s="38" t="s">
        <v>656</v>
      </c>
      <c r="D1059" s="59">
        <v>1</v>
      </c>
      <c r="E1059" s="39">
        <v>3.7</v>
      </c>
      <c r="F1059" s="39">
        <v>0.7</v>
      </c>
      <c r="G1059" s="39"/>
      <c r="H1059" s="39"/>
      <c r="I1059" s="39"/>
      <c r="J1059" s="40"/>
    </row>
    <row r="1060" spans="2:10" s="1" customFormat="1" ht="13.2" x14ac:dyDescent="0.25">
      <c r="B1060" s="45"/>
      <c r="C1060" s="38" t="s">
        <v>657</v>
      </c>
      <c r="D1060" s="59">
        <v>1</v>
      </c>
      <c r="E1060" s="39">
        <v>3.3</v>
      </c>
      <c r="F1060" s="39">
        <v>0.7</v>
      </c>
      <c r="G1060" s="39"/>
      <c r="H1060" s="39"/>
      <c r="I1060" s="39"/>
      <c r="J1060" s="40"/>
    </row>
    <row r="1061" spans="2:10" s="1" customFormat="1" ht="13.2" x14ac:dyDescent="0.25">
      <c r="B1061" s="45"/>
      <c r="C1061" s="42" t="s">
        <v>226</v>
      </c>
      <c r="D1061" s="59"/>
      <c r="E1061" s="39"/>
      <c r="F1061" s="39"/>
      <c r="G1061" s="39"/>
      <c r="H1061" s="39"/>
      <c r="I1061" s="39"/>
      <c r="J1061" s="40"/>
    </row>
    <row r="1062" spans="2:10" s="1" customFormat="1" ht="13.2" x14ac:dyDescent="0.25">
      <c r="B1062" s="45"/>
      <c r="C1062" s="38" t="s">
        <v>658</v>
      </c>
      <c r="D1062" s="39">
        <v>1</v>
      </c>
      <c r="E1062" s="39">
        <v>80</v>
      </c>
      <c r="F1062" s="39">
        <v>0.8</v>
      </c>
      <c r="G1062" s="39">
        <v>0.65</v>
      </c>
      <c r="H1062" s="39">
        <f>+(F1062+G1062*2)*E1062</f>
        <v>168</v>
      </c>
      <c r="I1062" s="39"/>
      <c r="J1062" s="40"/>
    </row>
    <row r="1063" spans="2:10" s="1" customFormat="1" ht="13.2" x14ac:dyDescent="0.25">
      <c r="B1063" s="24" t="s">
        <v>560</v>
      </c>
      <c r="C1063" s="27" t="s">
        <v>354</v>
      </c>
      <c r="D1063" s="59"/>
      <c r="E1063" s="39"/>
      <c r="F1063" s="39" t="s">
        <v>571</v>
      </c>
      <c r="G1063" s="39"/>
      <c r="H1063" s="39"/>
      <c r="I1063" s="39">
        <f>+SUM(H1064:H1079)</f>
        <v>1638.8799890584662</v>
      </c>
      <c r="J1063" s="40" t="s">
        <v>355</v>
      </c>
    </row>
    <row r="1064" spans="2:10" s="1" customFormat="1" ht="13.2" x14ac:dyDescent="0.25">
      <c r="B1064" s="107"/>
      <c r="C1064" s="38" t="s">
        <v>659</v>
      </c>
      <c r="D1064" s="59">
        <v>5</v>
      </c>
      <c r="E1064" s="39">
        <f>9.8+1.5</f>
        <v>11.3</v>
      </c>
      <c r="F1064" s="39">
        <v>1.64</v>
      </c>
      <c r="G1064" s="39"/>
      <c r="H1064" s="39">
        <f t="shared" ref="H1064:H1069" si="58">IF(AND(F1064=0,G1064=0),D1064*E1064,IF(AND(E1064=0,G1064=0),D1064*F1064,IF(AND(E1064=0,F1064=0),D1064*G1064,IF(AND(E1064=0),D1064*F1064*G1064,IF(AND(F1064=0),D1064*E1064*G1064,IF(AND(G1064=0),D1064*E1064*F1064,D1064*E1064*F1064*G1064))))))</f>
        <v>92.66</v>
      </c>
      <c r="I1064" s="39"/>
      <c r="J1064" s="40"/>
    </row>
    <row r="1065" spans="2:10" s="1" customFormat="1" ht="13.2" x14ac:dyDescent="0.25">
      <c r="B1065" s="107"/>
      <c r="C1065" s="38" t="s">
        <v>489</v>
      </c>
      <c r="D1065" s="59">
        <v>1</v>
      </c>
      <c r="E1065" s="39">
        <v>4.8</v>
      </c>
      <c r="F1065" s="39">
        <v>1.64</v>
      </c>
      <c r="G1065" s="39"/>
      <c r="H1065" s="39">
        <f t="shared" si="58"/>
        <v>7.871999999999999</v>
      </c>
      <c r="I1065" s="39"/>
      <c r="J1065" s="40"/>
    </row>
    <row r="1066" spans="2:10" s="1" customFormat="1" ht="13.2" x14ac:dyDescent="0.25">
      <c r="B1066" s="107"/>
      <c r="C1066" s="38" t="s">
        <v>487</v>
      </c>
      <c r="D1066" s="39">
        <v>1</v>
      </c>
      <c r="E1066" s="78">
        <v>11.3</v>
      </c>
      <c r="F1066" s="39">
        <v>1.64</v>
      </c>
      <c r="G1066" s="39"/>
      <c r="H1066" s="39">
        <f t="shared" si="58"/>
        <v>18.532</v>
      </c>
      <c r="I1066" s="39"/>
      <c r="J1066" s="40"/>
    </row>
    <row r="1067" spans="2:10" s="1" customFormat="1" ht="13.2" x14ac:dyDescent="0.25">
      <c r="B1067" s="107"/>
      <c r="C1067" s="38" t="s">
        <v>488</v>
      </c>
      <c r="D1067" s="39">
        <v>1</v>
      </c>
      <c r="E1067" s="78">
        <v>11.3</v>
      </c>
      <c r="F1067" s="39">
        <v>1.64</v>
      </c>
      <c r="G1067" s="39"/>
      <c r="H1067" s="39">
        <f t="shared" si="58"/>
        <v>18.532</v>
      </c>
      <c r="I1067" s="39"/>
      <c r="J1067" s="40"/>
    </row>
    <row r="1068" spans="2:10" s="1" customFormat="1" ht="13.2" x14ac:dyDescent="0.25">
      <c r="B1068" s="107"/>
      <c r="C1068" s="74"/>
      <c r="D1068" s="59">
        <v>1</v>
      </c>
      <c r="E1068" s="39">
        <v>1.65</v>
      </c>
      <c r="F1068" s="39">
        <v>1.64</v>
      </c>
      <c r="G1068" s="39"/>
      <c r="H1068" s="39">
        <f t="shared" si="58"/>
        <v>2.7059999999999995</v>
      </c>
      <c r="I1068" s="39"/>
      <c r="J1068" s="40"/>
    </row>
    <row r="1069" spans="2:10" s="1" customFormat="1" ht="13.2" x14ac:dyDescent="0.25">
      <c r="B1069" s="107"/>
      <c r="C1069" s="74"/>
      <c r="D1069" s="59">
        <v>1</v>
      </c>
      <c r="E1069" s="39">
        <v>2.5</v>
      </c>
      <c r="F1069" s="39">
        <v>1.64</v>
      </c>
      <c r="G1069" s="39"/>
      <c r="H1069" s="39">
        <f t="shared" si="58"/>
        <v>4.0999999999999996</v>
      </c>
      <c r="I1069" s="39"/>
      <c r="J1069" s="40"/>
    </row>
    <row r="1070" spans="2:10" s="1" customFormat="1" ht="13.2" x14ac:dyDescent="0.25">
      <c r="B1070" s="107"/>
      <c r="C1070" s="42" t="s">
        <v>636</v>
      </c>
      <c r="D1070" s="59"/>
      <c r="E1070" s="39"/>
      <c r="F1070" s="39"/>
      <c r="G1070" s="39"/>
      <c r="H1070" s="39"/>
      <c r="I1070" s="39"/>
      <c r="J1070" s="40"/>
    </row>
    <row r="1071" spans="2:10" s="1" customFormat="1" ht="13.2" x14ac:dyDescent="0.25">
      <c r="B1071" s="107"/>
      <c r="C1071" s="38" t="s">
        <v>654</v>
      </c>
      <c r="D1071" s="39">
        <v>1</v>
      </c>
      <c r="E1071" s="39">
        <v>17.45</v>
      </c>
      <c r="F1071" s="39">
        <f>18.14/5.83</f>
        <v>3.1114922813036023</v>
      </c>
      <c r="G1071" s="39"/>
      <c r="H1071" s="39">
        <f t="shared" ref="H1071" si="59">IF(AND(F1071=0,G1071=0),D1071*E1071,IF(AND(E1071=0,G1071=0),D1071*F1071,IF(AND(E1071=0,F1071=0),D1071*G1071,IF(AND(E1071=0),D1071*F1071*G1071,IF(AND(F1071=0),D1071*E1071*G1071,IF(AND(G1071=0),D1071*E1071*F1071,D1071*E1071*F1071*G1071))))))</f>
        <v>54.29554030874786</v>
      </c>
      <c r="I1071" s="39"/>
      <c r="J1071" s="40"/>
    </row>
    <row r="1072" spans="2:10" s="1" customFormat="1" ht="13.2" x14ac:dyDescent="0.25">
      <c r="B1072" s="107"/>
      <c r="C1072" s="38"/>
      <c r="D1072" s="59"/>
      <c r="E1072" s="39"/>
      <c r="F1072" s="39"/>
      <c r="G1072" s="39"/>
      <c r="H1072" s="39"/>
      <c r="I1072" s="39"/>
      <c r="J1072" s="40"/>
    </row>
    <row r="1073" spans="2:10" s="1" customFormat="1" ht="13.2" x14ac:dyDescent="0.25">
      <c r="B1073" s="45"/>
      <c r="C1073" s="42" t="s">
        <v>222</v>
      </c>
      <c r="D1073" s="59"/>
      <c r="E1073" s="39"/>
      <c r="G1073" s="39"/>
      <c r="H1073" s="39"/>
      <c r="I1073" s="39"/>
      <c r="J1073" s="40"/>
    </row>
    <row r="1074" spans="2:10" s="1" customFormat="1" ht="13.2" x14ac:dyDescent="0.25">
      <c r="B1074" s="107"/>
      <c r="C1074" s="38" t="s">
        <v>655</v>
      </c>
      <c r="D1074" s="1">
        <v>1</v>
      </c>
      <c r="E1074" s="39">
        <f>1.1+22.93</f>
        <v>24.03</v>
      </c>
      <c r="F1074" s="39">
        <f>43.83/5.79</f>
        <v>7.5699481865284968</v>
      </c>
      <c r="G1074" s="39"/>
      <c r="H1074" s="39">
        <f t="shared" ref="H1074:H1076" si="60">IF(AND(F1074=0,G1074=0),D1074*E1074,IF(AND(E1074=0,G1074=0),D1074*F1074,IF(AND(E1074=0,F1074=0),D1074*G1074,IF(AND(E1074=0),D1074*F1074*G1074,IF(AND(F1074=0),D1074*E1074*G1074,IF(AND(G1074=0),D1074*E1074*F1074,D1074*E1074*F1074*G1074))))))</f>
        <v>181.90585492227979</v>
      </c>
      <c r="I1074" s="39"/>
      <c r="J1074" s="40"/>
    </row>
    <row r="1075" spans="2:10" s="1" customFormat="1" ht="13.2" x14ac:dyDescent="0.25">
      <c r="B1075" s="107"/>
      <c r="C1075" s="38" t="s">
        <v>656</v>
      </c>
      <c r="D1075" s="59">
        <v>1</v>
      </c>
      <c r="E1075" s="39">
        <v>3.7</v>
      </c>
      <c r="F1075" s="39">
        <f t="shared" ref="F1075:F1076" si="61">43.83/5.79</f>
        <v>7.5699481865284968</v>
      </c>
      <c r="G1075" s="39"/>
      <c r="H1075" s="39">
        <f t="shared" si="60"/>
        <v>28.008808290155439</v>
      </c>
      <c r="I1075" s="39"/>
      <c r="J1075" s="40"/>
    </row>
    <row r="1076" spans="2:10" s="1" customFormat="1" ht="13.2" x14ac:dyDescent="0.25">
      <c r="B1076" s="107"/>
      <c r="C1076" s="38" t="s">
        <v>657</v>
      </c>
      <c r="D1076" s="59">
        <v>1</v>
      </c>
      <c r="E1076" s="39">
        <v>3.3</v>
      </c>
      <c r="F1076" s="39">
        <f t="shared" si="61"/>
        <v>7.5699481865284968</v>
      </c>
      <c r="G1076" s="39"/>
      <c r="H1076" s="39">
        <f t="shared" si="60"/>
        <v>24.980829015544039</v>
      </c>
      <c r="I1076" s="39"/>
      <c r="J1076" s="40"/>
    </row>
    <row r="1077" spans="2:10" s="1" customFormat="1" ht="13.2" x14ac:dyDescent="0.25">
      <c r="B1077" s="107"/>
      <c r="C1077" s="38"/>
      <c r="D1077" s="59"/>
      <c r="E1077" s="39"/>
      <c r="F1077" s="39"/>
      <c r="G1077" s="39"/>
      <c r="H1077" s="39"/>
      <c r="I1077" s="39"/>
      <c r="J1077" s="40"/>
    </row>
    <row r="1078" spans="2:10" s="1" customFormat="1" ht="13.2" x14ac:dyDescent="0.25">
      <c r="B1078" s="107"/>
      <c r="C1078" s="42" t="s">
        <v>226</v>
      </c>
      <c r="D1078" s="59"/>
      <c r="E1078" s="39"/>
      <c r="F1078" s="39"/>
      <c r="G1078" s="39"/>
      <c r="H1078" s="39"/>
      <c r="I1078" s="39"/>
      <c r="J1078" s="40"/>
    </row>
    <row r="1079" spans="2:10" s="1" customFormat="1" ht="13.2" x14ac:dyDescent="0.25">
      <c r="B1079" s="107"/>
      <c r="C1079" s="38" t="s">
        <v>658</v>
      </c>
      <c r="D1079" s="39">
        <v>1</v>
      </c>
      <c r="E1079" s="39">
        <v>80</v>
      </c>
      <c r="F1079" s="39">
        <f>86.63/5.75</f>
        <v>15.066086956521739</v>
      </c>
      <c r="G1079" s="39"/>
      <c r="H1079" s="39">
        <f t="shared" ref="H1079" si="62">IF(AND(F1079=0,G1079=0),D1079*E1079,IF(AND(E1079=0,G1079=0),D1079*F1079,IF(AND(E1079=0,F1079=0),D1079*G1079,IF(AND(E1079=0),D1079*F1079*G1079,IF(AND(F1079=0),D1079*E1079*G1079,IF(AND(G1079=0),D1079*E1079*F1079,D1079*E1079*F1079*G1079))))))</f>
        <v>1205.2869565217391</v>
      </c>
      <c r="I1079" s="39"/>
      <c r="J1079" s="40"/>
    </row>
    <row r="1080" spans="2:10" s="1" customFormat="1" ht="13.2" x14ac:dyDescent="0.25">
      <c r="B1080" s="107"/>
      <c r="C1080" s="101"/>
      <c r="D1080" s="59"/>
      <c r="E1080" s="39"/>
      <c r="F1080" s="39"/>
      <c r="G1080" s="39"/>
      <c r="H1080" s="39"/>
      <c r="I1080" s="39"/>
      <c r="J1080" s="40"/>
    </row>
    <row r="1081" spans="2:10" s="1" customFormat="1" ht="13.2" x14ac:dyDescent="0.25">
      <c r="B1081" s="24" t="s">
        <v>561</v>
      </c>
      <c r="C1081" s="27" t="s">
        <v>356</v>
      </c>
      <c r="D1081" s="59"/>
      <c r="E1081" s="39"/>
      <c r="F1081" s="39"/>
      <c r="G1081" s="39"/>
      <c r="H1081" s="39"/>
      <c r="I1081" s="39">
        <f>+SUM(H1082:H1087)</f>
        <v>3.6150000000000002</v>
      </c>
      <c r="J1081" s="40" t="s">
        <v>337</v>
      </c>
    </row>
    <row r="1082" spans="2:10" s="1" customFormat="1" ht="13.2" x14ac:dyDescent="0.25">
      <c r="B1082" s="45"/>
      <c r="C1082" s="38" t="s">
        <v>490</v>
      </c>
      <c r="D1082" s="39">
        <v>2</v>
      </c>
      <c r="E1082" s="39">
        <v>7.5</v>
      </c>
      <c r="F1082" s="39">
        <v>0.1</v>
      </c>
      <c r="G1082" s="39">
        <v>0.28000000000000003</v>
      </c>
      <c r="H1082" s="39">
        <f t="shared" ref="H1082:H1087" si="63">IF(AND(F1082=0,G1082=0),D1082*E1082,IF(AND(E1082=0,G1082=0),D1082*F1082,IF(AND(E1082=0,F1082=0),D1082*G1082,IF(AND(E1082=0),D1082*F1082*G1082,IF(AND(F1082=0),D1082*E1082*G1082,IF(AND(G1082=0),D1082*E1082*F1082,D1082*E1082*F1082*G1082))))))</f>
        <v>0.42000000000000004</v>
      </c>
      <c r="I1082" s="39"/>
      <c r="J1082" s="40"/>
    </row>
    <row r="1083" spans="2:10" s="1" customFormat="1" ht="13.2" x14ac:dyDescent="0.25">
      <c r="B1083" s="45"/>
      <c r="D1083" s="59">
        <v>1</v>
      </c>
      <c r="E1083" s="39">
        <v>7.5</v>
      </c>
      <c r="F1083" s="39">
        <v>0.5</v>
      </c>
      <c r="G1083" s="39">
        <v>0.1</v>
      </c>
      <c r="H1083" s="39">
        <f t="shared" si="63"/>
        <v>0.375</v>
      </c>
      <c r="I1083" s="39"/>
      <c r="J1083" s="40"/>
    </row>
    <row r="1084" spans="2:10" s="1" customFormat="1" ht="13.2" x14ac:dyDescent="0.25">
      <c r="B1084" s="45"/>
      <c r="C1084" s="38" t="s">
        <v>652</v>
      </c>
      <c r="D1084" s="39">
        <v>2</v>
      </c>
      <c r="E1084" s="39">
        <v>1.2</v>
      </c>
      <c r="F1084" s="39">
        <v>0.15</v>
      </c>
      <c r="G1084" s="39">
        <v>1.25</v>
      </c>
      <c r="H1084" s="39">
        <f t="shared" si="63"/>
        <v>0.44999999999999996</v>
      </c>
      <c r="I1084" s="39"/>
      <c r="J1084" s="40"/>
    </row>
    <row r="1085" spans="2:10" s="1" customFormat="1" ht="13.2" x14ac:dyDescent="0.25">
      <c r="B1085" s="45"/>
      <c r="C1085" s="38"/>
      <c r="D1085" s="39">
        <v>2</v>
      </c>
      <c r="E1085" s="39">
        <v>6</v>
      </c>
      <c r="F1085" s="39">
        <v>0.15</v>
      </c>
      <c r="G1085" s="39">
        <v>1.25</v>
      </c>
      <c r="H1085" s="39">
        <f t="shared" si="63"/>
        <v>2.25</v>
      </c>
      <c r="I1085" s="39"/>
      <c r="J1085" s="40"/>
    </row>
    <row r="1086" spans="2:10" s="1" customFormat="1" ht="13.2" x14ac:dyDescent="0.25">
      <c r="B1086" s="45"/>
      <c r="C1086" s="38" t="s">
        <v>653</v>
      </c>
      <c r="D1086" s="39">
        <v>2</v>
      </c>
      <c r="E1086" s="39">
        <v>0.8</v>
      </c>
      <c r="F1086" s="39">
        <v>0.1</v>
      </c>
      <c r="G1086" s="39">
        <v>0.5</v>
      </c>
      <c r="H1086" s="39">
        <f t="shared" si="63"/>
        <v>8.0000000000000016E-2</v>
      </c>
      <c r="I1086" s="39"/>
      <c r="J1086" s="40"/>
    </row>
    <row r="1087" spans="2:10" s="1" customFormat="1" ht="13.2" x14ac:dyDescent="0.25">
      <c r="B1087" s="45"/>
      <c r="C1087" s="58"/>
      <c r="D1087" s="59">
        <v>2</v>
      </c>
      <c r="E1087" s="39">
        <v>0.4</v>
      </c>
      <c r="F1087" s="39">
        <v>0.1</v>
      </c>
      <c r="G1087" s="39">
        <v>0.5</v>
      </c>
      <c r="H1087" s="39">
        <f t="shared" si="63"/>
        <v>4.0000000000000008E-2</v>
      </c>
      <c r="I1087" s="39"/>
      <c r="J1087" s="40"/>
    </row>
    <row r="1088" spans="2:10" s="1" customFormat="1" ht="13.2" x14ac:dyDescent="0.25">
      <c r="B1088" s="24" t="s">
        <v>562</v>
      </c>
      <c r="C1088" s="27" t="s">
        <v>357</v>
      </c>
      <c r="D1088" s="59" t="s">
        <v>574</v>
      </c>
      <c r="E1088" s="39"/>
      <c r="F1088" s="39"/>
      <c r="G1088" s="39"/>
      <c r="H1088" s="39"/>
      <c r="I1088" s="39">
        <f>+SUM(H1089:H1100)</f>
        <v>16.062830090855091</v>
      </c>
      <c r="J1088" s="40" t="s">
        <v>337</v>
      </c>
    </row>
    <row r="1089" spans="2:10" s="1" customFormat="1" ht="13.2" x14ac:dyDescent="0.25">
      <c r="B1089" s="90"/>
      <c r="C1089" s="38" t="s">
        <v>490</v>
      </c>
      <c r="D1089" s="39">
        <v>1.25</v>
      </c>
      <c r="E1089" s="39">
        <v>7.5</v>
      </c>
      <c r="F1089" s="39">
        <v>0.5</v>
      </c>
      <c r="G1089" s="39">
        <f>0.28+0.2</f>
        <v>0.48000000000000004</v>
      </c>
      <c r="H1089" s="39">
        <f>IF(AND(F1089=0,G1089=0),D1089*E1089,IF(AND(E1089=0,G1089=0),D1089*F1089,IF(AND(E1089=0,F1089=0),D1089*G1089,IF(AND(E1089=0),D1089*F1089*G1089,IF(AND(F1089=0),D1089*E1089*G1089,IF(AND(G1089=0),D1089*E1089*F1089,D1089*E1089*F1089*G1089))))))</f>
        <v>2.25</v>
      </c>
      <c r="I1089" s="39"/>
      <c r="J1089" s="40"/>
    </row>
    <row r="1090" spans="2:10" s="1" customFormat="1" ht="13.2" x14ac:dyDescent="0.25">
      <c r="B1090" s="90"/>
      <c r="C1090" s="38" t="s">
        <v>652</v>
      </c>
      <c r="D1090" s="39">
        <v>1.25</v>
      </c>
      <c r="E1090" s="39">
        <v>0.9</v>
      </c>
      <c r="F1090" s="39">
        <v>1.2</v>
      </c>
      <c r="G1090" s="39">
        <f>1.1+0.25</f>
        <v>1.35</v>
      </c>
      <c r="H1090" s="39">
        <f>IF(AND(F1090=0,G1090=0),D1090*E1090,IF(AND(E1090=0,G1090=0),D1090*F1090,IF(AND(E1090=0,F1090=0),D1090*G1090,IF(AND(E1090=0),D1090*F1090*G1090,IF(AND(F1090=0),D1090*E1090*G1090,IF(AND(G1090=0),D1090*E1090*F1090,D1090*E1090*F1090*G1090))))))</f>
        <v>1.8225</v>
      </c>
      <c r="I1090" s="39"/>
      <c r="J1090" s="40"/>
    </row>
    <row r="1091" spans="2:10" s="1" customFormat="1" ht="13.2" x14ac:dyDescent="0.25">
      <c r="B1091" s="90"/>
      <c r="C1091" s="38" t="s">
        <v>653</v>
      </c>
      <c r="D1091" s="39">
        <v>1.25</v>
      </c>
      <c r="E1091" s="39">
        <v>0.6</v>
      </c>
      <c r="F1091" s="39">
        <v>0.8</v>
      </c>
      <c r="G1091" s="39">
        <f>0.4+0.2</f>
        <v>0.60000000000000009</v>
      </c>
      <c r="H1091" s="39">
        <f>IF(AND(F1091=0,G1091=0),D1091*E1091,IF(AND(E1091=0,G1091=0),D1091*F1091,IF(AND(E1091=0,F1091=0),D1091*G1091,IF(AND(E1091=0),D1091*F1091*G1091,IF(AND(F1091=0),D1091*E1091*G1091,IF(AND(G1091=0),D1091*E1091*F1091,D1091*E1091*F1091*G1091))))))</f>
        <v>0.3600000000000001</v>
      </c>
      <c r="I1091" s="39"/>
      <c r="J1091" s="40"/>
    </row>
    <row r="1092" spans="2:10" s="1" customFormat="1" ht="13.2" x14ac:dyDescent="0.25">
      <c r="B1092" s="45"/>
      <c r="C1092" s="42" t="s">
        <v>636</v>
      </c>
      <c r="D1092" s="59"/>
      <c r="E1092" s="39"/>
      <c r="F1092" s="39"/>
      <c r="G1092" s="39"/>
      <c r="H1092" s="39"/>
      <c r="I1092" s="39"/>
      <c r="J1092" s="40"/>
    </row>
    <row r="1093" spans="2:10" s="1" customFormat="1" ht="13.2" x14ac:dyDescent="0.25">
      <c r="B1093" s="45"/>
      <c r="F1093" s="39" t="s">
        <v>485</v>
      </c>
      <c r="G1093" s="39">
        <v>4</v>
      </c>
      <c r="I1093" s="39"/>
      <c r="J1093" s="40"/>
    </row>
    <row r="1094" spans="2:10" s="1" customFormat="1" ht="13.2" x14ac:dyDescent="0.25">
      <c r="B1094" s="45"/>
      <c r="C1094" s="38" t="s">
        <v>569</v>
      </c>
      <c r="D1094" s="59">
        <v>1.25</v>
      </c>
      <c r="E1094" s="39">
        <f>+E1042</f>
        <v>17.45</v>
      </c>
      <c r="F1094" s="39" t="s">
        <v>570</v>
      </c>
      <c r="G1094" s="106">
        <f>+PI()*((G1093*0.0254)^2)/4</f>
        <v>8.107319665559963E-3</v>
      </c>
      <c r="H1094" s="39">
        <f>+D1094*E1094*G1094</f>
        <v>0.17684091020502668</v>
      </c>
      <c r="I1094" s="39"/>
      <c r="J1094" s="40"/>
    </row>
    <row r="1095" spans="2:10" s="1" customFormat="1" ht="13.2" x14ac:dyDescent="0.25">
      <c r="B1095" s="45"/>
      <c r="C1095" s="42" t="s">
        <v>222</v>
      </c>
      <c r="D1095" s="59"/>
      <c r="E1095" s="39"/>
      <c r="F1095" s="39"/>
      <c r="G1095" s="39"/>
      <c r="H1095" s="39"/>
      <c r="I1095" s="39"/>
      <c r="J1095" s="40"/>
    </row>
    <row r="1096" spans="2:10" s="1" customFormat="1" ht="13.2" x14ac:dyDescent="0.25">
      <c r="B1096" s="45"/>
      <c r="F1096" s="39" t="s">
        <v>485</v>
      </c>
      <c r="G1096" s="39">
        <v>10</v>
      </c>
      <c r="I1096" s="39"/>
      <c r="J1096" s="40"/>
    </row>
    <row r="1097" spans="2:10" s="1" customFormat="1" ht="13.2" x14ac:dyDescent="0.25">
      <c r="B1097" s="45"/>
      <c r="C1097" s="38" t="s">
        <v>569</v>
      </c>
      <c r="D1097" s="59">
        <v>1.25</v>
      </c>
      <c r="E1097" s="39">
        <f>+E1046</f>
        <v>24.03</v>
      </c>
      <c r="F1097" s="39" t="s">
        <v>570</v>
      </c>
      <c r="G1097" s="39">
        <f>+PI()*((G1096*0.0254)^2)/4</f>
        <v>5.0670747909749778E-2</v>
      </c>
      <c r="H1097" s="39">
        <f>+D1097*E1097*G1097</f>
        <v>1.5220225903391089</v>
      </c>
      <c r="I1097" s="39"/>
      <c r="J1097" s="40"/>
    </row>
    <row r="1098" spans="2:10" s="1" customFormat="1" ht="13.2" x14ac:dyDescent="0.25">
      <c r="B1098" s="45"/>
      <c r="C1098" s="42" t="s">
        <v>226</v>
      </c>
      <c r="D1098" s="59"/>
      <c r="E1098" s="39"/>
      <c r="F1098" s="39"/>
      <c r="G1098" s="39"/>
      <c r="H1098" s="39"/>
      <c r="I1098" s="39"/>
      <c r="J1098" s="40"/>
    </row>
    <row r="1099" spans="2:10" s="1" customFormat="1" ht="13.2" x14ac:dyDescent="0.25">
      <c r="B1099" s="45"/>
      <c r="F1099" s="39" t="s">
        <v>485</v>
      </c>
      <c r="G1099" s="39">
        <v>14</v>
      </c>
      <c r="I1099" s="39"/>
      <c r="J1099" s="40"/>
    </row>
    <row r="1100" spans="2:10" s="1" customFormat="1" ht="13.2" x14ac:dyDescent="0.25">
      <c r="B1100" s="45"/>
      <c r="C1100" s="38" t="s">
        <v>569</v>
      </c>
      <c r="D1100" s="59">
        <v>1.25</v>
      </c>
      <c r="E1100" s="39">
        <f>+E1050</f>
        <v>80</v>
      </c>
      <c r="F1100" s="39" t="s">
        <v>570</v>
      </c>
      <c r="G1100" s="39">
        <f>+PI()*((G1099*0.0254)^2)/4</f>
        <v>9.9314665903109542E-2</v>
      </c>
      <c r="H1100" s="39">
        <f>+D1100*E1100*G1100</f>
        <v>9.9314665903109542</v>
      </c>
      <c r="I1100" s="39"/>
      <c r="J1100" s="40"/>
    </row>
    <row r="1101" spans="2:10" s="1" customFormat="1" ht="13.2" x14ac:dyDescent="0.25">
      <c r="B1101" s="45"/>
      <c r="C1101" s="38"/>
      <c r="E1101" s="75"/>
      <c r="F1101" s="39"/>
      <c r="G1101" s="39"/>
      <c r="H1101" s="39"/>
      <c r="I1101" s="39"/>
      <c r="J1101" s="40"/>
    </row>
    <row r="1102" spans="2:10" s="1" customFormat="1" ht="13.2" x14ac:dyDescent="0.25">
      <c r="B1102" s="24" t="s">
        <v>563</v>
      </c>
      <c r="C1102" s="27" t="s">
        <v>358</v>
      </c>
      <c r="D1102" s="59"/>
      <c r="E1102" s="39"/>
      <c r="F1102" s="39"/>
      <c r="G1102" s="39"/>
      <c r="H1102" s="39"/>
      <c r="I1102" s="39">
        <f>+I1088</f>
        <v>16.062830090855091</v>
      </c>
      <c r="J1102" s="40" t="s">
        <v>337</v>
      </c>
    </row>
    <row r="1103" spans="2:10" s="1" customFormat="1" ht="13.2" x14ac:dyDescent="0.25">
      <c r="B1103" s="45"/>
      <c r="C1103" s="38"/>
      <c r="E1103" s="75"/>
      <c r="F1103" s="39"/>
      <c r="G1103" s="39"/>
      <c r="H1103" s="39"/>
      <c r="I1103" s="39"/>
      <c r="J1103" s="40"/>
    </row>
    <row r="1104" spans="2:10" x14ac:dyDescent="0.3">
      <c r="B1104" s="72" t="s">
        <v>365</v>
      </c>
      <c r="C1104" s="73" t="s">
        <v>360</v>
      </c>
      <c r="D1104" s="22"/>
      <c r="E1104" s="22"/>
      <c r="F1104" s="22"/>
      <c r="G1104" s="22"/>
      <c r="H1104" s="23"/>
      <c r="I1104" s="24"/>
      <c r="J1104" s="25"/>
    </row>
    <row r="1105" spans="2:12" s="1" customFormat="1" ht="13.2" x14ac:dyDescent="0.25">
      <c r="B1105" s="42" t="s">
        <v>366</v>
      </c>
      <c r="C1105" s="24" t="s">
        <v>362</v>
      </c>
      <c r="D1105" s="59"/>
      <c r="E1105" s="39"/>
      <c r="F1105" s="39"/>
      <c r="G1105" s="39"/>
      <c r="H1105" s="39"/>
      <c r="I1105" s="43">
        <f>+SUM(H1106:H1106)</f>
        <v>3.75</v>
      </c>
      <c r="J1105" s="44" t="s">
        <v>333</v>
      </c>
    </row>
    <row r="1106" spans="2:12" s="1" customFormat="1" ht="13.2" x14ac:dyDescent="0.25">
      <c r="B1106" s="24"/>
      <c r="C1106" s="38" t="s">
        <v>490</v>
      </c>
      <c r="D1106" s="39">
        <v>1</v>
      </c>
      <c r="E1106" s="39">
        <v>7.5</v>
      </c>
      <c r="F1106" s="39">
        <v>0.5</v>
      </c>
      <c r="G1106" s="39"/>
      <c r="H1106" s="39">
        <f>IF(AND(F1106=0,G1106=0),D1106*E1106,IF(AND(E1106=0,G1106=0),D1106*F1106,IF(AND(E1106=0,F1106=0),D1106*G1106,IF(AND(E1106=0),D1106*F1106*G1106,IF(AND(F1106=0),D1106*E1106*G1106,IF(AND(G1106=0),D1106*E1106*F1106,D1106*E1106*F1106*G1106))))))</f>
        <v>3.75</v>
      </c>
      <c r="I1106" s="39"/>
      <c r="J1106" s="40"/>
    </row>
    <row r="1107" spans="2:12" s="1" customFormat="1" ht="13.2" x14ac:dyDescent="0.25">
      <c r="B1107" s="42" t="s">
        <v>367</v>
      </c>
      <c r="C1107" s="24" t="s">
        <v>364</v>
      </c>
      <c r="D1107" s="59"/>
      <c r="E1107" s="39"/>
      <c r="F1107" s="39"/>
      <c r="G1107" s="39"/>
      <c r="H1107" s="39"/>
      <c r="I1107" s="43">
        <f>+SUM(H1108:H1109)</f>
        <v>1.56</v>
      </c>
      <c r="J1107" s="44" t="s">
        <v>333</v>
      </c>
    </row>
    <row r="1108" spans="2:12" s="1" customFormat="1" ht="13.2" x14ac:dyDescent="0.25">
      <c r="B1108" s="56"/>
      <c r="C1108" s="38" t="s">
        <v>652</v>
      </c>
      <c r="D1108" s="39">
        <v>1</v>
      </c>
      <c r="E1108" s="39">
        <v>0.9</v>
      </c>
      <c r="F1108" s="39">
        <v>1.2</v>
      </c>
      <c r="G1108" s="39"/>
      <c r="H1108" s="39">
        <f>IF(AND(F1108=0,G1108=0),D1108*E1108,IF(AND(E1108=0,G1108=0),D1108*F1108,IF(AND(E1108=0,F1108=0),D1108*G1108,IF(AND(E1108=0),D1108*F1108*G1108,IF(AND(F1108=0),D1108*E1108*G1108,IF(AND(G1108=0),D1108*E1108*F1108,D1108*E1108*F1108*G1108))))))</f>
        <v>1.08</v>
      </c>
      <c r="I1108" s="39"/>
      <c r="J1108" s="40"/>
    </row>
    <row r="1109" spans="2:12" s="1" customFormat="1" ht="13.2" x14ac:dyDescent="0.25">
      <c r="B1109" s="56"/>
      <c r="C1109" s="38" t="s">
        <v>653</v>
      </c>
      <c r="D1109" s="39">
        <v>1</v>
      </c>
      <c r="E1109" s="39">
        <v>0.6</v>
      </c>
      <c r="F1109" s="39">
        <v>0.8</v>
      </c>
      <c r="G1109" s="39"/>
      <c r="H1109" s="39">
        <f>IF(AND(F1109=0,G1109=0),D1109*E1109,IF(AND(E1109=0,G1109=0),D1109*F1109,IF(AND(E1109=0,F1109=0),D1109*G1109,IF(AND(E1109=0),D1109*F1109*G1109,IF(AND(F1109=0),D1109*E1109*G1109,IF(AND(G1109=0),D1109*E1109*F1109,D1109*E1109*F1109*G1109))))))</f>
        <v>0.48</v>
      </c>
      <c r="I1109" s="39"/>
      <c r="J1109" s="40"/>
    </row>
    <row r="1110" spans="2:12" s="1" customFormat="1" ht="13.2" x14ac:dyDescent="0.25">
      <c r="B1110" s="69"/>
      <c r="C1110" s="38"/>
      <c r="D1110" s="59"/>
      <c r="E1110" s="39"/>
      <c r="F1110" s="39"/>
      <c r="G1110" s="39"/>
      <c r="H1110" s="39"/>
      <c r="I1110" s="39"/>
      <c r="J1110" s="40"/>
    </row>
    <row r="1111" spans="2:12" x14ac:dyDescent="0.3">
      <c r="B1111" s="72" t="s">
        <v>368</v>
      </c>
      <c r="C1111" s="73" t="s">
        <v>202</v>
      </c>
      <c r="D1111" s="22"/>
      <c r="E1111" s="22"/>
      <c r="F1111" s="22"/>
      <c r="G1111" s="22"/>
      <c r="H1111" s="23"/>
      <c r="I1111" s="24"/>
      <c r="J1111" s="25"/>
      <c r="L1111" s="51"/>
    </row>
    <row r="1112" spans="2:12" s="1" customFormat="1" ht="13.2" x14ac:dyDescent="0.25">
      <c r="B1112" s="42" t="s">
        <v>373</v>
      </c>
      <c r="C1112" s="42" t="s">
        <v>393</v>
      </c>
      <c r="D1112" s="59"/>
      <c r="E1112" s="39"/>
      <c r="F1112" s="39"/>
      <c r="G1112" s="39"/>
      <c r="H1112" s="39"/>
      <c r="I1112" s="43">
        <f>+SUM(H1113:H1113)</f>
        <v>1</v>
      </c>
      <c r="J1112" s="44" t="s">
        <v>102</v>
      </c>
    </row>
    <row r="1113" spans="2:12" s="1" customFormat="1" ht="13.2" x14ac:dyDescent="0.25">
      <c r="B1113" s="114"/>
      <c r="C1113" s="38" t="s">
        <v>652</v>
      </c>
      <c r="D1113" s="39">
        <v>1</v>
      </c>
      <c r="E1113" s="39">
        <v>1</v>
      </c>
      <c r="F1113" s="39"/>
      <c r="G1113" s="39"/>
      <c r="H1113" s="39">
        <f t="shared" ref="H1113" si="64">IF(AND(F1113=0,G1113=0),D1113*E1113,IF(AND(E1113=0,G1113=0),D1113*F1113,IF(AND(E1113=0,F1113=0),D1113*G1113,IF(AND(E1113=0),D1113*F1113*G1113,IF(AND(F1113=0),D1113*E1113*G1113,IF(AND(G1113=0),D1113*E1113*F1113,D1113*E1113*F1113*G1113))))))</f>
        <v>1</v>
      </c>
      <c r="I1113" s="39"/>
      <c r="J1113" s="40"/>
    </row>
    <row r="1114" spans="2:12" s="1" customFormat="1" ht="13.2" x14ac:dyDescent="0.25">
      <c r="B1114" s="42" t="s">
        <v>380</v>
      </c>
      <c r="C1114" s="42" t="s">
        <v>636</v>
      </c>
      <c r="D1114" s="59"/>
      <c r="E1114" s="39"/>
      <c r="F1114" s="39"/>
      <c r="G1114" s="39"/>
      <c r="H1114" s="39"/>
      <c r="I1114" s="43">
        <f>SUM(H1115:H1115)</f>
        <v>17.45</v>
      </c>
      <c r="J1114" s="44" t="str">
        <f>+J1115</f>
        <v>ml</v>
      </c>
    </row>
    <row r="1115" spans="2:12" s="1" customFormat="1" ht="13.2" x14ac:dyDescent="0.25">
      <c r="B1115" s="114"/>
      <c r="C1115" s="38" t="s">
        <v>654</v>
      </c>
      <c r="D1115" s="39">
        <v>1</v>
      </c>
      <c r="E1115" s="39">
        <v>17.45</v>
      </c>
      <c r="F1115" s="39"/>
      <c r="G1115" s="39"/>
      <c r="H1115" s="39">
        <f>IF(AND(F1115=0,G1115=0),D1115*E1115,IF(AND(E1115=0,G1115=0),D1115*F1115,IF(AND(E1115=0,F1115=0),D1115*G1115,IF(AND(E1115=0),D1115*F1115*G1115,IF(AND(F1115=0),D1115*E1115*G1115,IF(AND(G1115=0),D1115*E1115*F1115,D1115*E1115*F1115*G1115))))))</f>
        <v>17.45</v>
      </c>
      <c r="I1115" s="39"/>
      <c r="J1115" s="40" t="str">
        <f>IF(AND(E1115=0,F1115&lt;&gt;0,G1115&lt;&gt;0),"m2",IF(AND(F1115=0,E1115&lt;&gt;0,G1115&lt;&gt;0),"m2",IF(AND(G1115=0,E1115&lt;&gt;0,F1115&lt;&gt;0),"m2",IF(AND(F1115=0,G1115=0),"ml",IF(AND(E1115=0,G1115=0),"ml",IF(AND(E1115=0,F1115=0),"ml",IF(AND(E1115&lt;&gt;0,F1115&lt;&gt;0,G1115&lt;&gt;0),"m3",0)))))))</f>
        <v>ml</v>
      </c>
    </row>
    <row r="1116" spans="2:12" s="1" customFormat="1" ht="13.2" x14ac:dyDescent="0.25">
      <c r="B1116" s="42" t="s">
        <v>384</v>
      </c>
      <c r="C1116" s="42" t="s">
        <v>406</v>
      </c>
      <c r="D1116" s="59"/>
      <c r="E1116" s="39"/>
      <c r="F1116" s="39"/>
      <c r="G1116" s="39"/>
      <c r="H1116" s="39"/>
      <c r="I1116" s="43">
        <f>SUM(H1117)</f>
        <v>1</v>
      </c>
      <c r="J1116" s="44" t="s">
        <v>30</v>
      </c>
    </row>
    <row r="1117" spans="2:12" s="1" customFormat="1" ht="13.2" x14ac:dyDescent="0.25">
      <c r="B1117" s="114"/>
      <c r="C1117" s="38" t="s">
        <v>653</v>
      </c>
      <c r="D1117" s="39">
        <v>1</v>
      </c>
      <c r="E1117" s="39"/>
      <c r="F1117" s="39"/>
      <c r="G1117" s="39"/>
      <c r="H1117" s="39">
        <f>+D1117</f>
        <v>1</v>
      </c>
      <c r="I1117" s="39"/>
      <c r="J1117" s="40"/>
    </row>
    <row r="1118" spans="2:12" s="1" customFormat="1" ht="13.2" x14ac:dyDescent="0.25">
      <c r="B1118" s="24" t="s">
        <v>388</v>
      </c>
      <c r="C1118" s="27" t="s">
        <v>624</v>
      </c>
      <c r="D1118" s="59"/>
      <c r="E1118" s="39"/>
      <c r="F1118" s="39"/>
      <c r="G1118" s="39"/>
      <c r="H1118" s="39"/>
      <c r="I1118" s="43">
        <f>SUM(H1119)</f>
        <v>1</v>
      </c>
      <c r="J1118" s="44" t="s">
        <v>30</v>
      </c>
    </row>
    <row r="1119" spans="2:12" s="1" customFormat="1" ht="13.2" x14ac:dyDescent="0.25">
      <c r="B1119" s="42"/>
      <c r="C1119" s="38" t="s">
        <v>652</v>
      </c>
      <c r="D1119" s="39">
        <v>1</v>
      </c>
      <c r="E1119" s="39"/>
      <c r="F1119" s="39"/>
      <c r="G1119" s="39"/>
      <c r="H1119" s="39">
        <f t="shared" ref="H1119" si="65">+D1119</f>
        <v>1</v>
      </c>
      <c r="I1119" s="39"/>
      <c r="J1119" s="40"/>
    </row>
    <row r="1120" spans="2:12" s="1" customFormat="1" ht="13.2" x14ac:dyDescent="0.25">
      <c r="B1120" s="24" t="s">
        <v>394</v>
      </c>
      <c r="C1120" s="27" t="s">
        <v>411</v>
      </c>
      <c r="D1120" s="59"/>
      <c r="E1120" s="39"/>
      <c r="F1120" s="39"/>
      <c r="G1120" s="39"/>
      <c r="H1120" s="39"/>
      <c r="I1120" s="39">
        <f>+SUM(H1121:H1124)</f>
        <v>5.7800000000000011</v>
      </c>
      <c r="J1120" s="40" t="s">
        <v>333</v>
      </c>
    </row>
    <row r="1121" spans="2:10" s="1" customFormat="1" ht="13.2" x14ac:dyDescent="0.25">
      <c r="B1121" s="24"/>
      <c r="C1121" s="38" t="s">
        <v>652</v>
      </c>
      <c r="D1121" s="39">
        <v>1</v>
      </c>
      <c r="E1121" s="39">
        <v>3</v>
      </c>
      <c r="F1121" s="39"/>
      <c r="G1121" s="39">
        <f>1.1+0.2</f>
        <v>1.3</v>
      </c>
      <c r="H1121" s="39">
        <f t="shared" ref="H1121:H1124" si="66">IF(AND(F1121=0,G1121=0),D1121*E1121,IF(AND(E1121=0,G1121=0),D1121*F1121,IF(AND(E1121=0,F1121=0),D1121*G1121,IF(AND(E1121=0),D1121*F1121*G1121,IF(AND(F1121=0),D1121*E1121*G1121,IF(AND(G1121=0),D1121*E1121*F1121,D1121*E1121*F1121*G1121))))))</f>
        <v>3.9000000000000004</v>
      </c>
      <c r="I1121" s="39"/>
      <c r="J1121" s="40"/>
    </row>
    <row r="1122" spans="2:10" s="1" customFormat="1" ht="13.2" x14ac:dyDescent="0.25">
      <c r="B1122" s="24"/>
      <c r="C1122" s="38"/>
      <c r="D1122" s="39">
        <v>1</v>
      </c>
      <c r="E1122" s="39">
        <v>0.6</v>
      </c>
      <c r="F1122" s="39"/>
      <c r="G1122" s="39">
        <v>0.9</v>
      </c>
      <c r="H1122" s="39">
        <f t="shared" si="66"/>
        <v>0.54</v>
      </c>
      <c r="I1122" s="39"/>
      <c r="J1122" s="40"/>
    </row>
    <row r="1123" spans="2:10" s="1" customFormat="1" ht="13.2" x14ac:dyDescent="0.25">
      <c r="B1123" s="24"/>
      <c r="C1123" s="38" t="s">
        <v>653</v>
      </c>
      <c r="D1123" s="39">
        <v>1</v>
      </c>
      <c r="E1123" s="39">
        <f>0.8+1.2</f>
        <v>2</v>
      </c>
      <c r="F1123" s="39"/>
      <c r="G1123" s="39">
        <f>0.4+0.15</f>
        <v>0.55000000000000004</v>
      </c>
      <c r="H1123" s="39">
        <f t="shared" si="66"/>
        <v>1.1000000000000001</v>
      </c>
      <c r="I1123" s="39"/>
      <c r="J1123" s="40"/>
    </row>
    <row r="1124" spans="2:10" s="1" customFormat="1" ht="13.2" x14ac:dyDescent="0.25">
      <c r="B1124" s="24"/>
      <c r="C1124" s="58"/>
      <c r="D1124" s="59">
        <v>1</v>
      </c>
      <c r="E1124" s="39">
        <v>0.4</v>
      </c>
      <c r="F1124" s="39"/>
      <c r="G1124" s="39">
        <v>0.6</v>
      </c>
      <c r="H1124" s="39">
        <f t="shared" si="66"/>
        <v>0.24</v>
      </c>
      <c r="I1124" s="39"/>
      <c r="J1124" s="40"/>
    </row>
    <row r="1125" spans="2:10" s="1" customFormat="1" ht="13.2" x14ac:dyDescent="0.25">
      <c r="B1125" s="24" t="s">
        <v>396</v>
      </c>
      <c r="C1125" s="27" t="s">
        <v>412</v>
      </c>
      <c r="D1125" s="59"/>
      <c r="E1125" s="39"/>
      <c r="F1125" s="39"/>
      <c r="G1125" s="39"/>
      <c r="H1125" s="39"/>
      <c r="I1125" s="39">
        <f>+SUM(H1126:H1127)</f>
        <v>8.7000000000000011</v>
      </c>
      <c r="J1125" s="40" t="s">
        <v>333</v>
      </c>
    </row>
    <row r="1126" spans="2:10" s="1" customFormat="1" ht="13.2" x14ac:dyDescent="0.25">
      <c r="B1126" s="45"/>
      <c r="C1126" s="38" t="s">
        <v>490</v>
      </c>
      <c r="D1126" s="39">
        <v>2</v>
      </c>
      <c r="E1126" s="39">
        <v>7.5</v>
      </c>
      <c r="F1126" s="39"/>
      <c r="G1126" s="39">
        <f>0.28+0.15</f>
        <v>0.43000000000000005</v>
      </c>
      <c r="H1126" s="39">
        <f t="shared" ref="H1126:H1127" si="67">IF(AND(F1126=0,G1126=0),D1126*E1126,IF(AND(E1126=0,G1126=0),D1126*F1126,IF(AND(E1126=0,F1126=0),D1126*G1126,IF(AND(E1126=0),D1126*F1126*G1126,IF(AND(F1126=0),D1126*E1126*G1126,IF(AND(G1126=0),D1126*E1126*F1126,D1126*E1126*F1126*G1126))))))</f>
        <v>6.4500000000000011</v>
      </c>
      <c r="I1126" s="39"/>
      <c r="J1126" s="40"/>
    </row>
    <row r="1127" spans="2:10" s="1" customFormat="1" ht="13.2" x14ac:dyDescent="0.25">
      <c r="B1127" s="45"/>
      <c r="D1127" s="59">
        <v>1</v>
      </c>
      <c r="E1127" s="39">
        <v>7.5</v>
      </c>
      <c r="F1127" s="39"/>
      <c r="G1127" s="39">
        <v>0.3</v>
      </c>
      <c r="H1127" s="39">
        <f t="shared" si="67"/>
        <v>2.25</v>
      </c>
      <c r="I1127" s="39"/>
      <c r="J1127" s="40"/>
    </row>
    <row r="1128" spans="2:10" s="1" customFormat="1" ht="13.2" x14ac:dyDescent="0.25">
      <c r="B1128" s="45"/>
      <c r="C1128" s="58"/>
      <c r="D1128" s="59"/>
      <c r="E1128" s="39"/>
      <c r="F1128" s="39"/>
      <c r="G1128" s="39"/>
      <c r="H1128" s="39"/>
      <c r="I1128" s="39"/>
      <c r="J1128" s="40"/>
    </row>
    <row r="1129" spans="2:10" s="1" customFormat="1" ht="13.2" x14ac:dyDescent="0.25">
      <c r="B1129" s="56" t="s">
        <v>413</v>
      </c>
      <c r="C1129" s="57" t="s">
        <v>234</v>
      </c>
      <c r="D1129" s="59"/>
      <c r="E1129" s="39"/>
      <c r="F1129" s="39"/>
      <c r="G1129" s="39"/>
      <c r="H1129" s="39"/>
      <c r="I1129" s="39"/>
      <c r="J1129" s="40"/>
    </row>
    <row r="1130" spans="2:10" s="1" customFormat="1" ht="14.25" customHeight="1" x14ac:dyDescent="0.25">
      <c r="B1130" s="42" t="s">
        <v>414</v>
      </c>
      <c r="C1130" s="42" t="s">
        <v>422</v>
      </c>
      <c r="D1130" s="59"/>
      <c r="E1130" s="39"/>
      <c r="F1130" s="39"/>
      <c r="G1130" s="39"/>
      <c r="H1130" s="39"/>
      <c r="I1130" s="43">
        <f>+SUM(H1131:H1133)</f>
        <v>18</v>
      </c>
      <c r="J1130" s="44" t="s">
        <v>30</v>
      </c>
    </row>
    <row r="1131" spans="2:10" s="1" customFormat="1" ht="14.25" customHeight="1" x14ac:dyDescent="0.25">
      <c r="B1131" s="45"/>
      <c r="C1131" s="58" t="s">
        <v>644</v>
      </c>
      <c r="D1131" s="59">
        <v>4</v>
      </c>
      <c r="E1131" s="39">
        <v>1</v>
      </c>
      <c r="F1131" s="39"/>
      <c r="G1131" s="39"/>
      <c r="H1131" s="39">
        <f t="shared" ref="H1131:H1132" si="68">+D1131</f>
        <v>4</v>
      </c>
      <c r="I1131" s="39"/>
      <c r="J1131" s="40"/>
    </row>
    <row r="1132" spans="2:10" s="1" customFormat="1" ht="14.25" customHeight="1" x14ac:dyDescent="0.25">
      <c r="B1132" s="45"/>
      <c r="C1132" s="58"/>
      <c r="D1132" s="59">
        <v>4</v>
      </c>
      <c r="E1132" s="39">
        <v>1</v>
      </c>
      <c r="F1132" s="39"/>
      <c r="G1132" s="39"/>
      <c r="H1132" s="39">
        <f t="shared" si="68"/>
        <v>4</v>
      </c>
      <c r="I1132" s="39"/>
      <c r="J1132" s="40"/>
    </row>
    <row r="1133" spans="2:10" s="1" customFormat="1" ht="13.2" x14ac:dyDescent="0.25">
      <c r="B1133" s="45"/>
      <c r="C1133" s="38" t="s">
        <v>472</v>
      </c>
      <c r="D1133" s="59">
        <f>5*2</f>
        <v>10</v>
      </c>
      <c r="E1133" s="39"/>
      <c r="F1133" s="39"/>
      <c r="G1133" s="39"/>
      <c r="H1133" s="39">
        <f>+D1133</f>
        <v>10</v>
      </c>
      <c r="I1133" s="39"/>
      <c r="J1133" s="40"/>
    </row>
    <row r="1134" spans="2:10" s="1" customFormat="1" ht="13.2" x14ac:dyDescent="0.25">
      <c r="B1134" s="42" t="s">
        <v>417</v>
      </c>
      <c r="C1134" s="27" t="s">
        <v>646</v>
      </c>
      <c r="D1134" s="59"/>
      <c r="E1134" s="39"/>
      <c r="F1134" s="39"/>
      <c r="G1134" s="39"/>
      <c r="H1134" s="39"/>
      <c r="I1134" s="43">
        <f>+SUM(H1135:H1136)</f>
        <v>2</v>
      </c>
      <c r="J1134" s="44" t="s">
        <v>30</v>
      </c>
    </row>
    <row r="1135" spans="2:10" s="1" customFormat="1" ht="13.2" x14ac:dyDescent="0.25">
      <c r="B1135" s="45"/>
      <c r="C1135" s="38" t="s">
        <v>660</v>
      </c>
      <c r="D1135" s="59">
        <v>1</v>
      </c>
      <c r="E1135" s="39"/>
      <c r="F1135" s="39"/>
      <c r="G1135" s="39"/>
      <c r="H1135" s="39">
        <f>+D1135</f>
        <v>1</v>
      </c>
      <c r="I1135" s="39"/>
      <c r="J1135" s="40"/>
    </row>
    <row r="1136" spans="2:10" s="1" customFormat="1" ht="13.2" x14ac:dyDescent="0.25">
      <c r="B1136" s="45"/>
      <c r="C1136" s="58"/>
      <c r="D1136" s="59">
        <v>1</v>
      </c>
      <c r="E1136" s="39"/>
      <c r="F1136" s="39"/>
      <c r="G1136" s="39"/>
      <c r="H1136" s="39">
        <f>+D1136</f>
        <v>1</v>
      </c>
      <c r="I1136" s="39"/>
      <c r="J1136" s="40"/>
    </row>
    <row r="1137" spans="2:10" s="1" customFormat="1" ht="14.25" customHeight="1" x14ac:dyDescent="0.25">
      <c r="B1137" s="42" t="s">
        <v>420</v>
      </c>
      <c r="C1137" s="42" t="s">
        <v>661</v>
      </c>
      <c r="D1137" s="59"/>
      <c r="E1137" s="39"/>
      <c r="F1137" s="39"/>
      <c r="G1137" s="39"/>
      <c r="H1137" s="39"/>
      <c r="I1137" s="43">
        <f>+SUM(H1138:H1138)</f>
        <v>1</v>
      </c>
      <c r="J1137" s="44" t="s">
        <v>30</v>
      </c>
    </row>
    <row r="1138" spans="2:10" s="1" customFormat="1" ht="13.2" x14ac:dyDescent="0.25">
      <c r="B1138" s="45"/>
      <c r="C1138" s="38" t="s">
        <v>655</v>
      </c>
      <c r="D1138" s="59">
        <v>1</v>
      </c>
      <c r="E1138" s="39"/>
      <c r="F1138" s="39"/>
      <c r="G1138" s="39"/>
      <c r="H1138" s="39">
        <f>+D1138</f>
        <v>1</v>
      </c>
      <c r="I1138" s="39"/>
      <c r="J1138" s="40"/>
    </row>
    <row r="1139" spans="2:10" s="1" customFormat="1" ht="13.2" x14ac:dyDescent="0.25">
      <c r="B1139" s="45"/>
      <c r="C1139" s="38"/>
      <c r="D1139" s="59"/>
      <c r="E1139" s="39"/>
      <c r="F1139" s="39"/>
      <c r="G1139" s="39"/>
      <c r="H1139" s="39"/>
      <c r="I1139" s="39"/>
      <c r="J1139" s="40"/>
    </row>
    <row r="1140" spans="2:10" s="1" customFormat="1" ht="13.2" x14ac:dyDescent="0.25">
      <c r="B1140" s="42" t="s">
        <v>423</v>
      </c>
      <c r="C1140" s="42" t="s">
        <v>662</v>
      </c>
      <c r="D1140" s="59"/>
      <c r="E1140" s="39"/>
      <c r="F1140" s="39"/>
      <c r="G1140" s="39"/>
      <c r="H1140" s="39"/>
      <c r="I1140" s="43">
        <f>+SUM(H1141:H1141)</f>
        <v>1</v>
      </c>
      <c r="J1140" s="44" t="s">
        <v>30</v>
      </c>
    </row>
    <row r="1141" spans="2:10" s="1" customFormat="1" ht="13.2" x14ac:dyDescent="0.25">
      <c r="B1141" s="45"/>
      <c r="C1141" s="38" t="s">
        <v>497</v>
      </c>
      <c r="D1141" s="59">
        <v>1</v>
      </c>
      <c r="E1141" s="39"/>
      <c r="F1141" s="39"/>
      <c r="G1141" s="39"/>
      <c r="H1141" s="39">
        <f>+D1141</f>
        <v>1</v>
      </c>
      <c r="I1141" s="39"/>
      <c r="J1141" s="40"/>
    </row>
    <row r="1142" spans="2:10" s="115" customFormat="1" ht="13.2" x14ac:dyDescent="0.25">
      <c r="B1142" s="42" t="s">
        <v>427</v>
      </c>
      <c r="C1142" s="27" t="s">
        <v>649</v>
      </c>
      <c r="D1142" s="59"/>
      <c r="E1142" s="39"/>
      <c r="F1142" s="39"/>
      <c r="G1142" s="39"/>
      <c r="H1142" s="39"/>
      <c r="I1142" s="43">
        <f>+SUM(H1143:H1144)</f>
        <v>4</v>
      </c>
      <c r="J1142" s="44" t="s">
        <v>30</v>
      </c>
    </row>
    <row r="1143" spans="2:10" s="1" customFormat="1" ht="13.2" x14ac:dyDescent="0.25">
      <c r="B1143" s="45"/>
      <c r="C1143" s="58" t="s">
        <v>663</v>
      </c>
      <c r="D1143" s="59">
        <v>4</v>
      </c>
      <c r="E1143" s="39"/>
      <c r="F1143" s="39"/>
      <c r="G1143" s="39"/>
      <c r="H1143" s="39">
        <f>+D1143</f>
        <v>4</v>
      </c>
      <c r="I1143" s="39"/>
      <c r="J1143" s="40"/>
    </row>
    <row r="1144" spans="2:10" s="1" customFormat="1" ht="13.2" x14ac:dyDescent="0.25">
      <c r="B1144" s="45"/>
      <c r="C1144" s="58"/>
      <c r="D1144" s="59"/>
      <c r="E1144" s="39"/>
      <c r="F1144" s="39"/>
      <c r="G1144" s="39"/>
      <c r="H1144" s="39"/>
      <c r="I1144" s="39"/>
      <c r="J1144" s="40"/>
    </row>
    <row r="1145" spans="2:10" s="1" customFormat="1" ht="13.2" x14ac:dyDescent="0.25">
      <c r="B1145" s="42" t="s">
        <v>431</v>
      </c>
      <c r="C1145" s="27" t="s">
        <v>651</v>
      </c>
      <c r="D1145" s="59"/>
      <c r="E1145" s="39"/>
      <c r="F1145" s="39"/>
      <c r="G1145" s="39"/>
      <c r="H1145" s="39"/>
      <c r="I1145" s="43">
        <f>+SUM(H1146:H1146)</f>
        <v>4</v>
      </c>
      <c r="J1145" s="44" t="s">
        <v>30</v>
      </c>
    </row>
    <row r="1146" spans="2:10" s="1" customFormat="1" ht="13.2" x14ac:dyDescent="0.25">
      <c r="B1146" s="45"/>
      <c r="C1146" s="58" t="s">
        <v>663</v>
      </c>
      <c r="D1146" s="59">
        <v>4</v>
      </c>
      <c r="E1146" s="39"/>
      <c r="F1146" s="39"/>
      <c r="G1146" s="39"/>
      <c r="H1146" s="39">
        <f>+D1146</f>
        <v>4</v>
      </c>
      <c r="I1146" s="39"/>
      <c r="J1146" s="40"/>
    </row>
    <row r="1147" spans="2:10" s="1" customFormat="1" ht="13.2" x14ac:dyDescent="0.25">
      <c r="B1147" s="45"/>
      <c r="C1147" s="58"/>
      <c r="D1147" s="59"/>
      <c r="E1147" s="39"/>
      <c r="F1147" s="39"/>
      <c r="G1147" s="39"/>
      <c r="H1147" s="39"/>
      <c r="I1147" s="39"/>
      <c r="J1147" s="40"/>
    </row>
    <row r="1148" spans="2:10" s="1" customFormat="1" ht="13.2" x14ac:dyDescent="0.25">
      <c r="B1148" s="45"/>
      <c r="C1148" s="38"/>
      <c r="E1148" s="75"/>
      <c r="F1148" s="39"/>
      <c r="G1148" s="39"/>
      <c r="H1148" s="39"/>
      <c r="I1148" s="39"/>
      <c r="J1148" s="40"/>
    </row>
    <row r="1149" spans="2:10" s="1" customFormat="1" ht="13.2" x14ac:dyDescent="0.25">
      <c r="B1149" s="45"/>
      <c r="C1149" s="58"/>
    </row>
    <row r="1150" spans="2:10" s="1" customFormat="1" ht="13.2" x14ac:dyDescent="0.25">
      <c r="B1150" s="45"/>
      <c r="C1150" s="58"/>
      <c r="D1150" s="59"/>
      <c r="E1150" s="39"/>
      <c r="F1150" s="39"/>
      <c r="G1150" s="39"/>
      <c r="H1150" s="39"/>
      <c r="I1150" s="39"/>
      <c r="J1150" s="40"/>
    </row>
    <row r="1151" spans="2:10" s="1" customFormat="1" ht="13.2" x14ac:dyDescent="0.25">
      <c r="B1151" s="45"/>
      <c r="C1151" s="58"/>
      <c r="D1151" s="59"/>
      <c r="E1151" s="39"/>
      <c r="F1151" s="39"/>
      <c r="G1151" s="39"/>
      <c r="H1151" s="39"/>
      <c r="I1151" s="39"/>
      <c r="J1151" s="40"/>
    </row>
    <row r="1152" spans="2:10" s="1" customFormat="1" ht="13.2" x14ac:dyDescent="0.25">
      <c r="B1152" s="45"/>
      <c r="C1152" s="58"/>
      <c r="D1152" s="59"/>
      <c r="E1152" s="39"/>
      <c r="F1152" s="39"/>
      <c r="G1152" s="39"/>
      <c r="H1152" s="39"/>
      <c r="I1152" s="39"/>
      <c r="J1152" s="40"/>
    </row>
    <row r="1153" spans="2:10" s="1" customFormat="1" ht="13.2" x14ac:dyDescent="0.25">
      <c r="B1153" s="45"/>
      <c r="C1153" s="58"/>
      <c r="D1153" s="59"/>
      <c r="E1153" s="39"/>
      <c r="F1153" s="39"/>
      <c r="G1153" s="39"/>
      <c r="H1153" s="39"/>
      <c r="I1153" s="39"/>
      <c r="J1153" s="40"/>
    </row>
    <row r="1154" spans="2:10" s="1" customFormat="1" ht="13.2" x14ac:dyDescent="0.25">
      <c r="B1154" s="45"/>
      <c r="C1154" s="58"/>
      <c r="D1154" s="59"/>
      <c r="E1154" s="39"/>
      <c r="F1154" s="39"/>
      <c r="G1154" s="39"/>
      <c r="H1154" s="39"/>
      <c r="I1154" s="39"/>
      <c r="J1154" s="40"/>
    </row>
    <row r="1155" spans="2:10" s="1" customFormat="1" ht="13.2" x14ac:dyDescent="0.25">
      <c r="B1155" s="45"/>
      <c r="C1155" s="58"/>
      <c r="D1155" s="59"/>
      <c r="E1155" s="39"/>
      <c r="F1155" s="39"/>
      <c r="G1155" s="39"/>
      <c r="H1155" s="39"/>
      <c r="I1155" s="39"/>
      <c r="J1155" s="40"/>
    </row>
    <row r="1156" spans="2:10" s="1" customFormat="1" ht="13.2" x14ac:dyDescent="0.25">
      <c r="B1156" s="45"/>
      <c r="C1156" s="58"/>
      <c r="D1156" s="59"/>
      <c r="E1156" s="39"/>
      <c r="F1156" s="39"/>
      <c r="G1156" s="39"/>
      <c r="H1156" s="39"/>
      <c r="I1156" s="39"/>
      <c r="J1156" s="40"/>
    </row>
    <row r="1157" spans="2:10" s="1" customFormat="1" ht="13.2" x14ac:dyDescent="0.25">
      <c r="B1157" s="45"/>
      <c r="C1157" s="58"/>
      <c r="D1157" s="59"/>
      <c r="E1157" s="39"/>
      <c r="F1157" s="39"/>
      <c r="G1157" s="39"/>
      <c r="H1157" s="39"/>
      <c r="I1157" s="39"/>
      <c r="J1157" s="40"/>
    </row>
    <row r="1158" spans="2:10" s="1" customFormat="1" ht="13.2" x14ac:dyDescent="0.25">
      <c r="C1158" s="83" t="s">
        <v>0</v>
      </c>
      <c r="D1158" s="83"/>
      <c r="E1158" s="83"/>
      <c r="F1158" s="83"/>
      <c r="G1158" s="83"/>
      <c r="H1158" s="83"/>
    </row>
    <row r="1159" spans="2:10" s="1" customFormat="1" ht="13.2" x14ac:dyDescent="0.25">
      <c r="C1159" s="83" t="s">
        <v>1</v>
      </c>
      <c r="D1159" s="83"/>
      <c r="E1159" s="83"/>
      <c r="F1159" s="83"/>
      <c r="G1159" s="83"/>
      <c r="H1159" s="83"/>
    </row>
    <row r="1160" spans="2:10" s="1" customFormat="1" ht="13.2" x14ac:dyDescent="0.25">
      <c r="C1160" s="83" t="s">
        <v>2</v>
      </c>
      <c r="D1160" s="83"/>
      <c r="E1160" s="83"/>
      <c r="F1160" s="83"/>
      <c r="G1160" s="83"/>
      <c r="H1160" s="83"/>
    </row>
    <row r="1161" spans="2:10" s="1" customFormat="1" ht="13.2" x14ac:dyDescent="0.25">
      <c r="C1161" s="52" t="s">
        <v>3</v>
      </c>
      <c r="D1161" s="52"/>
      <c r="E1161" s="52"/>
      <c r="F1161" s="52"/>
      <c r="G1161" s="52"/>
      <c r="H1161" s="52"/>
    </row>
    <row r="1162" spans="2:10" s="1" customFormat="1" ht="12.75" customHeight="1" x14ac:dyDescent="0.25">
      <c r="C1162" s="52"/>
      <c r="D1162" s="52"/>
      <c r="E1162" s="52"/>
      <c r="F1162" s="52"/>
      <c r="G1162" s="52"/>
      <c r="H1162" s="52"/>
    </row>
    <row r="1163" spans="2:10" s="1" customFormat="1" ht="45.75" customHeight="1" x14ac:dyDescent="0.25">
      <c r="B1163" s="84" t="s">
        <v>458</v>
      </c>
      <c r="C1163" s="85"/>
      <c r="D1163" s="85"/>
      <c r="E1163" s="85"/>
      <c r="F1163" s="85"/>
      <c r="G1163" s="85"/>
      <c r="H1163" s="85"/>
      <c r="I1163" s="85"/>
      <c r="J1163" s="86"/>
    </row>
    <row r="1164" spans="2:10" s="1" customFormat="1" ht="21" x14ac:dyDescent="0.25">
      <c r="B1164" s="87" t="s">
        <v>491</v>
      </c>
      <c r="C1164" s="88"/>
      <c r="D1164" s="88"/>
      <c r="E1164" s="88"/>
      <c r="F1164" s="88"/>
      <c r="G1164" s="88"/>
      <c r="H1164" s="88"/>
      <c r="I1164" s="88"/>
      <c r="J1164" s="89"/>
    </row>
    <row r="1165" spans="2:10" s="1" customFormat="1" ht="13.8" thickBot="1" x14ac:dyDescent="0.3">
      <c r="B1165" s="53"/>
      <c r="C1165" s="53"/>
      <c r="D1165" s="53"/>
      <c r="E1165" s="53"/>
      <c r="F1165" s="53"/>
      <c r="G1165" s="53"/>
      <c r="H1165" s="53"/>
      <c r="I1165" s="53"/>
      <c r="J1165" s="53"/>
    </row>
    <row r="1166" spans="2:10" s="1" customFormat="1" ht="24.75" customHeight="1" x14ac:dyDescent="0.25">
      <c r="B1166" s="123" t="s">
        <v>6</v>
      </c>
      <c r="C1166" s="124"/>
      <c r="D1166" s="124"/>
      <c r="E1166" s="124"/>
      <c r="F1166" s="124"/>
      <c r="G1166" s="124"/>
      <c r="H1166" s="124"/>
      <c r="I1166" s="124"/>
      <c r="J1166" s="125"/>
    </row>
    <row r="1167" spans="2:10" s="1" customFormat="1" ht="13.2" x14ac:dyDescent="0.25">
      <c r="B1167" s="2" t="s">
        <v>7</v>
      </c>
      <c r="C1167" s="3" t="s">
        <v>8</v>
      </c>
      <c r="D1167" s="3"/>
      <c r="E1167" s="4"/>
      <c r="F1167" s="5"/>
      <c r="G1167" s="6" t="s">
        <v>9</v>
      </c>
      <c r="H1167" s="126">
        <v>42879</v>
      </c>
      <c r="I1167" s="126"/>
      <c r="J1167" s="7"/>
    </row>
    <row r="1168" spans="2:10" s="1" customFormat="1" ht="13.2" x14ac:dyDescent="0.25">
      <c r="B1168" s="2" t="s">
        <v>10</v>
      </c>
      <c r="C1168" s="3" t="s">
        <v>11</v>
      </c>
      <c r="F1168" s="3"/>
      <c r="G1168" s="8" t="s">
        <v>12</v>
      </c>
      <c r="H1168" s="4" t="s">
        <v>11</v>
      </c>
      <c r="I1168" s="9"/>
      <c r="J1168" s="10"/>
    </row>
    <row r="1169" spans="2:10" s="1" customFormat="1" ht="13.2" x14ac:dyDescent="0.25">
      <c r="B1169" s="2" t="s">
        <v>13</v>
      </c>
      <c r="C1169" s="3" t="s">
        <v>11</v>
      </c>
      <c r="F1169" s="3"/>
      <c r="G1169" s="8" t="s">
        <v>14</v>
      </c>
      <c r="H1169" s="4" t="s">
        <v>15</v>
      </c>
      <c r="I1169" s="9"/>
      <c r="J1169" s="10"/>
    </row>
    <row r="1170" spans="2:10" s="1" customFormat="1" ht="13.8" thickBot="1" x14ac:dyDescent="0.3">
      <c r="B1170" s="11" t="s">
        <v>16</v>
      </c>
      <c r="C1170" s="12" t="s">
        <v>17</v>
      </c>
      <c r="D1170" s="13"/>
      <c r="E1170" s="13"/>
      <c r="F1170" s="12"/>
      <c r="G1170" s="14" t="s">
        <v>18</v>
      </c>
      <c r="H1170" s="15" t="s">
        <v>19</v>
      </c>
      <c r="I1170" s="16"/>
      <c r="J1170" s="17"/>
    </row>
    <row r="1171" spans="2:10" s="1" customFormat="1" ht="13.2" x14ac:dyDescent="0.25">
      <c r="B1171" s="53"/>
      <c r="C1171" s="53"/>
      <c r="D1171" s="53"/>
      <c r="E1171" s="53"/>
      <c r="F1171" s="53"/>
      <c r="G1171" s="53"/>
      <c r="H1171" s="53"/>
      <c r="I1171" s="53"/>
      <c r="J1171" s="53"/>
    </row>
    <row r="1172" spans="2:10" s="1" customFormat="1" ht="13.2" x14ac:dyDescent="0.25">
      <c r="B1172" s="20" t="s">
        <v>20</v>
      </c>
      <c r="C1172" s="21" t="s">
        <v>21</v>
      </c>
      <c r="D1172" s="21" t="s">
        <v>460</v>
      </c>
      <c r="E1172" s="21" t="s">
        <v>461</v>
      </c>
      <c r="F1172" s="21" t="s">
        <v>462</v>
      </c>
      <c r="G1172" s="21" t="s">
        <v>463</v>
      </c>
      <c r="H1172" s="21" t="s">
        <v>464</v>
      </c>
      <c r="I1172" s="21" t="s">
        <v>22</v>
      </c>
      <c r="J1172" s="21" t="s">
        <v>23</v>
      </c>
    </row>
    <row r="1173" spans="2:10" s="1" customFormat="1" ht="13.2" x14ac:dyDescent="0.25">
      <c r="B1173" s="54">
        <v>4.03</v>
      </c>
      <c r="C1173" s="55" t="s">
        <v>182</v>
      </c>
      <c r="D1173" s="59"/>
      <c r="E1173" s="39"/>
      <c r="F1173" s="39"/>
      <c r="G1173" s="39"/>
      <c r="H1173" s="39"/>
      <c r="I1173" s="39"/>
      <c r="J1173" s="40"/>
    </row>
    <row r="1174" spans="2:10" s="1" customFormat="1" ht="13.2" x14ac:dyDescent="0.25">
      <c r="B1174" s="72" t="s">
        <v>183</v>
      </c>
      <c r="C1174" s="72" t="s">
        <v>331</v>
      </c>
      <c r="D1174" s="59"/>
      <c r="E1174" s="39"/>
      <c r="F1174" s="39"/>
      <c r="G1174" s="39"/>
      <c r="H1174" s="39"/>
      <c r="I1174" s="39"/>
      <c r="J1174" s="40"/>
    </row>
    <row r="1175" spans="2:10" s="1" customFormat="1" ht="13.2" x14ac:dyDescent="0.25">
      <c r="B1175" s="24" t="s">
        <v>185</v>
      </c>
      <c r="C1175" s="27" t="s">
        <v>332</v>
      </c>
      <c r="D1175" s="59"/>
      <c r="E1175" s="39"/>
      <c r="F1175" s="39"/>
      <c r="G1175" s="39"/>
      <c r="H1175" s="39"/>
      <c r="I1175" s="39">
        <f>+SUM(H1176:H1178)</f>
        <v>8.5628799999999998</v>
      </c>
      <c r="J1175" s="40" t="s">
        <v>333</v>
      </c>
    </row>
    <row r="1176" spans="2:10" s="1" customFormat="1" ht="13.2" x14ac:dyDescent="0.25">
      <c r="B1176" s="45"/>
      <c r="C1176" s="38" t="s">
        <v>664</v>
      </c>
      <c r="D1176" s="39">
        <v>1</v>
      </c>
      <c r="E1176" s="39">
        <v>0.6</v>
      </c>
      <c r="F1176" s="39">
        <v>0.8</v>
      </c>
      <c r="G1176" s="39"/>
      <c r="H1176" s="39">
        <f t="shared" ref="H1176" si="69">IF(AND(F1176=0,G1176=0),D1176*E1176,IF(AND(E1176=0,G1176=0),D1176*F1176,IF(AND(E1176=0,F1176=0),D1176*G1176,IF(AND(E1176=0),D1176*F1176*G1176,IF(AND(F1176=0),D1176*E1176*G1176,IF(AND(G1176=0),D1176*E1176*F1176,D1176*E1176*F1176*G1176))))))</f>
        <v>0.48</v>
      </c>
      <c r="I1176" s="39"/>
      <c r="J1176" s="40"/>
    </row>
    <row r="1177" spans="2:10" s="1" customFormat="1" ht="13.2" x14ac:dyDescent="0.25">
      <c r="B1177" s="45"/>
      <c r="C1177" s="42" t="s">
        <v>220</v>
      </c>
      <c r="D1177" s="59"/>
      <c r="E1177" s="39"/>
      <c r="F1177" s="39"/>
      <c r="G1177" s="39"/>
      <c r="H1177" s="39"/>
      <c r="I1177" s="39"/>
      <c r="J1177" s="40"/>
    </row>
    <row r="1178" spans="2:10" s="1" customFormat="1" ht="13.2" x14ac:dyDescent="0.25">
      <c r="B1178" s="45"/>
      <c r="C1178" s="38" t="s">
        <v>665</v>
      </c>
      <c r="D1178" s="39">
        <v>1</v>
      </c>
      <c r="E1178" s="39">
        <v>13.4</v>
      </c>
      <c r="F1178" s="39">
        <f>8*0.0254+0.4</f>
        <v>0.60319999999999996</v>
      </c>
      <c r="G1178" s="39"/>
      <c r="H1178" s="39">
        <f t="shared" ref="H1178" si="70">IF(AND(F1178=0,G1178=0),D1178*E1178,IF(AND(E1178=0,G1178=0),D1178*F1178,IF(AND(E1178=0,F1178=0),D1178*G1178,IF(AND(E1178=0),D1178*F1178*G1178,IF(AND(F1178=0),D1178*E1178*G1178,IF(AND(G1178=0),D1178*E1178*F1178,D1178*E1178*F1178*G1178))))))</f>
        <v>8.0828799999999994</v>
      </c>
      <c r="I1178" s="39"/>
      <c r="J1178" s="40"/>
    </row>
    <row r="1179" spans="2:10" x14ac:dyDescent="0.3">
      <c r="B1179" s="24" t="s">
        <v>187</v>
      </c>
      <c r="C1179" s="27" t="s">
        <v>334</v>
      </c>
      <c r="D1179" s="22"/>
      <c r="E1179" s="22"/>
      <c r="F1179" s="22"/>
      <c r="G1179" s="22"/>
      <c r="H1179" s="23"/>
      <c r="I1179" s="24">
        <f>+I1175</f>
        <v>8.5628799999999998</v>
      </c>
      <c r="J1179" s="25" t="s">
        <v>333</v>
      </c>
    </row>
    <row r="1180" spans="2:10" s="1" customFormat="1" ht="13.2" x14ac:dyDescent="0.25">
      <c r="B1180" s="45"/>
      <c r="C1180" s="58"/>
      <c r="D1180" s="59"/>
      <c r="E1180" s="39"/>
      <c r="F1180" s="39"/>
      <c r="G1180" s="39"/>
      <c r="H1180" s="39"/>
      <c r="I1180" s="39"/>
      <c r="J1180" s="40"/>
    </row>
    <row r="1181" spans="2:10" x14ac:dyDescent="0.3">
      <c r="B1181" s="72" t="s">
        <v>359</v>
      </c>
      <c r="C1181" s="72" t="s">
        <v>345</v>
      </c>
      <c r="D1181" s="22"/>
      <c r="E1181" s="22"/>
      <c r="F1181" s="22"/>
      <c r="G1181" s="22"/>
      <c r="H1181" s="23"/>
      <c r="I1181" s="24"/>
      <c r="J1181" s="25"/>
    </row>
    <row r="1182" spans="2:10" s="1" customFormat="1" ht="13.2" x14ac:dyDescent="0.25">
      <c r="B1182" s="24" t="s">
        <v>361</v>
      </c>
      <c r="C1182" s="1" t="s">
        <v>347</v>
      </c>
      <c r="D1182" s="59"/>
      <c r="E1182" s="39"/>
      <c r="F1182" s="39"/>
      <c r="G1182" s="39"/>
      <c r="H1182" s="23"/>
      <c r="I1182" s="24">
        <f>+SUM(H1183)</f>
        <v>0</v>
      </c>
      <c r="J1182" s="25" t="s">
        <v>337</v>
      </c>
    </row>
    <row r="1183" spans="2:10" s="1" customFormat="1" ht="13.2" x14ac:dyDescent="0.25">
      <c r="B1183" s="56"/>
      <c r="C1183" s="38"/>
      <c r="D1183" s="39"/>
      <c r="E1183" s="39"/>
      <c r="F1183" s="39"/>
      <c r="G1183" s="39"/>
      <c r="H1183" s="39">
        <f>IF(AND(F1183=0,G1183=0),D1183*E1183,IF(AND(E1183=0,G1183=0),D1183*F1183,IF(AND(E1183=0,F1183=0),D1183*G1183,IF(AND(E1183=0),D1183*F1183*G1183,IF(AND(F1183=0),D1183*E1183*G1183,IF(AND(G1183=0),D1183*E1183*F1183,D1183*E1183*F1183*G1183))))))</f>
        <v>0</v>
      </c>
      <c r="I1183" s="39"/>
      <c r="J1183" s="40"/>
    </row>
    <row r="1184" spans="2:10" s="1" customFormat="1" ht="13.2" x14ac:dyDescent="0.25">
      <c r="B1184" s="24" t="s">
        <v>363</v>
      </c>
      <c r="C1184" s="1" t="s">
        <v>348</v>
      </c>
      <c r="D1184" s="59"/>
      <c r="E1184" s="39"/>
      <c r="F1184" s="39"/>
      <c r="G1184" s="39"/>
      <c r="H1184" s="23"/>
      <c r="I1184" s="24">
        <f>+SUM(H1185)</f>
        <v>0.33599999999999997</v>
      </c>
      <c r="J1184" s="25" t="s">
        <v>337</v>
      </c>
    </row>
    <row r="1185" spans="2:10" s="1" customFormat="1" ht="13.2" x14ac:dyDescent="0.25">
      <c r="B1185" s="56"/>
      <c r="C1185" s="38" t="s">
        <v>664</v>
      </c>
      <c r="D1185" s="39">
        <v>1</v>
      </c>
      <c r="E1185" s="39">
        <v>0.6</v>
      </c>
      <c r="F1185" s="39">
        <v>0.8</v>
      </c>
      <c r="G1185" s="39">
        <f>0.5+0.2</f>
        <v>0.7</v>
      </c>
      <c r="H1185" s="39">
        <f>IF(AND(F1185=0,G1185=0),D1185*E1185,IF(AND(E1185=0,G1185=0),D1185*F1185,IF(AND(E1185=0,F1185=0),D1185*G1185,IF(AND(E1185=0),D1185*F1185*G1185,IF(AND(F1185=0),D1185*E1185*G1185,IF(AND(G1185=0),D1185*E1185*F1185,D1185*E1185*F1185*G1185))))))</f>
        <v>0.33599999999999997</v>
      </c>
      <c r="I1185" s="39"/>
      <c r="J1185" s="40"/>
    </row>
    <row r="1186" spans="2:10" x14ac:dyDescent="0.3">
      <c r="B1186" s="24" t="s">
        <v>556</v>
      </c>
      <c r="C1186" s="115" t="s">
        <v>350</v>
      </c>
      <c r="D1186" s="22"/>
      <c r="E1186" s="22"/>
      <c r="F1186" s="22"/>
      <c r="G1186" s="22"/>
      <c r="I1186" s="23">
        <f>+SUM(H1187:H1187)</f>
        <v>0.48</v>
      </c>
      <c r="J1186" s="25" t="s">
        <v>333</v>
      </c>
    </row>
    <row r="1187" spans="2:10" x14ac:dyDescent="0.3">
      <c r="B1187" s="24"/>
      <c r="C1187" s="38" t="s">
        <v>664</v>
      </c>
      <c r="D1187" s="39">
        <v>1</v>
      </c>
      <c r="E1187" s="39">
        <v>0.6</v>
      </c>
      <c r="F1187" s="39">
        <v>0.8</v>
      </c>
      <c r="G1187" s="39"/>
      <c r="H1187" s="39">
        <f>IF(AND(F1187=0,G1187=0),D1187*E1187,IF(AND(E1187=0,G1187=0),D1187*F1187,IF(AND(E1187=0,F1187=0),D1187*G1187,IF(AND(E1187=0),D1187*F1187*G1187,IF(AND(F1187=0),D1187*E1187*G1187,IF(AND(G1187=0),D1187*E1187*F1187,D1187*E1187*F1187*G1187))))))</f>
        <v>0.48</v>
      </c>
      <c r="I1187" s="24"/>
      <c r="J1187" s="25"/>
    </row>
    <row r="1188" spans="2:10" s="1" customFormat="1" ht="13.2" x14ac:dyDescent="0.25">
      <c r="B1188" s="24" t="s">
        <v>557</v>
      </c>
      <c r="C1188" s="115" t="s">
        <v>351</v>
      </c>
      <c r="D1188" s="59"/>
      <c r="E1188" s="39"/>
      <c r="F1188" s="39"/>
      <c r="G1188" s="39"/>
      <c r="H1188" s="39"/>
      <c r="I1188" s="39">
        <f>+SUM(H1190:H1190)-H1192</f>
        <v>7.6483276659259856</v>
      </c>
      <c r="J1188" s="40" t="s">
        <v>337</v>
      </c>
    </row>
    <row r="1189" spans="2:10" s="1" customFormat="1" ht="13.2" x14ac:dyDescent="0.25">
      <c r="B1189" s="45"/>
      <c r="C1189" s="42" t="s">
        <v>220</v>
      </c>
      <c r="D1189" s="59"/>
      <c r="E1189" s="39"/>
      <c r="F1189" s="39"/>
      <c r="G1189" s="39"/>
      <c r="H1189" s="39"/>
      <c r="I1189" s="39"/>
      <c r="J1189" s="40"/>
    </row>
    <row r="1190" spans="2:10" s="1" customFormat="1" ht="13.2" x14ac:dyDescent="0.25">
      <c r="B1190" s="45"/>
      <c r="C1190" s="38" t="s">
        <v>665</v>
      </c>
      <c r="D1190" s="39">
        <v>1</v>
      </c>
      <c r="E1190" s="39">
        <v>13.4</v>
      </c>
      <c r="F1190" s="39">
        <f>8*0.0254+0.4</f>
        <v>0.60319999999999996</v>
      </c>
      <c r="G1190" s="39">
        <v>1</v>
      </c>
      <c r="H1190" s="39">
        <f t="shared" ref="H1190" si="71">IF(AND(F1190=0,G1190=0),D1190*E1190,IF(AND(E1190=0,G1190=0),D1190*F1190,IF(AND(E1190=0,F1190=0),D1190*G1190,IF(AND(E1190=0),D1190*F1190*G1190,IF(AND(F1190=0),D1190*E1190*G1190,IF(AND(G1190=0),D1190*E1190*F1190,D1190*E1190*F1190*G1190))))))</f>
        <v>8.0828799999999994</v>
      </c>
      <c r="I1190" s="39"/>
      <c r="J1190" s="40"/>
    </row>
    <row r="1191" spans="2:10" s="1" customFormat="1" ht="13.2" x14ac:dyDescent="0.25">
      <c r="B1191" s="45"/>
      <c r="C1191" s="115"/>
      <c r="D1191" s="115"/>
      <c r="F1191" s="39" t="s">
        <v>485</v>
      </c>
      <c r="G1191" s="39">
        <v>8</v>
      </c>
      <c r="I1191" s="39"/>
      <c r="J1191" s="40"/>
    </row>
    <row r="1192" spans="2:10" s="1" customFormat="1" ht="13.2" x14ac:dyDescent="0.25">
      <c r="B1192" s="45"/>
      <c r="C1192" s="38" t="s">
        <v>569</v>
      </c>
      <c r="D1192" s="59">
        <v>1</v>
      </c>
      <c r="E1192" s="39">
        <f>+SUM(E1190:E1190)</f>
        <v>13.4</v>
      </c>
      <c r="F1192" s="39" t="s">
        <v>570</v>
      </c>
      <c r="G1192" s="39">
        <f>+PI()*((G1191*0.0254)^2)/4</f>
        <v>3.2429278662239852E-2</v>
      </c>
      <c r="H1192" s="39">
        <f>+E1192*G1192</f>
        <v>0.43455233407401406</v>
      </c>
      <c r="I1192" s="39"/>
      <c r="J1192" s="40"/>
    </row>
    <row r="1193" spans="2:10" s="1" customFormat="1" ht="13.2" x14ac:dyDescent="0.25">
      <c r="B1193" s="45" t="s">
        <v>558</v>
      </c>
      <c r="C1193" s="1" t="s">
        <v>352</v>
      </c>
      <c r="D1193" s="59"/>
      <c r="E1193" s="39"/>
      <c r="F1193" s="39"/>
      <c r="G1193" s="39"/>
      <c r="H1193" s="39"/>
      <c r="I1193" s="39">
        <f>+SUM(H1194)</f>
        <v>0</v>
      </c>
      <c r="J1193" s="40" t="s">
        <v>333</v>
      </c>
    </row>
    <row r="1194" spans="2:10" s="1" customFormat="1" ht="13.2" x14ac:dyDescent="0.25">
      <c r="B1194" s="45"/>
      <c r="C1194" s="58"/>
      <c r="D1194" s="59"/>
      <c r="E1194" s="39"/>
      <c r="F1194" s="39"/>
      <c r="G1194" s="39"/>
      <c r="H1194" s="39">
        <f>+(F1194+G1194*2)*E1194</f>
        <v>0</v>
      </c>
      <c r="I1194" s="39"/>
      <c r="J1194" s="40"/>
    </row>
    <row r="1195" spans="2:10" s="1" customFormat="1" ht="13.2" x14ac:dyDescent="0.25">
      <c r="B1195" s="24" t="s">
        <v>559</v>
      </c>
      <c r="C1195" s="27" t="s">
        <v>353</v>
      </c>
      <c r="D1195" s="59"/>
      <c r="E1195" s="39"/>
      <c r="F1195" s="39"/>
      <c r="G1195" s="39"/>
      <c r="H1195" s="39"/>
      <c r="I1195" s="39">
        <f>+SUM(H1197)</f>
        <v>0.45</v>
      </c>
      <c r="J1195" s="40" t="s">
        <v>333</v>
      </c>
    </row>
    <row r="1196" spans="2:10" s="1" customFormat="1" ht="13.2" x14ac:dyDescent="0.25">
      <c r="B1196" s="45"/>
      <c r="C1196" s="42" t="s">
        <v>220</v>
      </c>
      <c r="D1196" s="59"/>
      <c r="E1196" s="39"/>
      <c r="F1196" s="39"/>
      <c r="G1196" s="39"/>
      <c r="H1196" s="39"/>
      <c r="I1196" s="39"/>
      <c r="J1196" s="40"/>
    </row>
    <row r="1197" spans="2:10" s="1" customFormat="1" ht="13.2" x14ac:dyDescent="0.25">
      <c r="B1197" s="45"/>
      <c r="C1197" s="38" t="s">
        <v>665</v>
      </c>
      <c r="D1197" s="39">
        <v>1</v>
      </c>
      <c r="E1197" s="39">
        <v>13.4</v>
      </c>
      <c r="F1197" s="39">
        <f>8*0.0254+0.4</f>
        <v>0.60319999999999996</v>
      </c>
      <c r="G1197" s="39">
        <v>1</v>
      </c>
      <c r="H1197" s="39">
        <v>0.45</v>
      </c>
      <c r="I1197" s="39"/>
      <c r="J1197" s="40"/>
    </row>
    <row r="1198" spans="2:10" s="1" customFormat="1" ht="13.2" x14ac:dyDescent="0.25">
      <c r="B1198" s="24" t="s">
        <v>560</v>
      </c>
      <c r="C1198" s="27" t="s">
        <v>354</v>
      </c>
      <c r="D1198" s="59"/>
      <c r="E1198" s="39"/>
      <c r="F1198" s="39" t="s">
        <v>571</v>
      </c>
      <c r="G1198" s="39"/>
      <c r="H1198" s="39"/>
      <c r="I1198" s="39">
        <f>+SUM(H1199:H1202)</f>
        <v>89.501608247422681</v>
      </c>
      <c r="J1198" s="40" t="s">
        <v>355</v>
      </c>
    </row>
    <row r="1199" spans="2:10" s="1" customFormat="1" ht="13.2" x14ac:dyDescent="0.25">
      <c r="B1199" s="107"/>
      <c r="C1199" s="38" t="s">
        <v>492</v>
      </c>
      <c r="D1199" s="59">
        <v>1</v>
      </c>
      <c r="E1199" s="78">
        <f>10.35</f>
        <v>10.35</v>
      </c>
      <c r="F1199" s="39">
        <v>1.64</v>
      </c>
      <c r="G1199" s="39"/>
      <c r="H1199" s="39">
        <f t="shared" ref="H1199:H1200" si="72">IF(AND(F1199=0,G1199=0),D1199*E1199,IF(AND(E1199=0,G1199=0),D1199*F1199,IF(AND(E1199=0,F1199=0),D1199*G1199,IF(AND(E1199=0),D1199*F1199*G1199,IF(AND(F1199=0),D1199*E1199*G1199,IF(AND(G1199=0),D1199*E1199*F1199,D1199*E1199*F1199*G1199))))))</f>
        <v>16.973999999999997</v>
      </c>
      <c r="I1199" s="39"/>
      <c r="J1199" s="40"/>
    </row>
    <row r="1200" spans="2:10" s="1" customFormat="1" ht="13.2" x14ac:dyDescent="0.25">
      <c r="B1200" s="107"/>
      <c r="C1200" s="38" t="s">
        <v>493</v>
      </c>
      <c r="D1200" s="59">
        <v>1</v>
      </c>
      <c r="E1200" s="78">
        <v>5.35</v>
      </c>
      <c r="F1200" s="39">
        <v>1.64</v>
      </c>
      <c r="G1200" s="39"/>
      <c r="H1200" s="39">
        <f t="shared" si="72"/>
        <v>8.7739999999999991</v>
      </c>
      <c r="I1200" s="39"/>
      <c r="J1200" s="40"/>
    </row>
    <row r="1201" spans="2:10" s="1" customFormat="1" ht="13.2" x14ac:dyDescent="0.25">
      <c r="B1201" s="107"/>
      <c r="C1201" s="42" t="s">
        <v>220</v>
      </c>
      <c r="D1201" s="59"/>
      <c r="E1201" s="39"/>
      <c r="F1201" s="39"/>
      <c r="G1201" s="39"/>
      <c r="H1201" s="39"/>
      <c r="I1201" s="39"/>
      <c r="J1201" s="40"/>
    </row>
    <row r="1202" spans="2:10" s="1" customFormat="1" ht="13.2" x14ac:dyDescent="0.25">
      <c r="B1202" s="107"/>
      <c r="C1202" s="38" t="s">
        <v>665</v>
      </c>
      <c r="D1202" s="39">
        <v>1</v>
      </c>
      <c r="E1202" s="39">
        <v>13.4</v>
      </c>
      <c r="F1202" s="39">
        <f>27.69/5.82</f>
        <v>4.7577319587628866</v>
      </c>
      <c r="G1202" s="39"/>
      <c r="H1202" s="39">
        <f t="shared" ref="H1202" si="73">IF(AND(F1202=0,G1202=0),D1202*E1202,IF(AND(E1202=0,G1202=0),D1202*F1202,IF(AND(E1202=0,F1202=0),D1202*G1202,IF(AND(E1202=0),D1202*F1202*G1202,IF(AND(F1202=0),D1202*E1202*G1202,IF(AND(G1202=0),D1202*E1202*F1202,D1202*E1202*F1202*G1202))))))</f>
        <v>63.753608247422683</v>
      </c>
      <c r="I1202" s="39"/>
      <c r="J1202" s="40"/>
    </row>
    <row r="1203" spans="2:10" s="1" customFormat="1" ht="13.2" x14ac:dyDescent="0.25">
      <c r="B1203" s="24" t="s">
        <v>561</v>
      </c>
      <c r="C1203" s="27" t="s">
        <v>356</v>
      </c>
      <c r="D1203" s="59"/>
      <c r="E1203" s="39"/>
      <c r="F1203" s="39"/>
      <c r="G1203" s="39"/>
      <c r="H1203" s="39"/>
      <c r="I1203" s="39">
        <f>+SUM(H1204:H1205)</f>
        <v>0.14400000000000002</v>
      </c>
      <c r="J1203" s="40" t="s">
        <v>337</v>
      </c>
    </row>
    <row r="1204" spans="2:10" s="1" customFormat="1" ht="13.2" x14ac:dyDescent="0.25">
      <c r="B1204" s="45"/>
      <c r="C1204" s="38" t="s">
        <v>664</v>
      </c>
      <c r="D1204" s="39">
        <v>2</v>
      </c>
      <c r="E1204" s="39">
        <v>0.8</v>
      </c>
      <c r="F1204" s="39">
        <v>0.1</v>
      </c>
      <c r="G1204" s="39">
        <v>0.6</v>
      </c>
      <c r="H1204" s="39">
        <f t="shared" ref="H1204:H1205" si="74">IF(AND(F1204=0,G1204=0),D1204*E1204,IF(AND(E1204=0,G1204=0),D1204*F1204,IF(AND(E1204=0,F1204=0),D1204*G1204,IF(AND(E1204=0),D1204*F1204*G1204,IF(AND(F1204=0),D1204*E1204*G1204,IF(AND(G1204=0),D1204*E1204*F1204,D1204*E1204*F1204*G1204))))))</f>
        <v>9.6000000000000016E-2</v>
      </c>
      <c r="I1204" s="39"/>
      <c r="J1204" s="40"/>
    </row>
    <row r="1205" spans="2:10" s="1" customFormat="1" ht="13.2" x14ac:dyDescent="0.25">
      <c r="B1205" s="45"/>
      <c r="C1205" s="58"/>
      <c r="D1205" s="59">
        <v>2</v>
      </c>
      <c r="E1205" s="39">
        <v>0.4</v>
      </c>
      <c r="F1205" s="39">
        <v>0.1</v>
      </c>
      <c r="G1205" s="39">
        <v>0.6</v>
      </c>
      <c r="H1205" s="39">
        <f t="shared" si="74"/>
        <v>4.8000000000000008E-2</v>
      </c>
      <c r="I1205" s="39"/>
      <c r="J1205" s="40"/>
    </row>
    <row r="1206" spans="2:10" s="1" customFormat="1" ht="13.2" x14ac:dyDescent="0.25">
      <c r="B1206" s="24" t="s">
        <v>562</v>
      </c>
      <c r="C1206" s="27" t="s">
        <v>357</v>
      </c>
      <c r="D1206" s="59" t="s">
        <v>574</v>
      </c>
      <c r="E1206" s="39"/>
      <c r="F1206" s="39"/>
      <c r="G1206" s="39"/>
      <c r="H1206" s="39"/>
      <c r="I1206" s="39">
        <f>+SUM(H1207:H1210)</f>
        <v>0.96319041759251756</v>
      </c>
      <c r="J1206" s="40" t="s">
        <v>337</v>
      </c>
    </row>
    <row r="1207" spans="2:10" s="1" customFormat="1" ht="13.2" x14ac:dyDescent="0.25">
      <c r="B1207" s="90"/>
      <c r="C1207" s="38" t="s">
        <v>664</v>
      </c>
      <c r="D1207" s="39">
        <v>1.25</v>
      </c>
      <c r="E1207" s="39">
        <v>0.6</v>
      </c>
      <c r="F1207" s="39">
        <v>0.8</v>
      </c>
      <c r="G1207" s="39">
        <f>0.5+0.2</f>
        <v>0.7</v>
      </c>
      <c r="H1207" s="39">
        <f>IF(AND(F1207=0,G1207=0),D1207*E1207,IF(AND(E1207=0,G1207=0),D1207*F1207,IF(AND(E1207=0,F1207=0),D1207*G1207,IF(AND(E1207=0),D1207*F1207*G1207,IF(AND(F1207=0),D1207*E1207*G1207,IF(AND(G1207=0),D1207*E1207*F1207,D1207*E1207*F1207*G1207))))))</f>
        <v>0.42000000000000004</v>
      </c>
      <c r="I1207" s="39"/>
      <c r="J1207" s="40"/>
    </row>
    <row r="1208" spans="2:10" s="1" customFormat="1" ht="13.2" x14ac:dyDescent="0.25">
      <c r="B1208" s="45"/>
      <c r="C1208" s="42" t="s">
        <v>220</v>
      </c>
      <c r="D1208" s="59"/>
      <c r="E1208" s="39"/>
      <c r="F1208" s="39"/>
      <c r="G1208" s="39"/>
      <c r="H1208" s="39"/>
      <c r="I1208" s="39"/>
      <c r="J1208" s="40"/>
    </row>
    <row r="1209" spans="2:10" s="1" customFormat="1" ht="13.2" x14ac:dyDescent="0.25">
      <c r="B1209" s="45"/>
      <c r="C1209" s="38" t="s">
        <v>665</v>
      </c>
      <c r="F1209" s="39" t="s">
        <v>485</v>
      </c>
      <c r="G1209" s="39">
        <v>8</v>
      </c>
      <c r="I1209" s="39"/>
      <c r="J1209" s="40"/>
    </row>
    <row r="1210" spans="2:10" s="1" customFormat="1" ht="13.2" x14ac:dyDescent="0.25">
      <c r="B1210" s="45"/>
      <c r="C1210" s="38" t="s">
        <v>569</v>
      </c>
      <c r="D1210" s="59">
        <v>1.25</v>
      </c>
      <c r="E1210" s="39">
        <f>+E1192</f>
        <v>13.4</v>
      </c>
      <c r="F1210" s="39" t="s">
        <v>570</v>
      </c>
      <c r="G1210" s="39">
        <f>+PI()*((G1209*0.0254)^2)/4</f>
        <v>3.2429278662239852E-2</v>
      </c>
      <c r="H1210" s="39">
        <f>+D1210*E1210*G1210</f>
        <v>0.54319041759251752</v>
      </c>
      <c r="I1210" s="39"/>
      <c r="J1210" s="40"/>
    </row>
    <row r="1211" spans="2:10" s="1" customFormat="1" ht="13.2" x14ac:dyDescent="0.25">
      <c r="B1211" s="24" t="s">
        <v>563</v>
      </c>
      <c r="C1211" s="27" t="s">
        <v>358</v>
      </c>
      <c r="D1211" s="59"/>
      <c r="E1211" s="39"/>
      <c r="F1211" s="39"/>
      <c r="G1211" s="39"/>
      <c r="H1211" s="39"/>
      <c r="I1211" s="39">
        <f>+I1206</f>
        <v>0.96319041759251756</v>
      </c>
      <c r="J1211" s="40" t="s">
        <v>337</v>
      </c>
    </row>
    <row r="1212" spans="2:10" s="1" customFormat="1" ht="13.2" x14ac:dyDescent="0.25">
      <c r="B1212" s="45"/>
      <c r="C1212" s="38"/>
      <c r="E1212" s="75"/>
      <c r="F1212" s="39"/>
      <c r="G1212" s="39"/>
      <c r="H1212" s="39"/>
      <c r="I1212" s="39"/>
      <c r="J1212" s="40"/>
    </row>
    <row r="1213" spans="2:10" x14ac:dyDescent="0.3">
      <c r="B1213" s="72" t="s">
        <v>365</v>
      </c>
      <c r="C1213" s="73" t="s">
        <v>360</v>
      </c>
      <c r="D1213" s="22"/>
      <c r="E1213" s="22"/>
      <c r="F1213" s="22"/>
      <c r="G1213" s="22"/>
      <c r="H1213" s="23"/>
      <c r="I1213" s="24"/>
      <c r="J1213" s="25"/>
    </row>
    <row r="1214" spans="2:10" s="1" customFormat="1" ht="13.2" x14ac:dyDescent="0.25">
      <c r="B1214" s="42" t="s">
        <v>366</v>
      </c>
      <c r="C1214" s="24" t="s">
        <v>362</v>
      </c>
      <c r="D1214" s="59"/>
      <c r="E1214" s="39"/>
      <c r="F1214" s="39"/>
      <c r="G1214" s="39"/>
      <c r="H1214" s="39"/>
      <c r="I1214" s="43">
        <f>+SUM(H1215:H1215)</f>
        <v>0</v>
      </c>
      <c r="J1214" s="44" t="s">
        <v>333</v>
      </c>
    </row>
    <row r="1215" spans="2:10" s="1" customFormat="1" ht="13.2" x14ac:dyDescent="0.25">
      <c r="B1215" s="24"/>
      <c r="C1215" s="38"/>
      <c r="D1215" s="39"/>
      <c r="E1215" s="39"/>
      <c r="F1215" s="39"/>
      <c r="G1215" s="39"/>
      <c r="H1215" s="39">
        <f>IF(AND(F1215=0,G1215=0),D1215*E1215,IF(AND(E1215=0,G1215=0),D1215*F1215,IF(AND(E1215=0,F1215=0),D1215*G1215,IF(AND(E1215=0),D1215*F1215*G1215,IF(AND(F1215=0),D1215*E1215*G1215,IF(AND(G1215=0),D1215*E1215*F1215,D1215*E1215*F1215*G1215))))))</f>
        <v>0</v>
      </c>
      <c r="I1215" s="39"/>
      <c r="J1215" s="40"/>
    </row>
    <row r="1216" spans="2:10" s="1" customFormat="1" ht="13.2" x14ac:dyDescent="0.25">
      <c r="B1216" s="42" t="s">
        <v>367</v>
      </c>
      <c r="C1216" s="24" t="s">
        <v>364</v>
      </c>
      <c r="D1216" s="59"/>
      <c r="E1216" s="39"/>
      <c r="F1216" s="39"/>
      <c r="G1216" s="39"/>
      <c r="H1216" s="39"/>
      <c r="I1216" s="43">
        <f>+SUM(H1217:H1217)</f>
        <v>0.48</v>
      </c>
      <c r="J1216" s="44" t="s">
        <v>333</v>
      </c>
    </row>
    <row r="1217" spans="2:10" s="1" customFormat="1" ht="13.2" x14ac:dyDescent="0.25">
      <c r="B1217" s="56"/>
      <c r="C1217" s="38" t="s">
        <v>664</v>
      </c>
      <c r="D1217" s="39">
        <v>1</v>
      </c>
      <c r="E1217" s="39">
        <v>0.6</v>
      </c>
      <c r="F1217" s="39">
        <v>0.8</v>
      </c>
      <c r="G1217" s="39"/>
      <c r="H1217" s="39">
        <f>IF(AND(F1217=0,G1217=0),D1217*E1217,IF(AND(E1217=0,G1217=0),D1217*F1217,IF(AND(E1217=0,F1217=0),D1217*G1217,IF(AND(E1217=0),D1217*F1217*G1217,IF(AND(F1217=0),D1217*E1217*G1217,IF(AND(G1217=0),D1217*E1217*F1217,D1217*E1217*F1217*G1217))))))</f>
        <v>0.48</v>
      </c>
      <c r="I1217" s="39"/>
      <c r="J1217" s="40"/>
    </row>
    <row r="1218" spans="2:10" s="1" customFormat="1" ht="13.2" x14ac:dyDescent="0.25">
      <c r="B1218" s="69"/>
      <c r="C1218" s="38"/>
      <c r="D1218" s="59"/>
      <c r="E1218" s="39"/>
      <c r="F1218" s="39"/>
      <c r="G1218" s="39"/>
      <c r="H1218" s="39"/>
      <c r="I1218" s="39"/>
      <c r="J1218" s="40"/>
    </row>
    <row r="1219" spans="2:10" s="1" customFormat="1" ht="13.2" x14ac:dyDescent="0.25">
      <c r="B1219" s="56" t="s">
        <v>368</v>
      </c>
      <c r="C1219" s="57" t="s">
        <v>202</v>
      </c>
      <c r="D1219" s="59"/>
      <c r="E1219" s="39"/>
      <c r="F1219" s="39"/>
      <c r="G1219" s="39"/>
      <c r="H1219" s="39"/>
      <c r="I1219" s="39"/>
      <c r="J1219" s="40"/>
    </row>
    <row r="1220" spans="2:10" s="1" customFormat="1" ht="13.2" x14ac:dyDescent="0.25">
      <c r="B1220" s="42" t="s">
        <v>379</v>
      </c>
      <c r="C1220" s="24" t="s">
        <v>539</v>
      </c>
      <c r="D1220" s="59"/>
      <c r="E1220" s="39"/>
      <c r="F1220" s="39"/>
      <c r="G1220" s="39"/>
      <c r="H1220" s="39"/>
      <c r="I1220" s="43">
        <f>SUM(H1221:H1221)</f>
        <v>0</v>
      </c>
      <c r="J1220" s="44" t="str">
        <f>+J1221</f>
        <v>ml</v>
      </c>
    </row>
    <row r="1221" spans="2:10" s="1" customFormat="1" ht="13.2" x14ac:dyDescent="0.25">
      <c r="B1221" s="114"/>
      <c r="C1221" s="38" t="s">
        <v>665</v>
      </c>
      <c r="D1221" s="39"/>
      <c r="E1221" s="39"/>
      <c r="F1221" s="39"/>
      <c r="G1221" s="39"/>
      <c r="H1221" s="39">
        <f>IF(AND(F1221=0,G1221=0),D1221*E1221,IF(AND(E1221=0,G1221=0),D1221*F1221,IF(AND(E1221=0,F1221=0),D1221*G1221,IF(AND(E1221=0),D1221*F1221*G1221,IF(AND(F1221=0),D1221*E1221*G1221,IF(AND(G1221=0),D1221*E1221*F1221,D1221*E1221*F1221*G1221))))))</f>
        <v>0</v>
      </c>
      <c r="I1221" s="39"/>
      <c r="J1221" s="40" t="str">
        <f>IF(AND(E1221=0,F1221&lt;&gt;0,G1221&lt;&gt;0),"m2",IF(AND(F1221=0,E1221&lt;&gt;0,G1221&lt;&gt;0),"m2",IF(AND(G1221=0,E1221&lt;&gt;0,F1221&lt;&gt;0),"m2",IF(AND(F1221=0,G1221=0),"ml",IF(AND(E1221=0,G1221=0),"ml",IF(AND(E1221=0,F1221=0),"ml",IF(AND(E1221&lt;&gt;0,F1221&lt;&gt;0,G1221&lt;&gt;0),"m3",0)))))))</f>
        <v>ml</v>
      </c>
    </row>
    <row r="1222" spans="2:10" s="1" customFormat="1" ht="13.2" x14ac:dyDescent="0.25">
      <c r="B1222" s="42" t="s">
        <v>384</v>
      </c>
      <c r="C1222" s="42" t="s">
        <v>406</v>
      </c>
      <c r="D1222" s="59"/>
      <c r="E1222" s="39"/>
      <c r="F1222" s="39"/>
      <c r="G1222" s="39"/>
      <c r="H1222" s="39"/>
      <c r="I1222" s="43">
        <f>SUM(H1223)</f>
        <v>1</v>
      </c>
      <c r="J1222" s="44" t="s">
        <v>30</v>
      </c>
    </row>
    <row r="1223" spans="2:10" s="1" customFormat="1" ht="13.2" x14ac:dyDescent="0.25">
      <c r="B1223" s="114"/>
      <c r="C1223" s="38" t="s">
        <v>664</v>
      </c>
      <c r="D1223" s="39">
        <v>1</v>
      </c>
      <c r="E1223" s="39"/>
      <c r="F1223" s="39"/>
      <c r="G1223" s="39"/>
      <c r="H1223" s="39">
        <f t="shared" ref="H1223" si="75">+D1223</f>
        <v>1</v>
      </c>
      <c r="I1223" s="39"/>
      <c r="J1223" s="40"/>
    </row>
    <row r="1224" spans="2:10" s="1" customFormat="1" ht="13.2" x14ac:dyDescent="0.25">
      <c r="B1224" s="45"/>
      <c r="C1224" s="58"/>
      <c r="D1224" s="59"/>
      <c r="E1224" s="39"/>
      <c r="F1224" s="39"/>
      <c r="G1224" s="39"/>
      <c r="H1224" s="39"/>
      <c r="I1224" s="39"/>
      <c r="J1224" s="40"/>
    </row>
    <row r="1225" spans="2:10" s="1" customFormat="1" ht="13.2" x14ac:dyDescent="0.25">
      <c r="B1225" s="24" t="s">
        <v>394</v>
      </c>
      <c r="C1225" s="27" t="s">
        <v>411</v>
      </c>
      <c r="D1225" s="59"/>
      <c r="E1225" s="39"/>
      <c r="F1225" s="39"/>
      <c r="G1225" s="39"/>
      <c r="H1225" s="39"/>
      <c r="I1225" s="39">
        <f>+SUM(H1226:H1227)</f>
        <v>1.54</v>
      </c>
      <c r="J1225" s="40" t="s">
        <v>333</v>
      </c>
    </row>
    <row r="1226" spans="2:10" s="1" customFormat="1" ht="13.2" x14ac:dyDescent="0.25">
      <c r="B1226" s="24"/>
      <c r="C1226" s="38" t="s">
        <v>664</v>
      </c>
      <c r="D1226" s="39">
        <v>1</v>
      </c>
      <c r="E1226" s="39">
        <f>0.4*2+0.6*2</f>
        <v>2</v>
      </c>
      <c r="F1226" s="39"/>
      <c r="G1226" s="39">
        <f>0.5+0.15</f>
        <v>0.65</v>
      </c>
      <c r="H1226" s="39">
        <f t="shared" ref="H1226:H1227" si="76">IF(AND(F1226=0,G1226=0),D1226*E1226,IF(AND(E1226=0,G1226=0),D1226*F1226,IF(AND(E1226=0,F1226=0),D1226*G1226,IF(AND(E1226=0),D1226*F1226*G1226,IF(AND(F1226=0),D1226*E1226*G1226,IF(AND(G1226=0),D1226*E1226*F1226,D1226*E1226*F1226*G1226))))))</f>
        <v>1.3</v>
      </c>
      <c r="I1226" s="39"/>
      <c r="J1226" s="40"/>
    </row>
    <row r="1227" spans="2:10" s="1" customFormat="1" ht="13.2" x14ac:dyDescent="0.25">
      <c r="B1227" s="24"/>
      <c r="C1227" s="58"/>
      <c r="D1227" s="59">
        <v>1</v>
      </c>
      <c r="E1227" s="39">
        <v>0.4</v>
      </c>
      <c r="F1227" s="39"/>
      <c r="G1227" s="39">
        <v>0.6</v>
      </c>
      <c r="H1227" s="39">
        <f t="shared" si="76"/>
        <v>0.24</v>
      </c>
      <c r="I1227" s="39"/>
      <c r="J1227" s="40"/>
    </row>
    <row r="1228" spans="2:10" s="1" customFormat="1" ht="13.2" x14ac:dyDescent="0.25">
      <c r="B1228" s="56"/>
      <c r="C1228" s="38"/>
      <c r="D1228" s="59"/>
      <c r="E1228" s="39"/>
      <c r="F1228" s="39"/>
      <c r="G1228" s="39"/>
      <c r="H1228" s="39"/>
      <c r="I1228" s="39"/>
      <c r="J1228" s="40"/>
    </row>
    <row r="1229" spans="2:10" s="1" customFormat="1" ht="13.2" x14ac:dyDescent="0.25">
      <c r="B1229" s="56" t="s">
        <v>413</v>
      </c>
      <c r="C1229" s="57" t="s">
        <v>234</v>
      </c>
      <c r="D1229" s="59"/>
      <c r="E1229" s="39"/>
      <c r="F1229" s="39"/>
      <c r="G1229" s="39"/>
      <c r="H1229" s="39"/>
      <c r="I1229" s="39"/>
      <c r="J1229" s="40"/>
    </row>
    <row r="1230" spans="2:10" s="1" customFormat="1" ht="13.2" x14ac:dyDescent="0.25">
      <c r="B1230" s="42" t="s">
        <v>414</v>
      </c>
      <c r="C1230" s="42" t="s">
        <v>422</v>
      </c>
      <c r="D1230" s="59"/>
      <c r="E1230" s="39"/>
      <c r="F1230" s="39"/>
      <c r="G1230" s="39"/>
      <c r="H1230" s="39"/>
      <c r="I1230" s="43">
        <f>+SUM(H1231:H1232)</f>
        <v>7</v>
      </c>
      <c r="J1230" s="44" t="s">
        <v>30</v>
      </c>
    </row>
    <row r="1231" spans="2:10" s="1" customFormat="1" ht="13.2" x14ac:dyDescent="0.25">
      <c r="B1231" s="45"/>
      <c r="C1231" s="58" t="s">
        <v>475</v>
      </c>
      <c r="D1231" s="59">
        <v>5</v>
      </c>
      <c r="E1231" s="39"/>
      <c r="F1231" s="39"/>
      <c r="G1231" s="39"/>
      <c r="H1231" s="39">
        <f t="shared" ref="H1231" si="77">+D1231</f>
        <v>5</v>
      </c>
      <c r="I1231" s="39"/>
      <c r="J1231" s="40"/>
    </row>
    <row r="1232" spans="2:10" s="1" customFormat="1" ht="13.2" x14ac:dyDescent="0.25">
      <c r="B1232" s="45"/>
      <c r="C1232" s="38" t="s">
        <v>472</v>
      </c>
      <c r="D1232" s="59">
        <v>2</v>
      </c>
      <c r="E1232" s="39"/>
      <c r="F1232" s="39"/>
      <c r="G1232" s="39"/>
      <c r="H1232" s="39">
        <f t="shared" ref="H1232" si="78">+D1232</f>
        <v>2</v>
      </c>
      <c r="I1232" s="39"/>
      <c r="J1232" s="40"/>
    </row>
    <row r="1233" spans="2:10" s="1" customFormat="1" ht="13.2" x14ac:dyDescent="0.25">
      <c r="B1233" s="42" t="s">
        <v>416</v>
      </c>
      <c r="C1233" s="42" t="s">
        <v>426</v>
      </c>
      <c r="D1233" s="59"/>
      <c r="E1233" s="39"/>
      <c r="F1233" s="39"/>
      <c r="G1233" s="39"/>
      <c r="H1233" s="39"/>
      <c r="I1233" s="43">
        <f>+SUM(H1234:H1234)</f>
        <v>2</v>
      </c>
      <c r="J1233" s="44" t="s">
        <v>30</v>
      </c>
    </row>
    <row r="1234" spans="2:10" s="1" customFormat="1" ht="13.2" x14ac:dyDescent="0.25">
      <c r="B1234" s="45"/>
      <c r="C1234" s="58" t="s">
        <v>475</v>
      </c>
      <c r="D1234" s="59">
        <v>2</v>
      </c>
      <c r="E1234" s="39">
        <v>1</v>
      </c>
      <c r="F1234" s="39"/>
      <c r="G1234" s="39"/>
      <c r="H1234" s="39">
        <f t="shared" ref="H1234" si="79">+D1234</f>
        <v>2</v>
      </c>
      <c r="I1234" s="39"/>
      <c r="J1234" s="40"/>
    </row>
    <row r="1235" spans="2:10" s="1" customFormat="1" ht="13.2" x14ac:dyDescent="0.25">
      <c r="B1235" s="42" t="s">
        <v>419</v>
      </c>
      <c r="C1235" s="42" t="s">
        <v>666</v>
      </c>
      <c r="D1235" s="59"/>
      <c r="E1235" s="39"/>
      <c r="F1235" s="39"/>
      <c r="G1235" s="39"/>
      <c r="H1235" s="39"/>
      <c r="I1235" s="43">
        <f>+SUM(H1236:H1236)</f>
        <v>4</v>
      </c>
      <c r="J1235" s="44" t="s">
        <v>30</v>
      </c>
    </row>
    <row r="1236" spans="2:10" s="1" customFormat="1" ht="13.2" x14ac:dyDescent="0.25">
      <c r="B1236" s="45"/>
      <c r="C1236" s="38" t="s">
        <v>665</v>
      </c>
      <c r="D1236" s="59">
        <v>4</v>
      </c>
      <c r="E1236" s="39"/>
      <c r="F1236" s="39"/>
      <c r="G1236" s="39"/>
      <c r="H1236" s="39">
        <f>+D1236</f>
        <v>4</v>
      </c>
      <c r="I1236" s="39"/>
      <c r="J1236" s="40"/>
    </row>
    <row r="1237" spans="2:10" s="1" customFormat="1" ht="13.2" x14ac:dyDescent="0.25">
      <c r="B1237" s="45"/>
      <c r="C1237" s="58"/>
      <c r="D1237" s="59"/>
      <c r="E1237" s="39"/>
      <c r="F1237" s="39"/>
      <c r="G1237" s="39"/>
      <c r="H1237" s="39"/>
      <c r="I1237" s="39"/>
      <c r="J1237" s="40"/>
    </row>
    <row r="1238" spans="2:10" s="1" customFormat="1" ht="13.2" x14ac:dyDescent="0.25">
      <c r="B1238" s="45"/>
      <c r="C1238" s="58"/>
      <c r="D1238" s="59"/>
      <c r="E1238" s="39"/>
      <c r="F1238" s="39"/>
      <c r="G1238" s="39"/>
      <c r="H1238" s="39"/>
      <c r="I1238" s="39"/>
      <c r="J1238" s="40"/>
    </row>
    <row r="1239" spans="2:10" s="1" customFormat="1" ht="13.2" x14ac:dyDescent="0.25">
      <c r="B1239" s="45"/>
      <c r="C1239" s="58"/>
      <c r="D1239" s="59"/>
      <c r="E1239" s="39"/>
      <c r="F1239" s="39"/>
      <c r="G1239" s="39"/>
      <c r="H1239" s="39"/>
      <c r="I1239" s="39"/>
      <c r="J1239" s="40"/>
    </row>
    <row r="1240" spans="2:10" s="1" customFormat="1" ht="13.2" x14ac:dyDescent="0.25">
      <c r="B1240" s="45"/>
      <c r="C1240" s="58"/>
      <c r="D1240" s="59"/>
      <c r="E1240" s="39"/>
      <c r="F1240" s="39"/>
      <c r="G1240" s="39"/>
      <c r="H1240" s="39"/>
      <c r="I1240" s="39"/>
      <c r="J1240" s="40"/>
    </row>
    <row r="1241" spans="2:10" s="1" customFormat="1" ht="13.2" x14ac:dyDescent="0.25">
      <c r="B1241" s="45"/>
      <c r="C1241" s="58"/>
      <c r="D1241" s="59"/>
      <c r="E1241" s="39"/>
      <c r="F1241" s="39"/>
      <c r="G1241" s="39"/>
      <c r="H1241" s="39"/>
      <c r="I1241" s="39"/>
      <c r="J1241" s="40"/>
    </row>
    <row r="1242" spans="2:10" s="1" customFormat="1" ht="13.2" x14ac:dyDescent="0.25">
      <c r="B1242" s="45"/>
      <c r="C1242" s="58"/>
      <c r="D1242" s="59"/>
      <c r="E1242" s="39"/>
      <c r="F1242" s="39"/>
      <c r="G1242" s="39"/>
      <c r="H1242" s="39"/>
      <c r="I1242" s="39"/>
      <c r="J1242" s="40"/>
    </row>
    <row r="1243" spans="2:10" s="1" customFormat="1" ht="13.2" x14ac:dyDescent="0.25">
      <c r="B1243" s="45"/>
      <c r="C1243" s="58"/>
      <c r="D1243" s="59"/>
      <c r="E1243" s="39"/>
      <c r="F1243" s="39"/>
      <c r="G1243" s="39"/>
      <c r="H1243" s="39"/>
      <c r="I1243" s="39"/>
      <c r="J1243" s="40"/>
    </row>
    <row r="1244" spans="2:10" s="1" customFormat="1" ht="13.2" x14ac:dyDescent="0.25">
      <c r="B1244" s="45"/>
      <c r="C1244" s="58"/>
      <c r="D1244" s="59"/>
      <c r="E1244" s="39"/>
      <c r="F1244" s="39"/>
      <c r="G1244" s="39"/>
      <c r="H1244" s="39"/>
      <c r="I1244" s="39"/>
      <c r="J1244" s="40"/>
    </row>
    <row r="1245" spans="2:10" s="1" customFormat="1" ht="13.2" x14ac:dyDescent="0.25">
      <c r="B1245" s="45"/>
      <c r="C1245" s="58"/>
      <c r="D1245" s="59"/>
      <c r="E1245" s="39"/>
      <c r="F1245" s="39"/>
      <c r="G1245" s="39"/>
      <c r="H1245" s="39"/>
      <c r="I1245" s="39"/>
      <c r="J1245" s="40"/>
    </row>
    <row r="1246" spans="2:10" s="1" customFormat="1" ht="13.2" x14ac:dyDescent="0.25">
      <c r="B1246" s="45"/>
      <c r="C1246" s="58"/>
      <c r="D1246" s="59"/>
      <c r="E1246" s="39"/>
      <c r="F1246" s="39"/>
      <c r="G1246" s="39"/>
      <c r="H1246" s="39"/>
      <c r="I1246" s="39"/>
      <c r="J1246" s="40"/>
    </row>
    <row r="1247" spans="2:10" s="1" customFormat="1" ht="13.2" x14ac:dyDescent="0.25">
      <c r="C1247" s="83" t="s">
        <v>0</v>
      </c>
      <c r="D1247" s="83"/>
      <c r="E1247" s="83"/>
      <c r="F1247" s="83"/>
      <c r="G1247" s="83"/>
      <c r="H1247" s="83"/>
    </row>
    <row r="1248" spans="2:10" s="1" customFormat="1" ht="13.2" x14ac:dyDescent="0.25">
      <c r="C1248" s="83" t="s">
        <v>1</v>
      </c>
      <c r="D1248" s="83"/>
      <c r="E1248" s="83"/>
      <c r="F1248" s="83"/>
      <c r="G1248" s="83"/>
      <c r="H1248" s="83"/>
    </row>
    <row r="1249" spans="2:10" s="1" customFormat="1" ht="13.2" x14ac:dyDescent="0.25">
      <c r="C1249" s="83" t="s">
        <v>2</v>
      </c>
      <c r="D1249" s="83"/>
      <c r="E1249" s="83"/>
      <c r="F1249" s="83"/>
      <c r="G1249" s="83"/>
      <c r="H1249" s="83"/>
    </row>
    <row r="1250" spans="2:10" s="1" customFormat="1" ht="13.2" x14ac:dyDescent="0.25">
      <c r="C1250" s="52" t="s">
        <v>3</v>
      </c>
      <c r="D1250" s="52"/>
      <c r="E1250" s="52"/>
      <c r="F1250" s="52"/>
      <c r="G1250" s="52"/>
      <c r="H1250" s="52"/>
    </row>
    <row r="1251" spans="2:10" s="1" customFormat="1" ht="33" customHeight="1" x14ac:dyDescent="0.25">
      <c r="C1251" s="52"/>
      <c r="D1251" s="52"/>
      <c r="E1251" s="52"/>
      <c r="F1251" s="52"/>
      <c r="G1251" s="52"/>
      <c r="H1251" s="52"/>
    </row>
    <row r="1252" spans="2:10" s="1" customFormat="1" ht="15.6" x14ac:dyDescent="0.25">
      <c r="B1252" s="84" t="s">
        <v>458</v>
      </c>
      <c r="C1252" s="85"/>
      <c r="D1252" s="85"/>
      <c r="E1252" s="85"/>
      <c r="F1252" s="85"/>
      <c r="G1252" s="85"/>
      <c r="H1252" s="85"/>
      <c r="I1252" s="85"/>
      <c r="J1252" s="86"/>
    </row>
    <row r="1253" spans="2:10" s="1" customFormat="1" ht="21" x14ac:dyDescent="0.25">
      <c r="B1253" s="87" t="s">
        <v>494</v>
      </c>
      <c r="C1253" s="88"/>
      <c r="D1253" s="88"/>
      <c r="E1253" s="88"/>
      <c r="F1253" s="88"/>
      <c r="G1253" s="88"/>
      <c r="H1253" s="88"/>
      <c r="I1253" s="88"/>
      <c r="J1253" s="89"/>
    </row>
    <row r="1254" spans="2:10" s="1" customFormat="1" ht="13.8" thickBot="1" x14ac:dyDescent="0.3">
      <c r="B1254" s="53"/>
      <c r="C1254" s="53"/>
      <c r="D1254" s="53"/>
      <c r="E1254" s="53"/>
      <c r="F1254" s="53"/>
      <c r="G1254" s="53"/>
      <c r="H1254" s="53"/>
      <c r="I1254" s="53"/>
      <c r="J1254" s="53"/>
    </row>
    <row r="1255" spans="2:10" s="1" customFormat="1" ht="24.75" customHeight="1" x14ac:dyDescent="0.25">
      <c r="B1255" s="123" t="s">
        <v>6</v>
      </c>
      <c r="C1255" s="124"/>
      <c r="D1255" s="124"/>
      <c r="E1255" s="124"/>
      <c r="F1255" s="124"/>
      <c r="G1255" s="124"/>
      <c r="H1255" s="124"/>
      <c r="I1255" s="124"/>
      <c r="J1255" s="125"/>
    </row>
    <row r="1256" spans="2:10" s="1" customFormat="1" ht="13.2" x14ac:dyDescent="0.25">
      <c r="B1256" s="2" t="s">
        <v>7</v>
      </c>
      <c r="C1256" s="3" t="s">
        <v>8</v>
      </c>
      <c r="D1256" s="3"/>
      <c r="E1256" s="4"/>
      <c r="F1256" s="5"/>
      <c r="G1256" s="6" t="s">
        <v>9</v>
      </c>
      <c r="H1256" s="126">
        <v>42879</v>
      </c>
      <c r="I1256" s="126"/>
      <c r="J1256" s="7"/>
    </row>
    <row r="1257" spans="2:10" s="1" customFormat="1" ht="13.2" x14ac:dyDescent="0.25">
      <c r="B1257" s="2" t="s">
        <v>10</v>
      </c>
      <c r="C1257" s="3" t="s">
        <v>11</v>
      </c>
      <c r="F1257" s="3"/>
      <c r="G1257" s="8" t="s">
        <v>12</v>
      </c>
      <c r="H1257" s="4" t="s">
        <v>11</v>
      </c>
      <c r="I1257" s="9"/>
      <c r="J1257" s="10"/>
    </row>
    <row r="1258" spans="2:10" s="1" customFormat="1" ht="13.2" x14ac:dyDescent="0.25">
      <c r="B1258" s="2" t="s">
        <v>13</v>
      </c>
      <c r="C1258" s="3" t="s">
        <v>11</v>
      </c>
      <c r="F1258" s="3"/>
      <c r="G1258" s="8" t="s">
        <v>14</v>
      </c>
      <c r="H1258" s="4" t="s">
        <v>15</v>
      </c>
      <c r="I1258" s="9"/>
      <c r="J1258" s="10"/>
    </row>
    <row r="1259" spans="2:10" s="1" customFormat="1" ht="13.8" thickBot="1" x14ac:dyDescent="0.3">
      <c r="B1259" s="11" t="s">
        <v>16</v>
      </c>
      <c r="C1259" s="12" t="s">
        <v>17</v>
      </c>
      <c r="D1259" s="13"/>
      <c r="E1259" s="13"/>
      <c r="F1259" s="12"/>
      <c r="G1259" s="14" t="s">
        <v>18</v>
      </c>
      <c r="H1259" s="15" t="s">
        <v>19</v>
      </c>
      <c r="I1259" s="16"/>
      <c r="J1259" s="17"/>
    </row>
    <row r="1260" spans="2:10" s="1" customFormat="1" ht="13.2" x14ac:dyDescent="0.25">
      <c r="B1260" s="53"/>
      <c r="C1260" s="53"/>
      <c r="D1260" s="53"/>
      <c r="E1260" s="53"/>
      <c r="F1260" s="53"/>
      <c r="G1260" s="53"/>
      <c r="H1260" s="53"/>
      <c r="I1260" s="53"/>
      <c r="J1260" s="53"/>
    </row>
    <row r="1261" spans="2:10" s="1" customFormat="1" ht="13.2" x14ac:dyDescent="0.25">
      <c r="B1261" s="20" t="s">
        <v>20</v>
      </c>
      <c r="C1261" s="21" t="s">
        <v>21</v>
      </c>
      <c r="D1261" s="21" t="s">
        <v>460</v>
      </c>
      <c r="E1261" s="21" t="s">
        <v>461</v>
      </c>
      <c r="F1261" s="21" t="s">
        <v>462</v>
      </c>
      <c r="G1261" s="21" t="s">
        <v>463</v>
      </c>
      <c r="H1261" s="21" t="s">
        <v>464</v>
      </c>
      <c r="I1261" s="21" t="s">
        <v>22</v>
      </c>
      <c r="J1261" s="21" t="s">
        <v>23</v>
      </c>
    </row>
    <row r="1262" spans="2:10" s="1" customFormat="1" ht="13.2" x14ac:dyDescent="0.25">
      <c r="B1262" s="54">
        <v>4.03</v>
      </c>
      <c r="C1262" s="55" t="s">
        <v>182</v>
      </c>
      <c r="D1262" s="59"/>
      <c r="E1262" s="39"/>
      <c r="F1262" s="39"/>
      <c r="G1262" s="39"/>
      <c r="H1262" s="39"/>
      <c r="I1262" s="39"/>
      <c r="J1262" s="40"/>
    </row>
    <row r="1263" spans="2:10" s="1" customFormat="1" ht="13.2" x14ac:dyDescent="0.25">
      <c r="B1263" s="72" t="s">
        <v>183</v>
      </c>
      <c r="C1263" s="72" t="s">
        <v>331</v>
      </c>
      <c r="D1263" s="59"/>
      <c r="E1263" s="39"/>
      <c r="F1263" s="39"/>
      <c r="G1263" s="39"/>
      <c r="H1263" s="39"/>
      <c r="I1263" s="39"/>
      <c r="J1263" s="40"/>
    </row>
    <row r="1264" spans="2:10" s="1" customFormat="1" ht="13.2" x14ac:dyDescent="0.25">
      <c r="B1264" s="24" t="s">
        <v>185</v>
      </c>
      <c r="C1264" s="27" t="s">
        <v>332</v>
      </c>
      <c r="D1264" s="59"/>
      <c r="E1264" s="39"/>
      <c r="F1264" s="39"/>
      <c r="G1264" s="39"/>
      <c r="H1264" s="39"/>
      <c r="I1264" s="39">
        <f>+SUM(H1265:H1266)</f>
        <v>10.130000000000001</v>
      </c>
      <c r="J1264" s="40" t="s">
        <v>333</v>
      </c>
    </row>
    <row r="1265" spans="2:10" s="1" customFormat="1" ht="13.2" x14ac:dyDescent="0.25">
      <c r="B1265" s="45"/>
      <c r="C1265" s="38" t="s">
        <v>667</v>
      </c>
      <c r="D1265" s="59">
        <v>1</v>
      </c>
      <c r="E1265" s="39">
        <v>19.3</v>
      </c>
      <c r="F1265" s="39">
        <v>0.5</v>
      </c>
      <c r="G1265" s="39"/>
      <c r="H1265" s="39">
        <f t="shared" ref="H1265:H1266" si="80">IF(AND(F1265=0,G1265=0),D1265*E1265,IF(AND(E1265=0,G1265=0),D1265*F1265,IF(AND(E1265=0,F1265=0),D1265*G1265,IF(AND(E1265=0),D1265*F1265*G1265,IF(AND(F1265=0),D1265*E1265*G1265,IF(AND(G1265=0),D1265*E1265*F1265,D1265*E1265*F1265*G1265))))))</f>
        <v>9.65</v>
      </c>
      <c r="I1265" s="39"/>
      <c r="J1265" s="40"/>
    </row>
    <row r="1266" spans="2:10" s="1" customFormat="1" ht="13.2" x14ac:dyDescent="0.25">
      <c r="B1266" s="45"/>
      <c r="C1266" s="38" t="s">
        <v>668</v>
      </c>
      <c r="D1266" s="39">
        <v>1</v>
      </c>
      <c r="E1266" s="39">
        <v>0.6</v>
      </c>
      <c r="F1266" s="39">
        <v>0.8</v>
      </c>
      <c r="G1266" s="39"/>
      <c r="H1266" s="39">
        <f t="shared" si="80"/>
        <v>0.48</v>
      </c>
      <c r="I1266" s="39"/>
      <c r="J1266" s="40"/>
    </row>
    <row r="1267" spans="2:10" x14ac:dyDescent="0.3">
      <c r="B1267" s="24" t="s">
        <v>187</v>
      </c>
      <c r="C1267" s="27" t="s">
        <v>334</v>
      </c>
      <c r="D1267" s="22"/>
      <c r="E1267" s="22"/>
      <c r="F1267" s="22"/>
      <c r="G1267" s="22"/>
      <c r="H1267" s="23"/>
      <c r="I1267" s="24">
        <f>+I1264</f>
        <v>10.130000000000001</v>
      </c>
      <c r="J1267" s="25" t="s">
        <v>333</v>
      </c>
    </row>
    <row r="1268" spans="2:10" s="1" customFormat="1" ht="13.2" x14ac:dyDescent="0.25">
      <c r="B1268" s="45"/>
      <c r="C1268" s="58"/>
      <c r="D1268" s="59"/>
      <c r="E1268" s="39"/>
      <c r="F1268" s="39"/>
      <c r="G1268" s="39"/>
      <c r="H1268" s="39"/>
      <c r="I1268" s="39"/>
      <c r="J1268" s="40"/>
    </row>
    <row r="1269" spans="2:10" x14ac:dyDescent="0.3">
      <c r="B1269" s="72" t="s">
        <v>359</v>
      </c>
      <c r="C1269" s="72" t="s">
        <v>345</v>
      </c>
      <c r="D1269" s="22"/>
      <c r="E1269" s="22"/>
      <c r="F1269" s="22"/>
      <c r="G1269" s="22"/>
      <c r="H1269" s="23"/>
      <c r="I1269" s="24"/>
      <c r="J1269" s="25"/>
    </row>
    <row r="1270" spans="2:10" s="1" customFormat="1" ht="15.75" customHeight="1" x14ac:dyDescent="0.25">
      <c r="B1270" s="24" t="s">
        <v>361</v>
      </c>
      <c r="C1270" s="1" t="s">
        <v>347</v>
      </c>
      <c r="D1270" s="59"/>
      <c r="E1270" s="39"/>
      <c r="F1270" s="39"/>
      <c r="G1270" s="39"/>
      <c r="H1270" s="23"/>
      <c r="I1270" s="24">
        <f>+SUM(H1271)</f>
        <v>5.7900000000000009</v>
      </c>
      <c r="J1270" s="25" t="s">
        <v>337</v>
      </c>
    </row>
    <row r="1271" spans="2:10" s="1" customFormat="1" ht="13.2" x14ac:dyDescent="0.25">
      <c r="B1271" s="24"/>
      <c r="C1271" s="1" t="s">
        <v>495</v>
      </c>
      <c r="D1271" s="59">
        <v>1</v>
      </c>
      <c r="E1271" s="39">
        <v>19.3</v>
      </c>
      <c r="F1271" s="39">
        <v>0.5</v>
      </c>
      <c r="G1271" s="39">
        <f>0.4+0.2</f>
        <v>0.60000000000000009</v>
      </c>
      <c r="H1271" s="39">
        <f>IF(AND(F1271=0,G1271=0),D1271*E1271,IF(AND(E1271=0,G1271=0),D1271*F1271,IF(AND(E1271=0,F1271=0),D1271*G1271,IF(AND(E1271=0),D1271*F1271*G1271,IF(AND(F1271=0),D1271*E1271*G1271,IF(AND(G1271=0),D1271*E1271*F1271,D1271*E1271*F1271*G1271))))))</f>
        <v>5.7900000000000009</v>
      </c>
      <c r="I1271" s="39"/>
      <c r="J1271" s="40"/>
    </row>
    <row r="1272" spans="2:10" s="1" customFormat="1" ht="13.2" x14ac:dyDescent="0.25">
      <c r="B1272" s="24"/>
      <c r="D1272" s="59"/>
      <c r="E1272" s="39"/>
      <c r="F1272" s="39"/>
      <c r="G1272" s="39"/>
      <c r="H1272" s="39"/>
      <c r="I1272" s="39"/>
      <c r="J1272" s="40"/>
    </row>
    <row r="1273" spans="2:10" s="1" customFormat="1" ht="13.2" x14ac:dyDescent="0.25">
      <c r="B1273" s="24" t="s">
        <v>363</v>
      </c>
      <c r="C1273" s="1" t="s">
        <v>348</v>
      </c>
      <c r="D1273" s="59"/>
      <c r="E1273" s="39"/>
      <c r="F1273" s="39"/>
      <c r="G1273" s="39"/>
      <c r="H1273" s="23"/>
      <c r="I1273" s="24">
        <f>+SUM(H1274)</f>
        <v>0.28800000000000003</v>
      </c>
      <c r="J1273" s="25" t="s">
        <v>337</v>
      </c>
    </row>
    <row r="1274" spans="2:10" s="1" customFormat="1" ht="13.2" x14ac:dyDescent="0.25">
      <c r="B1274" s="114"/>
      <c r="C1274" s="38" t="s">
        <v>668</v>
      </c>
      <c r="D1274" s="39">
        <v>1</v>
      </c>
      <c r="E1274" s="39">
        <v>0.6</v>
      </c>
      <c r="F1274" s="39">
        <v>0.8</v>
      </c>
      <c r="G1274" s="39">
        <f>0.4+0.2</f>
        <v>0.60000000000000009</v>
      </c>
      <c r="H1274" s="39">
        <f>IF(AND(F1274=0,G1274=0),D1274*E1274,IF(AND(E1274=0,G1274=0),D1274*F1274,IF(AND(E1274=0,F1274=0),D1274*G1274,IF(AND(E1274=0),D1274*F1274*G1274,IF(AND(F1274=0),D1274*E1274*G1274,IF(AND(G1274=0),D1274*E1274*F1274,D1274*E1274*F1274*G1274))))))</f>
        <v>0.28800000000000003</v>
      </c>
      <c r="I1274" s="39"/>
      <c r="J1274" s="40"/>
    </row>
    <row r="1275" spans="2:10" s="1" customFormat="1" ht="13.2" x14ac:dyDescent="0.25">
      <c r="B1275" s="24" t="s">
        <v>555</v>
      </c>
      <c r="C1275" s="1" t="s">
        <v>349</v>
      </c>
      <c r="D1275" s="59"/>
      <c r="E1275" s="39"/>
      <c r="F1275" s="39"/>
      <c r="G1275" s="39"/>
      <c r="H1275" s="39"/>
      <c r="I1275" s="39">
        <f>+SUM(H1276)</f>
        <v>0</v>
      </c>
      <c r="J1275" s="40" t="s">
        <v>337</v>
      </c>
    </row>
    <row r="1276" spans="2:10" s="1" customFormat="1" ht="13.2" x14ac:dyDescent="0.25">
      <c r="B1276" s="45"/>
      <c r="C1276" s="38"/>
      <c r="E1276" s="39"/>
      <c r="F1276" s="39"/>
      <c r="G1276" s="39"/>
      <c r="H1276" s="39">
        <f>IF(AND(F1276=0,G1276=0),D1276*E1276,IF(AND(E1276=0,G1276=0),D1276*F1276,IF(AND(E1276=0,F1276=0),D1276*G1276,IF(AND(E1276=0),D1276*F1276*G1276,IF(AND(F1276=0),D1276*E1276*G1276,IF(AND(G1276=0),D1276*E1276*F1276,D1276*E1276*F1276*G1276))))))</f>
        <v>0</v>
      </c>
      <c r="I1276" s="39"/>
      <c r="J1276" s="40"/>
    </row>
    <row r="1277" spans="2:10" x14ac:dyDescent="0.3">
      <c r="B1277" s="24" t="s">
        <v>556</v>
      </c>
      <c r="C1277" s="115" t="s">
        <v>350</v>
      </c>
      <c r="D1277" s="22"/>
      <c r="E1277" s="22"/>
      <c r="F1277" s="22"/>
      <c r="G1277" s="22"/>
      <c r="I1277" s="23">
        <f>+SUM(H1278:H1279)</f>
        <v>10.130000000000001</v>
      </c>
      <c r="J1277" s="25" t="s">
        <v>333</v>
      </c>
    </row>
    <row r="1278" spans="2:10" x14ac:dyDescent="0.3">
      <c r="B1278" s="24"/>
      <c r="C1278" s="38" t="s">
        <v>668</v>
      </c>
      <c r="D1278" s="39">
        <v>1</v>
      </c>
      <c r="E1278" s="39">
        <v>0.6</v>
      </c>
      <c r="F1278" s="39">
        <v>0.8</v>
      </c>
      <c r="G1278" s="39"/>
      <c r="H1278" s="39">
        <f>IF(AND(F1278=0,G1278=0),D1278*E1278,IF(AND(E1278=0,G1278=0),D1278*F1278,IF(AND(E1278=0,F1278=0),D1278*G1278,IF(AND(E1278=0),D1278*F1278*G1278,IF(AND(F1278=0),D1278*E1278*G1278,IF(AND(G1278=0),D1278*E1278*F1278,D1278*E1278*F1278*G1278))))))</f>
        <v>0.48</v>
      </c>
      <c r="I1278" s="24"/>
      <c r="J1278" s="25"/>
    </row>
    <row r="1279" spans="2:10" x14ac:dyDescent="0.3">
      <c r="B1279" s="24"/>
      <c r="C1279" s="38" t="s">
        <v>495</v>
      </c>
      <c r="D1279" s="59">
        <v>1</v>
      </c>
      <c r="E1279" s="39">
        <v>19.3</v>
      </c>
      <c r="F1279" s="39">
        <v>0.5</v>
      </c>
      <c r="G1279" s="39"/>
      <c r="H1279" s="39">
        <f>IF(AND(F1279=0,G1279=0),D1279*E1279,IF(AND(E1279=0,G1279=0),D1279*F1279,IF(AND(E1279=0,F1279=0),D1279*G1279,IF(AND(E1279=0),D1279*F1279*G1279,IF(AND(F1279=0),D1279*E1279*G1279,IF(AND(G1279=0),D1279*E1279*F1279,D1279*E1279*F1279*G1279))))))</f>
        <v>9.65</v>
      </c>
      <c r="I1279" s="24"/>
      <c r="J1279" s="25"/>
    </row>
    <row r="1280" spans="2:10" s="1" customFormat="1" ht="13.2" x14ac:dyDescent="0.25">
      <c r="B1280" s="24" t="s">
        <v>558</v>
      </c>
      <c r="C1280" s="27" t="s">
        <v>352</v>
      </c>
      <c r="D1280" s="59"/>
      <c r="E1280" s="39"/>
      <c r="F1280" s="39"/>
      <c r="G1280" s="39"/>
      <c r="H1280" s="39"/>
      <c r="I1280" s="39">
        <f>+SUM(H1281)</f>
        <v>28.950000000000003</v>
      </c>
      <c r="J1280" s="40" t="s">
        <v>333</v>
      </c>
    </row>
    <row r="1281" spans="2:10" s="1" customFormat="1" ht="13.2" x14ac:dyDescent="0.25">
      <c r="B1281" s="45"/>
      <c r="C1281" s="38" t="s">
        <v>495</v>
      </c>
      <c r="D1281" s="59">
        <v>1</v>
      </c>
      <c r="E1281" s="39">
        <v>19.3</v>
      </c>
      <c r="F1281" s="39">
        <v>0.5</v>
      </c>
      <c r="G1281" s="39">
        <f>0.4+0.1</f>
        <v>0.5</v>
      </c>
      <c r="H1281" s="39">
        <f>+(F1281+G1281*2)*E1281</f>
        <v>28.950000000000003</v>
      </c>
      <c r="I1281" s="39"/>
      <c r="J1281" s="40"/>
    </row>
    <row r="1282" spans="2:10" s="1" customFormat="1" ht="13.2" x14ac:dyDescent="0.25">
      <c r="B1282" s="24" t="s">
        <v>560</v>
      </c>
      <c r="C1282" s="27" t="s">
        <v>354</v>
      </c>
      <c r="D1282" s="59"/>
      <c r="E1282" s="39"/>
      <c r="F1282" s="39" t="s">
        <v>571</v>
      </c>
      <c r="G1282" s="39"/>
      <c r="H1282" s="39"/>
      <c r="I1282" s="39">
        <f>+SUM(H1283:H1286)</f>
        <v>112.58630927835051</v>
      </c>
      <c r="J1282" s="40" t="s">
        <v>355</v>
      </c>
    </row>
    <row r="1283" spans="2:10" s="1" customFormat="1" ht="13.2" x14ac:dyDescent="0.25">
      <c r="B1283" s="107"/>
      <c r="C1283" s="38" t="s">
        <v>669</v>
      </c>
      <c r="D1283" s="59">
        <v>5</v>
      </c>
      <c r="E1283" s="39">
        <f>9.78+0.55</f>
        <v>10.33</v>
      </c>
      <c r="F1283" s="39">
        <f>8.2/5</f>
        <v>1.64</v>
      </c>
      <c r="G1283" s="39"/>
      <c r="H1283" s="39">
        <f>IF(AND(F1283=0,G1283=0),D1283*E1283,IF(AND(E1283=0,G1283=0),D1283*F1283,IF(AND(E1283=0,F1283=0),D1283*G1283,IF(AND(E1283=0),D1283*F1283*G1283,IF(AND(F1283=0),D1283*E1283*G1283,IF(AND(G1283=0),D1283*E1283*F1283,D1283*E1283*F1283*G1283))))))</f>
        <v>84.705999999999989</v>
      </c>
      <c r="I1283" s="39"/>
      <c r="J1283" s="40"/>
    </row>
    <row r="1284" spans="2:10" s="1" customFormat="1" ht="13.2" x14ac:dyDescent="0.25">
      <c r="B1284" s="107"/>
      <c r="C1284" s="42" t="s">
        <v>220</v>
      </c>
      <c r="D1284" s="59"/>
      <c r="E1284" s="39"/>
      <c r="F1284" s="39"/>
      <c r="G1284" s="39"/>
      <c r="H1284" s="39"/>
      <c r="I1284" s="39"/>
      <c r="J1284" s="40"/>
    </row>
    <row r="1285" spans="2:10" s="1" customFormat="1" ht="13.2" x14ac:dyDescent="0.25">
      <c r="B1285" s="107"/>
      <c r="C1285" s="38" t="s">
        <v>670</v>
      </c>
      <c r="D1285" s="39">
        <v>1</v>
      </c>
      <c r="E1285" s="39">
        <v>3.7</v>
      </c>
      <c r="F1285" s="39">
        <f>27.69/5.82</f>
        <v>4.7577319587628866</v>
      </c>
      <c r="G1285" s="39"/>
      <c r="H1285" s="39">
        <f t="shared" ref="H1285:H1286" si="81">IF(AND(F1285=0,G1285=0),D1285*E1285,IF(AND(E1285=0,G1285=0),D1285*F1285,IF(AND(E1285=0,F1285=0),D1285*G1285,IF(AND(E1285=0),D1285*F1285*G1285,IF(AND(F1285=0),D1285*E1285*G1285,IF(AND(G1285=0),D1285*E1285*F1285,D1285*E1285*F1285*G1285))))))</f>
        <v>17.603608247422681</v>
      </c>
      <c r="I1285" s="39"/>
      <c r="J1285" s="40"/>
    </row>
    <row r="1286" spans="2:10" s="1" customFormat="1" ht="13.2" x14ac:dyDescent="0.25">
      <c r="B1286" s="107"/>
      <c r="C1286" s="38" t="s">
        <v>671</v>
      </c>
      <c r="D1286" s="59">
        <v>1</v>
      </c>
      <c r="E1286" s="39">
        <f>0.96+1.2</f>
        <v>2.16</v>
      </c>
      <c r="F1286" s="39">
        <f>27.69/5.82</f>
        <v>4.7577319587628866</v>
      </c>
      <c r="G1286" s="39"/>
      <c r="H1286" s="39">
        <f t="shared" si="81"/>
        <v>10.276701030927835</v>
      </c>
      <c r="I1286" s="39"/>
      <c r="J1286" s="40"/>
    </row>
    <row r="1287" spans="2:10" s="1" customFormat="1" ht="13.2" x14ac:dyDescent="0.25">
      <c r="B1287" s="24" t="s">
        <v>561</v>
      </c>
      <c r="C1287" s="27" t="s">
        <v>356</v>
      </c>
      <c r="D1287" s="59"/>
      <c r="E1287" s="39"/>
      <c r="F1287" s="39"/>
      <c r="G1287" s="39"/>
      <c r="H1287" s="39"/>
      <c r="I1287" s="39">
        <f>+SUM(H1288:H1291)</f>
        <v>2.6290000000000004</v>
      </c>
      <c r="J1287" s="40" t="s">
        <v>337</v>
      </c>
    </row>
    <row r="1288" spans="2:10" s="1" customFormat="1" ht="13.2" x14ac:dyDescent="0.25">
      <c r="B1288" s="45"/>
      <c r="C1288" s="38" t="s">
        <v>672</v>
      </c>
      <c r="D1288" s="59">
        <v>2</v>
      </c>
      <c r="E1288" s="39">
        <v>19.3</v>
      </c>
      <c r="F1288" s="39">
        <v>0.1</v>
      </c>
      <c r="G1288" s="39">
        <v>0.4</v>
      </c>
      <c r="H1288" s="39">
        <f t="shared" ref="H1288:H1291" si="82">IF(AND(F1288=0,G1288=0),D1288*E1288,IF(AND(E1288=0,G1288=0),D1288*F1288,IF(AND(E1288=0,F1288=0),D1288*G1288,IF(AND(E1288=0),D1288*F1288*G1288,IF(AND(F1288=0),D1288*E1288*G1288,IF(AND(G1288=0),D1288*E1288*F1288,D1288*E1288*F1288*G1288))))))</f>
        <v>1.5440000000000003</v>
      </c>
      <c r="I1288" s="39"/>
      <c r="J1288" s="40"/>
    </row>
    <row r="1289" spans="2:10" s="1" customFormat="1" ht="13.2" x14ac:dyDescent="0.25">
      <c r="B1289" s="45"/>
      <c r="C1289" s="38"/>
      <c r="D1289" s="59">
        <v>1</v>
      </c>
      <c r="E1289" s="39">
        <v>19.3</v>
      </c>
      <c r="F1289" s="39">
        <v>0.5</v>
      </c>
      <c r="G1289" s="39">
        <v>0.1</v>
      </c>
      <c r="H1289" s="39">
        <f t="shared" si="82"/>
        <v>0.96500000000000008</v>
      </c>
      <c r="I1289" s="39"/>
      <c r="J1289" s="40"/>
    </row>
    <row r="1290" spans="2:10" s="1" customFormat="1" ht="13.2" x14ac:dyDescent="0.25">
      <c r="B1290" s="45"/>
      <c r="C1290" s="38" t="s">
        <v>668</v>
      </c>
      <c r="D1290" s="39">
        <v>2</v>
      </c>
      <c r="E1290" s="39">
        <v>0.8</v>
      </c>
      <c r="F1290" s="39">
        <v>0.1</v>
      </c>
      <c r="G1290" s="39">
        <v>0.5</v>
      </c>
      <c r="H1290" s="39">
        <f t="shared" si="82"/>
        <v>8.0000000000000016E-2</v>
      </c>
      <c r="I1290" s="39"/>
      <c r="J1290" s="40"/>
    </row>
    <row r="1291" spans="2:10" s="1" customFormat="1" ht="13.2" x14ac:dyDescent="0.25">
      <c r="B1291" s="45"/>
      <c r="C1291" s="58"/>
      <c r="D1291" s="59">
        <v>2</v>
      </c>
      <c r="E1291" s="39">
        <v>0.4</v>
      </c>
      <c r="F1291" s="39">
        <v>0.1</v>
      </c>
      <c r="G1291" s="39">
        <v>0.5</v>
      </c>
      <c r="H1291" s="39">
        <f t="shared" si="82"/>
        <v>4.0000000000000008E-2</v>
      </c>
      <c r="I1291" s="39"/>
      <c r="J1291" s="40"/>
    </row>
    <row r="1292" spans="2:10" s="1" customFormat="1" ht="13.2" x14ac:dyDescent="0.25">
      <c r="B1292" s="24" t="s">
        <v>562</v>
      </c>
      <c r="C1292" s="27" t="s">
        <v>357</v>
      </c>
      <c r="D1292" s="59" t="s">
        <v>574</v>
      </c>
      <c r="E1292" s="39"/>
      <c r="F1292" s="39"/>
      <c r="G1292" s="39"/>
      <c r="H1292" s="39"/>
      <c r="I1292" s="39">
        <f>+SUM(H1293:H1294)</f>
        <v>7.597500000000001</v>
      </c>
      <c r="J1292" s="40" t="s">
        <v>337</v>
      </c>
    </row>
    <row r="1293" spans="2:10" s="1" customFormat="1" ht="13.2" x14ac:dyDescent="0.25">
      <c r="B1293" s="24"/>
      <c r="C1293" s="38" t="s">
        <v>668</v>
      </c>
      <c r="D1293" s="39">
        <v>1.25</v>
      </c>
      <c r="E1293" s="39">
        <v>0.6</v>
      </c>
      <c r="F1293" s="39">
        <v>0.8</v>
      </c>
      <c r="G1293" s="39">
        <f>0.4+0.2</f>
        <v>0.60000000000000009</v>
      </c>
      <c r="H1293" s="39">
        <f>IF(AND(F1293=0,G1293=0),D1293*E1293,IF(AND(E1293=0,G1293=0),D1293*F1293,IF(AND(E1293=0,F1293=0),D1293*G1293,IF(AND(E1293=0),D1293*F1293*G1293,IF(AND(F1293=0),D1293*E1293*G1293,IF(AND(G1293=0),D1293*E1293*F1293,D1293*E1293*F1293*G1293))))))</f>
        <v>0.3600000000000001</v>
      </c>
      <c r="I1293" s="39"/>
      <c r="J1293" s="40"/>
    </row>
    <row r="1294" spans="2:10" s="1" customFormat="1" ht="13.2" x14ac:dyDescent="0.25">
      <c r="B1294" s="45"/>
      <c r="C1294" s="38" t="s">
        <v>672</v>
      </c>
      <c r="D1294" s="59">
        <v>1.25</v>
      </c>
      <c r="E1294" s="39">
        <v>19.3</v>
      </c>
      <c r="F1294" s="39">
        <v>0.5</v>
      </c>
      <c r="G1294" s="39">
        <f>0.4+0.2</f>
        <v>0.60000000000000009</v>
      </c>
      <c r="H1294" s="39">
        <f>IF(AND(F1294=0,G1294=0),D1294*E1294,IF(AND(E1294=0,G1294=0),D1294*F1294,IF(AND(E1294=0,F1294=0),D1294*G1294,IF(AND(E1294=0),D1294*F1294*G1294,IF(AND(F1294=0),D1294*E1294*G1294,IF(AND(G1294=0),D1294*E1294*F1294,D1294*E1294*F1294*G1294))))))</f>
        <v>7.2375000000000007</v>
      </c>
      <c r="I1294" s="39"/>
      <c r="J1294" s="40"/>
    </row>
    <row r="1295" spans="2:10" s="1" customFormat="1" ht="13.2" x14ac:dyDescent="0.25">
      <c r="B1295" s="24" t="s">
        <v>563</v>
      </c>
      <c r="C1295" s="27" t="s">
        <v>358</v>
      </c>
      <c r="D1295" s="59"/>
      <c r="E1295" s="39"/>
      <c r="F1295" s="39"/>
      <c r="G1295" s="39"/>
      <c r="H1295" s="39"/>
      <c r="I1295" s="39">
        <f>+I1292</f>
        <v>7.597500000000001</v>
      </c>
      <c r="J1295" s="40" t="s">
        <v>337</v>
      </c>
    </row>
    <row r="1296" spans="2:10" s="1" customFormat="1" ht="13.2" x14ac:dyDescent="0.25">
      <c r="B1296" s="45"/>
      <c r="C1296" s="38"/>
      <c r="E1296" s="75"/>
      <c r="F1296" s="39"/>
      <c r="G1296" s="39"/>
      <c r="H1296" s="39"/>
      <c r="I1296" s="39"/>
      <c r="J1296" s="40"/>
    </row>
    <row r="1297" spans="2:10" x14ac:dyDescent="0.3">
      <c r="B1297" s="72" t="s">
        <v>365</v>
      </c>
      <c r="C1297" s="73" t="s">
        <v>360</v>
      </c>
      <c r="D1297" s="22"/>
      <c r="E1297" s="22"/>
      <c r="F1297" s="22"/>
      <c r="G1297" s="22"/>
      <c r="H1297" s="23"/>
      <c r="I1297" s="24"/>
      <c r="J1297" s="25"/>
    </row>
    <row r="1298" spans="2:10" s="1" customFormat="1" ht="13.2" x14ac:dyDescent="0.25">
      <c r="B1298" s="42" t="s">
        <v>366</v>
      </c>
      <c r="C1298" s="24" t="s">
        <v>362</v>
      </c>
      <c r="D1298" s="59"/>
      <c r="E1298" s="39"/>
      <c r="F1298" s="39"/>
      <c r="G1298" s="39"/>
      <c r="H1298" s="39"/>
      <c r="I1298" s="43">
        <f>+SUM(H1299:H1299)</f>
        <v>9.65</v>
      </c>
      <c r="J1298" s="44" t="s">
        <v>333</v>
      </c>
    </row>
    <row r="1299" spans="2:10" s="1" customFormat="1" ht="13.2" x14ac:dyDescent="0.25">
      <c r="B1299" s="24"/>
      <c r="C1299" s="1" t="s">
        <v>495</v>
      </c>
      <c r="D1299" s="59">
        <v>1</v>
      </c>
      <c r="E1299" s="39">
        <v>19.3</v>
      </c>
      <c r="F1299" s="39">
        <v>0.5</v>
      </c>
      <c r="G1299" s="39"/>
      <c r="H1299" s="39">
        <f>IF(AND(F1299=0,G1299=0),D1299*E1299,IF(AND(E1299=0,G1299=0),D1299*F1299,IF(AND(E1299=0,F1299=0),D1299*G1299,IF(AND(E1299=0),D1299*F1299*G1299,IF(AND(F1299=0),D1299*E1299*G1299,IF(AND(G1299=0),D1299*E1299*F1299,D1299*E1299*F1299*G1299))))))</f>
        <v>9.65</v>
      </c>
      <c r="I1299" s="39"/>
      <c r="J1299" s="40"/>
    </row>
    <row r="1300" spans="2:10" s="1" customFormat="1" ht="13.2" x14ac:dyDescent="0.25">
      <c r="B1300" s="42" t="s">
        <v>367</v>
      </c>
      <c r="C1300" s="24" t="s">
        <v>364</v>
      </c>
      <c r="D1300" s="59"/>
      <c r="E1300" s="39"/>
      <c r="F1300" s="39"/>
      <c r="G1300" s="39"/>
      <c r="H1300" s="39"/>
      <c r="I1300" s="43">
        <f>+SUM(H1301:H1301)</f>
        <v>0.48</v>
      </c>
      <c r="J1300" s="44" t="s">
        <v>333</v>
      </c>
    </row>
    <row r="1301" spans="2:10" s="1" customFormat="1" ht="13.2" x14ac:dyDescent="0.25">
      <c r="B1301" s="114"/>
      <c r="C1301" s="38" t="s">
        <v>668</v>
      </c>
      <c r="D1301" s="39">
        <v>1</v>
      </c>
      <c r="E1301" s="39">
        <v>0.6</v>
      </c>
      <c r="F1301" s="39">
        <v>0.8</v>
      </c>
      <c r="G1301" s="39"/>
      <c r="H1301" s="39">
        <f>IF(AND(F1301=0,G1301=0),D1301*E1301,IF(AND(E1301=0,G1301=0),D1301*F1301,IF(AND(E1301=0,F1301=0),D1301*G1301,IF(AND(E1301=0),D1301*F1301*G1301,IF(AND(F1301=0),D1301*E1301*G1301,IF(AND(G1301=0),D1301*E1301*F1301,D1301*E1301*F1301*G1301))))))</f>
        <v>0.48</v>
      </c>
      <c r="I1301" s="39"/>
      <c r="J1301" s="40"/>
    </row>
    <row r="1302" spans="2:10" s="1" customFormat="1" ht="13.2" x14ac:dyDescent="0.25">
      <c r="B1302" s="69"/>
      <c r="C1302" s="38"/>
      <c r="D1302" s="59"/>
      <c r="E1302" s="39"/>
      <c r="F1302" s="39"/>
      <c r="G1302" s="39"/>
      <c r="H1302" s="39"/>
      <c r="I1302" s="39"/>
      <c r="J1302" s="40"/>
    </row>
    <row r="1303" spans="2:10" s="1" customFormat="1" ht="13.2" x14ac:dyDescent="0.25">
      <c r="B1303" s="56" t="s">
        <v>368</v>
      </c>
      <c r="C1303" s="57" t="s">
        <v>202</v>
      </c>
      <c r="D1303" s="59"/>
      <c r="E1303" s="39"/>
      <c r="F1303" s="39"/>
      <c r="G1303" s="39"/>
      <c r="H1303" s="39"/>
      <c r="I1303" s="39"/>
      <c r="J1303" s="40"/>
    </row>
    <row r="1304" spans="2:10" s="115" customFormat="1" ht="13.2" x14ac:dyDescent="0.25">
      <c r="B1304" s="42" t="s">
        <v>384</v>
      </c>
      <c r="C1304" s="42" t="s">
        <v>406</v>
      </c>
      <c r="D1304" s="59"/>
      <c r="E1304" s="39"/>
      <c r="F1304" s="39"/>
      <c r="G1304" s="39"/>
      <c r="H1304" s="39"/>
      <c r="I1304" s="43">
        <f>SUM(H1305)</f>
        <v>1</v>
      </c>
      <c r="J1304" s="44" t="s">
        <v>30</v>
      </c>
    </row>
    <row r="1305" spans="2:10" s="115" customFormat="1" ht="13.2" x14ac:dyDescent="0.25">
      <c r="B1305" s="114"/>
      <c r="C1305" s="38" t="s">
        <v>668</v>
      </c>
      <c r="D1305" s="39">
        <v>1</v>
      </c>
      <c r="E1305" s="39"/>
      <c r="F1305" s="39"/>
      <c r="G1305" s="39"/>
      <c r="H1305" s="39">
        <f t="shared" ref="H1305" si="83">+D1305</f>
        <v>1</v>
      </c>
      <c r="I1305" s="39"/>
      <c r="J1305" s="40"/>
    </row>
    <row r="1306" spans="2:10" s="115" customFormat="1" ht="13.2" x14ac:dyDescent="0.25">
      <c r="B1306" s="45"/>
      <c r="C1306" s="58"/>
      <c r="D1306" s="59"/>
      <c r="E1306" s="39"/>
      <c r="F1306" s="39"/>
      <c r="G1306" s="39"/>
      <c r="H1306" s="39"/>
      <c r="I1306" s="39"/>
      <c r="J1306" s="40"/>
    </row>
    <row r="1307" spans="2:10" s="115" customFormat="1" ht="13.2" x14ac:dyDescent="0.25">
      <c r="B1307" s="24" t="s">
        <v>394</v>
      </c>
      <c r="C1307" s="27" t="s">
        <v>411</v>
      </c>
      <c r="D1307" s="59"/>
      <c r="E1307" s="39"/>
      <c r="F1307" s="39"/>
      <c r="G1307" s="39"/>
      <c r="H1307" s="39"/>
      <c r="I1307" s="39">
        <f>+SUM(H1308:H1310)</f>
        <v>1.34</v>
      </c>
      <c r="J1307" s="40" t="s">
        <v>333</v>
      </c>
    </row>
    <row r="1308" spans="2:10" s="115" customFormat="1" ht="13.2" x14ac:dyDescent="0.25">
      <c r="B1308" s="24"/>
      <c r="C1308" s="38" t="s">
        <v>668</v>
      </c>
      <c r="D1308" s="39">
        <v>1</v>
      </c>
      <c r="E1308" s="39">
        <v>2</v>
      </c>
      <c r="F1308" s="39"/>
      <c r="G1308" s="39">
        <f>0.4+0.15</f>
        <v>0.55000000000000004</v>
      </c>
      <c r="H1308" s="39">
        <f t="shared" ref="H1308:H1309" si="84">IF(AND(F1308=0,G1308=0),D1308*E1308,IF(AND(E1308=0,G1308=0),D1308*F1308,IF(AND(E1308=0,F1308=0),D1308*G1308,IF(AND(E1308=0),D1308*F1308*G1308,IF(AND(F1308=0),D1308*E1308*G1308,IF(AND(G1308=0),D1308*E1308*F1308,D1308*E1308*F1308*G1308))))))</f>
        <v>1.1000000000000001</v>
      </c>
      <c r="I1308" s="39"/>
      <c r="J1308" s="40"/>
    </row>
    <row r="1309" spans="2:10" s="115" customFormat="1" ht="13.2" x14ac:dyDescent="0.25">
      <c r="B1309" s="24"/>
      <c r="C1309" s="58"/>
      <c r="D1309" s="59">
        <v>1</v>
      </c>
      <c r="E1309" s="39">
        <v>0.4</v>
      </c>
      <c r="F1309" s="39"/>
      <c r="G1309" s="39">
        <v>0.6</v>
      </c>
      <c r="H1309" s="39">
        <f t="shared" si="84"/>
        <v>0.24</v>
      </c>
      <c r="I1309" s="39"/>
      <c r="J1309" s="40"/>
    </row>
    <row r="1310" spans="2:10" s="115" customFormat="1" ht="13.2" x14ac:dyDescent="0.25">
      <c r="B1310" s="24"/>
      <c r="C1310" s="58"/>
      <c r="D1310" s="59"/>
      <c r="E1310" s="39"/>
      <c r="F1310" s="39"/>
      <c r="G1310" s="39"/>
      <c r="H1310" s="39"/>
      <c r="I1310" s="39"/>
      <c r="J1310" s="40"/>
    </row>
    <row r="1311" spans="2:10" s="115" customFormat="1" ht="13.2" x14ac:dyDescent="0.25">
      <c r="B1311" s="24" t="s">
        <v>396</v>
      </c>
      <c r="C1311" s="27" t="s">
        <v>412</v>
      </c>
      <c r="D1311" s="59"/>
      <c r="E1311" s="39"/>
      <c r="F1311" s="39"/>
      <c r="G1311" s="39"/>
      <c r="H1311" s="39"/>
      <c r="I1311" s="39">
        <f>+SUM(H1312:H1313)</f>
        <v>27.020000000000003</v>
      </c>
      <c r="J1311" s="40" t="s">
        <v>333</v>
      </c>
    </row>
    <row r="1312" spans="2:10" s="115" customFormat="1" ht="13.2" x14ac:dyDescent="0.25">
      <c r="B1312" s="45"/>
      <c r="C1312" s="38" t="s">
        <v>672</v>
      </c>
      <c r="D1312" s="59">
        <v>2</v>
      </c>
      <c r="E1312" s="39">
        <v>19.3</v>
      </c>
      <c r="F1312" s="39"/>
      <c r="G1312" s="39">
        <f>0.4+0.15</f>
        <v>0.55000000000000004</v>
      </c>
      <c r="H1312" s="39">
        <f t="shared" ref="H1312:H1313" si="85">IF(AND(F1312=0,G1312=0),D1312*E1312,IF(AND(E1312=0,G1312=0),D1312*F1312,IF(AND(E1312=0,F1312=0),D1312*G1312,IF(AND(E1312=0),D1312*F1312*G1312,IF(AND(F1312=0),D1312*E1312*G1312,IF(AND(G1312=0),D1312*E1312*F1312,D1312*E1312*F1312*G1312))))))</f>
        <v>21.230000000000004</v>
      </c>
      <c r="I1312" s="39"/>
      <c r="J1312" s="40"/>
    </row>
    <row r="1313" spans="2:10" s="115" customFormat="1" ht="13.2" x14ac:dyDescent="0.25">
      <c r="B1313" s="45"/>
      <c r="C1313" s="38"/>
      <c r="D1313" s="59">
        <v>1</v>
      </c>
      <c r="E1313" s="39">
        <v>19.3</v>
      </c>
      <c r="F1313" s="39"/>
      <c r="G1313" s="39">
        <v>0.3</v>
      </c>
      <c r="H1313" s="39">
        <f t="shared" si="85"/>
        <v>5.79</v>
      </c>
      <c r="I1313" s="39"/>
      <c r="J1313" s="40"/>
    </row>
    <row r="1314" spans="2:10" s="1" customFormat="1" ht="13.2" x14ac:dyDescent="0.25">
      <c r="B1314" s="56" t="s">
        <v>413</v>
      </c>
      <c r="C1314" s="57" t="s">
        <v>234</v>
      </c>
      <c r="D1314" s="59"/>
      <c r="E1314" s="39"/>
      <c r="F1314" s="39"/>
      <c r="G1314" s="39"/>
      <c r="H1314" s="39"/>
      <c r="I1314" s="39"/>
      <c r="J1314" s="40"/>
    </row>
    <row r="1315" spans="2:10" s="1" customFormat="1" ht="13.2" x14ac:dyDescent="0.25">
      <c r="B1315" s="42" t="s">
        <v>414</v>
      </c>
      <c r="C1315" s="113" t="s">
        <v>422</v>
      </c>
      <c r="D1315" s="59"/>
      <c r="E1315" s="39"/>
      <c r="F1315" s="39"/>
      <c r="G1315" s="39"/>
      <c r="H1315" s="39"/>
      <c r="I1315" s="43">
        <f>+SUM(H1316:H1316)</f>
        <v>2</v>
      </c>
      <c r="J1315" s="44" t="s">
        <v>30</v>
      </c>
    </row>
    <row r="1316" spans="2:10" s="1" customFormat="1" ht="13.2" x14ac:dyDescent="0.25">
      <c r="B1316" s="45"/>
      <c r="C1316" s="38" t="s">
        <v>472</v>
      </c>
      <c r="D1316" s="59">
        <v>2</v>
      </c>
      <c r="E1316" s="39"/>
      <c r="F1316" s="39"/>
      <c r="G1316" s="39"/>
      <c r="H1316" s="39">
        <f t="shared" ref="H1316" si="86">+D1316</f>
        <v>2</v>
      </c>
      <c r="I1316" s="39"/>
      <c r="J1316" s="40"/>
    </row>
    <row r="1317" spans="2:10" s="1" customFormat="1" ht="13.2" x14ac:dyDescent="0.25">
      <c r="B1317" s="42" t="s">
        <v>421</v>
      </c>
      <c r="C1317" s="42" t="s">
        <v>673</v>
      </c>
      <c r="D1317" s="59"/>
      <c r="E1317" s="39"/>
      <c r="F1317" s="39"/>
      <c r="G1317" s="39"/>
      <c r="H1317" s="39"/>
      <c r="I1317" s="43">
        <f>+SUM(H1318:H1319)</f>
        <v>2</v>
      </c>
      <c r="J1317" s="44" t="s">
        <v>30</v>
      </c>
    </row>
    <row r="1318" spans="2:10" s="1" customFormat="1" ht="13.2" x14ac:dyDescent="0.25">
      <c r="B1318" s="45"/>
      <c r="C1318" s="38" t="s">
        <v>670</v>
      </c>
      <c r="D1318" s="59">
        <v>1</v>
      </c>
      <c r="E1318" s="39"/>
      <c r="F1318" s="39"/>
      <c r="G1318" s="39"/>
      <c r="H1318" s="39">
        <f>+D1318</f>
        <v>1</v>
      </c>
      <c r="I1318" s="39"/>
      <c r="J1318" s="40"/>
    </row>
    <row r="1319" spans="2:10" s="1" customFormat="1" ht="13.2" x14ac:dyDescent="0.25">
      <c r="B1319" s="45"/>
      <c r="C1319" s="38" t="s">
        <v>671</v>
      </c>
      <c r="D1319" s="59">
        <v>1</v>
      </c>
      <c r="E1319" s="39"/>
      <c r="F1319" s="39"/>
      <c r="G1319" s="39"/>
      <c r="H1319" s="39">
        <f>+D1319</f>
        <v>1</v>
      </c>
      <c r="I1319" s="39"/>
      <c r="J1319" s="40"/>
    </row>
    <row r="1320" spans="2:10" s="1" customFormat="1" ht="13.2" x14ac:dyDescent="0.25">
      <c r="B1320" s="45"/>
      <c r="C1320" s="58"/>
      <c r="D1320" s="59"/>
      <c r="E1320" s="39"/>
      <c r="F1320" s="39"/>
      <c r="G1320" s="39"/>
      <c r="H1320" s="39"/>
      <c r="I1320" s="39"/>
      <c r="J1320" s="40"/>
    </row>
    <row r="1321" spans="2:10" s="1" customFormat="1" ht="13.2" x14ac:dyDescent="0.25">
      <c r="B1321" s="45"/>
      <c r="C1321" s="58"/>
      <c r="D1321" s="59"/>
      <c r="E1321" s="39"/>
      <c r="F1321" s="39"/>
      <c r="G1321" s="39"/>
      <c r="H1321" s="39"/>
      <c r="I1321" s="39"/>
      <c r="J1321" s="40"/>
    </row>
    <row r="1322" spans="2:10" s="1" customFormat="1" ht="13.2" x14ac:dyDescent="0.25">
      <c r="B1322" s="45"/>
      <c r="C1322" s="58"/>
      <c r="D1322" s="59"/>
      <c r="E1322" s="39"/>
      <c r="F1322" s="39"/>
      <c r="G1322" s="39"/>
      <c r="H1322" s="39"/>
      <c r="I1322" s="39"/>
      <c r="J1322" s="40"/>
    </row>
    <row r="1323" spans="2:10" s="1" customFormat="1" ht="13.2" x14ac:dyDescent="0.25">
      <c r="B1323" s="45"/>
      <c r="C1323" s="58"/>
      <c r="D1323" s="59"/>
      <c r="E1323" s="39"/>
      <c r="F1323" s="39"/>
      <c r="G1323" s="39"/>
      <c r="H1323" s="39"/>
      <c r="I1323" s="39"/>
      <c r="J1323" s="40"/>
    </row>
    <row r="1324" spans="2:10" s="1" customFormat="1" ht="13.2" x14ac:dyDescent="0.25">
      <c r="B1324" s="45"/>
      <c r="C1324" s="58"/>
      <c r="D1324" s="59"/>
      <c r="E1324" s="39"/>
      <c r="F1324" s="39"/>
      <c r="G1324" s="39"/>
      <c r="H1324" s="39"/>
      <c r="I1324" s="39"/>
      <c r="J1324" s="40"/>
    </row>
    <row r="1325" spans="2:10" s="1" customFormat="1" ht="13.2" x14ac:dyDescent="0.25">
      <c r="B1325" s="45"/>
      <c r="C1325" s="58"/>
      <c r="D1325" s="59"/>
      <c r="E1325" s="39"/>
      <c r="F1325" s="39"/>
      <c r="G1325" s="39"/>
      <c r="H1325" s="39"/>
      <c r="I1325" s="39"/>
      <c r="J1325" s="40"/>
    </row>
    <row r="1326" spans="2:10" s="1" customFormat="1" ht="13.2" x14ac:dyDescent="0.25">
      <c r="B1326" s="45"/>
      <c r="C1326" s="58"/>
      <c r="D1326" s="59"/>
      <c r="E1326" s="39"/>
      <c r="F1326" s="39"/>
      <c r="G1326" s="39"/>
      <c r="H1326" s="39"/>
      <c r="I1326" s="39"/>
      <c r="J1326" s="40"/>
    </row>
    <row r="1327" spans="2:10" s="1" customFormat="1" ht="13.2" x14ac:dyDescent="0.25">
      <c r="B1327" s="45"/>
      <c r="C1327" s="58"/>
      <c r="D1327" s="59"/>
      <c r="E1327" s="39"/>
      <c r="F1327" s="39"/>
      <c r="G1327" s="39"/>
      <c r="H1327" s="39"/>
      <c r="I1327" s="39"/>
      <c r="J1327" s="40"/>
    </row>
    <row r="1328" spans="2:10" s="1" customFormat="1" ht="13.2" x14ac:dyDescent="0.25">
      <c r="B1328" s="45"/>
      <c r="C1328" s="58"/>
      <c r="D1328" s="59"/>
      <c r="E1328" s="39"/>
      <c r="F1328" s="39"/>
      <c r="G1328" s="39"/>
      <c r="H1328" s="39"/>
      <c r="I1328" s="39"/>
      <c r="J1328" s="40"/>
    </row>
    <row r="1329" spans="2:10" s="1" customFormat="1" ht="13.2" x14ac:dyDescent="0.25">
      <c r="B1329" s="45"/>
      <c r="C1329" s="58"/>
      <c r="D1329" s="59"/>
      <c r="E1329" s="39"/>
      <c r="F1329" s="39"/>
      <c r="G1329" s="39"/>
      <c r="H1329" s="39"/>
      <c r="I1329" s="39"/>
      <c r="J1329" s="40"/>
    </row>
    <row r="1330" spans="2:10" s="1" customFormat="1" ht="13.2" x14ac:dyDescent="0.25">
      <c r="B1330" s="45"/>
      <c r="C1330" s="58"/>
      <c r="D1330" s="59"/>
      <c r="E1330" s="39"/>
      <c r="F1330" s="39"/>
      <c r="G1330" s="39"/>
      <c r="H1330" s="39"/>
      <c r="I1330" s="39"/>
      <c r="J1330" s="40"/>
    </row>
    <row r="1331" spans="2:10" s="1" customFormat="1" ht="13.2" x14ac:dyDescent="0.25">
      <c r="B1331" s="45"/>
      <c r="C1331" s="58"/>
      <c r="D1331" s="59"/>
      <c r="E1331" s="39"/>
      <c r="F1331" s="39"/>
      <c r="G1331" s="39"/>
      <c r="H1331" s="39"/>
      <c r="I1331" s="39"/>
      <c r="J1331" s="40"/>
    </row>
    <row r="1332" spans="2:10" s="1" customFormat="1" ht="13.2" x14ac:dyDescent="0.25">
      <c r="B1332" s="45"/>
      <c r="C1332" s="58"/>
      <c r="D1332" s="59"/>
      <c r="E1332" s="39"/>
      <c r="F1332" s="39"/>
      <c r="G1332" s="39"/>
      <c r="H1332" s="39"/>
      <c r="I1332" s="39"/>
      <c r="J1332" s="40"/>
    </row>
    <row r="1333" spans="2:10" s="1" customFormat="1" ht="13.2" x14ac:dyDescent="0.25">
      <c r="C1333" s="83" t="s">
        <v>0</v>
      </c>
      <c r="D1333" s="83"/>
      <c r="E1333" s="83"/>
      <c r="F1333" s="83"/>
      <c r="G1333" s="83"/>
      <c r="H1333" s="83"/>
    </row>
    <row r="1334" spans="2:10" s="1" customFormat="1" ht="13.2" x14ac:dyDescent="0.25">
      <c r="C1334" s="83" t="s">
        <v>1</v>
      </c>
      <c r="D1334" s="83"/>
      <c r="E1334" s="83"/>
      <c r="F1334" s="83"/>
      <c r="G1334" s="83"/>
      <c r="H1334" s="83"/>
    </row>
    <row r="1335" spans="2:10" s="1" customFormat="1" ht="13.2" x14ac:dyDescent="0.25">
      <c r="C1335" s="83" t="s">
        <v>2</v>
      </c>
      <c r="D1335" s="83"/>
      <c r="E1335" s="83"/>
      <c r="F1335" s="83"/>
      <c r="G1335" s="83"/>
      <c r="H1335" s="83"/>
    </row>
    <row r="1336" spans="2:10" s="1" customFormat="1" ht="13.2" x14ac:dyDescent="0.25">
      <c r="C1336" s="52" t="s">
        <v>3</v>
      </c>
      <c r="D1336" s="52"/>
      <c r="E1336" s="52"/>
      <c r="F1336" s="52"/>
      <c r="G1336" s="52"/>
      <c r="H1336" s="52"/>
    </row>
    <row r="1337" spans="2:10" s="1" customFormat="1" ht="33" customHeight="1" x14ac:dyDescent="0.25">
      <c r="C1337" s="52"/>
      <c r="D1337" s="52"/>
      <c r="E1337" s="52"/>
      <c r="F1337" s="52"/>
      <c r="G1337" s="52"/>
      <c r="H1337" s="52"/>
    </row>
    <row r="1338" spans="2:10" s="1" customFormat="1" ht="15.6" x14ac:dyDescent="0.25">
      <c r="B1338" s="84" t="s">
        <v>458</v>
      </c>
      <c r="C1338" s="85"/>
      <c r="D1338" s="85"/>
      <c r="E1338" s="85"/>
      <c r="F1338" s="85"/>
      <c r="G1338" s="85"/>
      <c r="H1338" s="85"/>
      <c r="I1338" s="85"/>
      <c r="J1338" s="86"/>
    </row>
    <row r="1339" spans="2:10" s="1" customFormat="1" ht="21" x14ac:dyDescent="0.25">
      <c r="B1339" s="87" t="s">
        <v>496</v>
      </c>
      <c r="C1339" s="88"/>
      <c r="D1339" s="88"/>
      <c r="E1339" s="88"/>
      <c r="F1339" s="88"/>
      <c r="G1339" s="88"/>
      <c r="H1339" s="88"/>
      <c r="I1339" s="88"/>
      <c r="J1339" s="89"/>
    </row>
    <row r="1340" spans="2:10" s="1" customFormat="1" ht="13.8" thickBot="1" x14ac:dyDescent="0.3">
      <c r="B1340" s="53"/>
      <c r="C1340" s="53"/>
      <c r="D1340" s="53"/>
      <c r="E1340" s="53"/>
      <c r="F1340" s="53"/>
      <c r="G1340" s="53"/>
      <c r="H1340" s="53"/>
      <c r="I1340" s="53"/>
      <c r="J1340" s="53"/>
    </row>
    <row r="1341" spans="2:10" s="1" customFormat="1" ht="24.75" customHeight="1" x14ac:dyDescent="0.25">
      <c r="B1341" s="123" t="s">
        <v>6</v>
      </c>
      <c r="C1341" s="124"/>
      <c r="D1341" s="124"/>
      <c r="E1341" s="124"/>
      <c r="F1341" s="124"/>
      <c r="G1341" s="124"/>
      <c r="H1341" s="124"/>
      <c r="I1341" s="124"/>
      <c r="J1341" s="125"/>
    </row>
    <row r="1342" spans="2:10" s="1" customFormat="1" ht="13.2" x14ac:dyDescent="0.25">
      <c r="B1342" s="2" t="s">
        <v>7</v>
      </c>
      <c r="C1342" s="3" t="s">
        <v>8</v>
      </c>
      <c r="D1342" s="3"/>
      <c r="E1342" s="4"/>
      <c r="F1342" s="5"/>
      <c r="G1342" s="6" t="s">
        <v>9</v>
      </c>
      <c r="H1342" s="126">
        <v>42879</v>
      </c>
      <c r="I1342" s="126"/>
      <c r="J1342" s="7"/>
    </row>
    <row r="1343" spans="2:10" s="1" customFormat="1" ht="13.2" x14ac:dyDescent="0.25">
      <c r="B1343" s="2" t="s">
        <v>10</v>
      </c>
      <c r="C1343" s="3" t="s">
        <v>11</v>
      </c>
      <c r="F1343" s="3"/>
      <c r="G1343" s="8" t="s">
        <v>12</v>
      </c>
      <c r="H1343" s="4" t="s">
        <v>11</v>
      </c>
      <c r="I1343" s="9"/>
      <c r="J1343" s="10"/>
    </row>
    <row r="1344" spans="2:10" s="1" customFormat="1" ht="13.2" x14ac:dyDescent="0.25">
      <c r="B1344" s="2" t="s">
        <v>13</v>
      </c>
      <c r="C1344" s="3" t="s">
        <v>11</v>
      </c>
      <c r="F1344" s="3"/>
      <c r="G1344" s="8" t="s">
        <v>14</v>
      </c>
      <c r="H1344" s="4" t="s">
        <v>15</v>
      </c>
      <c r="I1344" s="9"/>
      <c r="J1344" s="10"/>
    </row>
    <row r="1345" spans="2:10" s="1" customFormat="1" ht="13.8" thickBot="1" x14ac:dyDescent="0.3">
      <c r="B1345" s="11" t="s">
        <v>16</v>
      </c>
      <c r="C1345" s="12" t="s">
        <v>17</v>
      </c>
      <c r="D1345" s="13"/>
      <c r="E1345" s="13"/>
      <c r="F1345" s="12"/>
      <c r="G1345" s="14" t="s">
        <v>18</v>
      </c>
      <c r="H1345" s="15" t="s">
        <v>19</v>
      </c>
      <c r="I1345" s="16"/>
      <c r="J1345" s="17"/>
    </row>
    <row r="1346" spans="2:10" s="1" customFormat="1" ht="13.2" x14ac:dyDescent="0.25">
      <c r="B1346" s="53"/>
      <c r="C1346" s="53"/>
      <c r="D1346" s="53"/>
      <c r="E1346" s="53"/>
      <c r="F1346" s="53"/>
      <c r="G1346" s="53"/>
      <c r="H1346" s="53"/>
      <c r="I1346" s="53"/>
      <c r="J1346" s="53"/>
    </row>
    <row r="1347" spans="2:10" s="1" customFormat="1" ht="13.2" x14ac:dyDescent="0.25">
      <c r="B1347" s="20" t="s">
        <v>20</v>
      </c>
      <c r="C1347" s="21" t="s">
        <v>21</v>
      </c>
      <c r="D1347" s="21" t="s">
        <v>460</v>
      </c>
      <c r="E1347" s="21" t="s">
        <v>461</v>
      </c>
      <c r="F1347" s="21" t="s">
        <v>462</v>
      </c>
      <c r="G1347" s="21" t="s">
        <v>463</v>
      </c>
      <c r="H1347" s="21" t="s">
        <v>464</v>
      </c>
      <c r="I1347" s="21" t="s">
        <v>22</v>
      </c>
      <c r="J1347" s="21" t="s">
        <v>23</v>
      </c>
    </row>
    <row r="1348" spans="2:10" s="1" customFormat="1" ht="13.2" x14ac:dyDescent="0.25">
      <c r="B1348" s="54">
        <v>4.03</v>
      </c>
      <c r="C1348" s="55" t="s">
        <v>182</v>
      </c>
      <c r="D1348" s="59"/>
      <c r="E1348" s="39"/>
      <c r="F1348" s="39"/>
      <c r="G1348" s="39"/>
      <c r="H1348" s="39"/>
      <c r="I1348" s="39"/>
      <c r="J1348" s="40"/>
    </row>
    <row r="1349" spans="2:10" s="1" customFormat="1" ht="13.2" x14ac:dyDescent="0.25">
      <c r="B1349" s="72" t="s">
        <v>183</v>
      </c>
      <c r="C1349" s="72" t="s">
        <v>331</v>
      </c>
      <c r="D1349" s="59"/>
      <c r="E1349" s="39"/>
      <c r="F1349" s="39"/>
      <c r="G1349" s="39"/>
      <c r="H1349" s="39"/>
      <c r="I1349" s="39"/>
      <c r="J1349" s="40"/>
    </row>
    <row r="1350" spans="2:10" s="1" customFormat="1" ht="13.2" x14ac:dyDescent="0.25">
      <c r="B1350" s="24" t="s">
        <v>185</v>
      </c>
      <c r="C1350" s="27" t="s">
        <v>332</v>
      </c>
      <c r="D1350" s="59"/>
      <c r="E1350" s="39"/>
      <c r="F1350" s="39"/>
      <c r="G1350" s="39"/>
      <c r="H1350" s="39"/>
      <c r="I1350" s="39">
        <f>+SUM(H1351:H1357)</f>
        <v>13.780999999999999</v>
      </c>
      <c r="J1350" s="40" t="s">
        <v>333</v>
      </c>
    </row>
    <row r="1351" spans="2:10" s="1" customFormat="1" ht="13.2" x14ac:dyDescent="0.25">
      <c r="B1351" s="45"/>
      <c r="C1351" s="38" t="s">
        <v>674</v>
      </c>
      <c r="D1351" s="39">
        <v>1</v>
      </c>
      <c r="E1351" s="39">
        <v>1.7</v>
      </c>
      <c r="F1351" s="39">
        <v>0.4</v>
      </c>
      <c r="G1351" s="39"/>
      <c r="H1351" s="39">
        <f t="shared" ref="H1351:H1357" si="87">IF(AND(F1351=0,G1351=0),D1351*E1351,IF(AND(E1351=0,G1351=0),D1351*F1351,IF(AND(E1351=0,F1351=0),D1351*G1351,IF(AND(E1351=0),D1351*F1351*G1351,IF(AND(F1351=0),D1351*E1351*G1351,IF(AND(G1351=0),D1351*E1351*F1351,D1351*E1351*F1351*G1351))))))</f>
        <v>0.68</v>
      </c>
      <c r="I1351" s="39"/>
      <c r="J1351" s="40"/>
    </row>
    <row r="1352" spans="2:10" s="1" customFormat="1" ht="13.2" x14ac:dyDescent="0.25">
      <c r="B1352" s="45"/>
      <c r="C1352" s="42" t="s">
        <v>592</v>
      </c>
      <c r="D1352" s="59"/>
      <c r="E1352" s="39"/>
      <c r="F1352" s="39"/>
      <c r="G1352" s="39"/>
      <c r="H1352" s="39"/>
      <c r="I1352" s="39"/>
      <c r="J1352" s="40"/>
    </row>
    <row r="1353" spans="2:10" s="1" customFormat="1" ht="13.2" x14ac:dyDescent="0.25">
      <c r="B1353" s="45"/>
      <c r="C1353" s="38" t="s">
        <v>675</v>
      </c>
      <c r="D1353" s="59">
        <v>1</v>
      </c>
      <c r="E1353" s="39">
        <f>0.7+6.7</f>
        <v>7.4</v>
      </c>
      <c r="F1353" s="39">
        <v>0.45</v>
      </c>
      <c r="G1353" s="39"/>
      <c r="H1353" s="39">
        <f t="shared" si="87"/>
        <v>3.33</v>
      </c>
      <c r="I1353" s="39"/>
      <c r="J1353" s="40"/>
    </row>
    <row r="1354" spans="2:10" s="1" customFormat="1" ht="13.2" x14ac:dyDescent="0.25">
      <c r="B1354" s="45"/>
      <c r="C1354" s="38" t="s">
        <v>676</v>
      </c>
      <c r="D1354" s="59">
        <v>1</v>
      </c>
      <c r="E1354" s="39">
        <f>3.1+1.6</f>
        <v>4.7</v>
      </c>
      <c r="F1354" s="39">
        <v>0.45</v>
      </c>
      <c r="G1354" s="39"/>
      <c r="H1354" s="39">
        <f t="shared" si="87"/>
        <v>2.1150000000000002</v>
      </c>
      <c r="I1354" s="39"/>
      <c r="J1354" s="40"/>
    </row>
    <row r="1355" spans="2:10" s="1" customFormat="1" ht="13.2" x14ac:dyDescent="0.25">
      <c r="B1355" s="45"/>
      <c r="C1355" s="38"/>
      <c r="D1355" s="59"/>
      <c r="E1355" s="39"/>
      <c r="F1355" s="39"/>
      <c r="G1355" s="39"/>
      <c r="H1355" s="39"/>
      <c r="I1355" s="39"/>
      <c r="J1355" s="40"/>
    </row>
    <row r="1356" spans="2:10" s="1" customFormat="1" ht="13.2" x14ac:dyDescent="0.25">
      <c r="B1356" s="45"/>
      <c r="C1356" s="42" t="s">
        <v>220</v>
      </c>
      <c r="D1356" s="59"/>
      <c r="E1356" s="39"/>
      <c r="F1356" s="39"/>
      <c r="G1356" s="39"/>
      <c r="H1356" s="39"/>
      <c r="I1356" s="39"/>
      <c r="J1356" s="40"/>
    </row>
    <row r="1357" spans="2:10" s="1" customFormat="1" ht="13.2" x14ac:dyDescent="0.25">
      <c r="B1357" s="45"/>
      <c r="C1357" s="38" t="s">
        <v>677</v>
      </c>
      <c r="D1357" s="39">
        <v>1</v>
      </c>
      <c r="E1357" s="39">
        <v>12.76</v>
      </c>
      <c r="F1357" s="39">
        <v>0.6</v>
      </c>
      <c r="G1357" s="39"/>
      <c r="H1357" s="39">
        <f t="shared" si="87"/>
        <v>7.6559999999999997</v>
      </c>
      <c r="I1357" s="39"/>
      <c r="J1357" s="40"/>
    </row>
    <row r="1358" spans="2:10" x14ac:dyDescent="0.3">
      <c r="B1358" s="24" t="s">
        <v>187</v>
      </c>
      <c r="C1358" s="27" t="s">
        <v>334</v>
      </c>
      <c r="D1358" s="22"/>
      <c r="E1358" s="22"/>
      <c r="F1358" s="22"/>
      <c r="G1358" s="22"/>
      <c r="H1358" s="23"/>
      <c r="I1358" s="24">
        <f>+I1350</f>
        <v>13.780999999999999</v>
      </c>
      <c r="J1358" s="25" t="s">
        <v>333</v>
      </c>
    </row>
    <row r="1359" spans="2:10" s="1" customFormat="1" ht="13.2" x14ac:dyDescent="0.25">
      <c r="B1359" s="45"/>
      <c r="C1359" s="58"/>
      <c r="D1359" s="59"/>
      <c r="E1359" s="39"/>
      <c r="F1359" s="39"/>
      <c r="G1359" s="39"/>
      <c r="H1359" s="39"/>
      <c r="I1359" s="39"/>
      <c r="J1359" s="40"/>
    </row>
    <row r="1360" spans="2:10" x14ac:dyDescent="0.3">
      <c r="B1360" s="72" t="s">
        <v>359</v>
      </c>
      <c r="C1360" s="72" t="s">
        <v>345</v>
      </c>
      <c r="D1360" s="22"/>
      <c r="E1360" s="22"/>
      <c r="F1360" s="22"/>
      <c r="G1360" s="22"/>
      <c r="H1360" s="23"/>
      <c r="I1360" s="24"/>
      <c r="J1360" s="25"/>
    </row>
    <row r="1361" spans="2:10" s="1" customFormat="1" ht="15.75" customHeight="1" x14ac:dyDescent="0.25">
      <c r="B1361" s="24" t="s">
        <v>361</v>
      </c>
      <c r="C1361" s="1" t="s">
        <v>347</v>
      </c>
      <c r="D1361" s="59"/>
      <c r="E1361" s="39"/>
      <c r="F1361" s="39"/>
      <c r="G1361" s="39"/>
      <c r="H1361" s="23"/>
      <c r="I1361" s="24">
        <f>+SUM(H1362)</f>
        <v>0.35360000000000003</v>
      </c>
      <c r="J1361" s="25" t="s">
        <v>337</v>
      </c>
    </row>
    <row r="1362" spans="2:10" s="1" customFormat="1" ht="15.75" customHeight="1" x14ac:dyDescent="0.25">
      <c r="B1362" s="24"/>
      <c r="C1362" s="38" t="s">
        <v>498</v>
      </c>
      <c r="D1362" s="39">
        <v>1</v>
      </c>
      <c r="E1362" s="39">
        <v>1.7</v>
      </c>
      <c r="F1362" s="39">
        <v>0.4</v>
      </c>
      <c r="G1362" s="39">
        <f>0.32+0.2</f>
        <v>0.52</v>
      </c>
      <c r="H1362" s="39">
        <f>IF(AND(F1362=0,G1362=0),D1362*E1362,IF(AND(E1362=0,G1362=0),D1362*F1362,IF(AND(E1362=0,F1362=0),D1362*G1362,IF(AND(E1362=0),D1362*F1362*G1362,IF(AND(F1362=0),D1362*E1362*G1362,IF(AND(G1362=0),D1362*E1362*F1362,D1362*E1362*F1362*G1362))))))</f>
        <v>0.35360000000000003</v>
      </c>
      <c r="I1362" s="39"/>
      <c r="J1362" s="40"/>
    </row>
    <row r="1363" spans="2:10" x14ac:dyDescent="0.3">
      <c r="B1363" s="24" t="s">
        <v>363</v>
      </c>
      <c r="C1363" s="1" t="s">
        <v>348</v>
      </c>
      <c r="D1363" s="22"/>
      <c r="E1363" s="22"/>
      <c r="F1363" s="22"/>
      <c r="G1363" s="22"/>
      <c r="H1363" s="23"/>
      <c r="I1363" s="24">
        <f>+SUM(H1364:H1364)</f>
        <v>0</v>
      </c>
      <c r="J1363" s="25" t="s">
        <v>337</v>
      </c>
    </row>
    <row r="1364" spans="2:10" s="1" customFormat="1" ht="13.2" x14ac:dyDescent="0.25">
      <c r="C1364" s="38"/>
      <c r="D1364" s="39"/>
      <c r="E1364" s="39"/>
      <c r="F1364" s="39"/>
      <c r="G1364" s="39"/>
      <c r="H1364" s="39">
        <f>IF(AND(F1364=0,G1364=0),D1364*E1364,IF(AND(E1364=0,G1364=0),D1364*F1364,IF(AND(E1364=0,F1364=0),D1364*G1364,IF(AND(E1364=0),D1364*F1364*G1364,IF(AND(F1364=0),D1364*E1364*G1364,IF(AND(G1364=0),D1364*E1364*F1364,D1364*E1364*F1364*G1364))))))</f>
        <v>0</v>
      </c>
      <c r="I1364" s="39"/>
      <c r="J1364" s="40"/>
    </row>
    <row r="1365" spans="2:10" s="1" customFormat="1" ht="13.2" x14ac:dyDescent="0.25">
      <c r="B1365" s="24" t="s">
        <v>555</v>
      </c>
      <c r="C1365" s="1" t="s">
        <v>349</v>
      </c>
      <c r="D1365" s="59"/>
      <c r="E1365" s="39"/>
      <c r="F1365" s="39"/>
      <c r="G1365" s="39"/>
      <c r="H1365" s="39"/>
      <c r="I1365" s="39">
        <f>+SUM(H1366)</f>
        <v>0</v>
      </c>
      <c r="J1365" s="40" t="s">
        <v>337</v>
      </c>
    </row>
    <row r="1366" spans="2:10" s="1" customFormat="1" ht="13.2" x14ac:dyDescent="0.25">
      <c r="B1366" s="45"/>
      <c r="C1366" s="58"/>
      <c r="D1366" s="59"/>
      <c r="E1366" s="39"/>
      <c r="F1366" s="39"/>
      <c r="G1366" s="39"/>
      <c r="H1366" s="39"/>
      <c r="I1366" s="39"/>
      <c r="J1366" s="40"/>
    </row>
    <row r="1367" spans="2:10" x14ac:dyDescent="0.3">
      <c r="B1367" s="24" t="s">
        <v>556</v>
      </c>
      <c r="C1367" s="115" t="s">
        <v>350</v>
      </c>
      <c r="D1367" s="22"/>
      <c r="E1367" s="22"/>
      <c r="F1367" s="22"/>
      <c r="G1367" s="22"/>
      <c r="I1367" s="23">
        <f>+SUM(H1368:H1368)</f>
        <v>0.68</v>
      </c>
      <c r="J1367" s="25" t="s">
        <v>333</v>
      </c>
    </row>
    <row r="1368" spans="2:10" x14ac:dyDescent="0.3">
      <c r="B1368" s="24"/>
      <c r="C1368" s="38" t="s">
        <v>498</v>
      </c>
      <c r="D1368" s="39">
        <v>1</v>
      </c>
      <c r="E1368" s="39">
        <v>1.7</v>
      </c>
      <c r="F1368" s="39">
        <v>0.4</v>
      </c>
      <c r="G1368" s="39"/>
      <c r="H1368" s="39">
        <f>IF(AND(F1368=0,G1368=0),D1368*E1368,IF(AND(E1368=0,G1368=0),D1368*F1368,IF(AND(E1368=0,F1368=0),D1368*G1368,IF(AND(E1368=0),D1368*F1368*G1368,IF(AND(F1368=0),D1368*E1368*G1368,IF(AND(G1368=0),D1368*E1368*F1368,D1368*E1368*F1368*G1368))))))</f>
        <v>0.68</v>
      </c>
      <c r="I1368" s="24"/>
      <c r="J1368" s="25"/>
    </row>
    <row r="1369" spans="2:10" x14ac:dyDescent="0.3">
      <c r="B1369" s="90"/>
      <c r="C1369" s="103"/>
      <c r="D1369" s="22"/>
      <c r="E1369" s="22"/>
      <c r="F1369" s="22"/>
      <c r="G1369" s="22"/>
      <c r="H1369" s="23"/>
      <c r="I1369" s="24"/>
      <c r="J1369" s="25"/>
    </row>
    <row r="1370" spans="2:10" s="1" customFormat="1" ht="13.2" x14ac:dyDescent="0.25">
      <c r="B1370" s="24" t="s">
        <v>558</v>
      </c>
      <c r="C1370" s="27" t="s">
        <v>352</v>
      </c>
      <c r="D1370" s="59"/>
      <c r="E1370" s="39"/>
      <c r="F1370" s="39"/>
      <c r="G1370" s="39"/>
      <c r="H1370" s="39"/>
      <c r="I1370" s="39">
        <f>+SUM(H1371)</f>
        <v>2.5</v>
      </c>
      <c r="J1370" s="40" t="s">
        <v>333</v>
      </c>
    </row>
    <row r="1371" spans="2:10" s="1" customFormat="1" ht="13.2" x14ac:dyDescent="0.25">
      <c r="B1371" s="45"/>
      <c r="C1371" s="58"/>
      <c r="D1371" s="38" t="s">
        <v>498</v>
      </c>
      <c r="E1371" s="39">
        <v>1</v>
      </c>
      <c r="F1371" s="39">
        <v>1.7</v>
      </c>
      <c r="G1371" s="39">
        <v>0.4</v>
      </c>
      <c r="H1371" s="39">
        <f>+(F1371+G1371*2)*E1371</f>
        <v>2.5</v>
      </c>
      <c r="I1371" s="39"/>
      <c r="J1371" s="40"/>
    </row>
    <row r="1372" spans="2:10" s="1" customFormat="1" ht="13.2" x14ac:dyDescent="0.25">
      <c r="B1372" s="45"/>
      <c r="C1372" s="58"/>
      <c r="D1372" s="59"/>
      <c r="E1372" s="39"/>
      <c r="F1372" s="39"/>
      <c r="G1372" s="39"/>
      <c r="H1372" s="39"/>
      <c r="I1372" s="39"/>
      <c r="J1372" s="40"/>
    </row>
    <row r="1373" spans="2:10" s="1" customFormat="1" ht="13.2" x14ac:dyDescent="0.25">
      <c r="B1373" s="24" t="s">
        <v>559</v>
      </c>
      <c r="C1373" s="27" t="s">
        <v>353</v>
      </c>
      <c r="D1373" s="59"/>
      <c r="E1373" s="39"/>
      <c r="F1373" s="39"/>
      <c r="G1373" s="39"/>
      <c r="H1373" s="39"/>
      <c r="I1373" s="39">
        <f>+SUM(H1375:H1379)</f>
        <v>31.107999999999997</v>
      </c>
      <c r="J1373" s="40" t="s">
        <v>333</v>
      </c>
    </row>
    <row r="1374" spans="2:10" s="1" customFormat="1" ht="13.2" x14ac:dyDescent="0.25">
      <c r="B1374" s="45"/>
      <c r="C1374" s="42" t="s">
        <v>592</v>
      </c>
      <c r="D1374" s="59"/>
      <c r="E1374" s="39"/>
      <c r="F1374" s="39"/>
      <c r="G1374" s="39"/>
      <c r="H1374" s="39"/>
      <c r="I1374" s="39"/>
      <c r="J1374" s="40"/>
    </row>
    <row r="1375" spans="2:10" s="1" customFormat="1" ht="13.2" x14ac:dyDescent="0.25">
      <c r="B1375" s="45"/>
      <c r="C1375" s="38" t="s">
        <v>675</v>
      </c>
      <c r="D1375" s="59">
        <v>1</v>
      </c>
      <c r="E1375" s="39">
        <f>0.7+6.7</f>
        <v>7.4</v>
      </c>
      <c r="F1375" s="39">
        <v>0.5</v>
      </c>
      <c r="G1375" s="39">
        <v>0.35</v>
      </c>
      <c r="H1375" s="39">
        <f>+(F1375+G1375*2)*E1375</f>
        <v>8.8800000000000008</v>
      </c>
      <c r="I1375" s="39"/>
      <c r="J1375" s="40"/>
    </row>
    <row r="1376" spans="2:10" s="1" customFormat="1" ht="13.2" x14ac:dyDescent="0.25">
      <c r="B1376" s="45"/>
      <c r="C1376" s="38" t="s">
        <v>676</v>
      </c>
      <c r="D1376" s="59">
        <v>1</v>
      </c>
      <c r="E1376" s="39">
        <f>3.1+1.6</f>
        <v>4.7</v>
      </c>
      <c r="F1376" s="39">
        <v>0.5</v>
      </c>
      <c r="G1376" s="39">
        <v>0.35</v>
      </c>
      <c r="H1376" s="39">
        <f>+(F1376+G1376*2)*E1376</f>
        <v>5.64</v>
      </c>
      <c r="I1376" s="39"/>
      <c r="J1376" s="40"/>
    </row>
    <row r="1377" spans="2:10" s="1" customFormat="1" ht="13.2" x14ac:dyDescent="0.25">
      <c r="B1377" s="45"/>
      <c r="C1377" s="38"/>
      <c r="D1377" s="59"/>
      <c r="E1377" s="39"/>
      <c r="F1377" s="39"/>
      <c r="G1377" s="39"/>
      <c r="H1377" s="39"/>
      <c r="I1377" s="39"/>
      <c r="J1377" s="40"/>
    </row>
    <row r="1378" spans="2:10" s="1" customFormat="1" ht="13.2" x14ac:dyDescent="0.25">
      <c r="B1378" s="45"/>
      <c r="C1378" s="42" t="s">
        <v>220</v>
      </c>
      <c r="D1378" s="59"/>
      <c r="E1378" s="39"/>
      <c r="F1378" s="39"/>
      <c r="G1378" s="39"/>
      <c r="H1378" s="39"/>
      <c r="I1378" s="39"/>
      <c r="J1378" s="40"/>
    </row>
    <row r="1379" spans="2:10" s="1" customFormat="1" ht="13.2" x14ac:dyDescent="0.25">
      <c r="B1379" s="45"/>
      <c r="C1379" s="38" t="s">
        <v>677</v>
      </c>
      <c r="D1379" s="39">
        <v>1</v>
      </c>
      <c r="E1379" s="39">
        <v>12.76</v>
      </c>
      <c r="F1379" s="39">
        <v>0.6</v>
      </c>
      <c r="G1379" s="39">
        <v>0.35</v>
      </c>
      <c r="H1379" s="39">
        <f>+(F1379+G1379*2)*E1379</f>
        <v>16.587999999999997</v>
      </c>
      <c r="I1379" s="39"/>
      <c r="J1379" s="40"/>
    </row>
    <row r="1380" spans="2:10" s="115" customFormat="1" ht="13.2" x14ac:dyDescent="0.25">
      <c r="B1380" s="24" t="s">
        <v>560</v>
      </c>
      <c r="C1380" s="27" t="s">
        <v>354</v>
      </c>
      <c r="D1380" s="59"/>
      <c r="E1380" s="39"/>
      <c r="F1380" s="39" t="s">
        <v>571</v>
      </c>
      <c r="G1380" s="39"/>
      <c r="H1380" s="39"/>
      <c r="I1380" s="39">
        <f>+SUM(H1381:H1387)</f>
        <v>113.35265979381442</v>
      </c>
      <c r="J1380" s="40" t="s">
        <v>355</v>
      </c>
    </row>
    <row r="1381" spans="2:10" s="115" customFormat="1" ht="13.2" x14ac:dyDescent="0.25">
      <c r="B1381" s="107"/>
      <c r="C1381" s="38" t="s">
        <v>497</v>
      </c>
      <c r="D1381" s="59">
        <v>2</v>
      </c>
      <c r="E1381" s="39">
        <v>10</v>
      </c>
      <c r="F1381" s="39">
        <f>8.2/5</f>
        <v>1.64</v>
      </c>
      <c r="G1381" s="39"/>
      <c r="H1381" s="39">
        <f>IF(AND(F1381=0,G1381=0),D1381*E1381,IF(AND(E1381=0,G1381=0),D1381*F1381,IF(AND(E1381=0,F1381=0),D1381*G1381,IF(AND(E1381=0),D1381*F1381*G1381,IF(AND(F1381=0),D1381*E1381*G1381,IF(AND(G1381=0),D1381*E1381*F1381,D1381*E1381*F1381*G1381))))))</f>
        <v>32.799999999999997</v>
      </c>
      <c r="I1381" s="39"/>
      <c r="J1381" s="40"/>
    </row>
    <row r="1382" spans="2:10" s="115" customFormat="1" ht="13.2" x14ac:dyDescent="0.25">
      <c r="B1382" s="107"/>
      <c r="C1382" s="42" t="s">
        <v>592</v>
      </c>
      <c r="D1382" s="59"/>
      <c r="E1382" s="39"/>
      <c r="F1382" s="39"/>
      <c r="G1382" s="39"/>
      <c r="H1382" s="39"/>
      <c r="I1382" s="39"/>
      <c r="J1382" s="40"/>
    </row>
    <row r="1383" spans="2:10" s="1" customFormat="1" ht="13.2" x14ac:dyDescent="0.25">
      <c r="B1383" s="107"/>
      <c r="C1383" s="38" t="s">
        <v>675</v>
      </c>
      <c r="D1383" s="59">
        <v>1</v>
      </c>
      <c r="E1383" s="39">
        <f>0.7+6.7</f>
        <v>7.4</v>
      </c>
      <c r="F1383" s="39">
        <f t="shared" ref="F1383:F1384" si="88">8.2/5</f>
        <v>1.64</v>
      </c>
      <c r="G1383" s="39"/>
      <c r="H1383" s="39">
        <f t="shared" ref="H1383:H1384" si="89">IF(AND(F1383=0,G1383=0),D1383*E1383,IF(AND(E1383=0,G1383=0),D1383*F1383,IF(AND(E1383=0,F1383=0),D1383*G1383,IF(AND(E1383=0),D1383*F1383*G1383,IF(AND(F1383=0),D1383*E1383*G1383,IF(AND(G1383=0),D1383*E1383*F1383,D1383*E1383*F1383*G1383))))))</f>
        <v>12.135999999999999</v>
      </c>
      <c r="I1383" s="39"/>
      <c r="J1383" s="40"/>
    </row>
    <row r="1384" spans="2:10" s="1" customFormat="1" ht="13.2" x14ac:dyDescent="0.25">
      <c r="B1384" s="107"/>
      <c r="C1384" s="38" t="s">
        <v>676</v>
      </c>
      <c r="D1384" s="59">
        <v>1</v>
      </c>
      <c r="E1384" s="39">
        <f>3.1+1.6</f>
        <v>4.7</v>
      </c>
      <c r="F1384" s="39">
        <f t="shared" si="88"/>
        <v>1.64</v>
      </c>
      <c r="G1384" s="39"/>
      <c r="H1384" s="39">
        <f t="shared" si="89"/>
        <v>7.7080000000000002</v>
      </c>
      <c r="I1384" s="39"/>
      <c r="J1384" s="40"/>
    </row>
    <row r="1385" spans="2:10" s="1" customFormat="1" ht="13.2" x14ac:dyDescent="0.25">
      <c r="B1385" s="107"/>
      <c r="C1385" s="38"/>
      <c r="D1385" s="59"/>
      <c r="E1385" s="39"/>
      <c r="F1385" s="39"/>
      <c r="G1385" s="39"/>
      <c r="H1385" s="39"/>
      <c r="I1385" s="39"/>
      <c r="J1385" s="40"/>
    </row>
    <row r="1386" spans="2:10" s="1" customFormat="1" ht="13.2" x14ac:dyDescent="0.25">
      <c r="B1386" s="107"/>
      <c r="C1386" s="42" t="s">
        <v>220</v>
      </c>
      <c r="D1386" s="59"/>
      <c r="E1386" s="39"/>
      <c r="F1386" s="39"/>
      <c r="G1386" s="39"/>
      <c r="H1386" s="39"/>
      <c r="I1386" s="39"/>
      <c r="J1386" s="40"/>
    </row>
    <row r="1387" spans="2:10" s="1" customFormat="1" ht="13.2" x14ac:dyDescent="0.25">
      <c r="B1387" s="107"/>
      <c r="C1387" s="38" t="s">
        <v>677</v>
      </c>
      <c r="D1387" s="39">
        <v>1</v>
      </c>
      <c r="E1387" s="39">
        <v>12.76</v>
      </c>
      <c r="F1387" s="39">
        <f>27.69/5.82</f>
        <v>4.7577319587628866</v>
      </c>
      <c r="G1387" s="39"/>
      <c r="H1387" s="39">
        <f t="shared" ref="H1387" si="90">IF(AND(F1387=0,G1387=0),D1387*E1387,IF(AND(E1387=0,G1387=0),D1387*F1387,IF(AND(E1387=0,F1387=0),D1387*G1387,IF(AND(E1387=0),D1387*F1387*G1387,IF(AND(F1387=0),D1387*E1387*G1387,IF(AND(G1387=0),D1387*E1387*F1387,D1387*E1387*F1387*G1387))))))</f>
        <v>60.708659793814434</v>
      </c>
      <c r="I1387" s="39"/>
      <c r="J1387" s="40"/>
    </row>
    <row r="1388" spans="2:10" s="1" customFormat="1" ht="13.2" x14ac:dyDescent="0.25">
      <c r="B1388" s="24" t="s">
        <v>561</v>
      </c>
      <c r="C1388" s="27" t="s">
        <v>356</v>
      </c>
      <c r="D1388" s="59"/>
      <c r="E1388" s="39"/>
      <c r="F1388" s="39"/>
      <c r="G1388" s="39"/>
      <c r="H1388" s="39"/>
      <c r="I1388" s="39">
        <f>+SUM(H1389:H1390)</f>
        <v>0.21080000000000002</v>
      </c>
      <c r="J1388" s="40" t="s">
        <v>337</v>
      </c>
    </row>
    <row r="1389" spans="2:10" s="1" customFormat="1" ht="13.2" x14ac:dyDescent="0.25">
      <c r="B1389" s="45"/>
      <c r="C1389" s="38" t="s">
        <v>678</v>
      </c>
      <c r="D1389" s="39">
        <v>2</v>
      </c>
      <c r="E1389" s="39">
        <v>1.7</v>
      </c>
      <c r="F1389" s="39">
        <v>0.1</v>
      </c>
      <c r="G1389" s="39">
        <v>0.42</v>
      </c>
      <c r="H1389" s="39">
        <f t="shared" ref="H1389:H1390" si="91">IF(AND(F1389=0,G1389=0),D1389*E1389,IF(AND(E1389=0,G1389=0),D1389*F1389,IF(AND(E1389=0,F1389=0),D1389*G1389,IF(AND(E1389=0),D1389*F1389*G1389,IF(AND(F1389=0),D1389*E1389*G1389,IF(AND(G1389=0),D1389*E1389*F1389,D1389*E1389*F1389*G1389))))))</f>
        <v>0.14280000000000001</v>
      </c>
      <c r="I1389" s="39"/>
      <c r="J1389" s="40"/>
    </row>
    <row r="1390" spans="2:10" s="1" customFormat="1" ht="13.2" x14ac:dyDescent="0.25">
      <c r="B1390" s="45"/>
      <c r="C1390" s="58"/>
      <c r="D1390" s="59">
        <v>1</v>
      </c>
      <c r="E1390" s="39">
        <v>1.7</v>
      </c>
      <c r="F1390" s="39">
        <v>0.4</v>
      </c>
      <c r="G1390" s="39">
        <v>0.1</v>
      </c>
      <c r="H1390" s="39">
        <f t="shared" si="91"/>
        <v>6.8000000000000005E-2</v>
      </c>
      <c r="I1390" s="39"/>
      <c r="J1390" s="40"/>
    </row>
    <row r="1391" spans="2:10" s="1" customFormat="1" ht="13.2" x14ac:dyDescent="0.25">
      <c r="B1391" s="24" t="s">
        <v>562</v>
      </c>
      <c r="C1391" s="27" t="s">
        <v>357</v>
      </c>
      <c r="D1391" s="59" t="s">
        <v>574</v>
      </c>
      <c r="E1391" s="39"/>
      <c r="F1391" s="39"/>
      <c r="G1391" s="39"/>
      <c r="H1391" s="39"/>
      <c r="I1391" s="39">
        <f>+SUM(H1392:H1392)</f>
        <v>0.44200000000000006</v>
      </c>
      <c r="J1391" s="40" t="s">
        <v>337</v>
      </c>
    </row>
    <row r="1392" spans="2:10" s="1" customFormat="1" ht="13.2" x14ac:dyDescent="0.25">
      <c r="B1392" s="24"/>
      <c r="C1392" s="38" t="s">
        <v>498</v>
      </c>
      <c r="D1392" s="39">
        <v>1.25</v>
      </c>
      <c r="E1392" s="39">
        <v>1.7</v>
      </c>
      <c r="F1392" s="39">
        <v>0.4</v>
      </c>
      <c r="G1392" s="39">
        <f>0.32+0.2</f>
        <v>0.52</v>
      </c>
      <c r="H1392" s="39">
        <f>IF(AND(F1392=0,G1392=0),D1392*E1392,IF(AND(E1392=0,G1392=0),D1392*F1392,IF(AND(E1392=0,F1392=0),D1392*G1392,IF(AND(E1392=0),D1392*F1392*G1392,IF(AND(F1392=0),D1392*E1392*G1392,IF(AND(G1392=0),D1392*E1392*F1392,D1392*E1392*F1392*G1392))))))</f>
        <v>0.44200000000000006</v>
      </c>
      <c r="I1392" s="39"/>
      <c r="J1392" s="40"/>
    </row>
    <row r="1393" spans="2:10" s="1" customFormat="1" ht="13.2" x14ac:dyDescent="0.25">
      <c r="B1393" s="24" t="s">
        <v>563</v>
      </c>
      <c r="C1393" s="27" t="s">
        <v>358</v>
      </c>
      <c r="D1393" s="59"/>
      <c r="E1393" s="39"/>
      <c r="F1393" s="39"/>
      <c r="G1393" s="39"/>
      <c r="H1393" s="39"/>
      <c r="I1393" s="39">
        <f>+I1391</f>
        <v>0.44200000000000006</v>
      </c>
      <c r="J1393" s="40" t="s">
        <v>337</v>
      </c>
    </row>
    <row r="1394" spans="2:10" s="1" customFormat="1" ht="13.2" x14ac:dyDescent="0.25">
      <c r="B1394" s="45"/>
      <c r="C1394" s="58"/>
      <c r="D1394" s="59"/>
      <c r="E1394" s="39"/>
      <c r="F1394" s="39"/>
      <c r="G1394" s="39"/>
      <c r="H1394" s="39"/>
      <c r="I1394" s="39"/>
      <c r="J1394" s="40"/>
    </row>
    <row r="1395" spans="2:10" x14ac:dyDescent="0.3">
      <c r="B1395" s="72" t="s">
        <v>365</v>
      </c>
      <c r="C1395" s="73" t="s">
        <v>360</v>
      </c>
      <c r="D1395" s="22"/>
      <c r="E1395" s="22"/>
      <c r="F1395" s="22"/>
      <c r="G1395" s="22"/>
      <c r="H1395" s="23"/>
      <c r="I1395" s="24"/>
      <c r="J1395" s="25"/>
    </row>
    <row r="1396" spans="2:10" s="1" customFormat="1" ht="13.2" x14ac:dyDescent="0.25">
      <c r="B1396" s="42" t="s">
        <v>366</v>
      </c>
      <c r="C1396" s="24" t="s">
        <v>362</v>
      </c>
      <c r="D1396" s="59"/>
      <c r="E1396" s="39"/>
      <c r="F1396" s="39"/>
      <c r="G1396" s="39"/>
      <c r="H1396" s="39"/>
      <c r="I1396" s="43">
        <f>+SUM(H1397:H1397)</f>
        <v>0.68</v>
      </c>
      <c r="J1396" s="44" t="s">
        <v>333</v>
      </c>
    </row>
    <row r="1397" spans="2:10" s="1" customFormat="1" ht="15.75" customHeight="1" x14ac:dyDescent="0.25">
      <c r="B1397" s="24"/>
      <c r="C1397" s="38" t="s">
        <v>498</v>
      </c>
      <c r="D1397" s="39">
        <v>1</v>
      </c>
      <c r="E1397" s="39">
        <v>1.7</v>
      </c>
      <c r="F1397" s="39">
        <v>0.4</v>
      </c>
      <c r="G1397" s="39"/>
      <c r="H1397" s="39">
        <f>IF(AND(F1397=0,G1397=0),D1397*E1397,IF(AND(E1397=0,G1397=0),D1397*F1397,IF(AND(E1397=0,F1397=0),D1397*G1397,IF(AND(E1397=0),D1397*F1397*G1397,IF(AND(F1397=0),D1397*E1397*G1397,IF(AND(G1397=0),D1397*E1397*F1397,D1397*E1397*F1397*G1397))))))</f>
        <v>0.68</v>
      </c>
      <c r="I1397" s="39"/>
      <c r="J1397" s="40"/>
    </row>
    <row r="1398" spans="2:10" s="1" customFormat="1" ht="13.2" x14ac:dyDescent="0.25">
      <c r="B1398" s="42" t="s">
        <v>367</v>
      </c>
      <c r="C1398" s="24" t="s">
        <v>364</v>
      </c>
      <c r="D1398" s="59"/>
      <c r="E1398" s="39"/>
      <c r="F1398" s="39"/>
      <c r="G1398" s="39"/>
      <c r="H1398" s="39"/>
      <c r="I1398" s="43">
        <f>+SUM(H1399:H1399)</f>
        <v>0</v>
      </c>
      <c r="J1398" s="44" t="s">
        <v>333</v>
      </c>
    </row>
    <row r="1399" spans="2:10" s="1" customFormat="1" ht="13.2" x14ac:dyDescent="0.25">
      <c r="B1399" s="114"/>
      <c r="C1399" s="38"/>
      <c r="D1399" s="39"/>
      <c r="E1399" s="39"/>
      <c r="F1399" s="39"/>
      <c r="G1399" s="39"/>
      <c r="H1399" s="39">
        <f>IF(AND(F1399=0,G1399=0),D1399*E1399,IF(AND(E1399=0,G1399=0),D1399*F1399,IF(AND(E1399=0,F1399=0),D1399*G1399,IF(AND(E1399=0),D1399*F1399*G1399,IF(AND(F1399=0),D1399*E1399*G1399,IF(AND(G1399=0),D1399*E1399*F1399,D1399*E1399*F1399*G1399))))))</f>
        <v>0</v>
      </c>
      <c r="I1399" s="39"/>
      <c r="J1399" s="40"/>
    </row>
    <row r="1400" spans="2:10" s="1" customFormat="1" ht="13.2" x14ac:dyDescent="0.25">
      <c r="B1400" s="69"/>
      <c r="C1400" s="38"/>
      <c r="D1400" s="59"/>
      <c r="E1400" s="39"/>
      <c r="F1400" s="39"/>
      <c r="G1400" s="39"/>
      <c r="H1400" s="39"/>
      <c r="I1400" s="39"/>
      <c r="J1400" s="40"/>
    </row>
    <row r="1401" spans="2:10" s="1" customFormat="1" ht="13.2" x14ac:dyDescent="0.25">
      <c r="B1401" s="56" t="s">
        <v>368</v>
      </c>
      <c r="C1401" s="57" t="s">
        <v>202</v>
      </c>
      <c r="D1401" s="59"/>
      <c r="E1401" s="39"/>
      <c r="F1401" s="39"/>
      <c r="G1401" s="39"/>
      <c r="H1401" s="39"/>
      <c r="I1401" s="39"/>
      <c r="J1401" s="40"/>
    </row>
    <row r="1402" spans="2:10" s="115" customFormat="1" ht="13.2" x14ac:dyDescent="0.25">
      <c r="B1402" s="42" t="s">
        <v>379</v>
      </c>
      <c r="C1402" s="24" t="s">
        <v>539</v>
      </c>
      <c r="D1402" s="59"/>
      <c r="E1402" s="39"/>
      <c r="F1402" s="39"/>
      <c r="G1402" s="39"/>
      <c r="H1402" s="39"/>
      <c r="I1402" s="43">
        <f>+SUM(H1403:H1404)</f>
        <v>12.100000000000001</v>
      </c>
      <c r="J1402" s="44" t="s">
        <v>102</v>
      </c>
    </row>
    <row r="1403" spans="2:10" s="115" customFormat="1" ht="13.2" x14ac:dyDescent="0.25">
      <c r="B1403" s="42"/>
      <c r="C1403" s="38" t="s">
        <v>675</v>
      </c>
      <c r="D1403" s="59">
        <v>1</v>
      </c>
      <c r="E1403" s="39">
        <f>0.7+6.7</f>
        <v>7.4</v>
      </c>
      <c r="F1403" s="39"/>
      <c r="G1403" s="39"/>
      <c r="H1403" s="39">
        <f>IF(AND(F1403=0,G1403=0),D1403*E1403,IF(AND(E1403=0,G1403=0),D1403*F1403,IF(AND(E1403=0,F1403=0),D1403*G1403,IF(AND(E1403=0),D1403*F1403*G1403,IF(AND(F1403=0),D1403*E1403*G1403,IF(AND(G1403=0),D1403*E1403*F1403,D1403*E1403*F1403*G1403))))))</f>
        <v>7.4</v>
      </c>
      <c r="I1403" s="43"/>
      <c r="J1403" s="44"/>
    </row>
    <row r="1404" spans="2:10" s="115" customFormat="1" ht="13.2" x14ac:dyDescent="0.25">
      <c r="B1404" s="42"/>
      <c r="C1404" s="38" t="s">
        <v>676</v>
      </c>
      <c r="D1404" s="59">
        <v>1</v>
      </c>
      <c r="E1404" s="39">
        <f>3.1+1.6</f>
        <v>4.7</v>
      </c>
      <c r="F1404" s="39"/>
      <c r="G1404" s="39"/>
      <c r="H1404" s="39">
        <f>IF(AND(F1404=0,G1404=0),D1404*E1404,IF(AND(E1404=0,G1404=0),D1404*F1404,IF(AND(E1404=0,F1404=0),D1404*G1404,IF(AND(E1404=0),D1404*F1404*G1404,IF(AND(F1404=0),D1404*E1404*G1404,IF(AND(G1404=0),D1404*E1404*F1404,D1404*E1404*F1404*G1404))))))</f>
        <v>4.7</v>
      </c>
      <c r="I1404" s="43"/>
      <c r="J1404" s="44"/>
    </row>
    <row r="1405" spans="2:10" s="1" customFormat="1" ht="13.2" x14ac:dyDescent="0.25">
      <c r="B1405" s="24" t="s">
        <v>396</v>
      </c>
      <c r="C1405" s="27" t="s">
        <v>412</v>
      </c>
      <c r="D1405" s="59"/>
      <c r="E1405" s="39"/>
      <c r="F1405" s="39"/>
      <c r="G1405" s="39"/>
      <c r="H1405" s="39"/>
      <c r="I1405" s="39">
        <f>+SUM(H1406:H1407)</f>
        <v>1.9379999999999999</v>
      </c>
      <c r="J1405" s="40" t="s">
        <v>333</v>
      </c>
    </row>
    <row r="1406" spans="2:10" s="1" customFormat="1" ht="13.2" x14ac:dyDescent="0.25">
      <c r="B1406" s="45"/>
      <c r="C1406" s="38" t="s">
        <v>678</v>
      </c>
      <c r="D1406" s="39">
        <v>2</v>
      </c>
      <c r="E1406" s="39">
        <v>1.7</v>
      </c>
      <c r="F1406" s="39"/>
      <c r="G1406" s="39">
        <f>0.32+0.15</f>
        <v>0.47</v>
      </c>
      <c r="H1406" s="39">
        <f t="shared" ref="H1406:H1407" si="92">IF(AND(F1406=0,G1406=0),D1406*E1406,IF(AND(E1406=0,G1406=0),D1406*F1406,IF(AND(E1406=0,F1406=0),D1406*G1406,IF(AND(E1406=0),D1406*F1406*G1406,IF(AND(F1406=0),D1406*E1406*G1406,IF(AND(G1406=0),D1406*E1406*F1406,D1406*E1406*F1406*G1406))))))</f>
        <v>1.5979999999999999</v>
      </c>
      <c r="I1406" s="39"/>
      <c r="J1406" s="40"/>
    </row>
    <row r="1407" spans="2:10" s="1" customFormat="1" ht="13.2" x14ac:dyDescent="0.25">
      <c r="B1407" s="45"/>
      <c r="C1407" s="58"/>
      <c r="D1407" s="59">
        <v>1</v>
      </c>
      <c r="E1407" s="39">
        <v>1.7</v>
      </c>
      <c r="F1407" s="39"/>
      <c r="G1407" s="39">
        <v>0.2</v>
      </c>
      <c r="H1407" s="39">
        <f t="shared" si="92"/>
        <v>0.34</v>
      </c>
      <c r="I1407" s="39"/>
      <c r="J1407" s="40"/>
    </row>
    <row r="1408" spans="2:10" s="1" customFormat="1" ht="13.2" x14ac:dyDescent="0.25">
      <c r="B1408" s="24"/>
      <c r="D1408" s="59"/>
      <c r="E1408" s="39"/>
      <c r="F1408" s="39"/>
      <c r="G1408" s="39"/>
      <c r="H1408" s="39"/>
      <c r="I1408" s="39"/>
      <c r="J1408" s="40"/>
    </row>
    <row r="1409" spans="2:10" s="1" customFormat="1" ht="13.2" x14ac:dyDescent="0.25">
      <c r="B1409" s="56" t="s">
        <v>413</v>
      </c>
      <c r="C1409" s="57" t="s">
        <v>234</v>
      </c>
      <c r="D1409" s="59"/>
      <c r="E1409" s="39"/>
      <c r="F1409" s="39"/>
      <c r="G1409" s="39"/>
      <c r="H1409" s="39"/>
      <c r="I1409" s="39"/>
      <c r="J1409" s="40"/>
    </row>
    <row r="1410" spans="2:10" s="1" customFormat="1" ht="13.2" x14ac:dyDescent="0.25">
      <c r="B1410" s="42" t="s">
        <v>414</v>
      </c>
      <c r="C1410" s="113" t="s">
        <v>422</v>
      </c>
      <c r="D1410" s="59"/>
      <c r="E1410" s="39"/>
      <c r="F1410" s="39"/>
      <c r="G1410" s="39"/>
      <c r="H1410" s="39"/>
      <c r="I1410" s="43">
        <f>+SUM(H1411:H1413)</f>
        <v>7</v>
      </c>
      <c r="J1410" s="44" t="s">
        <v>30</v>
      </c>
    </row>
    <row r="1411" spans="2:10" s="1" customFormat="1" ht="13.2" x14ac:dyDescent="0.25">
      <c r="B1411" s="45"/>
      <c r="C1411" s="38" t="s">
        <v>472</v>
      </c>
      <c r="D1411" s="59">
        <v>4</v>
      </c>
      <c r="E1411" s="39"/>
      <c r="F1411" s="39"/>
      <c r="G1411" s="39"/>
      <c r="H1411" s="39">
        <f t="shared" ref="H1411:H1413" si="93">+D1411</f>
        <v>4</v>
      </c>
      <c r="I1411" s="39"/>
      <c r="J1411" s="40"/>
    </row>
    <row r="1412" spans="2:10" s="1" customFormat="1" ht="13.2" x14ac:dyDescent="0.25">
      <c r="B1412" s="45"/>
      <c r="C1412" s="38" t="s">
        <v>675</v>
      </c>
      <c r="D1412" s="59">
        <v>1</v>
      </c>
      <c r="E1412" s="39"/>
      <c r="F1412" s="39"/>
      <c r="G1412" s="39"/>
      <c r="H1412" s="39">
        <f t="shared" si="93"/>
        <v>1</v>
      </c>
      <c r="I1412" s="39"/>
      <c r="J1412" s="40"/>
    </row>
    <row r="1413" spans="2:10" s="1" customFormat="1" ht="13.2" x14ac:dyDescent="0.25">
      <c r="B1413" s="45"/>
      <c r="C1413" s="38" t="s">
        <v>676</v>
      </c>
      <c r="D1413" s="59">
        <v>2</v>
      </c>
      <c r="E1413" s="39"/>
      <c r="F1413" s="39"/>
      <c r="G1413" s="39"/>
      <c r="H1413" s="39">
        <f t="shared" si="93"/>
        <v>2</v>
      </c>
      <c r="I1413" s="39"/>
      <c r="J1413" s="40"/>
    </row>
    <row r="1414" spans="2:10" s="1" customFormat="1" ht="13.2" x14ac:dyDescent="0.25">
      <c r="B1414" s="45"/>
      <c r="C1414" s="38"/>
      <c r="D1414" s="59"/>
      <c r="E1414" s="39"/>
      <c r="F1414" s="39"/>
      <c r="G1414" s="39"/>
      <c r="H1414" s="39"/>
      <c r="I1414" s="39"/>
      <c r="J1414" s="40"/>
    </row>
    <row r="1415" spans="2:10" s="1" customFormat="1" ht="13.2" x14ac:dyDescent="0.25">
      <c r="B1415" s="45"/>
      <c r="C1415" s="58"/>
      <c r="D1415" s="59"/>
      <c r="E1415" s="39"/>
      <c r="F1415" s="39"/>
      <c r="G1415" s="39"/>
      <c r="H1415" s="39"/>
      <c r="I1415" s="39"/>
      <c r="J1415" s="40"/>
    </row>
    <row r="1416" spans="2:10" s="1" customFormat="1" ht="13.2" x14ac:dyDescent="0.25">
      <c r="B1416" s="45"/>
      <c r="C1416" s="58"/>
      <c r="D1416" s="59"/>
      <c r="E1416" s="39"/>
      <c r="F1416" s="39"/>
      <c r="G1416" s="39"/>
      <c r="H1416" s="39"/>
      <c r="I1416" s="39"/>
      <c r="J1416" s="40"/>
    </row>
    <row r="1417" spans="2:10" s="1" customFormat="1" ht="13.2" x14ac:dyDescent="0.25">
      <c r="B1417" s="45"/>
      <c r="C1417" s="58"/>
      <c r="D1417" s="59"/>
      <c r="E1417" s="39"/>
      <c r="F1417" s="39"/>
      <c r="G1417" s="39"/>
      <c r="H1417" s="39"/>
      <c r="I1417" s="39"/>
      <c r="J1417" s="40"/>
    </row>
    <row r="1418" spans="2:10" s="1" customFormat="1" ht="13.2" x14ac:dyDescent="0.25">
      <c r="B1418" s="45"/>
      <c r="C1418" s="58"/>
      <c r="D1418" s="59"/>
      <c r="E1418" s="39"/>
      <c r="F1418" s="39"/>
      <c r="G1418" s="39"/>
      <c r="H1418" s="39"/>
      <c r="I1418" s="39"/>
      <c r="J1418" s="40"/>
    </row>
    <row r="1419" spans="2:10" s="1" customFormat="1" ht="13.2" x14ac:dyDescent="0.25">
      <c r="B1419" s="45"/>
      <c r="C1419" s="58"/>
      <c r="D1419" s="59"/>
      <c r="E1419" s="39"/>
      <c r="F1419" s="39"/>
      <c r="G1419" s="39"/>
      <c r="H1419" s="39"/>
      <c r="I1419" s="39"/>
      <c r="J1419" s="40"/>
    </row>
    <row r="1420" spans="2:10" s="1" customFormat="1" ht="13.2" x14ac:dyDescent="0.25">
      <c r="B1420" s="45"/>
      <c r="C1420" s="58"/>
      <c r="D1420" s="59"/>
      <c r="E1420" s="39"/>
      <c r="F1420" s="39"/>
      <c r="G1420" s="39"/>
      <c r="H1420" s="39"/>
      <c r="I1420" s="39"/>
      <c r="J1420" s="40"/>
    </row>
    <row r="1421" spans="2:10" s="1" customFormat="1" ht="13.2" x14ac:dyDescent="0.25">
      <c r="C1421" s="83" t="s">
        <v>0</v>
      </c>
      <c r="D1421" s="83"/>
      <c r="E1421" s="83"/>
      <c r="F1421" s="83"/>
      <c r="G1421" s="83"/>
      <c r="H1421" s="83"/>
    </row>
    <row r="1422" spans="2:10" s="1" customFormat="1" ht="13.2" x14ac:dyDescent="0.25">
      <c r="C1422" s="83" t="s">
        <v>1</v>
      </c>
      <c r="D1422" s="83"/>
      <c r="E1422" s="83"/>
      <c r="F1422" s="83"/>
      <c r="G1422" s="83"/>
      <c r="H1422" s="83"/>
    </row>
    <row r="1423" spans="2:10" s="1" customFormat="1" ht="13.2" x14ac:dyDescent="0.25">
      <c r="C1423" s="83" t="s">
        <v>2</v>
      </c>
      <c r="D1423" s="83"/>
      <c r="E1423" s="83"/>
      <c r="F1423" s="83"/>
      <c r="G1423" s="83"/>
      <c r="H1423" s="83"/>
    </row>
    <row r="1424" spans="2:10" s="1" customFormat="1" ht="13.2" x14ac:dyDescent="0.25">
      <c r="C1424" s="52" t="s">
        <v>3</v>
      </c>
      <c r="D1424" s="52"/>
      <c r="E1424" s="52"/>
      <c r="F1424" s="52"/>
      <c r="G1424" s="52"/>
      <c r="H1424" s="52"/>
    </row>
    <row r="1425" spans="2:10" s="1" customFormat="1" ht="28.5" customHeight="1" x14ac:dyDescent="0.25">
      <c r="C1425" s="52"/>
      <c r="D1425" s="52"/>
      <c r="E1425" s="52"/>
      <c r="F1425" s="52"/>
      <c r="G1425" s="52"/>
      <c r="H1425" s="52"/>
    </row>
    <row r="1426" spans="2:10" s="1" customFormat="1" ht="15.6" x14ac:dyDescent="0.25">
      <c r="B1426" s="84" t="s">
        <v>458</v>
      </c>
      <c r="C1426" s="85"/>
      <c r="D1426" s="85"/>
      <c r="E1426" s="85"/>
      <c r="F1426" s="85"/>
      <c r="G1426" s="85"/>
      <c r="H1426" s="85"/>
      <c r="I1426" s="85"/>
      <c r="J1426" s="86"/>
    </row>
    <row r="1427" spans="2:10" s="1" customFormat="1" ht="21" x14ac:dyDescent="0.25">
      <c r="B1427" s="87" t="s">
        <v>499</v>
      </c>
      <c r="C1427" s="88"/>
      <c r="D1427" s="88"/>
      <c r="E1427" s="88"/>
      <c r="F1427" s="88"/>
      <c r="G1427" s="88"/>
      <c r="H1427" s="88"/>
      <c r="I1427" s="88"/>
      <c r="J1427" s="89"/>
    </row>
    <row r="1428" spans="2:10" s="1" customFormat="1" ht="13.8" thickBot="1" x14ac:dyDescent="0.3">
      <c r="B1428" s="53"/>
      <c r="C1428" s="53"/>
      <c r="D1428" s="53"/>
      <c r="E1428" s="53"/>
      <c r="F1428" s="53"/>
      <c r="G1428" s="53"/>
      <c r="H1428" s="53"/>
      <c r="I1428" s="53"/>
      <c r="J1428" s="53"/>
    </row>
    <row r="1429" spans="2:10" s="1" customFormat="1" ht="24.75" customHeight="1" x14ac:dyDescent="0.25">
      <c r="B1429" s="123" t="s">
        <v>6</v>
      </c>
      <c r="C1429" s="124"/>
      <c r="D1429" s="124"/>
      <c r="E1429" s="124"/>
      <c r="F1429" s="124"/>
      <c r="G1429" s="124"/>
      <c r="H1429" s="124"/>
      <c r="I1429" s="124"/>
      <c r="J1429" s="125"/>
    </row>
    <row r="1430" spans="2:10" s="1" customFormat="1" ht="13.2" x14ac:dyDescent="0.25">
      <c r="B1430" s="2" t="s">
        <v>7</v>
      </c>
      <c r="C1430" s="3" t="s">
        <v>8</v>
      </c>
      <c r="D1430" s="3"/>
      <c r="E1430" s="4"/>
      <c r="F1430" s="5"/>
      <c r="G1430" s="6" t="s">
        <v>9</v>
      </c>
      <c r="H1430" s="126">
        <v>42879</v>
      </c>
      <c r="I1430" s="126"/>
      <c r="J1430" s="7"/>
    </row>
    <row r="1431" spans="2:10" s="1" customFormat="1" ht="13.2" x14ac:dyDescent="0.25">
      <c r="B1431" s="2" t="s">
        <v>10</v>
      </c>
      <c r="C1431" s="3" t="s">
        <v>11</v>
      </c>
      <c r="F1431" s="3"/>
      <c r="G1431" s="8" t="s">
        <v>12</v>
      </c>
      <c r="H1431" s="4" t="s">
        <v>11</v>
      </c>
      <c r="I1431" s="9"/>
      <c r="J1431" s="10"/>
    </row>
    <row r="1432" spans="2:10" s="1" customFormat="1" ht="13.2" x14ac:dyDescent="0.25">
      <c r="B1432" s="2" t="s">
        <v>13</v>
      </c>
      <c r="C1432" s="3" t="s">
        <v>11</v>
      </c>
      <c r="F1432" s="3"/>
      <c r="G1432" s="8" t="s">
        <v>14</v>
      </c>
      <c r="H1432" s="4" t="s">
        <v>15</v>
      </c>
      <c r="I1432" s="9"/>
      <c r="J1432" s="10"/>
    </row>
    <row r="1433" spans="2:10" s="1" customFormat="1" ht="13.8" thickBot="1" x14ac:dyDescent="0.3">
      <c r="B1433" s="11" t="s">
        <v>16</v>
      </c>
      <c r="C1433" s="12" t="s">
        <v>17</v>
      </c>
      <c r="D1433" s="13"/>
      <c r="E1433" s="13"/>
      <c r="F1433" s="12"/>
      <c r="G1433" s="14" t="s">
        <v>18</v>
      </c>
      <c r="H1433" s="15" t="s">
        <v>19</v>
      </c>
      <c r="I1433" s="16"/>
      <c r="J1433" s="17"/>
    </row>
    <row r="1434" spans="2:10" s="1" customFormat="1" ht="13.2" x14ac:dyDescent="0.25">
      <c r="B1434" s="53"/>
      <c r="C1434" s="53"/>
      <c r="D1434" s="53"/>
      <c r="E1434" s="53"/>
      <c r="F1434" s="53"/>
      <c r="G1434" s="53"/>
      <c r="H1434" s="53"/>
      <c r="I1434" s="53"/>
      <c r="J1434" s="53"/>
    </row>
    <row r="1435" spans="2:10" s="1" customFormat="1" ht="13.2" x14ac:dyDescent="0.25">
      <c r="B1435" s="20" t="s">
        <v>20</v>
      </c>
      <c r="C1435" s="21" t="s">
        <v>21</v>
      </c>
      <c r="D1435" s="21" t="s">
        <v>460</v>
      </c>
      <c r="E1435" s="21" t="s">
        <v>461</v>
      </c>
      <c r="F1435" s="21" t="s">
        <v>462</v>
      </c>
      <c r="G1435" s="21" t="s">
        <v>463</v>
      </c>
      <c r="H1435" s="21" t="s">
        <v>464</v>
      </c>
      <c r="I1435" s="21" t="s">
        <v>22</v>
      </c>
      <c r="J1435" s="21" t="s">
        <v>23</v>
      </c>
    </row>
    <row r="1436" spans="2:10" s="1" customFormat="1" ht="13.2" x14ac:dyDescent="0.25">
      <c r="B1436" s="54">
        <v>4.03</v>
      </c>
      <c r="C1436" s="55" t="s">
        <v>182</v>
      </c>
      <c r="D1436" s="59"/>
      <c r="E1436" s="39"/>
      <c r="F1436" s="39"/>
      <c r="G1436" s="39"/>
      <c r="H1436" s="39"/>
      <c r="I1436" s="39"/>
      <c r="J1436" s="40"/>
    </row>
    <row r="1437" spans="2:10" s="1" customFormat="1" ht="13.2" x14ac:dyDescent="0.25">
      <c r="B1437" s="72" t="s">
        <v>183</v>
      </c>
      <c r="C1437" s="72" t="s">
        <v>331</v>
      </c>
      <c r="D1437" s="59"/>
      <c r="E1437" s="39"/>
      <c r="F1437" s="39"/>
      <c r="G1437" s="39"/>
      <c r="H1437" s="39"/>
      <c r="I1437" s="39"/>
      <c r="J1437" s="40"/>
    </row>
    <row r="1438" spans="2:10" s="1" customFormat="1" ht="13.2" x14ac:dyDescent="0.25">
      <c r="B1438" s="24" t="s">
        <v>185</v>
      </c>
      <c r="C1438" s="27" t="s">
        <v>332</v>
      </c>
      <c r="D1438" s="59"/>
      <c r="E1438" s="39"/>
      <c r="F1438" s="39"/>
      <c r="G1438" s="39"/>
      <c r="H1438" s="39"/>
      <c r="I1438" s="39">
        <f>+SUM(H1439:H1442)</f>
        <v>21.785</v>
      </c>
      <c r="J1438" s="40" t="s">
        <v>333</v>
      </c>
    </row>
    <row r="1439" spans="2:10" s="1" customFormat="1" ht="13.2" x14ac:dyDescent="0.25">
      <c r="B1439" s="45"/>
      <c r="C1439" s="38" t="s">
        <v>679</v>
      </c>
      <c r="D1439" s="39">
        <v>1</v>
      </c>
      <c r="E1439" s="39">
        <f>31.5+6.5</f>
        <v>38</v>
      </c>
      <c r="F1439" s="39">
        <v>0.5</v>
      </c>
      <c r="G1439" s="39"/>
      <c r="H1439" s="39">
        <f t="shared" ref="H1439:H1442" si="94">IF(AND(F1439=0,G1439=0),D1439*E1439,IF(AND(E1439=0,G1439=0),D1439*F1439,IF(AND(E1439=0,F1439=0),D1439*G1439,IF(AND(E1439=0),D1439*F1439*G1439,IF(AND(F1439=0),D1439*E1439*G1439,IF(AND(G1439=0),D1439*E1439*F1439,D1439*E1439*F1439*G1439))))))</f>
        <v>19</v>
      </c>
      <c r="I1439" s="39"/>
      <c r="J1439" s="40"/>
    </row>
    <row r="1440" spans="2:10" s="1" customFormat="1" ht="13.2" x14ac:dyDescent="0.25">
      <c r="B1440" s="45"/>
      <c r="C1440" s="38" t="s">
        <v>680</v>
      </c>
      <c r="D1440" s="39">
        <v>1</v>
      </c>
      <c r="E1440" s="39">
        <v>3.65</v>
      </c>
      <c r="F1440" s="39">
        <v>0.5</v>
      </c>
      <c r="G1440" s="39"/>
      <c r="H1440" s="39">
        <f t="shared" si="94"/>
        <v>1.825</v>
      </c>
      <c r="I1440" s="39"/>
      <c r="J1440" s="40"/>
    </row>
    <row r="1441" spans="2:10" s="1" customFormat="1" ht="13.2" x14ac:dyDescent="0.25">
      <c r="B1441" s="45"/>
      <c r="C1441" s="38" t="s">
        <v>681</v>
      </c>
      <c r="D1441" s="39">
        <v>1</v>
      </c>
      <c r="E1441" s="39">
        <v>0.6</v>
      </c>
      <c r="F1441" s="39">
        <v>0.8</v>
      </c>
      <c r="G1441" s="39"/>
      <c r="H1441" s="39">
        <f t="shared" si="94"/>
        <v>0.48</v>
      </c>
      <c r="I1441" s="39"/>
      <c r="J1441" s="40"/>
    </row>
    <row r="1442" spans="2:10" s="1" customFormat="1" ht="13.2" x14ac:dyDescent="0.25">
      <c r="B1442" s="45"/>
      <c r="C1442" s="38" t="s">
        <v>682</v>
      </c>
      <c r="D1442" s="39">
        <v>1</v>
      </c>
      <c r="E1442" s="39">
        <v>0.6</v>
      </c>
      <c r="F1442" s="39">
        <v>0.8</v>
      </c>
      <c r="G1442" s="39"/>
      <c r="H1442" s="39">
        <f t="shared" si="94"/>
        <v>0.48</v>
      </c>
      <c r="I1442" s="39"/>
      <c r="J1442" s="40"/>
    </row>
    <row r="1443" spans="2:10" x14ac:dyDescent="0.3">
      <c r="B1443" s="24" t="s">
        <v>187</v>
      </c>
      <c r="C1443" s="27" t="s">
        <v>334</v>
      </c>
      <c r="D1443" s="22"/>
      <c r="E1443" s="22"/>
      <c r="F1443" s="22"/>
      <c r="G1443" s="22"/>
      <c r="H1443" s="23"/>
      <c r="I1443" s="24">
        <f>+I1438</f>
        <v>21.785</v>
      </c>
      <c r="J1443" s="25" t="s">
        <v>333</v>
      </c>
    </row>
    <row r="1444" spans="2:10" s="1" customFormat="1" ht="13.2" x14ac:dyDescent="0.25">
      <c r="B1444" s="45"/>
      <c r="C1444" s="58"/>
      <c r="D1444" s="59"/>
      <c r="E1444" s="39"/>
      <c r="F1444" s="39"/>
      <c r="G1444" s="39"/>
      <c r="H1444" s="39"/>
      <c r="I1444" s="39"/>
      <c r="J1444" s="40"/>
    </row>
    <row r="1445" spans="2:10" x14ac:dyDescent="0.3">
      <c r="B1445" s="72" t="s">
        <v>359</v>
      </c>
      <c r="C1445" s="72" t="s">
        <v>345</v>
      </c>
      <c r="D1445" s="22"/>
      <c r="E1445" s="22"/>
      <c r="F1445" s="22"/>
      <c r="G1445" s="22"/>
      <c r="H1445" s="23"/>
      <c r="I1445" s="24"/>
      <c r="J1445" s="25"/>
    </row>
    <row r="1446" spans="2:10" s="1" customFormat="1" ht="15.75" customHeight="1" x14ac:dyDescent="0.25">
      <c r="B1446" s="24" t="s">
        <v>361</v>
      </c>
      <c r="C1446" s="1" t="s">
        <v>347</v>
      </c>
      <c r="D1446" s="59"/>
      <c r="E1446" s="39"/>
      <c r="F1446" s="39"/>
      <c r="G1446" s="39"/>
      <c r="H1446" s="23"/>
      <c r="I1446" s="24">
        <f>+SUM(H1447:H1448)</f>
        <v>6.5910000000000011</v>
      </c>
      <c r="J1446" s="25" t="s">
        <v>337</v>
      </c>
    </row>
    <row r="1447" spans="2:10" s="1" customFormat="1" ht="13.2" x14ac:dyDescent="0.25">
      <c r="B1447" s="24"/>
      <c r="C1447" s="38" t="s">
        <v>679</v>
      </c>
      <c r="D1447" s="39">
        <v>1</v>
      </c>
      <c r="E1447" s="39">
        <f>31.5+6.5</f>
        <v>38</v>
      </c>
      <c r="F1447" s="39">
        <v>0.4</v>
      </c>
      <c r="G1447" s="39">
        <f>0.2+0.2</f>
        <v>0.4</v>
      </c>
      <c r="H1447" s="39">
        <f>IF(AND(F1447=0,G1447=0),D1447*E1447,IF(AND(E1447=0,G1447=0),D1447*F1447,IF(AND(E1447=0,F1447=0),D1447*G1447,IF(AND(E1447=0),D1447*F1447*G1447,IF(AND(F1447=0),D1447*E1447*G1447,IF(AND(G1447=0),D1447*E1447*F1447,D1447*E1447*F1447*G1447))))))</f>
        <v>6.080000000000001</v>
      </c>
      <c r="I1447" s="39"/>
      <c r="J1447" s="40"/>
    </row>
    <row r="1448" spans="2:10" s="1" customFormat="1" ht="13.2" x14ac:dyDescent="0.25">
      <c r="B1448" s="24"/>
      <c r="C1448" s="38" t="s">
        <v>680</v>
      </c>
      <c r="D1448" s="39">
        <v>1</v>
      </c>
      <c r="E1448" s="39">
        <v>3.65</v>
      </c>
      <c r="F1448" s="39">
        <v>0.4</v>
      </c>
      <c r="G1448" s="39">
        <f>0.15+0.2</f>
        <v>0.35</v>
      </c>
      <c r="H1448" s="39">
        <f>IF(AND(F1448=0,G1448=0),D1448*E1448,IF(AND(E1448=0,G1448=0),D1448*F1448,IF(AND(E1448=0,F1448=0),D1448*G1448,IF(AND(E1448=0),D1448*F1448*G1448,IF(AND(F1448=0),D1448*E1448*G1448,IF(AND(G1448=0),D1448*E1448*F1448,D1448*E1448*F1448*G1448))))))</f>
        <v>0.51100000000000001</v>
      </c>
      <c r="I1448" s="39"/>
      <c r="J1448" s="40"/>
    </row>
    <row r="1449" spans="2:10" s="1" customFormat="1" ht="13.2" x14ac:dyDescent="0.25">
      <c r="B1449" s="24" t="s">
        <v>363</v>
      </c>
      <c r="C1449" s="1" t="s">
        <v>348</v>
      </c>
      <c r="D1449" s="59"/>
      <c r="E1449" s="39"/>
      <c r="F1449" s="39"/>
      <c r="G1449" s="39"/>
      <c r="H1449" s="23"/>
      <c r="I1449" s="24">
        <f>+SUM(H1450:H1451)</f>
        <v>0.46079999999999999</v>
      </c>
      <c r="J1449" s="25" t="s">
        <v>337</v>
      </c>
    </row>
    <row r="1450" spans="2:10" s="1" customFormat="1" ht="13.2" x14ac:dyDescent="0.25">
      <c r="B1450" s="56"/>
      <c r="C1450" s="38" t="s">
        <v>681</v>
      </c>
      <c r="D1450" s="39">
        <v>1</v>
      </c>
      <c r="E1450" s="39">
        <v>0.6</v>
      </c>
      <c r="F1450" s="39">
        <v>0.8</v>
      </c>
      <c r="G1450" s="39">
        <f>0.26+0.2</f>
        <v>0.46</v>
      </c>
      <c r="H1450" s="39">
        <f>IF(AND(F1450=0,G1450=0),D1450*E1450,IF(AND(E1450=0,G1450=0),D1450*F1450,IF(AND(E1450=0,F1450=0),D1450*G1450,IF(AND(E1450=0),D1450*F1450*G1450,IF(AND(F1450=0),D1450*E1450*G1450,IF(AND(G1450=0),D1450*E1450*F1450,D1450*E1450*F1450*G1450))))))</f>
        <v>0.2208</v>
      </c>
      <c r="I1450" s="39"/>
      <c r="J1450" s="40"/>
    </row>
    <row r="1451" spans="2:10" s="1" customFormat="1" ht="13.2" x14ac:dyDescent="0.25">
      <c r="B1451" s="56"/>
      <c r="C1451" s="38" t="s">
        <v>682</v>
      </c>
      <c r="D1451" s="39">
        <v>1</v>
      </c>
      <c r="E1451" s="39">
        <v>0.6</v>
      </c>
      <c r="F1451" s="39">
        <v>0.8</v>
      </c>
      <c r="G1451" s="39">
        <f>0.3+0.2</f>
        <v>0.5</v>
      </c>
      <c r="H1451" s="39">
        <f>IF(AND(F1451=0,G1451=0),D1451*E1451,IF(AND(E1451=0,G1451=0),D1451*F1451,IF(AND(E1451=0,F1451=0),D1451*G1451,IF(AND(E1451=0),D1451*F1451*G1451,IF(AND(F1451=0),D1451*E1451*G1451,IF(AND(G1451=0),D1451*E1451*F1451,D1451*E1451*F1451*G1451))))))</f>
        <v>0.24</v>
      </c>
      <c r="I1451" s="39"/>
      <c r="J1451" s="40"/>
    </row>
    <row r="1452" spans="2:10" s="1" customFormat="1" ht="13.2" x14ac:dyDescent="0.25">
      <c r="B1452" s="24" t="s">
        <v>555</v>
      </c>
      <c r="C1452" s="1" t="s">
        <v>349</v>
      </c>
      <c r="D1452" s="59"/>
      <c r="E1452" s="39"/>
      <c r="F1452" s="39"/>
      <c r="G1452" s="39"/>
      <c r="H1452" s="39"/>
      <c r="I1452" s="39">
        <f>+SUM(H1453)</f>
        <v>0</v>
      </c>
      <c r="J1452" s="40" t="s">
        <v>337</v>
      </c>
    </row>
    <row r="1453" spans="2:10" s="1" customFormat="1" ht="13.2" x14ac:dyDescent="0.25">
      <c r="B1453" s="45"/>
      <c r="C1453" s="38"/>
      <c r="E1453" s="39"/>
      <c r="F1453" s="39"/>
      <c r="G1453" s="39"/>
      <c r="H1453" s="39">
        <f>IF(AND(F1453=0,G1453=0),D1453*E1453,IF(AND(E1453=0,G1453=0),D1453*F1453,IF(AND(E1453=0,F1453=0),D1453*G1453,IF(AND(E1453=0),D1453*F1453*G1453,IF(AND(F1453=0),D1453*E1453*G1453,IF(AND(G1453=0),D1453*E1453*F1453,D1453*E1453*F1453*G1453))))))</f>
        <v>0</v>
      </c>
      <c r="I1453" s="39"/>
      <c r="J1453" s="40"/>
    </row>
    <row r="1454" spans="2:10" s="92" customFormat="1" x14ac:dyDescent="0.3">
      <c r="B1454" s="24" t="s">
        <v>556</v>
      </c>
      <c r="C1454" s="115" t="s">
        <v>350</v>
      </c>
      <c r="D1454" s="22"/>
      <c r="E1454" s="22"/>
      <c r="F1454" s="22"/>
      <c r="G1454" s="22"/>
      <c r="H1454" s="115"/>
      <c r="I1454" s="23">
        <f>+SUM(H1455:H1458)</f>
        <v>17.62</v>
      </c>
      <c r="J1454" s="25" t="s">
        <v>333</v>
      </c>
    </row>
    <row r="1455" spans="2:10" s="92" customFormat="1" x14ac:dyDescent="0.3">
      <c r="B1455" s="24"/>
      <c r="C1455" s="38" t="s">
        <v>683</v>
      </c>
      <c r="D1455" s="39">
        <v>1</v>
      </c>
      <c r="E1455" s="39">
        <f>31.5+6.5</f>
        <v>38</v>
      </c>
      <c r="F1455" s="39">
        <v>0.4</v>
      </c>
      <c r="G1455" s="39"/>
      <c r="H1455" s="39">
        <f>IF(AND(F1455=0,G1455=0),D1455*E1455,IF(AND(E1455=0,G1455=0),D1455*F1455,IF(AND(E1455=0,F1455=0),D1455*G1455,IF(AND(E1455=0),D1455*F1455*G1455,IF(AND(F1455=0),D1455*E1455*G1455,IF(AND(G1455=0),D1455*E1455*F1455,D1455*E1455*F1455*G1455))))))</f>
        <v>15.200000000000001</v>
      </c>
      <c r="I1455" s="24"/>
      <c r="J1455" s="25"/>
    </row>
    <row r="1456" spans="2:10" x14ac:dyDescent="0.3">
      <c r="B1456" s="90"/>
      <c r="C1456" s="38" t="s">
        <v>680</v>
      </c>
      <c r="D1456" s="39">
        <v>1</v>
      </c>
      <c r="E1456" s="39">
        <v>3.65</v>
      </c>
      <c r="F1456" s="39">
        <v>0.4</v>
      </c>
      <c r="G1456" s="39"/>
      <c r="H1456" s="39">
        <f>IF(AND(F1456=0,G1456=0),D1456*E1456,IF(AND(E1456=0,G1456=0),D1456*F1456,IF(AND(E1456=0,F1456=0),D1456*G1456,IF(AND(E1456=0),D1456*F1456*G1456,IF(AND(F1456=0),D1456*E1456*G1456,IF(AND(G1456=0),D1456*E1456*F1456,D1456*E1456*F1456*G1456))))))</f>
        <v>1.46</v>
      </c>
      <c r="I1456" s="24"/>
      <c r="J1456" s="25"/>
    </row>
    <row r="1457" spans="2:10" x14ac:dyDescent="0.3">
      <c r="B1457" s="90"/>
      <c r="C1457" s="38" t="s">
        <v>681</v>
      </c>
      <c r="D1457" s="39">
        <v>1</v>
      </c>
      <c r="E1457" s="39">
        <v>0.6</v>
      </c>
      <c r="F1457" s="39">
        <v>0.8</v>
      </c>
      <c r="G1457" s="39"/>
      <c r="H1457" s="39">
        <f>IF(AND(F1457=0,G1457=0),D1457*E1457,IF(AND(E1457=0,G1457=0),D1457*F1457,IF(AND(E1457=0,F1457=0),D1457*G1457,IF(AND(E1457=0),D1457*F1457*G1457,IF(AND(F1457=0),D1457*E1457*G1457,IF(AND(G1457=0),D1457*E1457*F1457,D1457*E1457*F1457*G1457))))))</f>
        <v>0.48</v>
      </c>
      <c r="I1457" s="24"/>
      <c r="J1457" s="25"/>
    </row>
    <row r="1458" spans="2:10" x14ac:dyDescent="0.3">
      <c r="B1458" s="90"/>
      <c r="C1458" s="38" t="s">
        <v>682</v>
      </c>
      <c r="D1458" s="39">
        <v>1</v>
      </c>
      <c r="E1458" s="39">
        <v>0.6</v>
      </c>
      <c r="F1458" s="39">
        <v>0.8</v>
      </c>
      <c r="G1458" s="39"/>
      <c r="H1458" s="39">
        <f>IF(AND(F1458=0,G1458=0),D1458*E1458,IF(AND(E1458=0,G1458=0),D1458*F1458,IF(AND(E1458=0,F1458=0),D1458*G1458,IF(AND(E1458=0),D1458*F1458*G1458,IF(AND(F1458=0),D1458*E1458*G1458,IF(AND(G1458=0),D1458*E1458*F1458,D1458*E1458*F1458*G1458))))))</f>
        <v>0.48</v>
      </c>
      <c r="I1458" s="24"/>
      <c r="J1458" s="25"/>
    </row>
    <row r="1459" spans="2:10" s="1" customFormat="1" ht="13.2" x14ac:dyDescent="0.25">
      <c r="B1459" s="24" t="s">
        <v>558</v>
      </c>
      <c r="C1459" s="27" t="s">
        <v>352</v>
      </c>
      <c r="D1459" s="59"/>
      <c r="E1459" s="39"/>
      <c r="F1459" s="39"/>
      <c r="G1459" s="39"/>
      <c r="H1459" s="39"/>
      <c r="I1459" s="39">
        <f>+SUM(H1460:H1460)</f>
        <v>49.4</v>
      </c>
      <c r="J1459" s="40" t="s">
        <v>333</v>
      </c>
    </row>
    <row r="1460" spans="2:10" s="1" customFormat="1" ht="13.2" x14ac:dyDescent="0.25">
      <c r="B1460" s="45"/>
      <c r="C1460" s="38" t="s">
        <v>684</v>
      </c>
      <c r="D1460" s="39">
        <v>1</v>
      </c>
      <c r="E1460" s="39">
        <f>31.5+6.5</f>
        <v>38</v>
      </c>
      <c r="F1460" s="39">
        <v>0.5</v>
      </c>
      <c r="G1460" s="39">
        <f>0.2+0.2</f>
        <v>0.4</v>
      </c>
      <c r="H1460" s="39">
        <f>+(F1460+G1460*2)*E1460</f>
        <v>49.4</v>
      </c>
      <c r="I1460" s="39"/>
      <c r="J1460" s="40"/>
    </row>
    <row r="1461" spans="2:10" s="115" customFormat="1" ht="13.2" x14ac:dyDescent="0.25">
      <c r="B1461" s="24" t="s">
        <v>560</v>
      </c>
      <c r="C1461" s="27" t="s">
        <v>354</v>
      </c>
      <c r="D1461" s="59"/>
      <c r="E1461" s="39"/>
      <c r="F1461" s="39" t="s">
        <v>571</v>
      </c>
      <c r="G1461" s="39"/>
      <c r="H1461" s="39"/>
      <c r="I1461" s="39">
        <f>+SUM(H1462:H1466)</f>
        <v>149.46960000000001</v>
      </c>
      <c r="J1461" s="40" t="s">
        <v>355</v>
      </c>
    </row>
    <row r="1462" spans="2:10" s="115" customFormat="1" ht="13.2" x14ac:dyDescent="0.25">
      <c r="B1462" s="107"/>
      <c r="C1462" s="42" t="s">
        <v>503</v>
      </c>
      <c r="D1462" s="59">
        <v>6</v>
      </c>
      <c r="E1462" s="39">
        <f>9.8+0.75</f>
        <v>10.55</v>
      </c>
      <c r="F1462" s="39">
        <f>8.2/5</f>
        <v>1.64</v>
      </c>
      <c r="G1462" s="39"/>
      <c r="H1462" s="39">
        <f>IF(AND(F1462=0,G1462=0),D1462*E1462,IF(AND(E1462=0,G1462=0),D1462*F1462,IF(AND(E1462=0,F1462=0),D1462*G1462,IF(AND(E1462=0),D1462*F1462*G1462,IF(AND(F1462=0),D1462*E1462*G1462,IF(AND(G1462=0),D1462*E1462*F1462,D1462*E1462*F1462*G1462))))))</f>
        <v>103.812</v>
      </c>
      <c r="I1462" s="39"/>
      <c r="J1462" s="40"/>
    </row>
    <row r="1463" spans="2:10" s="115" customFormat="1" ht="13.2" x14ac:dyDescent="0.25">
      <c r="B1463" s="107"/>
      <c r="C1463" s="38" t="s">
        <v>470</v>
      </c>
      <c r="D1463" s="59">
        <v>1</v>
      </c>
      <c r="E1463" s="78">
        <v>10.55</v>
      </c>
      <c r="F1463" s="39">
        <f>8.2/5</f>
        <v>1.64</v>
      </c>
      <c r="G1463" s="39"/>
      <c r="H1463" s="39">
        <f t="shared" ref="H1463:H1466" si="95">IF(AND(F1463=0,G1463=0),D1463*E1463,IF(AND(E1463=0,G1463=0),D1463*F1463,IF(AND(E1463=0,F1463=0),D1463*G1463,IF(AND(E1463=0),D1463*F1463*G1463,IF(AND(F1463=0),D1463*E1463*G1463,IF(AND(G1463=0),D1463*E1463*F1463,D1463*E1463*F1463*G1463))))))</f>
        <v>17.302</v>
      </c>
      <c r="I1463" s="39"/>
      <c r="J1463" s="40"/>
    </row>
    <row r="1464" spans="2:10" s="1" customFormat="1" ht="13.2" x14ac:dyDescent="0.25">
      <c r="B1464" s="107"/>
      <c r="C1464" s="38" t="s">
        <v>500</v>
      </c>
      <c r="D1464" s="59">
        <v>1</v>
      </c>
      <c r="E1464" s="39">
        <v>2</v>
      </c>
      <c r="F1464" s="39">
        <f t="shared" ref="F1464" si="96">8.2/5</f>
        <v>1.64</v>
      </c>
      <c r="G1464" s="39"/>
      <c r="H1464" s="39">
        <f t="shared" si="95"/>
        <v>3.28</v>
      </c>
      <c r="I1464" s="39"/>
      <c r="J1464" s="40"/>
    </row>
    <row r="1465" spans="2:10" s="1" customFormat="1" ht="13.2" x14ac:dyDescent="0.25">
      <c r="B1465" s="107"/>
      <c r="C1465" s="42" t="s">
        <v>592</v>
      </c>
      <c r="D1465" s="59"/>
      <c r="E1465" s="39"/>
      <c r="F1465" s="39"/>
      <c r="G1465" s="39"/>
      <c r="H1465" s="39"/>
      <c r="I1465" s="39"/>
      <c r="J1465" s="40"/>
    </row>
    <row r="1466" spans="2:10" s="1" customFormat="1" ht="13.2" x14ac:dyDescent="0.25">
      <c r="B1466" s="107"/>
      <c r="C1466" s="38" t="s">
        <v>685</v>
      </c>
      <c r="D1466" s="39">
        <v>1</v>
      </c>
      <c r="E1466" s="39">
        <f>4.92+2.65+7.72</f>
        <v>15.29</v>
      </c>
      <c r="F1466" s="39">
        <v>1.64</v>
      </c>
      <c r="G1466" s="39"/>
      <c r="H1466" s="39">
        <f t="shared" si="95"/>
        <v>25.075599999999998</v>
      </c>
      <c r="I1466" s="39"/>
      <c r="J1466" s="40"/>
    </row>
    <row r="1467" spans="2:10" s="1" customFormat="1" ht="13.2" x14ac:dyDescent="0.25">
      <c r="B1467" s="107"/>
      <c r="C1467" s="101"/>
      <c r="D1467" s="59"/>
      <c r="E1467" s="39"/>
      <c r="F1467" s="39"/>
      <c r="G1467" s="39"/>
      <c r="H1467" s="39"/>
      <c r="I1467" s="39"/>
      <c r="J1467" s="40"/>
    </row>
    <row r="1468" spans="2:10" s="1" customFormat="1" ht="13.2" x14ac:dyDescent="0.25">
      <c r="B1468" s="24" t="s">
        <v>561</v>
      </c>
      <c r="C1468" s="27" t="s">
        <v>356</v>
      </c>
      <c r="D1468" s="59"/>
      <c r="E1468" s="39"/>
      <c r="F1468" s="39"/>
      <c r="G1468" s="39"/>
      <c r="H1468" s="39"/>
      <c r="I1468" s="39">
        <f>+SUM(H1469:H1476)</f>
        <v>3.9159000000000002</v>
      </c>
      <c r="J1468" s="40" t="s">
        <v>337</v>
      </c>
    </row>
    <row r="1469" spans="2:10" s="1" customFormat="1" ht="13.2" x14ac:dyDescent="0.25">
      <c r="B1469" s="45"/>
      <c r="C1469" s="38" t="s">
        <v>683</v>
      </c>
      <c r="D1469" s="39">
        <v>2</v>
      </c>
      <c r="E1469" s="39">
        <f>31.5+6.5</f>
        <v>38</v>
      </c>
      <c r="F1469" s="39">
        <v>0.1</v>
      </c>
      <c r="G1469" s="39">
        <v>0.2</v>
      </c>
      <c r="H1469" s="39">
        <f t="shared" ref="H1469:H1476" si="97">IF(AND(F1469=0,G1469=0),D1469*E1469,IF(AND(E1469=0,G1469=0),D1469*F1469,IF(AND(E1469=0,F1469=0),D1469*G1469,IF(AND(E1469=0),D1469*F1469*G1469,IF(AND(F1469=0),D1469*E1469*G1469,IF(AND(G1469=0),D1469*E1469*F1469,D1469*E1469*F1469*G1469))))))</f>
        <v>1.5200000000000002</v>
      </c>
      <c r="I1469" s="39"/>
      <c r="J1469" s="40"/>
    </row>
    <row r="1470" spans="2:10" s="1" customFormat="1" ht="13.2" x14ac:dyDescent="0.25">
      <c r="B1470" s="45"/>
      <c r="C1470" s="38"/>
      <c r="D1470" s="39">
        <v>1</v>
      </c>
      <c r="E1470" s="39">
        <v>38</v>
      </c>
      <c r="F1470" s="39">
        <v>0.4</v>
      </c>
      <c r="G1470" s="39">
        <v>0.1</v>
      </c>
      <c r="H1470" s="39">
        <f t="shared" si="97"/>
        <v>1.5200000000000002</v>
      </c>
      <c r="I1470" s="39"/>
      <c r="J1470" s="40"/>
    </row>
    <row r="1471" spans="2:10" s="1" customFormat="1" ht="13.2" x14ac:dyDescent="0.25">
      <c r="B1471" s="45"/>
      <c r="C1471" s="38" t="s">
        <v>680</v>
      </c>
      <c r="D1471" s="39">
        <v>2</v>
      </c>
      <c r="E1471" s="39">
        <v>3.65</v>
      </c>
      <c r="F1471" s="39">
        <v>0.5</v>
      </c>
      <c r="G1471" s="39">
        <v>0.15</v>
      </c>
      <c r="H1471" s="39">
        <f t="shared" si="97"/>
        <v>0.54749999999999999</v>
      </c>
      <c r="I1471" s="39"/>
      <c r="J1471" s="40"/>
    </row>
    <row r="1472" spans="2:10" s="1" customFormat="1" ht="13.2" x14ac:dyDescent="0.25">
      <c r="B1472" s="45"/>
      <c r="C1472" s="58"/>
      <c r="D1472" s="59">
        <v>1</v>
      </c>
      <c r="E1472" s="39">
        <v>3.65</v>
      </c>
      <c r="F1472" s="39">
        <v>0.4</v>
      </c>
      <c r="G1472" s="39">
        <v>0.1</v>
      </c>
      <c r="H1472" s="39">
        <f t="shared" si="97"/>
        <v>0.14599999999999999</v>
      </c>
      <c r="I1472" s="39"/>
      <c r="J1472" s="40"/>
    </row>
    <row r="1473" spans="2:10" s="1" customFormat="1" ht="13.2" x14ac:dyDescent="0.25">
      <c r="B1473" s="45"/>
      <c r="C1473" s="38" t="s">
        <v>681</v>
      </c>
      <c r="D1473" s="39">
        <v>2</v>
      </c>
      <c r="E1473" s="39">
        <v>0.8</v>
      </c>
      <c r="F1473" s="39">
        <v>0.1</v>
      </c>
      <c r="G1473" s="39">
        <v>0.36</v>
      </c>
      <c r="H1473" s="39">
        <f t="shared" si="97"/>
        <v>5.7600000000000012E-2</v>
      </c>
      <c r="I1473" s="39"/>
      <c r="J1473" s="40"/>
    </row>
    <row r="1474" spans="2:10" s="1" customFormat="1" ht="13.2" x14ac:dyDescent="0.25">
      <c r="B1474" s="45"/>
      <c r="C1474" s="38"/>
      <c r="D1474" s="39">
        <v>2</v>
      </c>
      <c r="E1474" s="39">
        <v>0.4</v>
      </c>
      <c r="F1474" s="39">
        <v>0.1</v>
      </c>
      <c r="G1474" s="39">
        <v>0.36</v>
      </c>
      <c r="H1474" s="39">
        <f t="shared" si="97"/>
        <v>2.8800000000000006E-2</v>
      </c>
      <c r="I1474" s="39"/>
      <c r="J1474" s="40"/>
    </row>
    <row r="1475" spans="2:10" s="1" customFormat="1" ht="13.2" x14ac:dyDescent="0.25">
      <c r="B1475" s="45"/>
      <c r="C1475" s="38" t="s">
        <v>682</v>
      </c>
      <c r="D1475" s="39">
        <v>2</v>
      </c>
      <c r="E1475" s="39">
        <v>0.8</v>
      </c>
      <c r="F1475" s="39">
        <v>0.1</v>
      </c>
      <c r="G1475" s="39">
        <v>0.4</v>
      </c>
      <c r="H1475" s="39">
        <f t="shared" si="97"/>
        <v>6.4000000000000015E-2</v>
      </c>
      <c r="I1475" s="39"/>
      <c r="J1475" s="40"/>
    </row>
    <row r="1476" spans="2:10" s="1" customFormat="1" ht="13.2" x14ac:dyDescent="0.25">
      <c r="B1476" s="45"/>
      <c r="C1476" s="58"/>
      <c r="D1476" s="39">
        <v>2</v>
      </c>
      <c r="E1476" s="39">
        <v>0.4</v>
      </c>
      <c r="F1476" s="39">
        <v>0.1</v>
      </c>
      <c r="G1476" s="39">
        <v>0.4</v>
      </c>
      <c r="H1476" s="39">
        <f t="shared" si="97"/>
        <v>3.2000000000000008E-2</v>
      </c>
      <c r="I1476" s="39"/>
      <c r="J1476" s="40"/>
    </row>
    <row r="1477" spans="2:10" s="115" customFormat="1" ht="13.2" x14ac:dyDescent="0.25">
      <c r="B1477" s="24" t="s">
        <v>562</v>
      </c>
      <c r="C1477" s="27" t="s">
        <v>357</v>
      </c>
      <c r="D1477" s="59" t="s">
        <v>574</v>
      </c>
      <c r="E1477" s="39"/>
      <c r="F1477" s="39"/>
      <c r="G1477" s="39"/>
      <c r="H1477" s="39"/>
      <c r="I1477" s="39">
        <f>+SUM(H1478:H1481)</f>
        <v>8.8147500000000019</v>
      </c>
      <c r="J1477" s="40" t="s">
        <v>337</v>
      </c>
    </row>
    <row r="1478" spans="2:10" s="115" customFormat="1" ht="13.2" x14ac:dyDescent="0.25">
      <c r="B1478" s="24"/>
      <c r="C1478" s="38" t="s">
        <v>679</v>
      </c>
      <c r="D1478" s="39">
        <v>1.25</v>
      </c>
      <c r="E1478" s="39">
        <f>31.5+6.5</f>
        <v>38</v>
      </c>
      <c r="F1478" s="39">
        <v>0.4</v>
      </c>
      <c r="G1478" s="39">
        <f>0.2+0.2</f>
        <v>0.4</v>
      </c>
      <c r="H1478" s="39">
        <f>IF(AND(F1478=0,G1478=0),D1478*E1478,IF(AND(E1478=0,G1478=0),D1478*F1478,IF(AND(E1478=0,F1478=0),D1478*G1478,IF(AND(E1478=0),D1478*F1478*G1478,IF(AND(F1478=0),D1478*E1478*G1478,IF(AND(G1478=0),D1478*E1478*F1478,D1478*E1478*F1478*G1478))))))</f>
        <v>7.6000000000000005</v>
      </c>
      <c r="I1478" s="39"/>
      <c r="J1478" s="40"/>
    </row>
    <row r="1479" spans="2:10" s="1" customFormat="1" ht="13.2" x14ac:dyDescent="0.25">
      <c r="B1479" s="90"/>
      <c r="C1479" s="38" t="s">
        <v>680</v>
      </c>
      <c r="D1479" s="39">
        <v>1.25</v>
      </c>
      <c r="E1479" s="39">
        <v>3.65</v>
      </c>
      <c r="F1479" s="39">
        <v>0.4</v>
      </c>
      <c r="G1479" s="39">
        <f>0.15+0.2</f>
        <v>0.35</v>
      </c>
      <c r="H1479" s="39">
        <f>IF(AND(F1479=0,G1479=0),D1479*E1479,IF(AND(E1479=0,G1479=0),D1479*F1479,IF(AND(E1479=0,F1479=0),D1479*G1479,IF(AND(E1479=0),D1479*F1479*G1479,IF(AND(F1479=0),D1479*E1479*G1479,IF(AND(G1479=0),D1479*E1479*F1479,D1479*E1479*F1479*G1479))))))</f>
        <v>0.63875000000000004</v>
      </c>
      <c r="I1479" s="39"/>
      <c r="J1479" s="40"/>
    </row>
    <row r="1480" spans="2:10" s="1" customFormat="1" ht="13.2" x14ac:dyDescent="0.25">
      <c r="B1480" s="90"/>
      <c r="C1480" s="38" t="s">
        <v>681</v>
      </c>
      <c r="D1480" s="39">
        <v>1.25</v>
      </c>
      <c r="E1480" s="39">
        <v>0.6</v>
      </c>
      <c r="F1480" s="39">
        <v>0.8</v>
      </c>
      <c r="G1480" s="39">
        <f>0.26+0.2</f>
        <v>0.46</v>
      </c>
      <c r="H1480" s="39">
        <f>IF(AND(F1480=0,G1480=0),D1480*E1480,IF(AND(E1480=0,G1480=0),D1480*F1480,IF(AND(E1480=0,F1480=0),D1480*G1480,IF(AND(E1480=0),D1480*F1480*G1480,IF(AND(F1480=0),D1480*E1480*G1480,IF(AND(G1480=0),D1480*E1480*F1480,D1480*E1480*F1480*G1480))))))</f>
        <v>0.27600000000000008</v>
      </c>
      <c r="I1480" s="39"/>
      <c r="J1480" s="40"/>
    </row>
    <row r="1481" spans="2:10" s="1" customFormat="1" ht="13.2" x14ac:dyDescent="0.25">
      <c r="B1481" s="90"/>
      <c r="C1481" s="38" t="s">
        <v>682</v>
      </c>
      <c r="D1481" s="39">
        <v>1.25</v>
      </c>
      <c r="E1481" s="39">
        <v>0.6</v>
      </c>
      <c r="F1481" s="39">
        <v>0.8</v>
      </c>
      <c r="G1481" s="39">
        <f>0.3+0.2</f>
        <v>0.5</v>
      </c>
      <c r="H1481" s="39">
        <f>IF(AND(F1481=0,G1481=0),D1481*E1481,IF(AND(E1481=0,G1481=0),D1481*F1481,IF(AND(E1481=0,F1481=0),D1481*G1481,IF(AND(E1481=0),D1481*F1481*G1481,IF(AND(F1481=0),D1481*E1481*G1481,IF(AND(G1481=0),D1481*E1481*F1481,D1481*E1481*F1481*G1481))))))</f>
        <v>0.30000000000000004</v>
      </c>
      <c r="I1481" s="39"/>
      <c r="J1481" s="40"/>
    </row>
    <row r="1482" spans="2:10" s="115" customFormat="1" ht="13.2" x14ac:dyDescent="0.25">
      <c r="B1482" s="24" t="s">
        <v>563</v>
      </c>
      <c r="C1482" s="27" t="s">
        <v>358</v>
      </c>
      <c r="D1482" s="59"/>
      <c r="E1482" s="39"/>
      <c r="F1482" s="39"/>
      <c r="G1482" s="39"/>
      <c r="H1482" s="39"/>
      <c r="I1482" s="39">
        <f>+I1477</f>
        <v>8.8147500000000019</v>
      </c>
      <c r="J1482" s="40" t="s">
        <v>337</v>
      </c>
    </row>
    <row r="1483" spans="2:10" s="115" customFormat="1" ht="13.2" x14ac:dyDescent="0.25">
      <c r="B1483" s="45"/>
      <c r="C1483" s="58"/>
      <c r="D1483" s="59"/>
      <c r="E1483" s="39"/>
      <c r="F1483" s="39"/>
      <c r="G1483" s="39"/>
      <c r="H1483" s="39"/>
      <c r="I1483" s="39"/>
      <c r="J1483" s="40"/>
    </row>
    <row r="1484" spans="2:10" x14ac:dyDescent="0.3">
      <c r="B1484" s="72" t="s">
        <v>365</v>
      </c>
      <c r="C1484" s="73" t="s">
        <v>360</v>
      </c>
      <c r="D1484" s="22"/>
      <c r="E1484" s="22"/>
      <c r="F1484" s="22"/>
      <c r="G1484" s="22"/>
      <c r="H1484" s="23"/>
      <c r="I1484" s="24"/>
      <c r="J1484" s="25"/>
    </row>
    <row r="1485" spans="2:10" s="1" customFormat="1" ht="13.2" x14ac:dyDescent="0.25">
      <c r="B1485" s="42" t="s">
        <v>366</v>
      </c>
      <c r="C1485" s="24" t="s">
        <v>362</v>
      </c>
      <c r="D1485" s="59"/>
      <c r="E1485" s="39"/>
      <c r="F1485" s="39"/>
      <c r="G1485" s="39"/>
      <c r="H1485" s="39"/>
      <c r="I1485" s="43">
        <f>+SUM(H1486:H1487)</f>
        <v>16.66</v>
      </c>
      <c r="J1485" s="44" t="s">
        <v>333</v>
      </c>
    </row>
    <row r="1486" spans="2:10" s="1" customFormat="1" ht="13.2" x14ac:dyDescent="0.25">
      <c r="B1486" s="24"/>
      <c r="C1486" s="38" t="s">
        <v>679</v>
      </c>
      <c r="D1486" s="39">
        <v>1</v>
      </c>
      <c r="E1486" s="39">
        <f>31.5+6.5</f>
        <v>38</v>
      </c>
      <c r="F1486" s="39">
        <v>0.4</v>
      </c>
      <c r="G1486" s="39"/>
      <c r="H1486" s="39">
        <f>IF(AND(F1486=0,G1486=0),D1486*E1486,IF(AND(E1486=0,G1486=0),D1486*F1486,IF(AND(E1486=0,F1486=0),D1486*G1486,IF(AND(E1486=0),D1486*F1486*G1486,IF(AND(F1486=0),D1486*E1486*G1486,IF(AND(G1486=0),D1486*E1486*F1486,D1486*E1486*F1486*G1486))))))</f>
        <v>15.200000000000001</v>
      </c>
      <c r="I1486" s="39"/>
      <c r="J1486" s="40"/>
    </row>
    <row r="1487" spans="2:10" s="1" customFormat="1" ht="13.2" x14ac:dyDescent="0.25">
      <c r="B1487" s="24"/>
      <c r="C1487" s="38" t="s">
        <v>680</v>
      </c>
      <c r="D1487" s="39">
        <v>1</v>
      </c>
      <c r="E1487" s="39">
        <v>3.65</v>
      </c>
      <c r="F1487" s="39">
        <v>0.4</v>
      </c>
      <c r="G1487" s="39"/>
      <c r="H1487" s="39">
        <f>IF(AND(F1487=0,G1487=0),D1487*E1487,IF(AND(E1487=0,G1487=0),D1487*F1487,IF(AND(E1487=0,F1487=0),D1487*G1487,IF(AND(E1487=0),D1487*F1487*G1487,IF(AND(F1487=0),D1487*E1487*G1487,IF(AND(G1487=0),D1487*E1487*F1487,D1487*E1487*F1487*G1487))))))</f>
        <v>1.46</v>
      </c>
      <c r="I1487" s="39"/>
      <c r="J1487" s="40"/>
    </row>
    <row r="1488" spans="2:10" s="1" customFormat="1" ht="13.2" x14ac:dyDescent="0.25">
      <c r="B1488" s="42" t="s">
        <v>367</v>
      </c>
      <c r="C1488" s="24" t="s">
        <v>364</v>
      </c>
      <c r="D1488" s="59"/>
      <c r="E1488" s="39"/>
      <c r="F1488" s="39"/>
      <c r="G1488" s="39"/>
      <c r="H1488" s="39"/>
      <c r="I1488" s="43">
        <f>+SUM(H1489:H1490)</f>
        <v>0.96</v>
      </c>
      <c r="J1488" s="44" t="s">
        <v>333</v>
      </c>
    </row>
    <row r="1489" spans="2:10" s="1" customFormat="1" ht="13.2" x14ac:dyDescent="0.25">
      <c r="B1489" s="56"/>
      <c r="C1489" s="38" t="s">
        <v>681</v>
      </c>
      <c r="D1489" s="39">
        <v>1</v>
      </c>
      <c r="E1489" s="39">
        <v>0.6</v>
      </c>
      <c r="F1489" s="39">
        <v>0.8</v>
      </c>
      <c r="G1489" s="39"/>
      <c r="H1489" s="39">
        <f>IF(AND(F1489=0,G1489=0),D1489*E1489,IF(AND(E1489=0,G1489=0),D1489*F1489,IF(AND(E1489=0,F1489=0),D1489*G1489,IF(AND(E1489=0),D1489*F1489*G1489,IF(AND(F1489=0),D1489*E1489*G1489,IF(AND(G1489=0),D1489*E1489*F1489,D1489*E1489*F1489*G1489))))))</f>
        <v>0.48</v>
      </c>
      <c r="I1489" s="39"/>
      <c r="J1489" s="40"/>
    </row>
    <row r="1490" spans="2:10" s="1" customFormat="1" ht="13.2" x14ac:dyDescent="0.25">
      <c r="B1490" s="56"/>
      <c r="C1490" s="38" t="s">
        <v>682</v>
      </c>
      <c r="D1490" s="39">
        <v>1</v>
      </c>
      <c r="E1490" s="39">
        <v>0.6</v>
      </c>
      <c r="F1490" s="39">
        <v>0.8</v>
      </c>
      <c r="G1490" s="39"/>
      <c r="H1490" s="39">
        <f>IF(AND(F1490=0,G1490=0),D1490*E1490,IF(AND(E1490=0,G1490=0),D1490*F1490,IF(AND(E1490=0,F1490=0),D1490*G1490,IF(AND(E1490=0),D1490*F1490*G1490,IF(AND(F1490=0),D1490*E1490*G1490,IF(AND(G1490=0),D1490*E1490*F1490,D1490*E1490*F1490*G1490))))))</f>
        <v>0.48</v>
      </c>
      <c r="I1490" s="39"/>
      <c r="J1490" s="40"/>
    </row>
    <row r="1491" spans="2:10" s="1" customFormat="1" ht="13.2" x14ac:dyDescent="0.25">
      <c r="B1491" s="56"/>
      <c r="C1491" s="38"/>
      <c r="D1491" s="59"/>
      <c r="E1491" s="39"/>
      <c r="F1491" s="39"/>
      <c r="G1491" s="39"/>
      <c r="H1491" s="39"/>
      <c r="I1491" s="39"/>
      <c r="J1491" s="40"/>
    </row>
    <row r="1492" spans="2:10" s="1" customFormat="1" ht="13.2" x14ac:dyDescent="0.25">
      <c r="B1492" s="56" t="s">
        <v>368</v>
      </c>
      <c r="C1492" s="57" t="s">
        <v>202</v>
      </c>
      <c r="D1492" s="59"/>
      <c r="E1492" s="39"/>
      <c r="F1492" s="39"/>
      <c r="G1492" s="39"/>
      <c r="H1492" s="39"/>
      <c r="I1492" s="39"/>
      <c r="J1492" s="40"/>
    </row>
    <row r="1493" spans="2:10" s="1" customFormat="1" ht="13.2" x14ac:dyDescent="0.25">
      <c r="B1493" s="42" t="s">
        <v>379</v>
      </c>
      <c r="C1493" s="24" t="s">
        <v>539</v>
      </c>
      <c r="D1493" s="59"/>
      <c r="E1493" s="39"/>
      <c r="F1493" s="39"/>
      <c r="G1493" s="39"/>
      <c r="H1493" s="39"/>
      <c r="I1493" s="43">
        <f>SUM(H1494:H1494)</f>
        <v>15.29</v>
      </c>
      <c r="J1493" s="44" t="str">
        <f>+J1494</f>
        <v>ml</v>
      </c>
    </row>
    <row r="1494" spans="2:10" s="1" customFormat="1" ht="13.2" x14ac:dyDescent="0.25">
      <c r="B1494" s="56"/>
      <c r="C1494" s="38" t="s">
        <v>685</v>
      </c>
      <c r="D1494" s="39">
        <v>1</v>
      </c>
      <c r="E1494" s="39">
        <f>4.92+2.65+7.72</f>
        <v>15.29</v>
      </c>
      <c r="F1494" s="39"/>
      <c r="G1494" s="39"/>
      <c r="H1494" s="39">
        <f>IF(AND(F1494=0,G1494=0),D1494*E1494,IF(AND(E1494=0,G1494=0),D1494*F1494,IF(AND(E1494=0,F1494=0),D1494*G1494,IF(AND(E1494=0),D1494*F1494*G1494,IF(AND(F1494=0),D1494*E1494*G1494,IF(AND(G1494=0),D1494*E1494*F1494,D1494*E1494*F1494*G1494))))))</f>
        <v>15.29</v>
      </c>
      <c r="I1494" s="39"/>
      <c r="J1494" s="40" t="str">
        <f>IF(AND(E1494=0,F1494&lt;&gt;0,G1494&lt;&gt;0),"m2",IF(AND(F1494=0,E1494&lt;&gt;0,G1494&lt;&gt;0),"m2",IF(AND(G1494=0,E1494&lt;&gt;0,F1494&lt;&gt;0),"m2",IF(AND(F1494=0,G1494=0),"ml",IF(AND(E1494=0,G1494=0),"ml",IF(AND(E1494=0,F1494=0),"ml",IF(AND(E1494&lt;&gt;0,F1494&lt;&gt;0,G1494&lt;&gt;0),"m3",0)))))))</f>
        <v>ml</v>
      </c>
    </row>
    <row r="1495" spans="2:10" s="115" customFormat="1" ht="13.2" x14ac:dyDescent="0.25">
      <c r="B1495" s="42" t="s">
        <v>383</v>
      </c>
      <c r="C1495" s="42" t="s">
        <v>686</v>
      </c>
      <c r="D1495" s="59"/>
      <c r="E1495" s="39"/>
      <c r="F1495" s="39"/>
      <c r="G1495" s="39"/>
      <c r="H1495" s="39"/>
      <c r="I1495" s="43">
        <f>SUM(H1496:H1496)</f>
        <v>0</v>
      </c>
      <c r="J1495" s="44" t="s">
        <v>30</v>
      </c>
    </row>
    <row r="1496" spans="2:10" s="115" customFormat="1" ht="13.2" x14ac:dyDescent="0.25">
      <c r="B1496" s="42"/>
      <c r="C1496" s="38" t="s">
        <v>687</v>
      </c>
      <c r="D1496" s="39"/>
      <c r="E1496" s="39"/>
      <c r="F1496" s="39"/>
      <c r="G1496" s="39"/>
      <c r="H1496" s="39">
        <f t="shared" ref="H1496" si="98">+D1496</f>
        <v>0</v>
      </c>
      <c r="I1496" s="39"/>
      <c r="J1496" s="40" t="s">
        <v>30</v>
      </c>
    </row>
    <row r="1497" spans="2:10" s="1" customFormat="1" ht="13.2" x14ac:dyDescent="0.25">
      <c r="B1497" s="42" t="s">
        <v>384</v>
      </c>
      <c r="C1497" s="42" t="s">
        <v>406</v>
      </c>
      <c r="D1497" s="59"/>
      <c r="E1497" s="39"/>
      <c r="F1497" s="39"/>
      <c r="G1497" s="39"/>
      <c r="H1497" s="39"/>
      <c r="I1497" s="43">
        <f>SUM(H1498:H1499)</f>
        <v>2</v>
      </c>
      <c r="J1497" s="44">
        <f>+J1510</f>
        <v>0</v>
      </c>
    </row>
    <row r="1498" spans="2:10" s="1" customFormat="1" ht="13.2" x14ac:dyDescent="0.25">
      <c r="B1498" s="114"/>
      <c r="C1498" s="38" t="s">
        <v>681</v>
      </c>
      <c r="D1498" s="39">
        <v>1</v>
      </c>
      <c r="E1498" s="39"/>
      <c r="F1498" s="39"/>
      <c r="G1498" s="39"/>
      <c r="H1498" s="39">
        <f t="shared" ref="H1498:H1499" si="99">+D1498</f>
        <v>1</v>
      </c>
      <c r="I1498" s="39"/>
      <c r="J1498" s="40" t="s">
        <v>30</v>
      </c>
    </row>
    <row r="1499" spans="2:10" s="1" customFormat="1" ht="13.2" x14ac:dyDescent="0.25">
      <c r="B1499" s="114"/>
      <c r="C1499" s="38" t="s">
        <v>682</v>
      </c>
      <c r="D1499" s="39">
        <v>1</v>
      </c>
      <c r="E1499" s="39"/>
      <c r="F1499" s="39"/>
      <c r="G1499" s="39"/>
      <c r="H1499" s="39">
        <f t="shared" si="99"/>
        <v>1</v>
      </c>
      <c r="I1499" s="39"/>
      <c r="J1499" s="40"/>
    </row>
    <row r="1500" spans="2:10" s="1" customFormat="1" ht="13.2" x14ac:dyDescent="0.25">
      <c r="B1500" s="24" t="s">
        <v>394</v>
      </c>
      <c r="C1500" s="27" t="s">
        <v>411</v>
      </c>
      <c r="D1500" s="59"/>
      <c r="E1500" s="39"/>
      <c r="F1500" s="39"/>
      <c r="G1500" s="39"/>
      <c r="H1500" s="39"/>
      <c r="I1500" s="43">
        <f>+SUM(H1501:H1504)</f>
        <v>2.84</v>
      </c>
      <c r="J1500" s="40" t="s">
        <v>333</v>
      </c>
    </row>
    <row r="1501" spans="2:10" s="1" customFormat="1" ht="13.2" x14ac:dyDescent="0.25">
      <c r="B1501" s="24"/>
      <c r="C1501" s="38" t="s">
        <v>681</v>
      </c>
      <c r="D1501" s="39">
        <v>2</v>
      </c>
      <c r="E1501" s="39">
        <v>2</v>
      </c>
      <c r="F1501" s="39"/>
      <c r="G1501" s="39">
        <f>0.26+0.15</f>
        <v>0.41000000000000003</v>
      </c>
      <c r="H1501" s="39">
        <f t="shared" ref="H1501:H1504" si="100">IF(AND(F1501=0,G1501=0),D1501*E1501,IF(AND(E1501=0,G1501=0),D1501*F1501,IF(AND(E1501=0,F1501=0),D1501*G1501,IF(AND(E1501=0),D1501*F1501*G1501,IF(AND(F1501=0),D1501*E1501*G1501,IF(AND(G1501=0),D1501*E1501*F1501,D1501*E1501*F1501*G1501))))))</f>
        <v>1.6400000000000001</v>
      </c>
      <c r="I1501" s="39"/>
      <c r="J1501" s="40"/>
    </row>
    <row r="1502" spans="2:10" s="1" customFormat="1" ht="13.2" x14ac:dyDescent="0.25">
      <c r="B1502" s="24"/>
      <c r="C1502" s="38"/>
      <c r="D1502" s="39">
        <v>1</v>
      </c>
      <c r="E1502" s="39">
        <v>0.4</v>
      </c>
      <c r="F1502" s="39"/>
      <c r="G1502" s="39">
        <v>0.6</v>
      </c>
      <c r="H1502" s="39">
        <f t="shared" si="100"/>
        <v>0.24</v>
      </c>
      <c r="I1502" s="39"/>
      <c r="J1502" s="40"/>
    </row>
    <row r="1503" spans="2:10" s="1" customFormat="1" ht="13.2" x14ac:dyDescent="0.25">
      <c r="B1503" s="24"/>
      <c r="C1503" s="38" t="s">
        <v>682</v>
      </c>
      <c r="D1503" s="39">
        <v>2</v>
      </c>
      <c r="E1503" s="39">
        <v>0.8</v>
      </c>
      <c r="F1503" s="39"/>
      <c r="G1503" s="39">
        <f>0.3+0.15</f>
        <v>0.44999999999999996</v>
      </c>
      <c r="H1503" s="39">
        <f t="shared" si="100"/>
        <v>0.72</v>
      </c>
      <c r="I1503" s="39"/>
      <c r="J1503" s="40"/>
    </row>
    <row r="1504" spans="2:10" s="1" customFormat="1" ht="13.2" x14ac:dyDescent="0.25">
      <c r="B1504" s="24"/>
      <c r="C1504" s="58"/>
      <c r="D1504" s="39">
        <v>1</v>
      </c>
      <c r="E1504" s="39">
        <v>0.4</v>
      </c>
      <c r="F1504" s="39"/>
      <c r="G1504" s="39">
        <v>0.6</v>
      </c>
      <c r="H1504" s="39">
        <f t="shared" si="100"/>
        <v>0.24</v>
      </c>
      <c r="I1504" s="39"/>
      <c r="J1504" s="40"/>
    </row>
    <row r="1505" spans="2:10" s="1" customFormat="1" ht="13.2" x14ac:dyDescent="0.25">
      <c r="B1505" s="24" t="s">
        <v>396</v>
      </c>
      <c r="C1505" s="27" t="s">
        <v>412</v>
      </c>
      <c r="D1505" s="59"/>
      <c r="E1505" s="39"/>
      <c r="F1505" s="39"/>
      <c r="G1505" s="39"/>
      <c r="H1505" s="39"/>
      <c r="I1505" s="43">
        <f>+SUM(H1506:H1509)</f>
        <v>37.11999999999999</v>
      </c>
      <c r="J1505" s="40" t="s">
        <v>333</v>
      </c>
    </row>
    <row r="1506" spans="2:10" s="1" customFormat="1" ht="13.2" x14ac:dyDescent="0.25">
      <c r="B1506" s="45"/>
      <c r="C1506" s="38" t="s">
        <v>683</v>
      </c>
      <c r="D1506" s="39">
        <v>2</v>
      </c>
      <c r="E1506" s="39">
        <f>31.5+6.5</f>
        <v>38</v>
      </c>
      <c r="F1506" s="39"/>
      <c r="G1506" s="39">
        <f>0.2+0.15</f>
        <v>0.35</v>
      </c>
      <c r="H1506" s="39">
        <f t="shared" ref="H1506:H1509" si="101">IF(AND(F1506=0,G1506=0),D1506*E1506,IF(AND(E1506=0,G1506=0),D1506*F1506,IF(AND(E1506=0,F1506=0),D1506*G1506,IF(AND(E1506=0),D1506*F1506*G1506,IF(AND(F1506=0),D1506*E1506*G1506,IF(AND(G1506=0),D1506*E1506*F1506,D1506*E1506*F1506*G1506))))))</f>
        <v>26.599999999999998</v>
      </c>
      <c r="I1506" s="39"/>
      <c r="J1506" s="40"/>
    </row>
    <row r="1507" spans="2:10" s="1" customFormat="1" ht="13.2" x14ac:dyDescent="0.25">
      <c r="B1507" s="45"/>
      <c r="C1507" s="38"/>
      <c r="D1507" s="39">
        <v>1</v>
      </c>
      <c r="E1507" s="39">
        <v>38</v>
      </c>
      <c r="F1507" s="39"/>
      <c r="G1507" s="39">
        <v>0.2</v>
      </c>
      <c r="H1507" s="39">
        <f t="shared" si="101"/>
        <v>7.6000000000000005</v>
      </c>
      <c r="I1507" s="39"/>
      <c r="J1507" s="40"/>
    </row>
    <row r="1508" spans="2:10" s="1" customFormat="1" ht="13.2" x14ac:dyDescent="0.25">
      <c r="B1508" s="45"/>
      <c r="C1508" s="38" t="s">
        <v>680</v>
      </c>
      <c r="D1508" s="39">
        <v>2</v>
      </c>
      <c r="E1508" s="39">
        <v>3.65</v>
      </c>
      <c r="F1508" s="39"/>
      <c r="G1508" s="39">
        <f>0.15+0.15</f>
        <v>0.3</v>
      </c>
      <c r="H1508" s="39">
        <f t="shared" si="101"/>
        <v>2.19</v>
      </c>
      <c r="I1508" s="39"/>
      <c r="J1508" s="40"/>
    </row>
    <row r="1509" spans="2:10" s="1" customFormat="1" ht="13.2" x14ac:dyDescent="0.25">
      <c r="B1509" s="45"/>
      <c r="C1509" s="58"/>
      <c r="D1509" s="59">
        <v>1</v>
      </c>
      <c r="E1509" s="39">
        <v>3.65</v>
      </c>
      <c r="F1509" s="39"/>
      <c r="G1509" s="39">
        <v>0.2</v>
      </c>
      <c r="H1509" s="39">
        <f t="shared" si="101"/>
        <v>0.73</v>
      </c>
      <c r="I1509" s="39"/>
      <c r="J1509" s="40"/>
    </row>
    <row r="1510" spans="2:10" s="1" customFormat="1" ht="13.2" x14ac:dyDescent="0.25">
      <c r="B1510" s="56"/>
      <c r="C1510" s="38"/>
      <c r="D1510" s="59"/>
      <c r="E1510" s="39"/>
      <c r="F1510" s="39"/>
      <c r="G1510" s="39"/>
      <c r="H1510" s="39"/>
      <c r="I1510" s="39"/>
      <c r="J1510" s="40"/>
    </row>
    <row r="1511" spans="2:10" s="1" customFormat="1" ht="13.2" x14ac:dyDescent="0.25">
      <c r="B1511" s="56" t="s">
        <v>413</v>
      </c>
      <c r="C1511" s="57" t="s">
        <v>234</v>
      </c>
      <c r="D1511" s="59"/>
      <c r="E1511" s="39"/>
      <c r="F1511" s="39"/>
      <c r="G1511" s="39"/>
      <c r="H1511" s="39"/>
      <c r="I1511" s="39"/>
      <c r="J1511" s="40"/>
    </row>
    <row r="1512" spans="2:10" s="1" customFormat="1" ht="13.2" x14ac:dyDescent="0.25">
      <c r="B1512" s="42" t="s">
        <v>414</v>
      </c>
      <c r="C1512" s="42" t="s">
        <v>422</v>
      </c>
      <c r="D1512" s="59"/>
      <c r="E1512" s="39"/>
      <c r="F1512" s="39"/>
      <c r="G1512" s="39"/>
      <c r="H1512" s="39"/>
      <c r="I1512" s="43">
        <f>+SUM(H1513:H1514)</f>
        <v>15</v>
      </c>
      <c r="J1512" s="44" t="s">
        <v>30</v>
      </c>
    </row>
    <row r="1513" spans="2:10" s="1" customFormat="1" ht="13.2" x14ac:dyDescent="0.25">
      <c r="B1513" s="45"/>
      <c r="C1513" s="58" t="s">
        <v>475</v>
      </c>
      <c r="D1513" s="59">
        <v>3</v>
      </c>
      <c r="E1513" s="39">
        <v>1</v>
      </c>
      <c r="F1513" s="39"/>
      <c r="G1513" s="39"/>
      <c r="H1513" s="39">
        <f t="shared" ref="H1513" si="102">+D1513</f>
        <v>3</v>
      </c>
      <c r="I1513" s="39"/>
      <c r="J1513" s="40"/>
    </row>
    <row r="1514" spans="2:10" s="1" customFormat="1" ht="13.2" x14ac:dyDescent="0.25">
      <c r="B1514" s="45"/>
      <c r="C1514" s="38" t="s">
        <v>472</v>
      </c>
      <c r="D1514" s="59">
        <f>6*2</f>
        <v>12</v>
      </c>
      <c r="E1514" s="39"/>
      <c r="F1514" s="39"/>
      <c r="G1514" s="39"/>
      <c r="H1514" s="39">
        <f>+D1514</f>
        <v>12</v>
      </c>
      <c r="I1514" s="39"/>
      <c r="J1514" s="40"/>
    </row>
    <row r="1515" spans="2:10" s="1" customFormat="1" ht="13.2" x14ac:dyDescent="0.25">
      <c r="B1515" s="45"/>
      <c r="C1515" s="58"/>
      <c r="D1515" s="59"/>
      <c r="E1515" s="39"/>
      <c r="F1515" s="39"/>
      <c r="G1515" s="39"/>
      <c r="H1515" s="39"/>
      <c r="I1515" s="39"/>
      <c r="J1515" s="40"/>
    </row>
    <row r="1516" spans="2:10" s="1" customFormat="1" ht="13.2" x14ac:dyDescent="0.25">
      <c r="B1516" s="45"/>
      <c r="C1516" s="58"/>
      <c r="D1516" s="59"/>
      <c r="E1516" s="39"/>
      <c r="F1516" s="39"/>
      <c r="G1516" s="39"/>
      <c r="H1516" s="39"/>
      <c r="I1516" s="39"/>
      <c r="J1516" s="40"/>
    </row>
    <row r="1517" spans="2:10" s="1" customFormat="1" ht="13.2" x14ac:dyDescent="0.25">
      <c r="B1517" s="45"/>
      <c r="C1517" s="58"/>
      <c r="D1517" s="59"/>
      <c r="E1517" s="39"/>
      <c r="F1517" s="39"/>
      <c r="G1517" s="39"/>
      <c r="H1517" s="39"/>
      <c r="I1517" s="39"/>
      <c r="J1517" s="40"/>
    </row>
    <row r="1518" spans="2:10" s="1" customFormat="1" ht="13.2" x14ac:dyDescent="0.25">
      <c r="B1518" s="45"/>
      <c r="C1518" s="58"/>
      <c r="D1518" s="59"/>
      <c r="E1518" s="39"/>
      <c r="F1518" s="39"/>
      <c r="G1518" s="39"/>
      <c r="H1518" s="39"/>
      <c r="I1518" s="39"/>
      <c r="J1518" s="40"/>
    </row>
    <row r="1519" spans="2:10" s="1" customFormat="1" ht="13.2" x14ac:dyDescent="0.25">
      <c r="B1519" s="45"/>
      <c r="C1519" s="58"/>
      <c r="D1519" s="59"/>
      <c r="E1519" s="39"/>
      <c r="F1519" s="39"/>
      <c r="G1519" s="39"/>
      <c r="H1519" s="39"/>
      <c r="I1519" s="39"/>
      <c r="J1519" s="40"/>
    </row>
    <row r="1520" spans="2:10" s="1" customFormat="1" ht="13.2" x14ac:dyDescent="0.25">
      <c r="B1520" s="45"/>
      <c r="C1520" s="58"/>
      <c r="D1520" s="59"/>
      <c r="E1520" s="39"/>
      <c r="F1520" s="39"/>
      <c r="G1520" s="39"/>
      <c r="H1520" s="39"/>
      <c r="I1520" s="39"/>
      <c r="J1520" s="40"/>
    </row>
    <row r="1521" spans="2:10" s="1" customFormat="1" ht="13.2" x14ac:dyDescent="0.25">
      <c r="B1521" s="45"/>
      <c r="C1521" s="58"/>
      <c r="D1521" s="59"/>
      <c r="E1521" s="39"/>
      <c r="F1521" s="39"/>
      <c r="G1521" s="39"/>
      <c r="H1521" s="39"/>
      <c r="I1521" s="39"/>
      <c r="J1521" s="40"/>
    </row>
    <row r="1522" spans="2:10" s="1" customFormat="1" ht="13.2" x14ac:dyDescent="0.25">
      <c r="B1522" s="45"/>
      <c r="C1522" s="58"/>
      <c r="D1522" s="59"/>
      <c r="E1522" s="39"/>
      <c r="F1522" s="39"/>
      <c r="G1522" s="39"/>
      <c r="H1522" s="39"/>
      <c r="I1522" s="39"/>
      <c r="J1522" s="40"/>
    </row>
    <row r="1523" spans="2:10" s="1" customFormat="1" ht="13.2" x14ac:dyDescent="0.25">
      <c r="B1523" s="45"/>
      <c r="C1523" s="58"/>
      <c r="D1523" s="59"/>
      <c r="E1523" s="39"/>
      <c r="F1523" s="39"/>
      <c r="G1523" s="39"/>
      <c r="H1523" s="39"/>
      <c r="I1523" s="39"/>
      <c r="J1523" s="40"/>
    </row>
    <row r="1524" spans="2:10" s="1" customFormat="1" ht="13.2" x14ac:dyDescent="0.25">
      <c r="B1524" s="45"/>
      <c r="C1524" s="58"/>
      <c r="D1524" s="59"/>
      <c r="E1524" s="39"/>
      <c r="F1524" s="39"/>
      <c r="G1524" s="39"/>
      <c r="H1524" s="39"/>
      <c r="I1524" s="39"/>
      <c r="J1524" s="40"/>
    </row>
    <row r="1525" spans="2:10" s="1" customFormat="1" ht="13.2" x14ac:dyDescent="0.25">
      <c r="B1525" s="45"/>
      <c r="C1525" s="58"/>
      <c r="D1525" s="59"/>
      <c r="E1525" s="39"/>
      <c r="F1525" s="39"/>
      <c r="G1525" s="39"/>
      <c r="H1525" s="39"/>
      <c r="I1525" s="39"/>
      <c r="J1525" s="40"/>
    </row>
    <row r="1526" spans="2:10" s="1" customFormat="1" ht="13.2" x14ac:dyDescent="0.25">
      <c r="B1526" s="45"/>
      <c r="C1526" s="58"/>
      <c r="D1526" s="59"/>
      <c r="E1526" s="39"/>
      <c r="F1526" s="39"/>
      <c r="G1526" s="39"/>
      <c r="H1526" s="39"/>
      <c r="I1526" s="39"/>
      <c r="J1526" s="40"/>
    </row>
    <row r="1527" spans="2:10" s="1" customFormat="1" ht="13.2" x14ac:dyDescent="0.25">
      <c r="C1527" s="83" t="s">
        <v>0</v>
      </c>
      <c r="D1527" s="83"/>
      <c r="E1527" s="83"/>
      <c r="F1527" s="83"/>
      <c r="G1527" s="83"/>
      <c r="H1527" s="83"/>
    </row>
    <row r="1528" spans="2:10" s="1" customFormat="1" ht="13.2" x14ac:dyDescent="0.25">
      <c r="C1528" s="83" t="s">
        <v>1</v>
      </c>
      <c r="D1528" s="83"/>
      <c r="E1528" s="83"/>
      <c r="F1528" s="83"/>
      <c r="G1528" s="83"/>
      <c r="H1528" s="83"/>
    </row>
    <row r="1529" spans="2:10" s="1" customFormat="1" ht="13.2" x14ac:dyDescent="0.25">
      <c r="C1529" s="83" t="s">
        <v>2</v>
      </c>
      <c r="D1529" s="83"/>
      <c r="E1529" s="83"/>
      <c r="F1529" s="83"/>
      <c r="G1529" s="83"/>
      <c r="H1529" s="83"/>
    </row>
    <row r="1530" spans="2:10" s="1" customFormat="1" ht="13.2" x14ac:dyDescent="0.25">
      <c r="C1530" s="52" t="s">
        <v>3</v>
      </c>
      <c r="D1530" s="52"/>
      <c r="E1530" s="52"/>
      <c r="F1530" s="52"/>
      <c r="G1530" s="52"/>
      <c r="H1530" s="52"/>
    </row>
    <row r="1531" spans="2:10" s="1" customFormat="1" ht="12.75" customHeight="1" x14ac:dyDescent="0.25">
      <c r="C1531" s="52"/>
      <c r="D1531" s="52"/>
      <c r="E1531" s="52"/>
      <c r="F1531" s="52"/>
      <c r="G1531" s="52"/>
      <c r="H1531" s="52"/>
    </row>
    <row r="1532" spans="2:10" s="1" customFormat="1" ht="15.6" x14ac:dyDescent="0.25">
      <c r="B1532" s="84" t="s">
        <v>458</v>
      </c>
      <c r="C1532" s="85"/>
      <c r="D1532" s="85"/>
      <c r="E1532" s="85"/>
      <c r="F1532" s="85"/>
      <c r="G1532" s="85"/>
      <c r="H1532" s="85"/>
      <c r="I1532" s="85"/>
      <c r="J1532" s="86"/>
    </row>
    <row r="1533" spans="2:10" s="1" customFormat="1" ht="21" x14ac:dyDescent="0.25">
      <c r="B1533" s="87" t="s">
        <v>501</v>
      </c>
      <c r="C1533" s="88"/>
      <c r="D1533" s="88"/>
      <c r="E1533" s="88"/>
      <c r="F1533" s="88"/>
      <c r="G1533" s="88"/>
      <c r="H1533" s="88"/>
      <c r="I1533" s="88"/>
      <c r="J1533" s="89"/>
    </row>
    <row r="1534" spans="2:10" s="1" customFormat="1" ht="13.8" thickBot="1" x14ac:dyDescent="0.3">
      <c r="B1534" s="53"/>
      <c r="C1534" s="53"/>
      <c r="D1534" s="53"/>
      <c r="E1534" s="53"/>
      <c r="F1534" s="53"/>
      <c r="G1534" s="53"/>
      <c r="H1534" s="53"/>
      <c r="I1534" s="53"/>
      <c r="J1534" s="53"/>
    </row>
    <row r="1535" spans="2:10" s="1" customFormat="1" ht="24.75" customHeight="1" x14ac:dyDescent="0.25">
      <c r="B1535" s="123" t="s">
        <v>6</v>
      </c>
      <c r="C1535" s="124"/>
      <c r="D1535" s="124"/>
      <c r="E1535" s="124"/>
      <c r="F1535" s="124"/>
      <c r="G1535" s="124"/>
      <c r="H1535" s="124"/>
      <c r="I1535" s="124"/>
      <c r="J1535" s="125"/>
    </row>
    <row r="1536" spans="2:10" s="1" customFormat="1" ht="13.2" x14ac:dyDescent="0.25">
      <c r="B1536" s="2" t="s">
        <v>7</v>
      </c>
      <c r="C1536" s="3" t="s">
        <v>8</v>
      </c>
      <c r="D1536" s="3"/>
      <c r="E1536" s="4"/>
      <c r="F1536" s="5"/>
      <c r="G1536" s="6" t="s">
        <v>9</v>
      </c>
      <c r="H1536" s="126">
        <v>42879</v>
      </c>
      <c r="I1536" s="126"/>
      <c r="J1536" s="7"/>
    </row>
    <row r="1537" spans="2:10" s="1" customFormat="1" ht="13.2" x14ac:dyDescent="0.25">
      <c r="B1537" s="2" t="s">
        <v>10</v>
      </c>
      <c r="C1537" s="3" t="s">
        <v>11</v>
      </c>
      <c r="F1537" s="3"/>
      <c r="G1537" s="8" t="s">
        <v>12</v>
      </c>
      <c r="H1537" s="4" t="s">
        <v>11</v>
      </c>
      <c r="I1537" s="9"/>
      <c r="J1537" s="10"/>
    </row>
    <row r="1538" spans="2:10" s="1" customFormat="1" ht="13.2" x14ac:dyDescent="0.25">
      <c r="B1538" s="2" t="s">
        <v>13</v>
      </c>
      <c r="C1538" s="3" t="s">
        <v>11</v>
      </c>
      <c r="F1538" s="3"/>
      <c r="G1538" s="8" t="s">
        <v>14</v>
      </c>
      <c r="H1538" s="4" t="s">
        <v>15</v>
      </c>
      <c r="I1538" s="9"/>
      <c r="J1538" s="10"/>
    </row>
    <row r="1539" spans="2:10" s="1" customFormat="1" ht="13.8" thickBot="1" x14ac:dyDescent="0.3">
      <c r="B1539" s="11" t="s">
        <v>16</v>
      </c>
      <c r="C1539" s="12" t="s">
        <v>17</v>
      </c>
      <c r="D1539" s="13"/>
      <c r="E1539" s="13"/>
      <c r="F1539" s="12"/>
      <c r="G1539" s="14" t="s">
        <v>18</v>
      </c>
      <c r="H1539" s="15" t="s">
        <v>19</v>
      </c>
      <c r="I1539" s="16"/>
      <c r="J1539" s="17"/>
    </row>
    <row r="1540" spans="2:10" s="1" customFormat="1" ht="13.2" x14ac:dyDescent="0.25">
      <c r="B1540" s="53"/>
      <c r="C1540" s="53"/>
      <c r="D1540" s="53"/>
      <c r="E1540" s="53"/>
      <c r="F1540" s="53"/>
      <c r="G1540" s="53"/>
      <c r="H1540" s="53"/>
      <c r="I1540" s="53"/>
      <c r="J1540" s="53"/>
    </row>
    <row r="1541" spans="2:10" s="1" customFormat="1" ht="13.2" x14ac:dyDescent="0.25">
      <c r="B1541" s="20" t="s">
        <v>20</v>
      </c>
      <c r="C1541" s="21" t="s">
        <v>21</v>
      </c>
      <c r="D1541" s="21" t="s">
        <v>460</v>
      </c>
      <c r="E1541" s="21" t="s">
        <v>461</v>
      </c>
      <c r="F1541" s="21" t="s">
        <v>462</v>
      </c>
      <c r="G1541" s="21" t="s">
        <v>463</v>
      </c>
      <c r="H1541" s="21" t="s">
        <v>464</v>
      </c>
      <c r="I1541" s="21" t="s">
        <v>22</v>
      </c>
      <c r="J1541" s="21" t="s">
        <v>23</v>
      </c>
    </row>
    <row r="1542" spans="2:10" s="1" customFormat="1" ht="13.2" x14ac:dyDescent="0.25">
      <c r="B1542" s="54">
        <v>4.03</v>
      </c>
      <c r="C1542" s="55" t="s">
        <v>182</v>
      </c>
      <c r="D1542" s="59"/>
      <c r="E1542" s="39"/>
      <c r="F1542" s="39"/>
      <c r="G1542" s="39"/>
      <c r="H1542" s="39"/>
      <c r="I1542" s="39"/>
      <c r="J1542" s="40"/>
    </row>
    <row r="1543" spans="2:10" s="1" customFormat="1" ht="13.2" x14ac:dyDescent="0.25">
      <c r="B1543" s="72" t="s">
        <v>183</v>
      </c>
      <c r="C1543" s="72" t="s">
        <v>331</v>
      </c>
      <c r="D1543" s="59"/>
      <c r="E1543" s="39"/>
      <c r="F1543" s="39"/>
      <c r="G1543" s="39"/>
      <c r="H1543" s="39"/>
      <c r="I1543" s="39"/>
      <c r="J1543" s="40"/>
    </row>
    <row r="1544" spans="2:10" s="1" customFormat="1" ht="13.2" x14ac:dyDescent="0.25">
      <c r="B1544" s="24" t="s">
        <v>185</v>
      </c>
      <c r="C1544" s="27" t="s">
        <v>332</v>
      </c>
      <c r="D1544" s="59"/>
      <c r="E1544" s="39"/>
      <c r="F1544" s="39"/>
      <c r="G1544" s="39"/>
      <c r="H1544" s="39"/>
      <c r="I1544" s="39">
        <f>+SUM(H1545:H1548)</f>
        <v>20.046000000000003</v>
      </c>
      <c r="J1544" s="40" t="s">
        <v>333</v>
      </c>
    </row>
    <row r="1545" spans="2:10" s="1" customFormat="1" ht="13.2" x14ac:dyDescent="0.25">
      <c r="B1545" s="45"/>
      <c r="C1545" s="38" t="s">
        <v>688</v>
      </c>
      <c r="D1545" s="39">
        <v>2</v>
      </c>
      <c r="E1545" s="39">
        <v>3.95</v>
      </c>
      <c r="F1545" s="39">
        <v>0.5</v>
      </c>
      <c r="G1545" s="39"/>
      <c r="H1545" s="39">
        <f t="shared" ref="H1545:H1548" si="103">IF(AND(F1545=0,G1545=0),D1545*E1545,IF(AND(E1545=0,G1545=0),D1545*F1545,IF(AND(E1545=0,F1545=0),D1545*G1545,IF(AND(E1545=0),D1545*F1545*G1545,IF(AND(F1545=0),D1545*E1545*G1545,IF(AND(G1545=0),D1545*E1545*F1545,D1545*E1545*F1545*G1545))))))</f>
        <v>3.95</v>
      </c>
      <c r="I1545" s="39"/>
      <c r="J1545" s="40"/>
    </row>
    <row r="1546" spans="2:10" s="1" customFormat="1" ht="13.2" x14ac:dyDescent="0.25">
      <c r="B1546" s="45"/>
      <c r="C1546" s="38" t="s">
        <v>689</v>
      </c>
      <c r="D1546" s="1">
        <v>2</v>
      </c>
      <c r="E1546" s="75">
        <v>6.2</v>
      </c>
      <c r="F1546" s="39">
        <f>0.34+0.3</f>
        <v>0.64</v>
      </c>
      <c r="G1546" s="39"/>
      <c r="H1546" s="39">
        <f t="shared" si="103"/>
        <v>7.9360000000000008</v>
      </c>
      <c r="I1546" s="39"/>
      <c r="J1546" s="40"/>
    </row>
    <row r="1547" spans="2:10" s="1" customFormat="1" ht="13.2" x14ac:dyDescent="0.25">
      <c r="B1547" s="45"/>
      <c r="C1547" s="38" t="s">
        <v>690</v>
      </c>
      <c r="D1547" s="1">
        <v>2</v>
      </c>
      <c r="E1547" s="75">
        <v>6</v>
      </c>
      <c r="F1547" s="39">
        <f>0.34+0.3</f>
        <v>0.64</v>
      </c>
      <c r="G1547" s="39"/>
      <c r="H1547" s="39">
        <f t="shared" si="103"/>
        <v>7.68</v>
      </c>
      <c r="I1547" s="39"/>
      <c r="J1547" s="40"/>
    </row>
    <row r="1548" spans="2:10" s="1" customFormat="1" ht="13.2" x14ac:dyDescent="0.25">
      <c r="B1548" s="45"/>
      <c r="C1548" s="38" t="s">
        <v>691</v>
      </c>
      <c r="D1548" s="39">
        <v>3</v>
      </c>
      <c r="E1548" s="39">
        <v>0.4</v>
      </c>
      <c r="F1548" s="39">
        <v>0.4</v>
      </c>
      <c r="G1548" s="39"/>
      <c r="H1548" s="39">
        <f t="shared" si="103"/>
        <v>0.48000000000000009</v>
      </c>
      <c r="I1548" s="39"/>
      <c r="J1548" s="40"/>
    </row>
    <row r="1549" spans="2:10" x14ac:dyDescent="0.3">
      <c r="B1549" s="24" t="s">
        <v>187</v>
      </c>
      <c r="C1549" s="27" t="s">
        <v>334</v>
      </c>
      <c r="D1549" s="22"/>
      <c r="E1549" s="22"/>
      <c r="F1549" s="22"/>
      <c r="G1549" s="22"/>
      <c r="H1549" s="23"/>
      <c r="I1549" s="24">
        <f>+I1544</f>
        <v>20.046000000000003</v>
      </c>
      <c r="J1549" s="25" t="s">
        <v>333</v>
      </c>
    </row>
    <row r="1550" spans="2:10" s="1" customFormat="1" ht="13.2" x14ac:dyDescent="0.25">
      <c r="B1550" s="45"/>
      <c r="C1550" s="58"/>
      <c r="D1550" s="59"/>
      <c r="E1550" s="39"/>
      <c r="F1550" s="39"/>
      <c r="G1550" s="39"/>
      <c r="H1550" s="39"/>
      <c r="I1550" s="39"/>
      <c r="J1550" s="40"/>
    </row>
    <row r="1551" spans="2:10" x14ac:dyDescent="0.3">
      <c r="B1551" s="72" t="s">
        <v>359</v>
      </c>
      <c r="C1551" s="72" t="s">
        <v>345</v>
      </c>
      <c r="D1551" s="22"/>
      <c r="E1551" s="22"/>
      <c r="F1551" s="22"/>
      <c r="G1551" s="22"/>
      <c r="H1551" s="23"/>
      <c r="I1551" s="24"/>
      <c r="J1551" s="25"/>
    </row>
    <row r="1552" spans="2:10" s="1" customFormat="1" ht="15.75" customHeight="1" x14ac:dyDescent="0.25">
      <c r="B1552" s="24" t="s">
        <v>361</v>
      </c>
      <c r="C1552" s="1" t="s">
        <v>347</v>
      </c>
      <c r="D1552" s="59"/>
      <c r="E1552" s="39"/>
      <c r="F1552" s="39"/>
      <c r="G1552" s="39"/>
      <c r="H1552" s="23"/>
      <c r="I1552" s="24">
        <f>+SUM(H1553:H1555)</f>
        <v>13.760580000000001</v>
      </c>
      <c r="J1552" s="25" t="s">
        <v>337</v>
      </c>
    </row>
    <row r="1553" spans="2:10" s="1" customFormat="1" ht="15.75" customHeight="1" x14ac:dyDescent="0.25">
      <c r="B1553" s="24"/>
      <c r="C1553" s="38" t="s">
        <v>507</v>
      </c>
      <c r="D1553" s="39">
        <v>2</v>
      </c>
      <c r="E1553" s="39">
        <v>3.95</v>
      </c>
      <c r="F1553" s="39">
        <v>0.5</v>
      </c>
      <c r="G1553" s="39">
        <f>0.55+0.2</f>
        <v>0.75</v>
      </c>
      <c r="H1553" s="39">
        <f>IF(AND(F1553=0,G1553=0),D1553*E1553,IF(AND(E1553=0,G1553=0),D1553*F1553,IF(AND(E1553=0,F1553=0),D1553*G1553,IF(AND(E1553=0),D1553*F1553*G1553,IF(AND(F1553=0),D1553*E1553*G1553,IF(AND(G1553=0),D1553*E1553*F1553,D1553*E1553*F1553*G1553))))))</f>
        <v>2.9625000000000004</v>
      </c>
      <c r="I1553" s="39"/>
      <c r="J1553" s="40"/>
    </row>
    <row r="1554" spans="2:10" s="1" customFormat="1" ht="13.2" x14ac:dyDescent="0.25">
      <c r="B1554" s="24"/>
      <c r="C1554" s="38" t="s">
        <v>692</v>
      </c>
      <c r="D1554" s="1">
        <v>2</v>
      </c>
      <c r="E1554" s="75">
        <v>6.2</v>
      </c>
      <c r="F1554" s="39">
        <f>0.34+0.3</f>
        <v>0.64</v>
      </c>
      <c r="G1554" s="39">
        <f>0.53+0.25</f>
        <v>0.78</v>
      </c>
      <c r="H1554" s="39">
        <f t="shared" ref="H1554:H1555" si="104">IF(AND(F1554=0,G1554=0),D1554*E1554,IF(AND(E1554=0,G1554=0),D1554*F1554,IF(AND(E1554=0,F1554=0),D1554*G1554,IF(AND(E1554=0),D1554*F1554*G1554,IF(AND(F1554=0),D1554*E1554*G1554,IF(AND(G1554=0),D1554*E1554*F1554,D1554*E1554*F1554*G1554))))))</f>
        <v>6.1900800000000009</v>
      </c>
      <c r="I1554" s="39"/>
      <c r="J1554" s="40"/>
    </row>
    <row r="1555" spans="2:10" s="1" customFormat="1" ht="13.2" x14ac:dyDescent="0.25">
      <c r="B1555" s="24"/>
      <c r="C1555" s="38" t="s">
        <v>690</v>
      </c>
      <c r="D1555" s="1">
        <v>2</v>
      </c>
      <c r="E1555" s="75">
        <v>6</v>
      </c>
      <c r="F1555" s="39">
        <f>0.34+0.3</f>
        <v>0.64</v>
      </c>
      <c r="G1555" s="39">
        <f>0.35+0.25</f>
        <v>0.6</v>
      </c>
      <c r="H1555" s="39">
        <f t="shared" si="104"/>
        <v>4.6079999999999997</v>
      </c>
      <c r="I1555" s="24"/>
      <c r="J1555" s="25"/>
    </row>
    <row r="1556" spans="2:10" s="1" customFormat="1" ht="13.2" x14ac:dyDescent="0.25">
      <c r="B1556" s="24" t="s">
        <v>363</v>
      </c>
      <c r="C1556" s="1" t="s">
        <v>348</v>
      </c>
      <c r="D1556" s="59"/>
      <c r="E1556" s="39"/>
      <c r="F1556" s="39"/>
      <c r="G1556" s="39"/>
      <c r="H1556" s="23"/>
      <c r="I1556" s="24">
        <f>+SUM(H1557)</f>
        <v>0.19200000000000006</v>
      </c>
      <c r="J1556" s="25" t="s">
        <v>337</v>
      </c>
    </row>
    <row r="1557" spans="2:10" s="1" customFormat="1" ht="13.2" x14ac:dyDescent="0.25">
      <c r="B1557" s="56"/>
      <c r="C1557" s="38" t="s">
        <v>691</v>
      </c>
      <c r="D1557" s="39">
        <v>3</v>
      </c>
      <c r="E1557" s="39">
        <v>0.4</v>
      </c>
      <c r="F1557" s="39">
        <v>0.4</v>
      </c>
      <c r="G1557" s="39">
        <f>0.3+0.1</f>
        <v>0.4</v>
      </c>
      <c r="H1557" s="39">
        <f>IF(AND(F1557=0,G1557=0),D1557*E1557,IF(AND(E1557=0,G1557=0),D1557*F1557,IF(AND(E1557=0,F1557=0),D1557*G1557,IF(AND(E1557=0),D1557*F1557*G1557,IF(AND(F1557=0),D1557*E1557*G1557,IF(AND(G1557=0),D1557*E1557*F1557,D1557*E1557*F1557*G1557))))))</f>
        <v>0.19200000000000006</v>
      </c>
      <c r="I1557" s="39"/>
      <c r="J1557" s="40"/>
    </row>
    <row r="1558" spans="2:10" s="1" customFormat="1" ht="13.2" x14ac:dyDescent="0.25">
      <c r="B1558" s="24" t="s">
        <v>555</v>
      </c>
      <c r="C1558" s="1" t="s">
        <v>349</v>
      </c>
      <c r="D1558" s="59"/>
      <c r="E1558" s="39"/>
      <c r="F1558" s="39"/>
      <c r="G1558" s="39"/>
      <c r="H1558" s="39"/>
      <c r="I1558" s="39">
        <f>+SUM(H1559)</f>
        <v>0</v>
      </c>
      <c r="J1558" s="40" t="s">
        <v>337</v>
      </c>
    </row>
    <row r="1559" spans="2:10" s="1" customFormat="1" ht="13.2" x14ac:dyDescent="0.25">
      <c r="B1559" s="45"/>
      <c r="C1559" s="38"/>
      <c r="E1559" s="39"/>
      <c r="F1559" s="39"/>
      <c r="G1559" s="39"/>
      <c r="H1559" s="39">
        <f>IF(AND(F1559=0,G1559=0),D1559*E1559,IF(AND(E1559=0,G1559=0),D1559*F1559,IF(AND(E1559=0,F1559=0),D1559*G1559,IF(AND(E1559=0),D1559*F1559*G1559,IF(AND(F1559=0),D1559*E1559*G1559,IF(AND(G1559=0),D1559*E1559*F1559,D1559*E1559*F1559*G1559))))))</f>
        <v>0</v>
      </c>
      <c r="I1559" s="39"/>
      <c r="J1559" s="40"/>
    </row>
    <row r="1560" spans="2:10" x14ac:dyDescent="0.3">
      <c r="B1560" s="24" t="s">
        <v>556</v>
      </c>
      <c r="C1560" s="115" t="s">
        <v>350</v>
      </c>
      <c r="D1560" s="22"/>
      <c r="E1560" s="22"/>
      <c r="F1560" s="22"/>
      <c r="G1560" s="22"/>
      <c r="I1560" s="23">
        <f>+SUM(H1561:H1564)</f>
        <v>20.045999999999999</v>
      </c>
      <c r="J1560" s="25" t="s">
        <v>333</v>
      </c>
    </row>
    <row r="1561" spans="2:10" x14ac:dyDescent="0.3">
      <c r="B1561" s="24"/>
      <c r="C1561" s="38" t="s">
        <v>691</v>
      </c>
      <c r="D1561" s="39">
        <v>3</v>
      </c>
      <c r="E1561" s="39">
        <v>0.4</v>
      </c>
      <c r="F1561" s="39">
        <v>0.4</v>
      </c>
      <c r="G1561" s="39"/>
      <c r="H1561" s="39">
        <f>IF(AND(F1561=0,G1561=0),D1561*E1561,IF(AND(E1561=0,G1561=0),D1561*F1561,IF(AND(E1561=0,F1561=0),D1561*G1561,IF(AND(E1561=0),D1561*F1561*G1561,IF(AND(F1561=0),D1561*E1561*G1561,IF(AND(G1561=0),D1561*E1561*F1561,D1561*E1561*F1561*G1561))))))</f>
        <v>0.48000000000000009</v>
      </c>
      <c r="I1561" s="24"/>
      <c r="J1561" s="25"/>
    </row>
    <row r="1562" spans="2:10" x14ac:dyDescent="0.3">
      <c r="B1562" s="24"/>
      <c r="C1562" s="38" t="s">
        <v>507</v>
      </c>
      <c r="D1562" s="39">
        <v>2</v>
      </c>
      <c r="E1562" s="39">
        <v>3.95</v>
      </c>
      <c r="F1562" s="39">
        <v>0.5</v>
      </c>
      <c r="G1562" s="39"/>
      <c r="H1562" s="39">
        <f>IF(AND(F1562=0,G1562=0),D1562*E1562,IF(AND(E1562=0,G1562=0),D1562*F1562,IF(AND(E1562=0,F1562=0),D1562*G1562,IF(AND(E1562=0),D1562*F1562*G1562,IF(AND(F1562=0),D1562*E1562*G1562,IF(AND(G1562=0),D1562*E1562*F1562,D1562*E1562*F1562*G1562))))))</f>
        <v>3.95</v>
      </c>
      <c r="I1562" s="24"/>
      <c r="J1562" s="25"/>
    </row>
    <row r="1563" spans="2:10" x14ac:dyDescent="0.3">
      <c r="B1563" s="24"/>
      <c r="C1563" s="38" t="s">
        <v>692</v>
      </c>
      <c r="D1563" s="1">
        <v>2</v>
      </c>
      <c r="E1563" s="75">
        <v>6.2</v>
      </c>
      <c r="F1563" s="39">
        <f>0.34+0.3</f>
        <v>0.64</v>
      </c>
      <c r="G1563" s="39"/>
      <c r="H1563" s="39">
        <f t="shared" ref="H1563:H1564" si="105">IF(AND(F1563=0,G1563=0),D1563*E1563,IF(AND(E1563=0,G1563=0),D1563*F1563,IF(AND(E1563=0,F1563=0),D1563*G1563,IF(AND(E1563=0),D1563*F1563*G1563,IF(AND(F1563=0),D1563*E1563*G1563,IF(AND(G1563=0),D1563*E1563*F1563,D1563*E1563*F1563*G1563))))))</f>
        <v>7.9360000000000008</v>
      </c>
      <c r="I1563" s="24"/>
      <c r="J1563" s="25"/>
    </row>
    <row r="1564" spans="2:10" x14ac:dyDescent="0.3">
      <c r="B1564" s="24"/>
      <c r="C1564" s="38" t="s">
        <v>690</v>
      </c>
      <c r="D1564" s="1">
        <v>2</v>
      </c>
      <c r="E1564" s="75">
        <v>6</v>
      </c>
      <c r="F1564" s="39">
        <f>0.34+0.3</f>
        <v>0.64</v>
      </c>
      <c r="G1564" s="39"/>
      <c r="H1564" s="39">
        <f t="shared" si="105"/>
        <v>7.68</v>
      </c>
      <c r="I1564" s="24"/>
      <c r="J1564" s="25"/>
    </row>
    <row r="1565" spans="2:10" s="1" customFormat="1" ht="13.2" x14ac:dyDescent="0.25">
      <c r="B1565" s="24" t="s">
        <v>558</v>
      </c>
      <c r="C1565" s="27" t="s">
        <v>352</v>
      </c>
      <c r="D1565" s="59"/>
      <c r="E1565" s="39"/>
      <c r="F1565" s="39"/>
      <c r="G1565" s="39"/>
      <c r="H1565" s="39"/>
      <c r="I1565" s="39">
        <f>+SUM(H1566:H1568)</f>
        <v>28.130000000000003</v>
      </c>
      <c r="J1565" s="40" t="s">
        <v>333</v>
      </c>
    </row>
    <row r="1566" spans="2:10" s="1" customFormat="1" ht="13.2" x14ac:dyDescent="0.25">
      <c r="B1566" s="45"/>
      <c r="C1566" s="38" t="s">
        <v>507</v>
      </c>
      <c r="D1566" s="39">
        <v>2</v>
      </c>
      <c r="E1566" s="39">
        <v>3.95</v>
      </c>
      <c r="F1566" s="39">
        <v>0.5</v>
      </c>
      <c r="G1566" s="39">
        <f>0.55+0.1</f>
        <v>0.65</v>
      </c>
      <c r="H1566" s="39">
        <f>+(F1566+G1566*2)*E1566</f>
        <v>7.11</v>
      </c>
      <c r="I1566" s="39"/>
      <c r="J1566" s="40"/>
    </row>
    <row r="1567" spans="2:10" s="1" customFormat="1" ht="13.2" x14ac:dyDescent="0.25">
      <c r="B1567" s="45"/>
      <c r="C1567" s="38" t="s">
        <v>692</v>
      </c>
      <c r="D1567" s="1">
        <v>2</v>
      </c>
      <c r="E1567" s="75">
        <v>6.2</v>
      </c>
      <c r="F1567" s="39">
        <f>0.34+0.3</f>
        <v>0.64</v>
      </c>
      <c r="G1567" s="39">
        <f>0.53+0.1</f>
        <v>0.63</v>
      </c>
      <c r="H1567" s="39">
        <f t="shared" ref="H1567:H1568" si="106">+(F1567+G1567*2)*E1567</f>
        <v>11.78</v>
      </c>
      <c r="I1567" s="39"/>
      <c r="J1567" s="40"/>
    </row>
    <row r="1568" spans="2:10" s="1" customFormat="1" ht="13.2" x14ac:dyDescent="0.25">
      <c r="B1568" s="45"/>
      <c r="C1568" s="38" t="s">
        <v>690</v>
      </c>
      <c r="D1568" s="1">
        <v>2</v>
      </c>
      <c r="E1568" s="75">
        <v>6</v>
      </c>
      <c r="F1568" s="39">
        <f>0.34+0.3</f>
        <v>0.64</v>
      </c>
      <c r="G1568" s="39">
        <f>0.35+0.1</f>
        <v>0.44999999999999996</v>
      </c>
      <c r="H1568" s="39">
        <f t="shared" si="106"/>
        <v>9.24</v>
      </c>
      <c r="I1568" s="39"/>
      <c r="J1568" s="40"/>
    </row>
    <row r="1569" spans="2:10" s="1" customFormat="1" ht="13.2" x14ac:dyDescent="0.25">
      <c r="B1569" s="24" t="s">
        <v>560</v>
      </c>
      <c r="C1569" s="27" t="s">
        <v>354</v>
      </c>
      <c r="D1569" s="59"/>
      <c r="E1569" s="39"/>
      <c r="F1569" s="39" t="s">
        <v>571</v>
      </c>
      <c r="G1569" s="39"/>
      <c r="H1569" s="39"/>
      <c r="I1569" s="39">
        <f>+SUM(H1570:H1574)</f>
        <v>79.785999999999987</v>
      </c>
      <c r="J1569" s="40" t="s">
        <v>355</v>
      </c>
    </row>
    <row r="1570" spans="2:10" s="1" customFormat="1" ht="13.2" x14ac:dyDescent="0.25">
      <c r="B1570" s="107"/>
      <c r="C1570" s="38" t="s">
        <v>503</v>
      </c>
      <c r="D1570" s="59">
        <v>2</v>
      </c>
      <c r="E1570" s="39">
        <v>14</v>
      </c>
      <c r="F1570" s="39">
        <f>8.2/5</f>
        <v>1.64</v>
      </c>
      <c r="G1570" s="39"/>
      <c r="H1570" s="39">
        <f>IF(AND(F1570=0,G1570=0),D1570*E1570,IF(AND(E1570=0,G1570=0),D1570*F1570,IF(AND(E1570=0,F1570=0),D1570*G1570,IF(AND(E1570=0),D1570*F1570*G1570,IF(AND(F1570=0),D1570*E1570*G1570,IF(AND(G1570=0),D1570*E1570*F1570,D1570*E1570*F1570*G1570))))))</f>
        <v>45.919999999999995</v>
      </c>
      <c r="I1570" s="39"/>
      <c r="J1570" s="40"/>
    </row>
    <row r="1571" spans="2:10" s="1" customFormat="1" ht="13.2" x14ac:dyDescent="0.25">
      <c r="B1571" s="107"/>
      <c r="C1571" s="42" t="s">
        <v>592</v>
      </c>
      <c r="D1571" s="59"/>
      <c r="E1571" s="39"/>
      <c r="F1571" s="39"/>
      <c r="G1571" s="39"/>
      <c r="H1571" s="39"/>
      <c r="I1571" s="39"/>
      <c r="J1571" s="40"/>
    </row>
    <row r="1572" spans="2:10" s="1" customFormat="1" ht="13.2" x14ac:dyDescent="0.25">
      <c r="B1572" s="107"/>
      <c r="C1572" s="38" t="s">
        <v>693</v>
      </c>
      <c r="D1572" s="59">
        <v>1</v>
      </c>
      <c r="E1572" s="39">
        <v>4.95</v>
      </c>
      <c r="F1572" s="39">
        <f t="shared" ref="F1572:F1574" si="107">8.2/5</f>
        <v>1.64</v>
      </c>
      <c r="G1572" s="39"/>
      <c r="H1572" s="39">
        <f t="shared" ref="H1572:H1574" si="108">IF(AND(F1572=0,G1572=0),D1572*E1572,IF(AND(E1572=0,G1572=0),D1572*F1572,IF(AND(E1572=0,F1572=0),D1572*G1572,IF(AND(E1572=0),D1572*F1572*G1572,IF(AND(F1572=0),D1572*E1572*G1572,IF(AND(G1572=0),D1572*E1572*F1572,D1572*E1572*F1572*G1572))))))</f>
        <v>8.1180000000000003</v>
      </c>
      <c r="I1572" s="39"/>
      <c r="J1572" s="40"/>
    </row>
    <row r="1573" spans="2:10" s="1" customFormat="1" ht="13.2" x14ac:dyDescent="0.25">
      <c r="B1573" s="107"/>
      <c r="C1573" s="38" t="s">
        <v>694</v>
      </c>
      <c r="D1573" s="59">
        <v>3</v>
      </c>
      <c r="E1573" s="39">
        <v>2.65</v>
      </c>
      <c r="F1573" s="39">
        <f t="shared" si="107"/>
        <v>1.64</v>
      </c>
      <c r="G1573" s="39"/>
      <c r="H1573" s="39">
        <f t="shared" si="108"/>
        <v>13.037999999999998</v>
      </c>
      <c r="I1573" s="39"/>
      <c r="J1573" s="40"/>
    </row>
    <row r="1574" spans="2:10" s="1" customFormat="1" ht="13.2" x14ac:dyDescent="0.25">
      <c r="B1574" s="107"/>
      <c r="C1574" s="38" t="s">
        <v>695</v>
      </c>
      <c r="D1574" s="59">
        <v>1</v>
      </c>
      <c r="E1574" s="39">
        <v>7.75</v>
      </c>
      <c r="F1574" s="39">
        <f t="shared" si="107"/>
        <v>1.64</v>
      </c>
      <c r="G1574" s="39"/>
      <c r="H1574" s="39">
        <f t="shared" si="108"/>
        <v>12.709999999999999</v>
      </c>
      <c r="I1574" s="39"/>
      <c r="J1574" s="40"/>
    </row>
    <row r="1575" spans="2:10" s="1" customFormat="1" ht="13.2" x14ac:dyDescent="0.25">
      <c r="B1575" s="24" t="s">
        <v>561</v>
      </c>
      <c r="C1575" s="27" t="s">
        <v>356</v>
      </c>
      <c r="D1575" s="59"/>
      <c r="E1575" s="39"/>
      <c r="F1575" s="39"/>
      <c r="G1575" s="39"/>
      <c r="H1575" s="39"/>
      <c r="I1575" s="39">
        <f>+SUM(H1576:H1583)</f>
        <v>3.5270000000000001</v>
      </c>
      <c r="J1575" s="40" t="s">
        <v>337</v>
      </c>
    </row>
    <row r="1576" spans="2:10" s="1" customFormat="1" ht="13.2" x14ac:dyDescent="0.25">
      <c r="B1576" s="45"/>
      <c r="C1576" s="38" t="s">
        <v>507</v>
      </c>
      <c r="D1576" s="39">
        <v>2</v>
      </c>
      <c r="E1576" s="39">
        <v>3.95</v>
      </c>
      <c r="F1576" s="39">
        <v>0.1</v>
      </c>
      <c r="G1576" s="39">
        <v>0.55000000000000004</v>
      </c>
      <c r="H1576" s="39">
        <f t="shared" ref="H1576:H1583" si="109">IF(AND(F1576=0,G1576=0),D1576*E1576,IF(AND(E1576=0,G1576=0),D1576*F1576,IF(AND(E1576=0,F1576=0),D1576*G1576,IF(AND(E1576=0),D1576*F1576*G1576,IF(AND(F1576=0),D1576*E1576*G1576,IF(AND(G1576=0),D1576*E1576*F1576,D1576*E1576*F1576*G1576))))))</f>
        <v>0.43450000000000005</v>
      </c>
      <c r="I1576" s="39"/>
      <c r="J1576" s="40"/>
    </row>
    <row r="1577" spans="2:10" s="1" customFormat="1" ht="13.2" x14ac:dyDescent="0.25">
      <c r="B1577" s="45"/>
      <c r="C1577" s="38"/>
      <c r="D1577" s="22">
        <v>1</v>
      </c>
      <c r="E1577" s="23">
        <v>3.95</v>
      </c>
      <c r="F1577" s="39">
        <v>0.5</v>
      </c>
      <c r="G1577" s="39">
        <v>0.1</v>
      </c>
      <c r="H1577" s="39">
        <f t="shared" si="109"/>
        <v>0.19750000000000001</v>
      </c>
      <c r="I1577" s="39"/>
      <c r="J1577" s="40"/>
    </row>
    <row r="1578" spans="2:10" s="1" customFormat="1" ht="13.2" x14ac:dyDescent="0.25">
      <c r="B1578" s="45"/>
      <c r="C1578" s="38" t="s">
        <v>692</v>
      </c>
      <c r="D1578" s="1">
        <v>2</v>
      </c>
      <c r="E1578" s="75">
        <v>6.2</v>
      </c>
      <c r="F1578" s="39">
        <v>0.15</v>
      </c>
      <c r="G1578" s="39">
        <f>0.78-0.25</f>
        <v>0.53</v>
      </c>
      <c r="H1578" s="39">
        <f t="shared" si="109"/>
        <v>0.98580000000000001</v>
      </c>
      <c r="I1578" s="39"/>
      <c r="J1578" s="40"/>
    </row>
    <row r="1579" spans="2:10" s="1" customFormat="1" ht="13.2" x14ac:dyDescent="0.25">
      <c r="B1579" s="45"/>
      <c r="C1579" s="38"/>
      <c r="D1579" s="1">
        <v>1</v>
      </c>
      <c r="E1579" s="75">
        <v>6.2</v>
      </c>
      <c r="F1579" s="39">
        <v>0.64</v>
      </c>
      <c r="G1579" s="39">
        <v>0.15</v>
      </c>
      <c r="H1579" s="39">
        <f t="shared" si="109"/>
        <v>0.59520000000000006</v>
      </c>
      <c r="I1579" s="39"/>
      <c r="J1579" s="40"/>
    </row>
    <row r="1580" spans="2:10" s="1" customFormat="1" ht="13.2" x14ac:dyDescent="0.25">
      <c r="B1580" s="45"/>
      <c r="C1580" s="38" t="s">
        <v>690</v>
      </c>
      <c r="D1580" s="1">
        <v>2</v>
      </c>
      <c r="E1580" s="75">
        <v>6</v>
      </c>
      <c r="F1580" s="39">
        <v>0.15</v>
      </c>
      <c r="G1580" s="39">
        <f>+G1555-0.25</f>
        <v>0.35</v>
      </c>
      <c r="H1580" s="39">
        <f t="shared" si="109"/>
        <v>0.62999999999999989</v>
      </c>
      <c r="I1580" s="39"/>
      <c r="J1580" s="40"/>
    </row>
    <row r="1581" spans="2:10" s="1" customFormat="1" ht="13.2" x14ac:dyDescent="0.25">
      <c r="B1581" s="45"/>
      <c r="C1581" s="58"/>
      <c r="D1581" s="59">
        <v>1</v>
      </c>
      <c r="E1581" s="39">
        <v>6</v>
      </c>
      <c r="F1581" s="39">
        <v>0.64</v>
      </c>
      <c r="G1581" s="39">
        <v>0.15</v>
      </c>
      <c r="H1581" s="39">
        <f t="shared" si="109"/>
        <v>0.57599999999999996</v>
      </c>
      <c r="I1581" s="39"/>
      <c r="J1581" s="40"/>
    </row>
    <row r="1582" spans="2:10" s="1" customFormat="1" ht="13.2" x14ac:dyDescent="0.25">
      <c r="B1582" s="45"/>
      <c r="C1582" s="38" t="s">
        <v>691</v>
      </c>
      <c r="D1582" s="39">
        <v>6</v>
      </c>
      <c r="E1582" s="39">
        <v>0.4</v>
      </c>
      <c r="F1582" s="39">
        <v>0.1</v>
      </c>
      <c r="G1582" s="39">
        <v>0.3</v>
      </c>
      <c r="H1582" s="39">
        <f t="shared" si="109"/>
        <v>7.2000000000000008E-2</v>
      </c>
      <c r="I1582" s="39"/>
      <c r="J1582" s="40"/>
    </row>
    <row r="1583" spans="2:10" s="1" customFormat="1" ht="13.2" x14ac:dyDescent="0.25">
      <c r="B1583" s="45"/>
      <c r="C1583" s="58"/>
      <c r="D1583" s="59">
        <v>6</v>
      </c>
      <c r="E1583" s="39">
        <v>0.2</v>
      </c>
      <c r="F1583" s="39">
        <v>0.1</v>
      </c>
      <c r="G1583" s="39">
        <v>0.3</v>
      </c>
      <c r="H1583" s="39">
        <f t="shared" si="109"/>
        <v>3.6000000000000004E-2</v>
      </c>
      <c r="I1583" s="39"/>
      <c r="J1583" s="40"/>
    </row>
    <row r="1584" spans="2:10" s="1" customFormat="1" ht="13.2" x14ac:dyDescent="0.25">
      <c r="B1584" s="24" t="s">
        <v>562</v>
      </c>
      <c r="C1584" s="27" t="s">
        <v>357</v>
      </c>
      <c r="D1584" s="59" t="s">
        <v>574</v>
      </c>
      <c r="E1584" s="39"/>
      <c r="F1584" s="39"/>
      <c r="G1584" s="39"/>
      <c r="H1584" s="39"/>
      <c r="I1584" s="39">
        <f>+SUM(H1585:H1588)</f>
        <v>17.440724999999997</v>
      </c>
      <c r="J1584" s="40" t="s">
        <v>337</v>
      </c>
    </row>
    <row r="1585" spans="2:10" s="1" customFormat="1" ht="13.2" x14ac:dyDescent="0.25">
      <c r="B1585" s="24"/>
      <c r="C1585" s="38" t="s">
        <v>507</v>
      </c>
      <c r="D1585" s="39">
        <f>1.25*2</f>
        <v>2.5</v>
      </c>
      <c r="E1585" s="39">
        <v>3.95</v>
      </c>
      <c r="F1585" s="39">
        <v>0.5</v>
      </c>
      <c r="G1585" s="39">
        <f>0.55+0.2</f>
        <v>0.75</v>
      </c>
      <c r="H1585" s="39">
        <f>IF(AND(F1585=0,G1585=0),D1585*E1585,IF(AND(E1585=0,G1585=0),D1585*F1585,IF(AND(E1585=0,F1585=0),D1585*G1585,IF(AND(E1585=0),D1585*F1585*G1585,IF(AND(F1585=0),D1585*E1585*G1585,IF(AND(G1585=0),D1585*E1585*F1585,D1585*E1585*F1585*G1585))))))</f>
        <v>3.703125</v>
      </c>
      <c r="I1585" s="39"/>
      <c r="J1585" s="40"/>
    </row>
    <row r="1586" spans="2:10" s="1" customFormat="1" ht="13.2" x14ac:dyDescent="0.25">
      <c r="B1586" s="24"/>
      <c r="C1586" s="38" t="s">
        <v>692</v>
      </c>
      <c r="D1586" s="39">
        <f t="shared" ref="D1586:D1587" si="110">1.25*2</f>
        <v>2.5</v>
      </c>
      <c r="E1586" s="75">
        <v>6.2</v>
      </c>
      <c r="F1586" s="39">
        <f>0.34+0.3</f>
        <v>0.64</v>
      </c>
      <c r="G1586" s="39">
        <f>0.53+0.25</f>
        <v>0.78</v>
      </c>
      <c r="H1586" s="39">
        <f t="shared" ref="H1586:H1587" si="111">IF(AND(F1586=0,G1586=0),D1586*E1586,IF(AND(E1586=0,G1586=0),D1586*F1586,IF(AND(E1586=0,F1586=0),D1586*G1586,IF(AND(E1586=0),D1586*F1586*G1586,IF(AND(F1586=0),D1586*E1586*G1586,IF(AND(G1586=0),D1586*E1586*F1586,D1586*E1586*F1586*G1586))))))</f>
        <v>7.7376000000000005</v>
      </c>
      <c r="I1586" s="39"/>
      <c r="J1586" s="40"/>
    </row>
    <row r="1587" spans="2:10" s="1" customFormat="1" ht="13.2" x14ac:dyDescent="0.25">
      <c r="B1587" s="24"/>
      <c r="C1587" s="38" t="s">
        <v>690</v>
      </c>
      <c r="D1587" s="39">
        <f t="shared" si="110"/>
        <v>2.5</v>
      </c>
      <c r="E1587" s="75">
        <v>6</v>
      </c>
      <c r="F1587" s="39">
        <f>0.34+0.3</f>
        <v>0.64</v>
      </c>
      <c r="G1587" s="39">
        <f>0.35+0.25</f>
        <v>0.6</v>
      </c>
      <c r="H1587" s="39">
        <f t="shared" si="111"/>
        <v>5.76</v>
      </c>
      <c r="I1587" s="39"/>
      <c r="J1587" s="40"/>
    </row>
    <row r="1588" spans="2:10" s="1" customFormat="1" ht="13.2" x14ac:dyDescent="0.25">
      <c r="B1588" s="24"/>
      <c r="C1588" s="38" t="s">
        <v>691</v>
      </c>
      <c r="D1588" s="39">
        <f>1.25*3</f>
        <v>3.75</v>
      </c>
      <c r="E1588" s="39">
        <v>0.4</v>
      </c>
      <c r="F1588" s="39">
        <v>0.4</v>
      </c>
      <c r="G1588" s="39">
        <f>0.3+0.1</f>
        <v>0.4</v>
      </c>
      <c r="H1588" s="39">
        <f>IF(AND(F1588=0,G1588=0),D1588*E1588,IF(AND(E1588=0,G1588=0),D1588*F1588,IF(AND(E1588=0,F1588=0),D1588*G1588,IF(AND(E1588=0),D1588*F1588*G1588,IF(AND(F1588=0),D1588*E1588*G1588,IF(AND(G1588=0),D1588*E1588*F1588,D1588*E1588*F1588*G1588))))))</f>
        <v>0.24000000000000005</v>
      </c>
      <c r="I1588" s="39"/>
      <c r="J1588" s="40"/>
    </row>
    <row r="1589" spans="2:10" s="1" customFormat="1" ht="13.2" x14ac:dyDescent="0.25">
      <c r="B1589" s="24" t="s">
        <v>563</v>
      </c>
      <c r="C1589" s="27" t="s">
        <v>358</v>
      </c>
      <c r="D1589" s="59"/>
      <c r="E1589" s="39"/>
      <c r="F1589" s="39"/>
      <c r="G1589" s="39"/>
      <c r="H1589" s="39"/>
      <c r="I1589" s="39">
        <f>+I1584</f>
        <v>17.440724999999997</v>
      </c>
      <c r="J1589" s="40" t="s">
        <v>337</v>
      </c>
    </row>
    <row r="1590" spans="2:10" s="1" customFormat="1" ht="13.2" x14ac:dyDescent="0.25">
      <c r="B1590" s="45"/>
      <c r="C1590" s="58"/>
      <c r="D1590" s="59"/>
      <c r="E1590" s="39"/>
      <c r="F1590" s="39"/>
      <c r="G1590" s="39"/>
      <c r="H1590" s="39"/>
      <c r="I1590" s="39"/>
      <c r="J1590" s="40"/>
    </row>
    <row r="1591" spans="2:10" x14ac:dyDescent="0.3">
      <c r="B1591" s="72" t="s">
        <v>365</v>
      </c>
      <c r="C1591" s="73" t="s">
        <v>360</v>
      </c>
      <c r="D1591" s="22"/>
      <c r="E1591" s="22"/>
      <c r="F1591" s="22"/>
      <c r="G1591" s="22"/>
      <c r="H1591" s="23"/>
      <c r="I1591" s="24"/>
      <c r="J1591" s="25"/>
    </row>
    <row r="1592" spans="2:10" s="1" customFormat="1" ht="13.2" x14ac:dyDescent="0.25">
      <c r="B1592" s="42" t="s">
        <v>366</v>
      </c>
      <c r="C1592" s="24" t="s">
        <v>362</v>
      </c>
      <c r="D1592" s="59"/>
      <c r="E1592" s="39"/>
      <c r="F1592" s="39"/>
      <c r="G1592" s="39"/>
      <c r="H1592" s="39"/>
      <c r="I1592" s="43">
        <f>+SUM(H1593:H1595)</f>
        <v>19.566000000000003</v>
      </c>
      <c r="J1592" s="44" t="s">
        <v>333</v>
      </c>
    </row>
    <row r="1593" spans="2:10" s="1" customFormat="1" ht="15.75" customHeight="1" x14ac:dyDescent="0.25">
      <c r="B1593" s="24"/>
      <c r="C1593" s="38" t="s">
        <v>507</v>
      </c>
      <c r="D1593" s="39">
        <v>2</v>
      </c>
      <c r="E1593" s="39">
        <v>3.95</v>
      </c>
      <c r="F1593" s="39">
        <v>0.5</v>
      </c>
      <c r="G1593" s="39"/>
      <c r="H1593" s="39">
        <f>IF(AND(F1593=0,G1593=0),D1593*E1593,IF(AND(E1593=0,G1593=0),D1593*F1593,IF(AND(E1593=0,F1593=0),D1593*G1593,IF(AND(E1593=0),D1593*F1593*G1593,IF(AND(F1593=0),D1593*E1593*G1593,IF(AND(G1593=0),D1593*E1593*F1593,D1593*E1593*F1593*G1593))))))</f>
        <v>3.95</v>
      </c>
      <c r="I1593" s="39"/>
      <c r="J1593" s="40"/>
    </row>
    <row r="1594" spans="2:10" s="1" customFormat="1" ht="13.2" x14ac:dyDescent="0.25">
      <c r="B1594" s="24"/>
      <c r="C1594" s="38" t="s">
        <v>692</v>
      </c>
      <c r="D1594" s="1">
        <v>2</v>
      </c>
      <c r="E1594" s="75">
        <v>6.2</v>
      </c>
      <c r="F1594" s="39">
        <f>0.34+0.3</f>
        <v>0.64</v>
      </c>
      <c r="G1594" s="39"/>
      <c r="H1594" s="39">
        <f t="shared" ref="H1594:H1595" si="112">IF(AND(F1594=0,G1594=0),D1594*E1594,IF(AND(E1594=0,G1594=0),D1594*F1594,IF(AND(E1594=0,F1594=0),D1594*G1594,IF(AND(E1594=0),D1594*F1594*G1594,IF(AND(F1594=0),D1594*E1594*G1594,IF(AND(G1594=0),D1594*E1594*F1594,D1594*E1594*F1594*G1594))))))</f>
        <v>7.9360000000000008</v>
      </c>
      <c r="I1594" s="39"/>
      <c r="J1594" s="40"/>
    </row>
    <row r="1595" spans="2:10" s="1" customFormat="1" ht="13.2" x14ac:dyDescent="0.25">
      <c r="B1595" s="24"/>
      <c r="C1595" s="38" t="s">
        <v>690</v>
      </c>
      <c r="D1595" s="1">
        <v>2</v>
      </c>
      <c r="E1595" s="75">
        <v>6</v>
      </c>
      <c r="F1595" s="39">
        <f>0.34+0.3</f>
        <v>0.64</v>
      </c>
      <c r="G1595" s="39"/>
      <c r="H1595" s="39">
        <f t="shared" si="112"/>
        <v>7.68</v>
      </c>
      <c r="I1595" s="24"/>
      <c r="J1595" s="25"/>
    </row>
    <row r="1596" spans="2:10" s="1" customFormat="1" ht="13.2" x14ac:dyDescent="0.25">
      <c r="B1596" s="42" t="s">
        <v>367</v>
      </c>
      <c r="C1596" s="24" t="s">
        <v>364</v>
      </c>
      <c r="D1596" s="59"/>
      <c r="E1596" s="39"/>
      <c r="F1596" s="39"/>
      <c r="G1596" s="39"/>
      <c r="H1596" s="39"/>
      <c r="I1596" s="43">
        <f>+SUM(H1597:H1597)</f>
        <v>0.48000000000000009</v>
      </c>
      <c r="J1596" s="44" t="s">
        <v>333</v>
      </c>
    </row>
    <row r="1597" spans="2:10" s="1" customFormat="1" ht="13.2" x14ac:dyDescent="0.25">
      <c r="B1597" s="56"/>
      <c r="C1597" s="38" t="s">
        <v>691</v>
      </c>
      <c r="D1597" s="39">
        <v>3</v>
      </c>
      <c r="E1597" s="39">
        <v>0.4</v>
      </c>
      <c r="F1597" s="39">
        <v>0.4</v>
      </c>
      <c r="G1597" s="39"/>
      <c r="H1597" s="39">
        <f>IF(AND(F1597=0,G1597=0),D1597*E1597,IF(AND(E1597=0,G1597=0),D1597*F1597,IF(AND(E1597=0,F1597=0),D1597*G1597,IF(AND(E1597=0),D1597*F1597*G1597,IF(AND(F1597=0),D1597*E1597*G1597,IF(AND(G1597=0),D1597*E1597*F1597,D1597*E1597*F1597*G1597))))))</f>
        <v>0.48000000000000009</v>
      </c>
      <c r="I1597" s="39"/>
      <c r="J1597" s="40"/>
    </row>
    <row r="1598" spans="2:10" s="1" customFormat="1" ht="13.2" x14ac:dyDescent="0.25">
      <c r="B1598" s="56"/>
      <c r="C1598" s="38"/>
      <c r="D1598" s="59"/>
      <c r="E1598" s="39"/>
      <c r="F1598" s="39"/>
      <c r="G1598" s="39"/>
      <c r="H1598" s="39"/>
      <c r="I1598" s="39"/>
      <c r="J1598" s="40"/>
    </row>
    <row r="1599" spans="2:10" s="1" customFormat="1" ht="13.2" x14ac:dyDescent="0.25">
      <c r="B1599" s="56" t="s">
        <v>368</v>
      </c>
      <c r="C1599" s="57" t="s">
        <v>202</v>
      </c>
      <c r="D1599" s="59"/>
      <c r="E1599" s="39"/>
      <c r="F1599" s="39"/>
      <c r="G1599" s="39"/>
      <c r="H1599" s="39"/>
      <c r="I1599" s="39"/>
      <c r="J1599" s="40"/>
    </row>
    <row r="1600" spans="2:10" s="1" customFormat="1" ht="13.2" x14ac:dyDescent="0.25">
      <c r="B1600" s="42" t="s">
        <v>371</v>
      </c>
      <c r="C1600" s="42" t="s">
        <v>389</v>
      </c>
      <c r="D1600" s="59"/>
      <c r="E1600" s="39"/>
      <c r="F1600" s="39"/>
      <c r="G1600" s="39"/>
      <c r="H1600" s="39"/>
      <c r="I1600" s="43">
        <f>SUM(H1601:H1602)</f>
        <v>24.4</v>
      </c>
      <c r="J1600" s="44" t="s">
        <v>102</v>
      </c>
    </row>
    <row r="1601" spans="2:10" s="1" customFormat="1" ht="13.2" x14ac:dyDescent="0.25">
      <c r="B1601" s="56"/>
      <c r="C1601" s="38" t="s">
        <v>692</v>
      </c>
      <c r="D1601" s="1">
        <v>2</v>
      </c>
      <c r="E1601" s="75">
        <v>6.2</v>
      </c>
      <c r="F1601" s="39"/>
      <c r="G1601" s="39"/>
      <c r="H1601" s="39">
        <f t="shared" ref="H1601:H1602" si="113">IF(AND(F1601=0,G1601=0),D1601*E1601,IF(AND(E1601=0,G1601=0),D1601*F1601,IF(AND(E1601=0,F1601=0),D1601*G1601,IF(AND(E1601=0),D1601*F1601*G1601,IF(AND(F1601=0),D1601*E1601*G1601,IF(AND(G1601=0),D1601*E1601*F1601,D1601*E1601*F1601*G1601))))))</f>
        <v>12.4</v>
      </c>
      <c r="I1601" s="39"/>
      <c r="J1601" s="40"/>
    </row>
    <row r="1602" spans="2:10" s="1" customFormat="1" ht="13.2" x14ac:dyDescent="0.25">
      <c r="B1602" s="114"/>
      <c r="C1602" s="38" t="s">
        <v>690</v>
      </c>
      <c r="D1602" s="1">
        <v>2</v>
      </c>
      <c r="E1602" s="75">
        <v>6</v>
      </c>
      <c r="F1602" s="39"/>
      <c r="G1602" s="39"/>
      <c r="H1602" s="39">
        <f t="shared" si="113"/>
        <v>12</v>
      </c>
      <c r="I1602" s="39"/>
      <c r="J1602" s="40"/>
    </row>
    <row r="1603" spans="2:10" s="1" customFormat="1" ht="13.2" x14ac:dyDescent="0.25">
      <c r="B1603" s="42" t="s">
        <v>379</v>
      </c>
      <c r="C1603" s="24" t="s">
        <v>539</v>
      </c>
      <c r="D1603" s="59"/>
      <c r="E1603" s="39"/>
      <c r="F1603" s="39"/>
      <c r="G1603" s="39"/>
      <c r="H1603" s="39"/>
      <c r="I1603" s="43">
        <f>+SUM(H1604:H1606)</f>
        <v>20.65</v>
      </c>
      <c r="J1603" s="44" t="s">
        <v>102</v>
      </c>
    </row>
    <row r="1604" spans="2:10" s="1" customFormat="1" ht="13.2" x14ac:dyDescent="0.25">
      <c r="B1604" s="42"/>
      <c r="C1604" s="38" t="s">
        <v>693</v>
      </c>
      <c r="D1604" s="59">
        <v>1</v>
      </c>
      <c r="E1604" s="39">
        <v>4.95</v>
      </c>
      <c r="F1604" s="39"/>
      <c r="G1604" s="39"/>
      <c r="H1604" s="39">
        <f>IF(AND(F1604=0,G1604=0),D1604*E1604,IF(AND(E1604=0,G1604=0),D1604*F1604,IF(AND(E1604=0,F1604=0),D1604*G1604,IF(AND(E1604=0),D1604*F1604*G1604,IF(AND(F1604=0),D1604*E1604*G1604,IF(AND(G1604=0),D1604*E1604*F1604,D1604*E1604*F1604*G1604))))))</f>
        <v>4.95</v>
      </c>
      <c r="I1604" s="43"/>
      <c r="J1604" s="44"/>
    </row>
    <row r="1605" spans="2:10" s="1" customFormat="1" ht="13.2" x14ac:dyDescent="0.25">
      <c r="B1605" s="42"/>
      <c r="C1605" s="38" t="s">
        <v>694</v>
      </c>
      <c r="D1605" s="59">
        <v>3</v>
      </c>
      <c r="E1605" s="39">
        <v>2.65</v>
      </c>
      <c r="F1605" s="39"/>
      <c r="G1605" s="39"/>
      <c r="H1605" s="39">
        <f>IF(AND(F1605=0,G1605=0),D1605*E1605,IF(AND(E1605=0,G1605=0),D1605*F1605,IF(AND(E1605=0,F1605=0),D1605*G1605,IF(AND(E1605=0),D1605*F1605*G1605,IF(AND(F1605=0),D1605*E1605*G1605,IF(AND(G1605=0),D1605*E1605*F1605,D1605*E1605*F1605*G1605))))))</f>
        <v>7.9499999999999993</v>
      </c>
      <c r="I1605" s="43"/>
      <c r="J1605" s="44"/>
    </row>
    <row r="1606" spans="2:10" s="1" customFormat="1" ht="13.2" x14ac:dyDescent="0.25">
      <c r="B1606" s="42"/>
      <c r="C1606" s="38" t="s">
        <v>695</v>
      </c>
      <c r="D1606" s="59">
        <v>1</v>
      </c>
      <c r="E1606" s="39">
        <v>7.75</v>
      </c>
      <c r="F1606" s="39"/>
      <c r="G1606" s="39"/>
      <c r="H1606" s="39">
        <f>IF(AND(F1606=0,G1606=0),D1606*E1606,IF(AND(E1606=0,G1606=0),D1606*F1606,IF(AND(E1606=0,F1606=0),D1606*G1606,IF(AND(E1606=0),D1606*F1606*G1606,IF(AND(F1606=0),D1606*E1606*G1606,IF(AND(G1606=0),D1606*E1606*F1606,D1606*E1606*F1606*G1606))))))</f>
        <v>7.75</v>
      </c>
      <c r="I1606" s="43"/>
      <c r="J1606" s="44"/>
    </row>
    <row r="1607" spans="2:10" s="1" customFormat="1" ht="13.2" x14ac:dyDescent="0.25">
      <c r="B1607" s="42"/>
      <c r="C1607" s="38"/>
      <c r="D1607" s="59"/>
      <c r="E1607" s="39"/>
      <c r="F1607" s="39"/>
      <c r="G1607" s="39"/>
      <c r="H1607" s="39"/>
      <c r="I1607" s="43"/>
      <c r="J1607" s="44"/>
    </row>
    <row r="1608" spans="2:10" s="1" customFormat="1" ht="13.2" x14ac:dyDescent="0.25">
      <c r="B1608" s="42" t="s">
        <v>380</v>
      </c>
      <c r="C1608" s="42" t="s">
        <v>636</v>
      </c>
      <c r="D1608" s="59"/>
      <c r="E1608" s="39"/>
      <c r="F1608" s="39"/>
      <c r="G1608" s="39"/>
      <c r="H1608" s="39"/>
      <c r="I1608" s="43">
        <f>+SUM(H1609:H1609)</f>
        <v>0</v>
      </c>
      <c r="J1608" s="44" t="s">
        <v>102</v>
      </c>
    </row>
    <row r="1609" spans="2:10" s="1" customFormat="1" ht="13.2" x14ac:dyDescent="0.25">
      <c r="B1609" s="42"/>
      <c r="C1609" s="38" t="s">
        <v>693</v>
      </c>
      <c r="D1609" s="59"/>
      <c r="E1609" s="39"/>
      <c r="F1609" s="39"/>
      <c r="G1609" s="39"/>
      <c r="H1609" s="39">
        <f>IF(AND(F1609=0,G1609=0),D1609*E1609,IF(AND(E1609=0,G1609=0),D1609*F1609,IF(AND(E1609=0,F1609=0),D1609*G1609,IF(AND(E1609=0),D1609*F1609*G1609,IF(AND(F1609=0),D1609*E1609*G1609,IF(AND(G1609=0),D1609*E1609*F1609,D1609*E1609*F1609*G1609))))))</f>
        <v>0</v>
      </c>
      <c r="I1609" s="43"/>
      <c r="J1609" s="44"/>
    </row>
    <row r="1610" spans="2:10" s="1" customFormat="1" ht="13.2" x14ac:dyDescent="0.25">
      <c r="B1610" s="42" t="s">
        <v>370</v>
      </c>
      <c r="C1610" s="45" t="s">
        <v>387</v>
      </c>
      <c r="D1610" s="22"/>
      <c r="E1610" s="22"/>
      <c r="F1610" s="39"/>
      <c r="G1610" s="39"/>
      <c r="I1610" s="43">
        <f>SUM(H1611:H1619)</f>
        <v>24.4</v>
      </c>
      <c r="J1610" s="44" t="s">
        <v>102</v>
      </c>
    </row>
    <row r="1611" spans="2:10" s="1" customFormat="1" ht="13.2" x14ac:dyDescent="0.25">
      <c r="B1611" s="114"/>
      <c r="C1611" s="38" t="s">
        <v>692</v>
      </c>
      <c r="D1611" s="1">
        <v>2</v>
      </c>
      <c r="E1611" s="75">
        <v>6.2</v>
      </c>
      <c r="F1611" s="39"/>
      <c r="G1611" s="39"/>
      <c r="H1611" s="39">
        <f>IF(AND(F1611=0,G1611=0),D1611*E1611,IF(AND(E1611=0,G1611=0),D1611*F1611,IF(AND(E1611=0,F1611=0),D1611*G1611,IF(AND(E1611=0),D1611*F1611*G1611,IF(AND(F1611=0),D1611*E1611*G1611,IF(AND(G1611=0),D1611*E1611*F1611,D1611*E1611*F1611*G1611))))))</f>
        <v>12.4</v>
      </c>
      <c r="I1611" s="39"/>
      <c r="J1611" s="40"/>
    </row>
    <row r="1612" spans="2:10" s="1" customFormat="1" ht="13.8" x14ac:dyDescent="0.25">
      <c r="B1612" s="114"/>
      <c r="C1612" s="45" t="s">
        <v>696</v>
      </c>
      <c r="E1612" s="75"/>
      <c r="F1612" s="39" t="s">
        <v>697</v>
      </c>
      <c r="G1612" s="39" t="s">
        <v>619</v>
      </c>
      <c r="I1612" s="39">
        <f>+SUM(G1613:G1614)</f>
        <v>6.44</v>
      </c>
      <c r="J1612" s="40"/>
    </row>
    <row r="1613" spans="2:10" s="1" customFormat="1" ht="13.2" x14ac:dyDescent="0.25">
      <c r="B1613" s="114"/>
      <c r="C1613" s="38" t="s">
        <v>620</v>
      </c>
      <c r="D1613" s="1">
        <v>4</v>
      </c>
      <c r="E1613" s="75">
        <v>1</v>
      </c>
      <c r="F1613" s="39">
        <v>0.56000000000000005</v>
      </c>
      <c r="G1613" s="39">
        <f>+D1613*E1613*F1613</f>
        <v>2.2400000000000002</v>
      </c>
      <c r="H1613" s="39"/>
      <c r="I1613" s="39"/>
      <c r="J1613" s="40"/>
    </row>
    <row r="1614" spans="2:10" s="1" customFormat="1" ht="13.2" x14ac:dyDescent="0.25">
      <c r="B1614" s="114"/>
      <c r="C1614" s="38" t="s">
        <v>621</v>
      </c>
      <c r="D1614" s="1">
        <v>6</v>
      </c>
      <c r="E1614" s="75">
        <f>0.55+0.35*2</f>
        <v>1.25</v>
      </c>
      <c r="F1614" s="39">
        <v>0.56000000000000005</v>
      </c>
      <c r="G1614" s="39">
        <f>+D1614*E1614*F1614</f>
        <v>4.2</v>
      </c>
      <c r="H1614" s="39"/>
      <c r="I1614" s="39"/>
      <c r="J1614" s="40"/>
    </row>
    <row r="1615" spans="2:10" s="1" customFormat="1" ht="13.2" x14ac:dyDescent="0.25">
      <c r="B1615" s="114"/>
      <c r="C1615" s="118"/>
      <c r="E1615" s="75"/>
      <c r="F1615" s="39"/>
      <c r="G1615" s="39"/>
      <c r="H1615" s="39"/>
      <c r="I1615" s="39"/>
      <c r="J1615" s="40"/>
    </row>
    <row r="1616" spans="2:10" s="1" customFormat="1" ht="13.2" x14ac:dyDescent="0.25">
      <c r="B1616" s="114"/>
      <c r="C1616" s="38" t="s">
        <v>690</v>
      </c>
      <c r="D1616" s="1">
        <v>2</v>
      </c>
      <c r="E1616" s="75">
        <v>6</v>
      </c>
      <c r="F1616" s="39"/>
      <c r="G1616" s="39"/>
      <c r="H1616" s="39">
        <f>IF(AND(F1616=0,G1616=0),D1616*E1616,IF(AND(E1616=0,G1616=0),D1616*F1616,IF(AND(E1616=0,F1616=0),D1616*G1616,IF(AND(E1616=0),D1616*F1616*G1616,IF(AND(F1616=0),D1616*E1616*G1616,IF(AND(G1616=0),D1616*E1616*F1616,D1616*E1616*F1616*G1616))))))</f>
        <v>12</v>
      </c>
      <c r="I1616" s="39"/>
      <c r="J1616" s="40"/>
    </row>
    <row r="1617" spans="2:10" s="1" customFormat="1" ht="13.8" x14ac:dyDescent="0.25">
      <c r="B1617" s="114"/>
      <c r="C1617" s="45" t="s">
        <v>696</v>
      </c>
      <c r="E1617" s="75"/>
      <c r="F1617" s="39" t="s">
        <v>697</v>
      </c>
      <c r="G1617" s="39" t="s">
        <v>619</v>
      </c>
      <c r="I1617" s="78">
        <f>+SUM(G1618:G1619)</f>
        <v>12.656000000000002</v>
      </c>
      <c r="J1617" s="40"/>
    </row>
    <row r="1618" spans="2:10" s="1" customFormat="1" ht="13.2" x14ac:dyDescent="0.25">
      <c r="B1618" s="114"/>
      <c r="C1618" s="38" t="s">
        <v>620</v>
      </c>
      <c r="D1618" s="1">
        <f>4+4+5</f>
        <v>13</v>
      </c>
      <c r="E1618" s="75">
        <v>1</v>
      </c>
      <c r="F1618" s="39">
        <v>0.56000000000000005</v>
      </c>
      <c r="G1618" s="39">
        <f>+D1618*E1618*F1618</f>
        <v>7.2800000000000011</v>
      </c>
      <c r="H1618" s="39"/>
      <c r="I1618" s="39"/>
      <c r="J1618" s="40"/>
    </row>
    <row r="1619" spans="2:10" s="1" customFormat="1" ht="13.2" x14ac:dyDescent="0.25">
      <c r="B1619" s="114"/>
      <c r="C1619" s="38" t="s">
        <v>621</v>
      </c>
      <c r="D1619" s="1">
        <v>6</v>
      </c>
      <c r="E1619" s="75">
        <f>0.5*2+0.6</f>
        <v>1.6</v>
      </c>
      <c r="F1619" s="39">
        <v>0.56000000000000005</v>
      </c>
      <c r="G1619" s="39">
        <f>+D1619*E1619*F1619</f>
        <v>5.3760000000000012</v>
      </c>
      <c r="H1619" s="39"/>
      <c r="I1619" s="39"/>
      <c r="J1619" s="40"/>
    </row>
    <row r="1620" spans="2:10" s="1" customFormat="1" ht="13.2" x14ac:dyDescent="0.25">
      <c r="B1620" s="42" t="s">
        <v>374</v>
      </c>
      <c r="C1620" s="42" t="s">
        <v>395</v>
      </c>
      <c r="D1620" s="59"/>
      <c r="E1620" s="39"/>
      <c r="F1620" s="39"/>
      <c r="G1620" s="39"/>
      <c r="H1620" s="39"/>
      <c r="I1620" s="43">
        <f>SUM(H1621)</f>
        <v>0.89999999999999991</v>
      </c>
      <c r="J1620" s="44" t="s">
        <v>102</v>
      </c>
    </row>
    <row r="1621" spans="2:10" s="1" customFormat="1" ht="13.2" x14ac:dyDescent="0.25">
      <c r="B1621" s="114"/>
      <c r="C1621" s="38" t="s">
        <v>687</v>
      </c>
      <c r="D1621" s="59">
        <v>3</v>
      </c>
      <c r="E1621" s="39">
        <v>0.3</v>
      </c>
      <c r="F1621" s="39"/>
      <c r="G1621" s="39"/>
      <c r="H1621" s="39">
        <f>IF(AND(F1621=0,G1621=0),D1621*E1621,IF(AND(E1621=0,G1621=0),D1621*F1621,IF(AND(E1621=0,F1621=0),D1621*G1621,IF(AND(E1621=0),D1621*F1621*G1621,IF(AND(F1621=0),D1621*E1621*G1621,IF(AND(G1621=0),D1621*E1621*F1621,D1621*E1621*F1621*G1621))))))</f>
        <v>0.89999999999999991</v>
      </c>
      <c r="I1621" s="39"/>
      <c r="J1621" s="40"/>
    </row>
    <row r="1622" spans="2:10" s="1" customFormat="1" ht="13.2" x14ac:dyDescent="0.25">
      <c r="B1622" s="42" t="s">
        <v>383</v>
      </c>
      <c r="C1622" s="42" t="s">
        <v>686</v>
      </c>
      <c r="D1622" s="59"/>
      <c r="E1622" s="39"/>
      <c r="F1622" s="39"/>
      <c r="G1622" s="39"/>
      <c r="H1622" s="39"/>
      <c r="I1622" s="43">
        <f>SUM(H1623:H1623)</f>
        <v>3</v>
      </c>
      <c r="J1622" s="44" t="s">
        <v>30</v>
      </c>
    </row>
    <row r="1623" spans="2:10" s="1" customFormat="1" ht="13.2" x14ac:dyDescent="0.25">
      <c r="B1623" s="42"/>
      <c r="C1623" s="38" t="s">
        <v>691</v>
      </c>
      <c r="D1623" s="39">
        <v>3</v>
      </c>
      <c r="E1623" s="39"/>
      <c r="F1623" s="39"/>
      <c r="G1623" s="39"/>
      <c r="H1623" s="39">
        <f t="shared" ref="H1623" si="114">+D1623</f>
        <v>3</v>
      </c>
      <c r="I1623" s="39"/>
      <c r="J1623" s="40" t="s">
        <v>30</v>
      </c>
    </row>
    <row r="1624" spans="2:10" s="1" customFormat="1" ht="13.2" x14ac:dyDescent="0.25">
      <c r="B1624" s="24" t="s">
        <v>394</v>
      </c>
      <c r="C1624" s="27" t="s">
        <v>411</v>
      </c>
      <c r="D1624" s="59"/>
      <c r="E1624" s="39"/>
      <c r="F1624" s="39"/>
      <c r="G1624" s="39"/>
      <c r="H1624" s="39"/>
      <c r="I1624" s="43">
        <f>+SUM(H1625:H1626)</f>
        <v>1.2000000000000002</v>
      </c>
      <c r="J1624" s="40" t="s">
        <v>333</v>
      </c>
    </row>
    <row r="1625" spans="2:10" s="1" customFormat="1" ht="13.2" x14ac:dyDescent="0.25">
      <c r="B1625" s="24"/>
      <c r="C1625" s="38" t="s">
        <v>691</v>
      </c>
      <c r="D1625" s="39">
        <v>3</v>
      </c>
      <c r="E1625" s="39">
        <f>0.4*2</f>
        <v>0.8</v>
      </c>
      <c r="F1625" s="39"/>
      <c r="G1625" s="39">
        <f>0.3+0.15</f>
        <v>0.44999999999999996</v>
      </c>
      <c r="H1625" s="39">
        <f t="shared" ref="H1625:H1626" si="115">IF(AND(F1625=0,G1625=0),D1625*E1625,IF(AND(E1625=0,G1625=0),D1625*F1625,IF(AND(E1625=0,F1625=0),D1625*G1625,IF(AND(E1625=0),D1625*F1625*G1625,IF(AND(F1625=0),D1625*E1625*G1625,IF(AND(G1625=0),D1625*E1625*F1625,D1625*E1625*F1625*G1625))))))</f>
        <v>1.08</v>
      </c>
      <c r="I1625" s="39"/>
      <c r="J1625" s="40"/>
    </row>
    <row r="1626" spans="2:10" s="1" customFormat="1" ht="13.2" x14ac:dyDescent="0.25">
      <c r="B1626" s="24"/>
      <c r="C1626" s="58"/>
      <c r="D1626" s="59">
        <v>3</v>
      </c>
      <c r="E1626" s="39">
        <v>0.2</v>
      </c>
      <c r="F1626" s="39"/>
      <c r="G1626" s="39">
        <v>0.2</v>
      </c>
      <c r="H1626" s="39">
        <f t="shared" si="115"/>
        <v>0.12000000000000002</v>
      </c>
      <c r="I1626" s="39"/>
      <c r="J1626" s="40"/>
    </row>
    <row r="1627" spans="2:10" s="1" customFormat="1" ht="13.2" x14ac:dyDescent="0.25">
      <c r="B1627" s="24" t="s">
        <v>396</v>
      </c>
      <c r="C1627" s="27" t="s">
        <v>412</v>
      </c>
      <c r="D1627" s="59"/>
      <c r="E1627" s="39"/>
      <c r="F1627" s="39"/>
      <c r="G1627" s="39"/>
      <c r="H1627" s="39"/>
      <c r="I1627" s="43">
        <f>+SUM(H1628:H1633)</f>
        <v>25.295000000000002</v>
      </c>
      <c r="J1627" s="40" t="s">
        <v>333</v>
      </c>
    </row>
    <row r="1628" spans="2:10" s="1" customFormat="1" ht="13.2" x14ac:dyDescent="0.25">
      <c r="B1628" s="45"/>
      <c r="C1628" s="38" t="s">
        <v>507</v>
      </c>
      <c r="D1628" s="39">
        <v>2</v>
      </c>
      <c r="E1628" s="39">
        <v>3.95</v>
      </c>
      <c r="F1628" s="39"/>
      <c r="G1628" s="39">
        <f>0.55+0.15</f>
        <v>0.70000000000000007</v>
      </c>
      <c r="H1628" s="39">
        <f t="shared" ref="H1628:H1633" si="116">IF(AND(F1628=0,G1628=0),D1628*E1628,IF(AND(E1628=0,G1628=0),D1628*F1628,IF(AND(E1628=0,F1628=0),D1628*G1628,IF(AND(E1628=0),D1628*F1628*G1628,IF(AND(F1628=0),D1628*E1628*G1628,IF(AND(G1628=0),D1628*E1628*F1628,D1628*E1628*F1628*G1628))))))</f>
        <v>5.5300000000000011</v>
      </c>
      <c r="I1628" s="39"/>
      <c r="J1628" s="40"/>
    </row>
    <row r="1629" spans="2:10" s="1" customFormat="1" ht="13.2" x14ac:dyDescent="0.25">
      <c r="B1629" s="45"/>
      <c r="C1629" s="38"/>
      <c r="D1629" s="22">
        <v>1</v>
      </c>
      <c r="E1629" s="23">
        <v>3.95</v>
      </c>
      <c r="F1629" s="39"/>
      <c r="G1629" s="39">
        <v>0.3</v>
      </c>
      <c r="H1629" s="39">
        <f t="shared" si="116"/>
        <v>1.1850000000000001</v>
      </c>
      <c r="I1629" s="39"/>
      <c r="J1629" s="40"/>
    </row>
    <row r="1630" spans="2:10" s="1" customFormat="1" ht="13.2" x14ac:dyDescent="0.25">
      <c r="B1630" s="45"/>
      <c r="C1630" s="38" t="s">
        <v>692</v>
      </c>
      <c r="D1630" s="1">
        <v>2</v>
      </c>
      <c r="E1630" s="75">
        <v>6.2</v>
      </c>
      <c r="F1630" s="39"/>
      <c r="G1630" s="39">
        <f>0.78-0.25+0.15</f>
        <v>0.68</v>
      </c>
      <c r="H1630" s="39">
        <f t="shared" si="116"/>
        <v>8.4320000000000004</v>
      </c>
      <c r="I1630" s="39"/>
      <c r="J1630" s="40"/>
    </row>
    <row r="1631" spans="2:10" s="1" customFormat="1" ht="13.2" x14ac:dyDescent="0.25">
      <c r="B1631" s="45"/>
      <c r="C1631" s="38"/>
      <c r="D1631" s="1">
        <v>1</v>
      </c>
      <c r="E1631" s="75">
        <v>6.2</v>
      </c>
      <c r="F1631" s="39"/>
      <c r="G1631" s="39">
        <v>0.34</v>
      </c>
      <c r="H1631" s="39">
        <f t="shared" si="116"/>
        <v>2.1080000000000001</v>
      </c>
      <c r="I1631" s="39"/>
      <c r="J1631" s="40"/>
    </row>
    <row r="1632" spans="2:10" s="1" customFormat="1" ht="13.2" x14ac:dyDescent="0.25">
      <c r="B1632" s="45"/>
      <c r="C1632" s="38" t="s">
        <v>690</v>
      </c>
      <c r="D1632" s="1">
        <v>2</v>
      </c>
      <c r="E1632" s="75">
        <v>6</v>
      </c>
      <c r="F1632" s="39"/>
      <c r="G1632" s="39">
        <f>0.35+0.15</f>
        <v>0.5</v>
      </c>
      <c r="H1632" s="39">
        <f t="shared" si="116"/>
        <v>6</v>
      </c>
      <c r="I1632" s="39"/>
      <c r="J1632" s="40"/>
    </row>
    <row r="1633" spans="2:10" s="1" customFormat="1" ht="13.2" x14ac:dyDescent="0.25">
      <c r="B1633" s="45"/>
      <c r="C1633" s="58"/>
      <c r="D1633" s="59">
        <v>1</v>
      </c>
      <c r="E1633" s="39">
        <v>6</v>
      </c>
      <c r="F1633" s="39"/>
      <c r="G1633" s="39">
        <v>0.34</v>
      </c>
      <c r="H1633" s="39">
        <f t="shared" si="116"/>
        <v>2.04</v>
      </c>
      <c r="I1633" s="39"/>
      <c r="J1633" s="40"/>
    </row>
    <row r="1634" spans="2:10" s="1" customFormat="1" ht="13.2" x14ac:dyDescent="0.25">
      <c r="B1634" s="56"/>
      <c r="C1634" s="38"/>
      <c r="D1634" s="59"/>
      <c r="E1634" s="39"/>
      <c r="F1634" s="39"/>
      <c r="G1634" s="39"/>
      <c r="H1634" s="39"/>
      <c r="I1634" s="39"/>
      <c r="J1634" s="40"/>
    </row>
    <row r="1635" spans="2:10" s="1" customFormat="1" ht="13.2" x14ac:dyDescent="0.25">
      <c r="B1635" s="56" t="s">
        <v>413</v>
      </c>
      <c r="C1635" s="57" t="s">
        <v>234</v>
      </c>
      <c r="D1635" s="59"/>
      <c r="E1635" s="39"/>
      <c r="F1635" s="39"/>
      <c r="G1635" s="39"/>
      <c r="H1635" s="39"/>
      <c r="I1635" s="39"/>
      <c r="J1635" s="40"/>
    </row>
    <row r="1636" spans="2:10" s="1" customFormat="1" ht="13.2" x14ac:dyDescent="0.25">
      <c r="B1636" s="42" t="s">
        <v>414</v>
      </c>
      <c r="C1636" s="113" t="s">
        <v>422</v>
      </c>
      <c r="D1636" s="59"/>
      <c r="E1636" s="39"/>
      <c r="F1636" s="39"/>
      <c r="G1636" s="39"/>
      <c r="H1636" s="39"/>
      <c r="I1636" s="43">
        <f>+SUM(H1637:H1637)</f>
        <v>5</v>
      </c>
      <c r="J1636" s="44" t="s">
        <v>30</v>
      </c>
    </row>
    <row r="1637" spans="2:10" s="1" customFormat="1" ht="13.2" x14ac:dyDescent="0.25">
      <c r="B1637" s="45"/>
      <c r="C1637" s="38" t="s">
        <v>698</v>
      </c>
      <c r="D1637" s="59">
        <v>5</v>
      </c>
      <c r="E1637" s="39"/>
      <c r="F1637" s="39"/>
      <c r="G1637" s="39"/>
      <c r="H1637" s="39">
        <f>+D1637</f>
        <v>5</v>
      </c>
      <c r="I1637" s="39"/>
      <c r="J1637" s="40"/>
    </row>
    <row r="1638" spans="2:10" s="1" customFormat="1" ht="13.2" x14ac:dyDescent="0.25">
      <c r="B1638" s="45"/>
      <c r="C1638" s="58"/>
      <c r="D1638" s="59"/>
      <c r="E1638" s="39"/>
      <c r="F1638" s="39"/>
      <c r="G1638" s="39"/>
      <c r="H1638" s="39"/>
      <c r="I1638" s="39"/>
      <c r="J1638" s="40"/>
    </row>
    <row r="1639" spans="2:10" s="1" customFormat="1" ht="13.2" x14ac:dyDescent="0.25">
      <c r="B1639" s="45"/>
      <c r="C1639" s="58"/>
      <c r="D1639" s="59"/>
      <c r="E1639" s="39"/>
      <c r="F1639" s="39"/>
      <c r="G1639" s="39"/>
      <c r="H1639" s="39"/>
      <c r="I1639" s="39"/>
      <c r="J1639" s="40"/>
    </row>
    <row r="1640" spans="2:10" s="1" customFormat="1" ht="13.2" x14ac:dyDescent="0.25">
      <c r="B1640" s="45"/>
      <c r="C1640" s="58"/>
      <c r="D1640" s="59"/>
      <c r="E1640" s="39"/>
      <c r="F1640" s="39"/>
      <c r="G1640" s="39"/>
      <c r="H1640" s="39"/>
      <c r="I1640" s="39"/>
      <c r="J1640" s="40"/>
    </row>
    <row r="1641" spans="2:10" s="1" customFormat="1" ht="13.2" x14ac:dyDescent="0.25">
      <c r="B1641" s="45"/>
      <c r="C1641" s="58"/>
      <c r="D1641" s="59"/>
      <c r="E1641" s="39"/>
      <c r="F1641" s="39"/>
      <c r="G1641" s="39"/>
      <c r="H1641" s="39"/>
      <c r="I1641" s="39"/>
      <c r="J1641" s="40"/>
    </row>
    <row r="1642" spans="2:10" s="1" customFormat="1" ht="13.2" x14ac:dyDescent="0.25">
      <c r="B1642" s="45"/>
      <c r="C1642" s="58"/>
      <c r="D1642" s="59"/>
      <c r="E1642" s="39"/>
      <c r="F1642" s="39"/>
      <c r="G1642" s="39"/>
      <c r="H1642" s="39"/>
      <c r="I1642" s="39"/>
      <c r="J1642" s="40"/>
    </row>
    <row r="1643" spans="2:10" s="1" customFormat="1" ht="13.2" x14ac:dyDescent="0.25">
      <c r="B1643" s="45"/>
      <c r="C1643" s="58"/>
      <c r="D1643" s="59"/>
      <c r="E1643" s="39"/>
      <c r="F1643" s="39"/>
      <c r="G1643" s="39"/>
      <c r="H1643" s="39"/>
      <c r="I1643" s="39"/>
      <c r="J1643" s="40"/>
    </row>
    <row r="1644" spans="2:10" s="1" customFormat="1" ht="13.2" x14ac:dyDescent="0.25">
      <c r="B1644" s="45"/>
      <c r="C1644" s="58"/>
      <c r="D1644" s="59"/>
      <c r="E1644" s="39"/>
      <c r="F1644" s="39"/>
      <c r="G1644" s="39"/>
      <c r="H1644" s="39"/>
      <c r="I1644" s="39"/>
      <c r="J1644" s="40"/>
    </row>
    <row r="1645" spans="2:10" s="1" customFormat="1" ht="13.2" x14ac:dyDescent="0.25">
      <c r="B1645" s="45"/>
      <c r="C1645" s="58"/>
      <c r="D1645" s="59"/>
      <c r="E1645" s="39"/>
      <c r="F1645" s="39"/>
      <c r="G1645" s="39"/>
      <c r="H1645" s="39"/>
      <c r="I1645" s="39"/>
      <c r="J1645" s="40"/>
    </row>
    <row r="1646" spans="2:10" s="1" customFormat="1" ht="13.2" x14ac:dyDescent="0.25">
      <c r="B1646" s="45"/>
      <c r="C1646" s="58"/>
      <c r="D1646" s="59"/>
      <c r="E1646" s="39"/>
      <c r="F1646" s="39"/>
      <c r="G1646" s="39"/>
      <c r="H1646" s="39"/>
      <c r="I1646" s="39"/>
      <c r="J1646" s="40"/>
    </row>
    <row r="1647" spans="2:10" s="1" customFormat="1" ht="13.2" x14ac:dyDescent="0.25">
      <c r="B1647" s="45"/>
      <c r="C1647" s="58"/>
      <c r="D1647" s="59"/>
      <c r="E1647" s="39"/>
      <c r="F1647" s="39"/>
      <c r="G1647" s="39"/>
      <c r="H1647" s="39"/>
      <c r="I1647" s="39"/>
      <c r="J1647" s="40"/>
    </row>
    <row r="1648" spans="2:10" s="1" customFormat="1" ht="13.2" x14ac:dyDescent="0.25">
      <c r="B1648" s="45"/>
      <c r="C1648" s="58"/>
      <c r="D1648" s="59"/>
      <c r="E1648" s="39"/>
      <c r="F1648" s="39"/>
      <c r="G1648" s="39"/>
      <c r="H1648" s="39"/>
      <c r="I1648" s="39"/>
      <c r="J1648" s="40"/>
    </row>
    <row r="1649" spans="2:10" s="1" customFormat="1" ht="13.2" x14ac:dyDescent="0.25">
      <c r="B1649" s="45"/>
      <c r="C1649" s="58"/>
      <c r="D1649" s="59"/>
      <c r="E1649" s="39"/>
      <c r="F1649" s="39"/>
      <c r="G1649" s="39"/>
      <c r="H1649" s="39"/>
      <c r="I1649" s="39"/>
      <c r="J1649" s="40"/>
    </row>
    <row r="1650" spans="2:10" s="1" customFormat="1" ht="13.2" x14ac:dyDescent="0.25">
      <c r="B1650" s="45"/>
      <c r="C1650" s="58"/>
      <c r="D1650" s="59"/>
      <c r="E1650" s="39"/>
      <c r="F1650" s="39"/>
      <c r="G1650" s="39"/>
      <c r="H1650" s="39"/>
      <c r="I1650" s="39"/>
      <c r="J1650" s="40"/>
    </row>
    <row r="1651" spans="2:10" s="1" customFormat="1" ht="13.2" x14ac:dyDescent="0.25">
      <c r="C1651" s="83" t="s">
        <v>0</v>
      </c>
      <c r="D1651" s="83"/>
      <c r="E1651" s="83"/>
      <c r="F1651" s="83"/>
      <c r="G1651" s="83"/>
      <c r="H1651" s="83"/>
    </row>
    <row r="1652" spans="2:10" s="1" customFormat="1" ht="13.2" x14ac:dyDescent="0.25">
      <c r="C1652" s="83" t="s">
        <v>1</v>
      </c>
      <c r="D1652" s="83"/>
      <c r="E1652" s="83"/>
      <c r="F1652" s="83"/>
      <c r="G1652" s="83"/>
      <c r="H1652" s="83"/>
    </row>
    <row r="1653" spans="2:10" s="1" customFormat="1" ht="13.2" x14ac:dyDescent="0.25">
      <c r="C1653" s="83" t="s">
        <v>2</v>
      </c>
      <c r="D1653" s="83"/>
      <c r="E1653" s="83"/>
      <c r="F1653" s="83"/>
      <c r="G1653" s="83"/>
      <c r="H1653" s="83"/>
    </row>
    <row r="1654" spans="2:10" s="1" customFormat="1" ht="13.2" x14ac:dyDescent="0.25">
      <c r="C1654" s="52" t="s">
        <v>3</v>
      </c>
      <c r="D1654" s="52"/>
      <c r="E1654" s="52"/>
      <c r="F1654" s="52"/>
      <c r="G1654" s="52"/>
      <c r="H1654" s="52"/>
    </row>
    <row r="1655" spans="2:10" s="1" customFormat="1" ht="12.75" customHeight="1" x14ac:dyDescent="0.25">
      <c r="C1655" s="52"/>
      <c r="D1655" s="52"/>
      <c r="E1655" s="52"/>
      <c r="F1655" s="52"/>
      <c r="G1655" s="52"/>
      <c r="H1655" s="52"/>
    </row>
    <row r="1656" spans="2:10" s="1" customFormat="1" ht="15.6" x14ac:dyDescent="0.25">
      <c r="B1656" s="84" t="s">
        <v>458</v>
      </c>
      <c r="C1656" s="85"/>
      <c r="D1656" s="85"/>
      <c r="E1656" s="85"/>
      <c r="F1656" s="85"/>
      <c r="G1656" s="85"/>
      <c r="H1656" s="85"/>
      <c r="I1656" s="85"/>
      <c r="J1656" s="86"/>
    </row>
    <row r="1657" spans="2:10" s="1" customFormat="1" ht="21" x14ac:dyDescent="0.25">
      <c r="B1657" s="87" t="s">
        <v>508</v>
      </c>
      <c r="C1657" s="88"/>
      <c r="D1657" s="88"/>
      <c r="E1657" s="88"/>
      <c r="F1657" s="88"/>
      <c r="G1657" s="88"/>
      <c r="H1657" s="88"/>
      <c r="I1657" s="88"/>
      <c r="J1657" s="89"/>
    </row>
    <row r="1658" spans="2:10" s="1" customFormat="1" ht="13.8" thickBot="1" x14ac:dyDescent="0.3">
      <c r="B1658" s="53"/>
      <c r="C1658" s="53"/>
      <c r="D1658" s="53"/>
      <c r="E1658" s="53"/>
      <c r="F1658" s="53"/>
      <c r="G1658" s="53"/>
      <c r="H1658" s="53"/>
      <c r="I1658" s="53"/>
      <c r="J1658" s="53"/>
    </row>
    <row r="1659" spans="2:10" s="1" customFormat="1" ht="24.75" customHeight="1" x14ac:dyDescent="0.25">
      <c r="B1659" s="123" t="s">
        <v>6</v>
      </c>
      <c r="C1659" s="124"/>
      <c r="D1659" s="124"/>
      <c r="E1659" s="124"/>
      <c r="F1659" s="124"/>
      <c r="G1659" s="124"/>
      <c r="H1659" s="124"/>
      <c r="I1659" s="124"/>
      <c r="J1659" s="125"/>
    </row>
    <row r="1660" spans="2:10" s="1" customFormat="1" ht="13.2" x14ac:dyDescent="0.25">
      <c r="B1660" s="2" t="s">
        <v>7</v>
      </c>
      <c r="C1660" s="3" t="s">
        <v>8</v>
      </c>
      <c r="D1660" s="3"/>
      <c r="E1660" s="4"/>
      <c r="F1660" s="5"/>
      <c r="G1660" s="6" t="s">
        <v>9</v>
      </c>
      <c r="H1660" s="126">
        <v>42879</v>
      </c>
      <c r="I1660" s="126"/>
      <c r="J1660" s="7"/>
    </row>
    <row r="1661" spans="2:10" s="1" customFormat="1" ht="13.2" x14ac:dyDescent="0.25">
      <c r="B1661" s="2" t="s">
        <v>10</v>
      </c>
      <c r="C1661" s="3" t="s">
        <v>11</v>
      </c>
      <c r="F1661" s="3"/>
      <c r="G1661" s="8" t="s">
        <v>12</v>
      </c>
      <c r="H1661" s="4" t="s">
        <v>11</v>
      </c>
      <c r="I1661" s="9"/>
      <c r="J1661" s="10"/>
    </row>
    <row r="1662" spans="2:10" s="1" customFormat="1" ht="13.2" x14ac:dyDescent="0.25">
      <c r="B1662" s="2" t="s">
        <v>13</v>
      </c>
      <c r="C1662" s="3" t="s">
        <v>11</v>
      </c>
      <c r="F1662" s="3"/>
      <c r="G1662" s="8" t="s">
        <v>14</v>
      </c>
      <c r="H1662" s="4" t="s">
        <v>15</v>
      </c>
      <c r="I1662" s="9"/>
      <c r="J1662" s="10"/>
    </row>
    <row r="1663" spans="2:10" s="1" customFormat="1" ht="13.8" thickBot="1" x14ac:dyDescent="0.3">
      <c r="B1663" s="11" t="s">
        <v>16</v>
      </c>
      <c r="C1663" s="12" t="s">
        <v>17</v>
      </c>
      <c r="D1663" s="13"/>
      <c r="E1663" s="13"/>
      <c r="F1663" s="12"/>
      <c r="G1663" s="14" t="s">
        <v>18</v>
      </c>
      <c r="H1663" s="15" t="s">
        <v>19</v>
      </c>
      <c r="I1663" s="16"/>
      <c r="J1663" s="17"/>
    </row>
    <row r="1664" spans="2:10" s="1" customFormat="1" ht="13.2" x14ac:dyDescent="0.25">
      <c r="B1664" s="53"/>
      <c r="C1664" s="53"/>
      <c r="D1664" s="53"/>
      <c r="E1664" s="53"/>
      <c r="F1664" s="53"/>
      <c r="G1664" s="53"/>
      <c r="H1664" s="53"/>
      <c r="I1664" s="53"/>
      <c r="J1664" s="53"/>
    </row>
    <row r="1665" spans="2:10" s="1" customFormat="1" ht="13.2" x14ac:dyDescent="0.25">
      <c r="B1665" s="20" t="s">
        <v>20</v>
      </c>
      <c r="C1665" s="21" t="s">
        <v>21</v>
      </c>
      <c r="D1665" s="21" t="s">
        <v>460</v>
      </c>
      <c r="E1665" s="21" t="s">
        <v>461</v>
      </c>
      <c r="F1665" s="21" t="s">
        <v>462</v>
      </c>
      <c r="G1665" s="21" t="s">
        <v>463</v>
      </c>
      <c r="H1665" s="21" t="s">
        <v>464</v>
      </c>
      <c r="I1665" s="21" t="s">
        <v>22</v>
      </c>
      <c r="J1665" s="21" t="s">
        <v>23</v>
      </c>
    </row>
    <row r="1666" spans="2:10" s="1" customFormat="1" ht="13.2" x14ac:dyDescent="0.25">
      <c r="B1666" s="54">
        <v>4.03</v>
      </c>
      <c r="C1666" s="55" t="s">
        <v>182</v>
      </c>
      <c r="D1666" s="59"/>
      <c r="E1666" s="39"/>
      <c r="F1666" s="39"/>
      <c r="G1666" s="39"/>
      <c r="H1666" s="39"/>
      <c r="I1666" s="39"/>
      <c r="J1666" s="40"/>
    </row>
    <row r="1667" spans="2:10" s="1" customFormat="1" ht="13.2" x14ac:dyDescent="0.25">
      <c r="B1667" s="72" t="s">
        <v>183</v>
      </c>
      <c r="C1667" s="72" t="s">
        <v>331</v>
      </c>
      <c r="D1667" s="59"/>
      <c r="E1667" s="39"/>
      <c r="F1667" s="39"/>
      <c r="G1667" s="39"/>
      <c r="H1667" s="39"/>
      <c r="I1667" s="39"/>
      <c r="J1667" s="40"/>
    </row>
    <row r="1668" spans="2:10" s="1" customFormat="1" ht="13.2" x14ac:dyDescent="0.25">
      <c r="B1668" s="24" t="s">
        <v>185</v>
      </c>
      <c r="C1668" s="27" t="s">
        <v>332</v>
      </c>
      <c r="D1668" s="59"/>
      <c r="E1668" s="39"/>
      <c r="F1668" s="39"/>
      <c r="G1668" s="39"/>
      <c r="H1668" s="39"/>
      <c r="I1668" s="39">
        <f>+SUM(H1669:H1671)</f>
        <v>6.8650000000000002</v>
      </c>
      <c r="J1668" s="40" t="s">
        <v>333</v>
      </c>
    </row>
    <row r="1669" spans="2:10" s="1" customFormat="1" ht="13.2" x14ac:dyDescent="0.25">
      <c r="B1669" s="45"/>
      <c r="C1669" s="38" t="s">
        <v>699</v>
      </c>
      <c r="D1669" s="39">
        <v>1</v>
      </c>
      <c r="E1669" s="39">
        <v>1.75</v>
      </c>
      <c r="F1669" s="39">
        <v>0.4</v>
      </c>
      <c r="G1669" s="39"/>
      <c r="H1669" s="39">
        <f t="shared" ref="H1669:H1671" si="117">IF(AND(F1669=0,G1669=0),D1669*E1669,IF(AND(E1669=0,G1669=0),D1669*F1669,IF(AND(E1669=0,F1669=0),D1669*G1669,IF(AND(E1669=0),D1669*F1669*G1669,IF(AND(F1669=0),D1669*E1669*G1669,IF(AND(G1669=0),D1669*E1669*F1669,D1669*E1669*F1669*G1669))))))</f>
        <v>0.70000000000000007</v>
      </c>
      <c r="I1669" s="39"/>
      <c r="J1669" s="40"/>
    </row>
    <row r="1670" spans="2:10" s="1" customFormat="1" ht="13.2" x14ac:dyDescent="0.25">
      <c r="B1670" s="45"/>
      <c r="C1670" s="42" t="s">
        <v>592</v>
      </c>
      <c r="D1670" s="59"/>
      <c r="E1670" s="39"/>
      <c r="F1670" s="39"/>
      <c r="G1670" s="39"/>
      <c r="H1670" s="39"/>
      <c r="I1670" s="39"/>
      <c r="J1670" s="40"/>
    </row>
    <row r="1671" spans="2:10" s="1" customFormat="1" ht="13.2" x14ac:dyDescent="0.25">
      <c r="B1671" s="45"/>
      <c r="C1671" s="38" t="s">
        <v>700</v>
      </c>
      <c r="D1671" s="59">
        <v>1</v>
      </c>
      <c r="E1671" s="39">
        <f>7.9+5.5+0.2+0.1</f>
        <v>13.7</v>
      </c>
      <c r="F1671" s="39">
        <v>0.45</v>
      </c>
      <c r="G1671" s="39"/>
      <c r="H1671" s="39">
        <f t="shared" si="117"/>
        <v>6.165</v>
      </c>
      <c r="I1671" s="39"/>
      <c r="J1671" s="40"/>
    </row>
    <row r="1672" spans="2:10" x14ac:dyDescent="0.3">
      <c r="B1672" s="24" t="s">
        <v>187</v>
      </c>
      <c r="C1672" s="27" t="s">
        <v>334</v>
      </c>
      <c r="D1672" s="22"/>
      <c r="E1672" s="22"/>
      <c r="F1672" s="22"/>
      <c r="G1672" s="22"/>
      <c r="H1672" s="23"/>
      <c r="I1672" s="24">
        <f>+I1668</f>
        <v>6.8650000000000002</v>
      </c>
      <c r="J1672" s="25" t="s">
        <v>333</v>
      </c>
    </row>
    <row r="1673" spans="2:10" s="1" customFormat="1" ht="13.2" x14ac:dyDescent="0.25">
      <c r="B1673" s="45"/>
      <c r="C1673" s="58"/>
      <c r="D1673" s="59"/>
      <c r="E1673" s="39"/>
      <c r="F1673" s="39"/>
      <c r="G1673" s="39"/>
      <c r="H1673" s="39"/>
      <c r="I1673" s="39"/>
      <c r="J1673" s="40"/>
    </row>
    <row r="1674" spans="2:10" x14ac:dyDescent="0.3">
      <c r="B1674" s="72" t="s">
        <v>359</v>
      </c>
      <c r="C1674" s="72" t="s">
        <v>345</v>
      </c>
      <c r="D1674" s="22"/>
      <c r="E1674" s="22"/>
      <c r="F1674" s="22"/>
      <c r="G1674" s="22"/>
      <c r="H1674" s="23"/>
      <c r="I1674" s="24"/>
      <c r="J1674" s="25"/>
    </row>
    <row r="1675" spans="2:10" s="1" customFormat="1" ht="15.75" customHeight="1" x14ac:dyDescent="0.25">
      <c r="B1675" s="24" t="s">
        <v>361</v>
      </c>
      <c r="C1675" s="1" t="s">
        <v>347</v>
      </c>
      <c r="D1675" s="59"/>
      <c r="E1675" s="39"/>
      <c r="F1675" s="39"/>
      <c r="G1675" s="39"/>
      <c r="H1675" s="23"/>
      <c r="I1675" s="24">
        <f>+SUM(H1676)</f>
        <v>0.35000000000000003</v>
      </c>
      <c r="J1675" s="25" t="s">
        <v>337</v>
      </c>
    </row>
    <row r="1676" spans="2:10" s="1" customFormat="1" ht="15.75" customHeight="1" x14ac:dyDescent="0.25">
      <c r="B1676" s="24"/>
      <c r="C1676" s="38" t="s">
        <v>699</v>
      </c>
      <c r="D1676" s="39">
        <v>1</v>
      </c>
      <c r="E1676" s="39">
        <v>1.75</v>
      </c>
      <c r="F1676" s="39">
        <v>0.4</v>
      </c>
      <c r="G1676" s="39">
        <f>0.3+0.2</f>
        <v>0.5</v>
      </c>
      <c r="H1676" s="39">
        <f>IF(AND(F1676=0,G1676=0),D1676*E1676,IF(AND(E1676=0,G1676=0),D1676*F1676,IF(AND(E1676=0,F1676=0),D1676*G1676,IF(AND(E1676=0),D1676*F1676*G1676,IF(AND(F1676=0),D1676*E1676*G1676,IF(AND(G1676=0),D1676*E1676*F1676,D1676*E1676*F1676*G1676))))))</f>
        <v>0.35000000000000003</v>
      </c>
      <c r="I1676" s="39"/>
      <c r="J1676" s="40"/>
    </row>
    <row r="1677" spans="2:10" x14ac:dyDescent="0.3">
      <c r="B1677" s="24" t="s">
        <v>556</v>
      </c>
      <c r="C1677" s="115" t="s">
        <v>350</v>
      </c>
      <c r="D1677" s="22"/>
      <c r="E1677" s="22"/>
      <c r="F1677" s="22"/>
      <c r="G1677" s="22"/>
      <c r="I1677" s="23">
        <f>+SUM(H1678:H1678)</f>
        <v>0.70000000000000007</v>
      </c>
      <c r="J1677" s="25" t="s">
        <v>333</v>
      </c>
    </row>
    <row r="1678" spans="2:10" x14ac:dyDescent="0.3">
      <c r="B1678" s="24"/>
      <c r="C1678" s="38" t="s">
        <v>699</v>
      </c>
      <c r="D1678" s="39">
        <v>1</v>
      </c>
      <c r="E1678" s="39">
        <v>1.75</v>
      </c>
      <c r="F1678" s="39">
        <v>0.4</v>
      </c>
      <c r="G1678" s="39"/>
      <c r="H1678" s="39">
        <f>IF(AND(F1678=0,G1678=0),D1678*E1678,IF(AND(E1678=0,G1678=0),D1678*F1678,IF(AND(E1678=0,F1678=0),D1678*G1678,IF(AND(E1678=0),D1678*F1678*G1678,IF(AND(F1678=0),D1678*E1678*G1678,IF(AND(G1678=0),D1678*E1678*F1678,D1678*E1678*F1678*G1678))))))</f>
        <v>0.70000000000000007</v>
      </c>
      <c r="I1678" s="24"/>
      <c r="J1678" s="25"/>
    </row>
    <row r="1679" spans="2:10" s="1" customFormat="1" ht="13.2" x14ac:dyDescent="0.25">
      <c r="B1679" s="24" t="s">
        <v>555</v>
      </c>
      <c r="C1679" s="1" t="s">
        <v>349</v>
      </c>
      <c r="D1679" s="59"/>
      <c r="E1679" s="39"/>
      <c r="F1679" s="39"/>
      <c r="G1679" s="39"/>
      <c r="H1679" s="39"/>
      <c r="I1679" s="39">
        <f>+SUM(H1680)</f>
        <v>0</v>
      </c>
      <c r="J1679" s="40" t="s">
        <v>337</v>
      </c>
    </row>
    <row r="1680" spans="2:10" s="1" customFormat="1" ht="13.2" x14ac:dyDescent="0.25">
      <c r="B1680" s="45"/>
      <c r="C1680" s="38"/>
      <c r="E1680" s="39"/>
      <c r="F1680" s="39"/>
      <c r="G1680" s="39"/>
      <c r="H1680" s="39">
        <f>IF(AND(F1680=0,G1680=0),D1680*E1680,IF(AND(E1680=0,G1680=0),D1680*F1680,IF(AND(E1680=0,F1680=0),D1680*G1680,IF(AND(E1680=0),D1680*F1680*G1680,IF(AND(F1680=0),D1680*E1680*G1680,IF(AND(G1680=0),D1680*E1680*F1680,D1680*E1680*F1680*G1680))))))</f>
        <v>0</v>
      </c>
      <c r="I1680" s="39"/>
      <c r="J1680" s="40"/>
    </row>
    <row r="1681" spans="2:10" s="1" customFormat="1" ht="13.2" x14ac:dyDescent="0.25">
      <c r="B1681" s="24" t="s">
        <v>557</v>
      </c>
      <c r="C1681" s="115" t="s">
        <v>351</v>
      </c>
      <c r="D1681" s="59"/>
      <c r="E1681" s="39"/>
      <c r="F1681" s="39"/>
      <c r="G1681" s="39"/>
      <c r="H1681" s="39"/>
      <c r="I1681" s="39">
        <f>+SUM(H1683:H1683)-H1685</f>
        <v>2.4035229678272789</v>
      </c>
      <c r="J1681" s="40" t="s">
        <v>337</v>
      </c>
    </row>
    <row r="1682" spans="2:10" s="1" customFormat="1" ht="13.2" x14ac:dyDescent="0.25">
      <c r="B1682" s="45"/>
      <c r="C1682" s="42" t="s">
        <v>592</v>
      </c>
      <c r="D1682" s="59"/>
      <c r="E1682" s="39"/>
      <c r="F1682" s="39"/>
      <c r="G1682" s="39"/>
      <c r="H1682" s="39"/>
      <c r="I1682" s="39"/>
      <c r="J1682" s="40"/>
    </row>
    <row r="1683" spans="2:10" s="1" customFormat="1" ht="13.2" x14ac:dyDescent="0.25">
      <c r="B1683" s="45"/>
      <c r="C1683" s="38" t="s">
        <v>700</v>
      </c>
      <c r="D1683" s="59">
        <v>1</v>
      </c>
      <c r="E1683" s="39">
        <f>7.9+5.5+0.2+0.1</f>
        <v>13.7</v>
      </c>
      <c r="F1683" s="39">
        <v>0.45</v>
      </c>
      <c r="G1683" s="39">
        <v>0.4</v>
      </c>
      <c r="H1683" s="39">
        <f t="shared" ref="H1683" si="118">IF(AND(F1683=0,G1683=0),D1683*E1683,IF(AND(E1683=0,G1683=0),D1683*F1683,IF(AND(E1683=0,F1683=0),D1683*G1683,IF(AND(E1683=0),D1683*F1683*G1683,IF(AND(F1683=0),D1683*E1683*G1683,IF(AND(G1683=0),D1683*E1683*F1683,D1683*E1683*F1683*G1683))))))</f>
        <v>2.4660000000000002</v>
      </c>
      <c r="I1683" s="39"/>
      <c r="J1683" s="40"/>
    </row>
    <row r="1684" spans="2:10" s="1" customFormat="1" ht="13.2" x14ac:dyDescent="0.25">
      <c r="B1684" s="45"/>
      <c r="F1684" s="39" t="s">
        <v>485</v>
      </c>
      <c r="G1684" s="39">
        <v>3</v>
      </c>
      <c r="I1684" s="39"/>
      <c r="J1684" s="40"/>
    </row>
    <row r="1685" spans="2:10" s="1" customFormat="1" ht="13.2" x14ac:dyDescent="0.25">
      <c r="B1685" s="45"/>
      <c r="C1685" s="38" t="s">
        <v>569</v>
      </c>
      <c r="D1685" s="59">
        <v>1</v>
      </c>
      <c r="E1685" s="39">
        <f>+SUM(E1683:E1683)</f>
        <v>13.7</v>
      </c>
      <c r="F1685" s="39" t="s">
        <v>570</v>
      </c>
      <c r="G1685" s="108">
        <f>+PI()*((G1684*0.0254)^2)/4</f>
        <v>4.5603673118774788E-3</v>
      </c>
      <c r="H1685" s="39">
        <f>+E1685*G1685</f>
        <v>6.2477032172721457E-2</v>
      </c>
      <c r="I1685" s="39"/>
      <c r="J1685" s="40"/>
    </row>
    <row r="1686" spans="2:10" s="1" customFormat="1" ht="13.2" x14ac:dyDescent="0.25">
      <c r="B1686" s="24" t="s">
        <v>558</v>
      </c>
      <c r="C1686" s="27" t="s">
        <v>352</v>
      </c>
      <c r="D1686" s="59"/>
      <c r="E1686" s="39"/>
      <c r="F1686" s="39"/>
      <c r="G1686" s="39"/>
      <c r="H1686" s="39"/>
      <c r="I1686" s="39">
        <f>+SUM(H1687)</f>
        <v>2.1000000000000005</v>
      </c>
      <c r="J1686" s="40" t="s">
        <v>333</v>
      </c>
    </row>
    <row r="1687" spans="2:10" s="1" customFormat="1" ht="13.2" x14ac:dyDescent="0.25">
      <c r="B1687" s="45"/>
      <c r="C1687" s="38" t="s">
        <v>699</v>
      </c>
      <c r="D1687" s="39">
        <v>1</v>
      </c>
      <c r="E1687" s="39">
        <v>1.75</v>
      </c>
      <c r="F1687" s="39">
        <v>0.4</v>
      </c>
      <c r="G1687" s="39">
        <f>0.3+0.1</f>
        <v>0.4</v>
      </c>
      <c r="H1687" s="39">
        <f>+(F1687+G1687*2)*E1687</f>
        <v>2.1000000000000005</v>
      </c>
      <c r="I1687" s="39"/>
      <c r="J1687" s="40"/>
    </row>
    <row r="1688" spans="2:10" s="1" customFormat="1" ht="13.2" x14ac:dyDescent="0.25">
      <c r="B1688" s="24" t="s">
        <v>559</v>
      </c>
      <c r="C1688" s="27" t="s">
        <v>353</v>
      </c>
      <c r="D1688" s="59"/>
      <c r="E1688" s="39"/>
      <c r="F1688" s="39"/>
      <c r="G1688" s="39"/>
      <c r="H1688" s="39"/>
      <c r="I1688" s="39">
        <f>+SUM(H1690)</f>
        <v>17.809999999999999</v>
      </c>
      <c r="J1688" s="40" t="s">
        <v>333</v>
      </c>
    </row>
    <row r="1689" spans="2:10" s="1" customFormat="1" ht="13.2" x14ac:dyDescent="0.25">
      <c r="B1689" s="45"/>
      <c r="C1689" s="42" t="s">
        <v>592</v>
      </c>
      <c r="D1689" s="59"/>
      <c r="E1689" s="39"/>
      <c r="F1689" s="39"/>
      <c r="G1689" s="39"/>
      <c r="H1689" s="39"/>
      <c r="I1689" s="39"/>
      <c r="J1689" s="40"/>
    </row>
    <row r="1690" spans="2:10" s="1" customFormat="1" ht="13.2" x14ac:dyDescent="0.25">
      <c r="B1690" s="45"/>
      <c r="C1690" s="38" t="s">
        <v>700</v>
      </c>
      <c r="D1690" s="59">
        <v>1</v>
      </c>
      <c r="E1690" s="39">
        <f>7.9+5.5+0.2+0.1</f>
        <v>13.7</v>
      </c>
      <c r="F1690" s="39">
        <v>0.5</v>
      </c>
      <c r="G1690" s="39">
        <v>0.4</v>
      </c>
      <c r="H1690" s="39">
        <f>+(F1690+G1690*2)*E1690</f>
        <v>17.809999999999999</v>
      </c>
      <c r="I1690" s="39"/>
      <c r="J1690" s="40"/>
    </row>
    <row r="1691" spans="2:10" s="115" customFormat="1" ht="13.2" x14ac:dyDescent="0.25">
      <c r="B1691" s="24" t="s">
        <v>560</v>
      </c>
      <c r="C1691" s="27" t="s">
        <v>354</v>
      </c>
      <c r="D1691" s="59"/>
      <c r="E1691" s="39"/>
      <c r="F1691" s="39" t="s">
        <v>571</v>
      </c>
      <c r="G1691" s="39"/>
      <c r="H1691" s="39"/>
      <c r="I1691" s="39">
        <f>+SUM(H1692:H1694)</f>
        <v>31.159999999999997</v>
      </c>
      <c r="J1691" s="40" t="s">
        <v>355</v>
      </c>
    </row>
    <row r="1692" spans="2:10" s="115" customFormat="1" ht="13.2" x14ac:dyDescent="0.25">
      <c r="B1692" s="107"/>
      <c r="C1692" s="38" t="s">
        <v>509</v>
      </c>
      <c r="D1692" s="59">
        <v>2</v>
      </c>
      <c r="E1692" s="39">
        <v>2.65</v>
      </c>
      <c r="F1692" s="39">
        <f>8.2/5</f>
        <v>1.64</v>
      </c>
      <c r="G1692" s="39"/>
      <c r="H1692" s="39">
        <f>IF(AND(F1692=0,G1692=0),D1692*E1692,IF(AND(E1692=0,G1692=0),D1692*F1692,IF(AND(E1692=0,F1692=0),D1692*G1692,IF(AND(E1692=0),D1692*F1692*G1692,IF(AND(F1692=0),D1692*E1692*G1692,IF(AND(G1692=0),D1692*E1692*F1692,D1692*E1692*F1692*G1692))))))</f>
        <v>8.6919999999999984</v>
      </c>
      <c r="I1692" s="39"/>
      <c r="J1692" s="40"/>
    </row>
    <row r="1693" spans="2:10" s="1" customFormat="1" ht="13.2" x14ac:dyDescent="0.25">
      <c r="B1693" s="107"/>
      <c r="C1693" s="42" t="s">
        <v>592</v>
      </c>
      <c r="D1693" s="59"/>
      <c r="E1693" s="39"/>
      <c r="F1693" s="39"/>
      <c r="G1693" s="39"/>
      <c r="H1693" s="39"/>
      <c r="I1693" s="39"/>
      <c r="J1693" s="40"/>
    </row>
    <row r="1694" spans="2:10" s="1" customFormat="1" ht="13.2" x14ac:dyDescent="0.25">
      <c r="B1694" s="107"/>
      <c r="C1694" s="38" t="s">
        <v>700</v>
      </c>
      <c r="D1694" s="59">
        <v>1</v>
      </c>
      <c r="E1694" s="39">
        <f>7.9+5.5+0.2+0.1</f>
        <v>13.7</v>
      </c>
      <c r="F1694" s="39">
        <f t="shared" ref="F1694" si="119">8.2/5</f>
        <v>1.64</v>
      </c>
      <c r="G1694" s="39"/>
      <c r="H1694" s="39">
        <f t="shared" ref="H1694" si="120">IF(AND(F1694=0,G1694=0),D1694*E1694,IF(AND(E1694=0,G1694=0),D1694*F1694,IF(AND(E1694=0,F1694=0),D1694*G1694,IF(AND(E1694=0),D1694*F1694*G1694,IF(AND(F1694=0),D1694*E1694*G1694,IF(AND(G1694=0),D1694*E1694*F1694,D1694*E1694*F1694*G1694))))))</f>
        <v>22.467999999999996</v>
      </c>
      <c r="I1694" s="39"/>
      <c r="J1694" s="40"/>
    </row>
    <row r="1695" spans="2:10" s="1" customFormat="1" ht="13.2" x14ac:dyDescent="0.25">
      <c r="B1695" s="107"/>
      <c r="C1695" s="101"/>
      <c r="D1695" s="59"/>
      <c r="E1695" s="39"/>
      <c r="F1695" s="39"/>
      <c r="G1695" s="39"/>
      <c r="H1695" s="39"/>
      <c r="I1695" s="39"/>
      <c r="J1695" s="40"/>
    </row>
    <row r="1696" spans="2:10" s="1" customFormat="1" ht="13.2" x14ac:dyDescent="0.25">
      <c r="B1696" s="24" t="s">
        <v>561</v>
      </c>
      <c r="C1696" s="27" t="s">
        <v>356</v>
      </c>
      <c r="D1696" s="59"/>
      <c r="E1696" s="39"/>
      <c r="F1696" s="39"/>
      <c r="G1696" s="39"/>
      <c r="H1696" s="39"/>
      <c r="I1696" s="39">
        <f>+SUM(H1697:H1698)</f>
        <v>0.17500000000000002</v>
      </c>
      <c r="J1696" s="40" t="s">
        <v>337</v>
      </c>
    </row>
    <row r="1697" spans="2:10" s="1" customFormat="1" ht="13.2" x14ac:dyDescent="0.25">
      <c r="B1697" s="45"/>
      <c r="C1697" s="38" t="s">
        <v>701</v>
      </c>
      <c r="D1697" s="39">
        <v>2</v>
      </c>
      <c r="E1697" s="39">
        <v>1.75</v>
      </c>
      <c r="F1697" s="39">
        <v>0.1</v>
      </c>
      <c r="G1697" s="39">
        <v>0.3</v>
      </c>
      <c r="H1697" s="39">
        <f t="shared" ref="H1697:H1698" si="121">IF(AND(F1697=0,G1697=0),D1697*E1697,IF(AND(E1697=0,G1697=0),D1697*F1697,IF(AND(E1697=0,F1697=0),D1697*G1697,IF(AND(E1697=0),D1697*F1697*G1697,IF(AND(F1697=0),D1697*E1697*G1697,IF(AND(G1697=0),D1697*E1697*F1697,D1697*E1697*F1697*G1697))))))</f>
        <v>0.10500000000000001</v>
      </c>
      <c r="I1697" s="39"/>
      <c r="J1697" s="40"/>
    </row>
    <row r="1698" spans="2:10" s="1" customFormat="1" ht="13.2" x14ac:dyDescent="0.25">
      <c r="B1698" s="45"/>
      <c r="C1698" s="58"/>
      <c r="D1698" s="59">
        <v>1</v>
      </c>
      <c r="E1698" s="39">
        <v>1.75</v>
      </c>
      <c r="F1698" s="39">
        <v>0.4</v>
      </c>
      <c r="G1698" s="39">
        <v>0.1</v>
      </c>
      <c r="H1698" s="39">
        <f t="shared" si="121"/>
        <v>7.0000000000000007E-2</v>
      </c>
      <c r="I1698" s="39"/>
      <c r="J1698" s="40"/>
    </row>
    <row r="1699" spans="2:10" s="115" customFormat="1" ht="13.2" x14ac:dyDescent="0.25">
      <c r="B1699" s="45"/>
      <c r="C1699" s="58"/>
      <c r="D1699" s="59"/>
      <c r="E1699" s="39"/>
      <c r="F1699" s="39"/>
      <c r="G1699" s="39"/>
      <c r="H1699" s="39"/>
      <c r="I1699" s="39"/>
      <c r="J1699" s="40"/>
    </row>
    <row r="1700" spans="2:10" s="115" customFormat="1" ht="13.2" x14ac:dyDescent="0.25">
      <c r="B1700" s="24" t="s">
        <v>562</v>
      </c>
      <c r="C1700" s="27" t="s">
        <v>357</v>
      </c>
      <c r="D1700" s="59" t="s">
        <v>574</v>
      </c>
      <c r="E1700" s="39"/>
      <c r="F1700" s="39"/>
      <c r="G1700" s="39"/>
      <c r="H1700" s="39"/>
      <c r="I1700" s="39">
        <f>+SUM(H1701:H1704)</f>
        <v>0.51559629021590181</v>
      </c>
      <c r="J1700" s="40" t="s">
        <v>337</v>
      </c>
    </row>
    <row r="1701" spans="2:10" s="1" customFormat="1" ht="13.2" x14ac:dyDescent="0.25">
      <c r="B1701" s="90"/>
      <c r="C1701" s="38" t="s">
        <v>699</v>
      </c>
      <c r="D1701" s="39">
        <v>1.25</v>
      </c>
      <c r="E1701" s="39">
        <v>1.75</v>
      </c>
      <c r="F1701" s="39">
        <v>0.4</v>
      </c>
      <c r="G1701" s="39">
        <f>0.3+0.2</f>
        <v>0.5</v>
      </c>
      <c r="H1701" s="39">
        <f>IF(AND(F1701=0,G1701=0),D1701*E1701,IF(AND(E1701=0,G1701=0),D1701*F1701,IF(AND(E1701=0,F1701=0),D1701*G1701,IF(AND(E1701=0),D1701*F1701*G1701,IF(AND(F1701=0),D1701*E1701*G1701,IF(AND(G1701=0),D1701*E1701*F1701,D1701*E1701*F1701*G1701))))))</f>
        <v>0.4375</v>
      </c>
      <c r="I1701" s="39"/>
      <c r="J1701" s="40"/>
    </row>
    <row r="1702" spans="2:10" s="1" customFormat="1" ht="13.2" x14ac:dyDescent="0.25">
      <c r="B1702" s="90"/>
      <c r="C1702" s="42" t="s">
        <v>592</v>
      </c>
      <c r="D1702" s="59"/>
      <c r="E1702" s="39"/>
      <c r="F1702" s="39"/>
      <c r="G1702" s="39"/>
      <c r="H1702" s="39"/>
      <c r="I1702" s="39"/>
      <c r="J1702" s="40"/>
    </row>
    <row r="1703" spans="2:10" s="1" customFormat="1" ht="13.2" x14ac:dyDescent="0.25">
      <c r="B1703" s="90"/>
      <c r="C1703" s="38" t="s">
        <v>700</v>
      </c>
      <c r="F1703" s="39" t="s">
        <v>485</v>
      </c>
      <c r="G1703" s="39">
        <v>3</v>
      </c>
      <c r="H1703" s="39"/>
      <c r="I1703" s="39"/>
      <c r="J1703" s="40"/>
    </row>
    <row r="1704" spans="2:10" s="1" customFormat="1" ht="13.2" x14ac:dyDescent="0.25">
      <c r="B1704" s="90"/>
      <c r="C1704" s="38" t="s">
        <v>569</v>
      </c>
      <c r="D1704" s="59">
        <v>1.25</v>
      </c>
      <c r="E1704" s="39">
        <f>+E1685</f>
        <v>13.7</v>
      </c>
      <c r="F1704" s="39" t="s">
        <v>570</v>
      </c>
      <c r="G1704" s="108">
        <f>+PI()*((G1703*0.0254)^2)/4</f>
        <v>4.5603673118774788E-3</v>
      </c>
      <c r="H1704" s="39">
        <f>+D1704*E1704*G1704</f>
        <v>7.8096290215901823E-2</v>
      </c>
      <c r="I1704" s="39"/>
      <c r="J1704" s="40"/>
    </row>
    <row r="1705" spans="2:10" s="115" customFormat="1" ht="13.2" x14ac:dyDescent="0.25">
      <c r="B1705" s="24" t="s">
        <v>563</v>
      </c>
      <c r="C1705" s="27" t="s">
        <v>358</v>
      </c>
      <c r="D1705" s="59"/>
      <c r="E1705" s="39"/>
      <c r="F1705" s="39"/>
      <c r="G1705" s="39"/>
      <c r="H1705" s="39"/>
      <c r="I1705" s="39">
        <f>+I1700</f>
        <v>0.51559629021590181</v>
      </c>
      <c r="J1705" s="40" t="s">
        <v>337</v>
      </c>
    </row>
    <row r="1706" spans="2:10" s="115" customFormat="1" ht="13.2" x14ac:dyDescent="0.25">
      <c r="B1706" s="45"/>
      <c r="C1706" s="58"/>
      <c r="D1706" s="59"/>
      <c r="E1706" s="39"/>
      <c r="F1706" s="39"/>
      <c r="G1706" s="39"/>
      <c r="H1706" s="39"/>
      <c r="I1706" s="39"/>
      <c r="J1706" s="40"/>
    </row>
    <row r="1707" spans="2:10" x14ac:dyDescent="0.3">
      <c r="B1707" s="72" t="s">
        <v>365</v>
      </c>
      <c r="C1707" s="73" t="s">
        <v>360</v>
      </c>
      <c r="D1707" s="22"/>
      <c r="E1707" s="22"/>
      <c r="F1707" s="22"/>
      <c r="G1707" s="22"/>
      <c r="H1707" s="23"/>
      <c r="I1707" s="24"/>
      <c r="J1707" s="25"/>
    </row>
    <row r="1708" spans="2:10" s="1" customFormat="1" ht="13.2" x14ac:dyDescent="0.25">
      <c r="B1708" s="42" t="s">
        <v>366</v>
      </c>
      <c r="C1708" s="24" t="s">
        <v>362</v>
      </c>
      <c r="D1708" s="59"/>
      <c r="E1708" s="39"/>
      <c r="F1708" s="39"/>
      <c r="G1708" s="39"/>
      <c r="H1708" s="39"/>
      <c r="I1708" s="43">
        <f>+SUM(H1709:H1709)</f>
        <v>0.70000000000000007</v>
      </c>
      <c r="J1708" s="44" t="s">
        <v>333</v>
      </c>
    </row>
    <row r="1709" spans="2:10" s="1" customFormat="1" ht="15.75" customHeight="1" x14ac:dyDescent="0.25">
      <c r="B1709" s="24"/>
      <c r="C1709" s="38" t="s">
        <v>699</v>
      </c>
      <c r="D1709" s="39">
        <v>1</v>
      </c>
      <c r="E1709" s="39">
        <v>1.75</v>
      </c>
      <c r="F1709" s="39">
        <v>0.4</v>
      </c>
      <c r="G1709" s="39"/>
      <c r="H1709" s="39">
        <f>IF(AND(F1709=0,G1709=0),D1709*E1709,IF(AND(E1709=0,G1709=0),D1709*F1709,IF(AND(E1709=0,F1709=0),D1709*G1709,IF(AND(E1709=0),D1709*F1709*G1709,IF(AND(F1709=0),D1709*E1709*G1709,IF(AND(G1709=0),D1709*E1709*F1709,D1709*E1709*F1709*G1709))))))</f>
        <v>0.70000000000000007</v>
      </c>
      <c r="I1709" s="39"/>
      <c r="J1709" s="40"/>
    </row>
    <row r="1710" spans="2:10" s="1" customFormat="1" ht="13.2" x14ac:dyDescent="0.25">
      <c r="B1710" s="42" t="s">
        <v>367</v>
      </c>
      <c r="C1710" s="24" t="s">
        <v>364</v>
      </c>
      <c r="D1710" s="59"/>
      <c r="E1710" s="39"/>
      <c r="F1710" s="39"/>
      <c r="G1710" s="39"/>
      <c r="H1710" s="39"/>
      <c r="I1710" s="43">
        <f>+H1711</f>
        <v>0</v>
      </c>
      <c r="J1710" s="44" t="s">
        <v>333</v>
      </c>
    </row>
    <row r="1711" spans="2:10" s="1" customFormat="1" ht="13.2" x14ac:dyDescent="0.25">
      <c r="B1711" s="56"/>
      <c r="C1711" s="38"/>
      <c r="D1711" s="59"/>
      <c r="E1711" s="39"/>
      <c r="F1711" s="39"/>
      <c r="G1711" s="39"/>
      <c r="H1711" s="39">
        <v>0</v>
      </c>
      <c r="I1711" s="39"/>
      <c r="J1711" s="40"/>
    </row>
    <row r="1712" spans="2:10" s="1" customFormat="1" ht="13.2" x14ac:dyDescent="0.25">
      <c r="B1712" s="56" t="s">
        <v>368</v>
      </c>
      <c r="C1712" s="57" t="s">
        <v>202</v>
      </c>
      <c r="D1712" s="59"/>
      <c r="E1712" s="39"/>
      <c r="F1712" s="39"/>
      <c r="G1712" s="39"/>
      <c r="H1712" s="39"/>
      <c r="I1712" s="39"/>
      <c r="J1712" s="40"/>
    </row>
    <row r="1713" spans="2:10" s="1" customFormat="1" ht="13.2" x14ac:dyDescent="0.25">
      <c r="B1713" s="42" t="s">
        <v>379</v>
      </c>
      <c r="C1713" s="24" t="s">
        <v>539</v>
      </c>
      <c r="D1713" s="59"/>
      <c r="E1713" s="39"/>
      <c r="F1713" s="39"/>
      <c r="G1713" s="39"/>
      <c r="H1713" s="39"/>
      <c r="I1713" s="43">
        <f>+SUM(H1714:H1714)</f>
        <v>13.7</v>
      </c>
      <c r="J1713" s="44" t="s">
        <v>102</v>
      </c>
    </row>
    <row r="1714" spans="2:10" s="1" customFormat="1" ht="13.2" x14ac:dyDescent="0.25">
      <c r="B1714" s="42"/>
      <c r="C1714" s="38" t="s">
        <v>700</v>
      </c>
      <c r="D1714" s="59">
        <v>1</v>
      </c>
      <c r="E1714" s="39">
        <f>7.9+5.5+0.2+0.1</f>
        <v>13.7</v>
      </c>
      <c r="F1714" s="39"/>
      <c r="G1714" s="39"/>
      <c r="H1714" s="39">
        <f>IF(AND(F1714=0,G1714=0),D1714*E1714,IF(AND(E1714=0,G1714=0),D1714*F1714,IF(AND(E1714=0,F1714=0),D1714*G1714,IF(AND(E1714=0),D1714*F1714*G1714,IF(AND(F1714=0),D1714*E1714*G1714,IF(AND(G1714=0),D1714*E1714*F1714,D1714*E1714*F1714*G1714))))))</f>
        <v>13.7</v>
      </c>
      <c r="I1714" s="43"/>
      <c r="J1714" s="44"/>
    </row>
    <row r="1715" spans="2:10" s="1" customFormat="1" ht="13.2" x14ac:dyDescent="0.25">
      <c r="B1715" s="24" t="s">
        <v>396</v>
      </c>
      <c r="C1715" s="27" t="s">
        <v>412</v>
      </c>
      <c r="D1715" s="59"/>
      <c r="E1715" s="39"/>
      <c r="F1715" s="39"/>
      <c r="G1715" s="39"/>
      <c r="H1715" s="39"/>
      <c r="I1715" s="39">
        <f>+SUM(H1716:H1717)</f>
        <v>1.9249999999999998</v>
      </c>
      <c r="J1715" s="40" t="s">
        <v>333</v>
      </c>
    </row>
    <row r="1716" spans="2:10" s="1" customFormat="1" ht="13.2" x14ac:dyDescent="0.25">
      <c r="B1716" s="45"/>
      <c r="C1716" s="38" t="s">
        <v>701</v>
      </c>
      <c r="D1716" s="39">
        <v>2</v>
      </c>
      <c r="E1716" s="39">
        <v>1.75</v>
      </c>
      <c r="F1716" s="39"/>
      <c r="G1716" s="39">
        <f>0.3+0.15</f>
        <v>0.44999999999999996</v>
      </c>
      <c r="H1716" s="39">
        <f t="shared" ref="H1716:H1717" si="122">IF(AND(F1716=0,G1716=0),D1716*E1716,IF(AND(E1716=0,G1716=0),D1716*F1716,IF(AND(E1716=0,F1716=0),D1716*G1716,IF(AND(E1716=0),D1716*F1716*G1716,IF(AND(F1716=0),D1716*E1716*G1716,IF(AND(G1716=0),D1716*E1716*F1716,D1716*E1716*F1716*G1716))))))</f>
        <v>1.5749999999999997</v>
      </c>
      <c r="I1716" s="39"/>
      <c r="J1716" s="40"/>
    </row>
    <row r="1717" spans="2:10" s="1" customFormat="1" ht="13.2" x14ac:dyDescent="0.25">
      <c r="B1717" s="45"/>
      <c r="C1717" s="58"/>
      <c r="D1717" s="59">
        <v>1</v>
      </c>
      <c r="E1717" s="39">
        <v>1.75</v>
      </c>
      <c r="F1717" s="39"/>
      <c r="G1717" s="39">
        <v>0.2</v>
      </c>
      <c r="H1717" s="39">
        <f t="shared" si="122"/>
        <v>0.35000000000000003</v>
      </c>
      <c r="I1717" s="39"/>
      <c r="J1717" s="40"/>
    </row>
    <row r="1718" spans="2:10" s="1" customFormat="1" ht="13.2" x14ac:dyDescent="0.25">
      <c r="B1718" s="56"/>
      <c r="C1718" s="38"/>
      <c r="D1718" s="59"/>
      <c r="E1718" s="39"/>
      <c r="F1718" s="39"/>
      <c r="G1718" s="39"/>
      <c r="H1718" s="39"/>
      <c r="I1718" s="39"/>
      <c r="J1718" s="40"/>
    </row>
    <row r="1719" spans="2:10" s="1" customFormat="1" ht="13.2" x14ac:dyDescent="0.25">
      <c r="B1719" s="56" t="s">
        <v>413</v>
      </c>
      <c r="C1719" s="57" t="s">
        <v>234</v>
      </c>
      <c r="D1719" s="59"/>
      <c r="E1719" s="39"/>
      <c r="F1719" s="39"/>
      <c r="G1719" s="39"/>
      <c r="H1719" s="39"/>
      <c r="I1719" s="39"/>
      <c r="J1719" s="40"/>
    </row>
    <row r="1720" spans="2:10" s="1" customFormat="1" ht="13.2" x14ac:dyDescent="0.25">
      <c r="B1720" s="42" t="s">
        <v>414</v>
      </c>
      <c r="C1720" s="113" t="s">
        <v>422</v>
      </c>
      <c r="D1720" s="59"/>
      <c r="E1720" s="39"/>
      <c r="F1720" s="39"/>
      <c r="G1720" s="39"/>
      <c r="H1720" s="39"/>
      <c r="I1720" s="43">
        <f>+SUM(H1721:H1722)</f>
        <v>7</v>
      </c>
      <c r="J1720" s="44" t="s">
        <v>30</v>
      </c>
    </row>
    <row r="1721" spans="2:10" s="1" customFormat="1" ht="13.2" x14ac:dyDescent="0.25">
      <c r="B1721" s="45"/>
      <c r="C1721" s="38" t="s">
        <v>702</v>
      </c>
      <c r="D1721" s="59">
        <f>2*2</f>
        <v>4</v>
      </c>
      <c r="E1721" s="39"/>
      <c r="F1721" s="39"/>
      <c r="G1721" s="39"/>
      <c r="H1721" s="39">
        <f>+D1721</f>
        <v>4</v>
      </c>
      <c r="I1721" s="39"/>
      <c r="J1721" s="40"/>
    </row>
    <row r="1722" spans="2:10" s="1" customFormat="1" ht="13.2" x14ac:dyDescent="0.25">
      <c r="B1722" s="45"/>
      <c r="C1722" s="58" t="s">
        <v>703</v>
      </c>
      <c r="D1722" s="59">
        <v>3</v>
      </c>
      <c r="E1722" s="39"/>
      <c r="F1722" s="39"/>
      <c r="G1722" s="39"/>
      <c r="H1722" s="39">
        <f>+D1722</f>
        <v>3</v>
      </c>
      <c r="I1722" s="39"/>
      <c r="J1722" s="40"/>
    </row>
    <row r="1723" spans="2:10" s="1" customFormat="1" ht="13.2" x14ac:dyDescent="0.25">
      <c r="B1723" s="45"/>
      <c r="C1723" s="58"/>
      <c r="D1723" s="59"/>
      <c r="E1723" s="39"/>
      <c r="F1723" s="39"/>
      <c r="G1723" s="39"/>
      <c r="H1723" s="39"/>
      <c r="I1723" s="39"/>
      <c r="J1723" s="40"/>
    </row>
    <row r="1724" spans="2:10" s="1" customFormat="1" ht="13.2" x14ac:dyDescent="0.25">
      <c r="B1724" s="45"/>
      <c r="C1724" s="58"/>
      <c r="D1724" s="59"/>
      <c r="E1724" s="39"/>
      <c r="F1724" s="39"/>
      <c r="G1724" s="39"/>
      <c r="H1724" s="39"/>
      <c r="I1724" s="39"/>
      <c r="J1724" s="40"/>
    </row>
    <row r="1725" spans="2:10" s="1" customFormat="1" ht="13.2" x14ac:dyDescent="0.25">
      <c r="B1725" s="45"/>
      <c r="C1725" s="58"/>
      <c r="D1725" s="59"/>
      <c r="E1725" s="39"/>
      <c r="F1725" s="39"/>
      <c r="G1725" s="39"/>
      <c r="H1725" s="39"/>
      <c r="I1725" s="39"/>
      <c r="J1725" s="40"/>
    </row>
    <row r="1726" spans="2:10" s="1" customFormat="1" ht="13.2" x14ac:dyDescent="0.25">
      <c r="B1726" s="45"/>
      <c r="C1726" s="58"/>
      <c r="D1726" s="59"/>
      <c r="E1726" s="39"/>
      <c r="F1726" s="39"/>
      <c r="G1726" s="39"/>
      <c r="H1726" s="39"/>
      <c r="I1726" s="39"/>
      <c r="J1726" s="40"/>
    </row>
    <row r="1727" spans="2:10" s="1" customFormat="1" ht="13.2" x14ac:dyDescent="0.25">
      <c r="B1727" s="45"/>
      <c r="C1727" s="58"/>
      <c r="D1727" s="59"/>
      <c r="E1727" s="39"/>
      <c r="F1727" s="39"/>
      <c r="G1727" s="39"/>
      <c r="H1727" s="39"/>
      <c r="I1727" s="39"/>
      <c r="J1727" s="40"/>
    </row>
    <row r="1728" spans="2:10" s="1" customFormat="1" ht="13.2" x14ac:dyDescent="0.25">
      <c r="B1728" s="45"/>
      <c r="C1728" s="58"/>
      <c r="D1728" s="59"/>
      <c r="E1728" s="39"/>
      <c r="F1728" s="39"/>
      <c r="G1728" s="39"/>
      <c r="H1728" s="39"/>
      <c r="I1728" s="39"/>
      <c r="J1728" s="40"/>
    </row>
    <row r="1729" spans="2:10" s="1" customFormat="1" ht="13.2" x14ac:dyDescent="0.25">
      <c r="B1729" s="45"/>
      <c r="C1729" s="58"/>
      <c r="D1729" s="59"/>
      <c r="E1729" s="39"/>
      <c r="F1729" s="39"/>
      <c r="G1729" s="39"/>
      <c r="H1729" s="39"/>
      <c r="I1729" s="39"/>
      <c r="J1729" s="40"/>
    </row>
    <row r="1730" spans="2:10" s="1" customFormat="1" ht="13.2" x14ac:dyDescent="0.25">
      <c r="B1730" s="45"/>
      <c r="C1730" s="58"/>
      <c r="D1730" s="59"/>
      <c r="E1730" s="39"/>
      <c r="F1730" s="39"/>
      <c r="G1730" s="39"/>
      <c r="H1730" s="39"/>
      <c r="I1730" s="39"/>
      <c r="J1730" s="40"/>
    </row>
    <row r="1731" spans="2:10" s="1" customFormat="1" ht="13.2" x14ac:dyDescent="0.25">
      <c r="B1731" s="45"/>
      <c r="C1731" s="58"/>
      <c r="D1731" s="59"/>
      <c r="E1731" s="39"/>
      <c r="F1731" s="39"/>
      <c r="G1731" s="39"/>
      <c r="H1731" s="39"/>
      <c r="I1731" s="39"/>
      <c r="J1731" s="40"/>
    </row>
    <row r="1732" spans="2:10" s="1" customFormat="1" ht="13.2" x14ac:dyDescent="0.25">
      <c r="B1732" s="45"/>
      <c r="C1732" s="58"/>
      <c r="D1732" s="59"/>
      <c r="E1732" s="39"/>
      <c r="F1732" s="39"/>
      <c r="G1732" s="39"/>
      <c r="H1732" s="39"/>
      <c r="I1732" s="39"/>
      <c r="J1732" s="40"/>
    </row>
    <row r="1733" spans="2:10" s="1" customFormat="1" ht="13.2" x14ac:dyDescent="0.25">
      <c r="B1733" s="45"/>
      <c r="C1733" s="58"/>
      <c r="D1733" s="59"/>
      <c r="E1733" s="39"/>
      <c r="F1733" s="39"/>
      <c r="G1733" s="39"/>
      <c r="H1733" s="39"/>
      <c r="I1733" s="39"/>
      <c r="J1733" s="40"/>
    </row>
    <row r="1734" spans="2:10" s="1" customFormat="1" ht="13.2" x14ac:dyDescent="0.25">
      <c r="B1734" s="45"/>
      <c r="C1734" s="58"/>
      <c r="D1734" s="59"/>
      <c r="E1734" s="39"/>
      <c r="F1734" s="39"/>
      <c r="G1734" s="39"/>
      <c r="H1734" s="39"/>
      <c r="I1734" s="39"/>
      <c r="J1734" s="40"/>
    </row>
    <row r="1735" spans="2:10" s="1" customFormat="1" ht="13.2" x14ac:dyDescent="0.25">
      <c r="B1735" s="45"/>
      <c r="C1735" s="58"/>
      <c r="D1735" s="59"/>
      <c r="E1735" s="39"/>
      <c r="F1735" s="39"/>
      <c r="G1735" s="39"/>
      <c r="H1735" s="39"/>
      <c r="I1735" s="39"/>
      <c r="J1735" s="40"/>
    </row>
    <row r="1736" spans="2:10" s="1" customFormat="1" ht="13.2" x14ac:dyDescent="0.25">
      <c r="B1736" s="45"/>
      <c r="C1736" s="58"/>
      <c r="D1736" s="59"/>
      <c r="E1736" s="39"/>
      <c r="F1736" s="39"/>
      <c r="G1736" s="39"/>
      <c r="H1736" s="39"/>
      <c r="I1736" s="39"/>
      <c r="J1736" s="40"/>
    </row>
    <row r="1737" spans="2:10" s="1" customFormat="1" ht="13.2" x14ac:dyDescent="0.25">
      <c r="B1737" s="45"/>
      <c r="C1737" s="58"/>
      <c r="D1737" s="59"/>
      <c r="E1737" s="39"/>
      <c r="F1737" s="39"/>
      <c r="G1737" s="39"/>
      <c r="H1737" s="39"/>
      <c r="I1737" s="39"/>
      <c r="J1737" s="40"/>
    </row>
    <row r="1738" spans="2:10" s="1" customFormat="1" ht="13.2" x14ac:dyDescent="0.25">
      <c r="B1738" s="45"/>
      <c r="C1738" s="58"/>
      <c r="D1738" s="59"/>
      <c r="E1738" s="39"/>
      <c r="F1738" s="39"/>
      <c r="G1738" s="39"/>
      <c r="H1738" s="39"/>
      <c r="I1738" s="39"/>
      <c r="J1738" s="40"/>
    </row>
    <row r="1739" spans="2:10" s="1" customFormat="1" ht="13.2" x14ac:dyDescent="0.25">
      <c r="B1739" s="45"/>
      <c r="C1739" s="58"/>
      <c r="D1739" s="59"/>
      <c r="E1739" s="39"/>
      <c r="F1739" s="39"/>
      <c r="G1739" s="39"/>
      <c r="H1739" s="39"/>
      <c r="I1739" s="39"/>
      <c r="J1739" s="40"/>
    </row>
    <row r="1740" spans="2:10" s="1" customFormat="1" ht="13.2" x14ac:dyDescent="0.25">
      <c r="B1740" s="45"/>
      <c r="C1740" s="58"/>
      <c r="D1740" s="59"/>
      <c r="E1740" s="39"/>
      <c r="F1740" s="39"/>
      <c r="G1740" s="39"/>
      <c r="H1740" s="39"/>
      <c r="I1740" s="39"/>
      <c r="J1740" s="40"/>
    </row>
    <row r="1741" spans="2:10" s="1" customFormat="1" ht="13.2" x14ac:dyDescent="0.25">
      <c r="C1741" s="83" t="s">
        <v>0</v>
      </c>
      <c r="D1741" s="83"/>
      <c r="E1741" s="83"/>
      <c r="F1741" s="83"/>
      <c r="G1741" s="83"/>
      <c r="H1741" s="83"/>
    </row>
    <row r="1742" spans="2:10" s="1" customFormat="1" ht="13.2" x14ac:dyDescent="0.25">
      <c r="C1742" s="83" t="s">
        <v>1</v>
      </c>
      <c r="D1742" s="83"/>
      <c r="E1742" s="83"/>
      <c r="F1742" s="83"/>
      <c r="G1742" s="83"/>
      <c r="H1742" s="83"/>
    </row>
    <row r="1743" spans="2:10" s="1" customFormat="1" ht="13.2" x14ac:dyDescent="0.25">
      <c r="C1743" s="83" t="s">
        <v>2</v>
      </c>
      <c r="D1743" s="83"/>
      <c r="E1743" s="83"/>
      <c r="F1743" s="83"/>
      <c r="G1743" s="83"/>
      <c r="H1743" s="83"/>
    </row>
    <row r="1744" spans="2:10" s="1" customFormat="1" ht="13.2" x14ac:dyDescent="0.25">
      <c r="C1744" s="52" t="s">
        <v>3</v>
      </c>
      <c r="D1744" s="52"/>
      <c r="E1744" s="52"/>
      <c r="F1744" s="52"/>
      <c r="G1744" s="52"/>
      <c r="H1744" s="52"/>
    </row>
    <row r="1745" spans="2:10" s="1" customFormat="1" ht="28.5" customHeight="1" x14ac:dyDescent="0.25">
      <c r="C1745" s="52"/>
      <c r="D1745" s="52"/>
      <c r="E1745" s="52"/>
      <c r="F1745" s="52"/>
      <c r="G1745" s="52"/>
      <c r="H1745" s="52"/>
    </row>
    <row r="1746" spans="2:10" s="1" customFormat="1" ht="15.6" x14ac:dyDescent="0.25">
      <c r="B1746" s="84" t="s">
        <v>458</v>
      </c>
      <c r="C1746" s="85"/>
      <c r="D1746" s="85"/>
      <c r="E1746" s="85"/>
      <c r="F1746" s="85"/>
      <c r="G1746" s="85"/>
      <c r="H1746" s="85"/>
      <c r="I1746" s="85"/>
      <c r="J1746" s="86"/>
    </row>
    <row r="1747" spans="2:10" s="1" customFormat="1" ht="21" x14ac:dyDescent="0.25">
      <c r="B1747" s="87" t="s">
        <v>510</v>
      </c>
      <c r="C1747" s="88"/>
      <c r="D1747" s="88"/>
      <c r="E1747" s="88"/>
      <c r="F1747" s="88"/>
      <c r="G1747" s="88"/>
      <c r="H1747" s="88"/>
      <c r="I1747" s="88"/>
      <c r="J1747" s="89"/>
    </row>
    <row r="1748" spans="2:10" s="1" customFormat="1" ht="13.8" thickBot="1" x14ac:dyDescent="0.3">
      <c r="B1748" s="53"/>
      <c r="C1748" s="53"/>
      <c r="D1748" s="53"/>
      <c r="E1748" s="53"/>
      <c r="F1748" s="53"/>
      <c r="G1748" s="53"/>
      <c r="H1748" s="53"/>
      <c r="I1748" s="53"/>
      <c r="J1748" s="53"/>
    </row>
    <row r="1749" spans="2:10" s="1" customFormat="1" ht="24.75" customHeight="1" x14ac:dyDescent="0.25">
      <c r="B1749" s="123" t="s">
        <v>6</v>
      </c>
      <c r="C1749" s="124"/>
      <c r="D1749" s="124"/>
      <c r="E1749" s="124"/>
      <c r="F1749" s="124"/>
      <c r="G1749" s="124"/>
      <c r="H1749" s="124"/>
      <c r="I1749" s="124"/>
      <c r="J1749" s="125"/>
    </row>
    <row r="1750" spans="2:10" s="1" customFormat="1" ht="13.2" x14ac:dyDescent="0.25">
      <c r="B1750" s="2" t="s">
        <v>7</v>
      </c>
      <c r="C1750" s="3" t="s">
        <v>8</v>
      </c>
      <c r="D1750" s="3"/>
      <c r="E1750" s="4"/>
      <c r="F1750" s="5"/>
      <c r="G1750" s="6" t="s">
        <v>9</v>
      </c>
      <c r="H1750" s="126">
        <v>42879</v>
      </c>
      <c r="I1750" s="126"/>
      <c r="J1750" s="7"/>
    </row>
    <row r="1751" spans="2:10" s="1" customFormat="1" ht="13.2" x14ac:dyDescent="0.25">
      <c r="B1751" s="2" t="s">
        <v>10</v>
      </c>
      <c r="C1751" s="3" t="s">
        <v>11</v>
      </c>
      <c r="F1751" s="3"/>
      <c r="G1751" s="8" t="s">
        <v>12</v>
      </c>
      <c r="H1751" s="4" t="s">
        <v>11</v>
      </c>
      <c r="I1751" s="9"/>
      <c r="J1751" s="10"/>
    </row>
    <row r="1752" spans="2:10" s="1" customFormat="1" ht="13.2" x14ac:dyDescent="0.25">
      <c r="B1752" s="2" t="s">
        <v>13</v>
      </c>
      <c r="C1752" s="3" t="s">
        <v>11</v>
      </c>
      <c r="F1752" s="3"/>
      <c r="G1752" s="8" t="s">
        <v>14</v>
      </c>
      <c r="H1752" s="4" t="s">
        <v>15</v>
      </c>
      <c r="I1752" s="9"/>
      <c r="J1752" s="10"/>
    </row>
    <row r="1753" spans="2:10" s="1" customFormat="1" ht="13.8" thickBot="1" x14ac:dyDescent="0.3">
      <c r="B1753" s="11" t="s">
        <v>16</v>
      </c>
      <c r="C1753" s="12" t="s">
        <v>17</v>
      </c>
      <c r="D1753" s="13"/>
      <c r="E1753" s="13"/>
      <c r="F1753" s="12"/>
      <c r="G1753" s="14" t="s">
        <v>18</v>
      </c>
      <c r="H1753" s="15" t="s">
        <v>19</v>
      </c>
      <c r="I1753" s="16"/>
      <c r="J1753" s="17"/>
    </row>
    <row r="1754" spans="2:10" s="1" customFormat="1" ht="13.2" x14ac:dyDescent="0.25">
      <c r="B1754" s="53"/>
      <c r="C1754" s="53"/>
      <c r="D1754" s="53"/>
      <c r="E1754" s="53"/>
      <c r="F1754" s="53"/>
      <c r="G1754" s="53"/>
      <c r="H1754" s="53"/>
      <c r="I1754" s="53"/>
      <c r="J1754" s="53"/>
    </row>
    <row r="1755" spans="2:10" s="1" customFormat="1" ht="13.2" x14ac:dyDescent="0.25">
      <c r="B1755" s="20" t="s">
        <v>20</v>
      </c>
      <c r="C1755" s="21" t="s">
        <v>21</v>
      </c>
      <c r="D1755" s="21" t="s">
        <v>460</v>
      </c>
      <c r="E1755" s="21" t="s">
        <v>461</v>
      </c>
      <c r="F1755" s="21" t="s">
        <v>462</v>
      </c>
      <c r="G1755" s="21" t="s">
        <v>463</v>
      </c>
      <c r="H1755" s="21" t="s">
        <v>464</v>
      </c>
      <c r="I1755" s="21" t="s">
        <v>22</v>
      </c>
      <c r="J1755" s="21" t="s">
        <v>23</v>
      </c>
    </row>
    <row r="1756" spans="2:10" s="1" customFormat="1" ht="13.2" x14ac:dyDescent="0.25">
      <c r="B1756" s="54">
        <v>4.03</v>
      </c>
      <c r="C1756" s="55" t="s">
        <v>182</v>
      </c>
      <c r="D1756" s="59"/>
      <c r="E1756" s="39"/>
      <c r="F1756" s="39"/>
      <c r="G1756" s="39"/>
      <c r="H1756" s="39"/>
      <c r="I1756" s="39"/>
      <c r="J1756" s="40"/>
    </row>
    <row r="1757" spans="2:10" s="1" customFormat="1" ht="13.2" x14ac:dyDescent="0.25">
      <c r="B1757" s="72" t="s">
        <v>183</v>
      </c>
      <c r="C1757" s="72" t="s">
        <v>331</v>
      </c>
      <c r="D1757" s="59"/>
      <c r="E1757" s="39"/>
      <c r="F1757" s="39"/>
      <c r="G1757" s="39"/>
      <c r="H1757" s="39"/>
      <c r="I1757" s="39"/>
      <c r="J1757" s="40"/>
    </row>
    <row r="1758" spans="2:10" s="1" customFormat="1" ht="13.2" x14ac:dyDescent="0.25">
      <c r="B1758" s="24" t="s">
        <v>185</v>
      </c>
      <c r="C1758" s="27" t="s">
        <v>332</v>
      </c>
      <c r="D1758" s="59"/>
      <c r="E1758" s="39"/>
      <c r="F1758" s="39"/>
      <c r="G1758" s="39"/>
      <c r="H1758" s="39"/>
      <c r="I1758" s="39">
        <f>+SUM(H1759:H1768)</f>
        <v>36.358040000000003</v>
      </c>
      <c r="J1758" s="40" t="s">
        <v>333</v>
      </c>
    </row>
    <row r="1759" spans="2:10" s="1" customFormat="1" ht="13.2" x14ac:dyDescent="0.25">
      <c r="B1759" s="45"/>
      <c r="C1759" s="45" t="s">
        <v>511</v>
      </c>
      <c r="D1759" s="59">
        <v>1</v>
      </c>
      <c r="E1759" s="39">
        <v>5.2</v>
      </c>
      <c r="F1759" s="39">
        <v>0.5</v>
      </c>
      <c r="G1759" s="39"/>
      <c r="H1759" s="39">
        <f t="shared" ref="H1759:H1768" si="123">IF(AND(F1759=0,G1759=0),D1759*E1759,IF(AND(E1759=0,G1759=0),D1759*F1759,IF(AND(E1759=0,F1759=0),D1759*G1759,IF(AND(E1759=0),D1759*F1759*G1759,IF(AND(F1759=0),D1759*E1759*G1759,IF(AND(G1759=0),D1759*E1759*F1759,D1759*E1759*F1759*G1759))))))</f>
        <v>2.6</v>
      </c>
      <c r="I1759" s="39"/>
      <c r="J1759" s="40"/>
    </row>
    <row r="1760" spans="2:10" s="1" customFormat="1" ht="13.2" x14ac:dyDescent="0.25">
      <c r="B1760" s="45"/>
      <c r="C1760" s="45" t="s">
        <v>484</v>
      </c>
      <c r="D1760" s="1">
        <v>1</v>
      </c>
      <c r="E1760" s="75">
        <v>9.3000000000000007</v>
      </c>
      <c r="F1760" s="39">
        <v>0.5</v>
      </c>
      <c r="G1760" s="39"/>
      <c r="H1760" s="39">
        <f t="shared" si="123"/>
        <v>4.6500000000000004</v>
      </c>
      <c r="I1760" s="39"/>
      <c r="J1760" s="40"/>
    </row>
    <row r="1761" spans="2:10" s="1" customFormat="1" ht="13.2" x14ac:dyDescent="0.25">
      <c r="B1761" s="45"/>
      <c r="C1761" s="38" t="s">
        <v>704</v>
      </c>
      <c r="D1761" s="39">
        <v>1</v>
      </c>
      <c r="E1761" s="39">
        <v>0.9</v>
      </c>
      <c r="F1761" s="39">
        <v>1.5</v>
      </c>
      <c r="G1761" s="39"/>
      <c r="H1761" s="39">
        <f t="shared" si="123"/>
        <v>1.35</v>
      </c>
      <c r="I1761" s="39"/>
      <c r="J1761" s="40"/>
    </row>
    <row r="1762" spans="2:10" s="1" customFormat="1" ht="13.2" x14ac:dyDescent="0.25">
      <c r="B1762" s="45"/>
      <c r="C1762" s="42" t="s">
        <v>636</v>
      </c>
      <c r="D1762" s="59"/>
      <c r="E1762" s="39"/>
      <c r="F1762" s="39"/>
      <c r="G1762" s="39"/>
      <c r="H1762" s="39"/>
      <c r="I1762" s="39"/>
      <c r="J1762" s="40"/>
    </row>
    <row r="1763" spans="2:10" s="1" customFormat="1" ht="13.2" x14ac:dyDescent="0.25">
      <c r="B1763" s="45"/>
      <c r="C1763" s="38" t="s">
        <v>705</v>
      </c>
      <c r="D1763" s="39">
        <v>1</v>
      </c>
      <c r="E1763" s="39">
        <v>11.85</v>
      </c>
      <c r="F1763" s="39">
        <f>4*0.0254+0.4</f>
        <v>0.50160000000000005</v>
      </c>
      <c r="G1763" s="39"/>
      <c r="H1763" s="39">
        <f t="shared" si="123"/>
        <v>5.9439600000000006</v>
      </c>
      <c r="I1763" s="39"/>
      <c r="J1763" s="40"/>
    </row>
    <row r="1764" spans="2:10" s="1" customFormat="1" ht="13.2" x14ac:dyDescent="0.25">
      <c r="B1764" s="45"/>
      <c r="C1764" s="38" t="s">
        <v>706</v>
      </c>
      <c r="D1764" s="59">
        <v>1</v>
      </c>
      <c r="E1764" s="39">
        <f>16.6+0.3</f>
        <v>16.900000000000002</v>
      </c>
      <c r="F1764" s="39">
        <f t="shared" ref="F1764:F1765" si="124">4*0.0254+0.4</f>
        <v>0.50160000000000005</v>
      </c>
      <c r="G1764" s="39"/>
      <c r="H1764" s="39">
        <f t="shared" si="123"/>
        <v>8.4770400000000024</v>
      </c>
      <c r="I1764" s="39"/>
      <c r="J1764" s="40"/>
    </row>
    <row r="1765" spans="2:10" s="1" customFormat="1" ht="13.2" x14ac:dyDescent="0.25">
      <c r="B1765" s="45"/>
      <c r="C1765" s="79" t="s">
        <v>707</v>
      </c>
      <c r="D1765" s="59">
        <v>1</v>
      </c>
      <c r="E1765" s="39">
        <v>4.4000000000000004</v>
      </c>
      <c r="F1765" s="39">
        <f t="shared" si="124"/>
        <v>0.50160000000000005</v>
      </c>
      <c r="G1765" s="39"/>
      <c r="H1765" s="39">
        <f t="shared" si="123"/>
        <v>2.2070400000000006</v>
      </c>
      <c r="I1765" s="39"/>
      <c r="J1765" s="40"/>
    </row>
    <row r="1766" spans="2:10" s="1" customFormat="1" ht="13.2" x14ac:dyDescent="0.25">
      <c r="B1766" s="45"/>
      <c r="C1766" s="79"/>
      <c r="D1766" s="59"/>
      <c r="E1766" s="39"/>
      <c r="F1766" s="39"/>
      <c r="G1766" s="39"/>
      <c r="H1766" s="39"/>
      <c r="I1766" s="39"/>
      <c r="J1766" s="40"/>
    </row>
    <row r="1767" spans="2:10" s="1" customFormat="1" ht="13.2" x14ac:dyDescent="0.25">
      <c r="B1767" s="45"/>
      <c r="C1767" s="42" t="s">
        <v>222</v>
      </c>
      <c r="D1767" s="59"/>
      <c r="E1767" s="39"/>
      <c r="F1767" s="39"/>
      <c r="G1767" s="39"/>
      <c r="H1767" s="39"/>
      <c r="I1767" s="39"/>
      <c r="J1767" s="40"/>
    </row>
    <row r="1768" spans="2:10" s="1" customFormat="1" ht="13.2" x14ac:dyDescent="0.25">
      <c r="B1768" s="45"/>
      <c r="C1768" s="38" t="s">
        <v>708</v>
      </c>
      <c r="D1768" s="39">
        <v>1</v>
      </c>
      <c r="E1768" s="39">
        <f>0.8+15.1</f>
        <v>15.9</v>
      </c>
      <c r="F1768" s="39">
        <v>0.7</v>
      </c>
      <c r="G1768" s="39"/>
      <c r="H1768" s="39">
        <f t="shared" si="123"/>
        <v>11.129999999999999</v>
      </c>
      <c r="I1768" s="39"/>
      <c r="J1768" s="40"/>
    </row>
    <row r="1769" spans="2:10" x14ac:dyDescent="0.3">
      <c r="B1769" s="24" t="s">
        <v>187</v>
      </c>
      <c r="C1769" s="27" t="s">
        <v>334</v>
      </c>
      <c r="D1769" s="22"/>
      <c r="E1769" s="22"/>
      <c r="F1769" s="22"/>
      <c r="G1769" s="22"/>
      <c r="H1769" s="23"/>
      <c r="I1769" s="24">
        <f>+I1758</f>
        <v>36.358040000000003</v>
      </c>
      <c r="J1769" s="25" t="s">
        <v>333</v>
      </c>
    </row>
    <row r="1770" spans="2:10" s="1" customFormat="1" ht="13.2" x14ac:dyDescent="0.25">
      <c r="B1770" s="45"/>
      <c r="C1770" s="58"/>
      <c r="D1770" s="59"/>
      <c r="E1770" s="39"/>
      <c r="F1770" s="39"/>
      <c r="G1770" s="39"/>
      <c r="H1770" s="39"/>
      <c r="I1770" s="39"/>
      <c r="J1770" s="40"/>
    </row>
    <row r="1771" spans="2:10" x14ac:dyDescent="0.3">
      <c r="B1771" s="72" t="s">
        <v>359</v>
      </c>
      <c r="C1771" s="72" t="s">
        <v>345</v>
      </c>
      <c r="D1771" s="22"/>
      <c r="E1771" s="22"/>
      <c r="F1771" s="22"/>
      <c r="G1771" s="22"/>
      <c r="H1771" s="23"/>
      <c r="I1771" s="24"/>
      <c r="J1771" s="25"/>
    </row>
    <row r="1772" spans="2:10" s="1" customFormat="1" ht="15.75" customHeight="1" x14ac:dyDescent="0.25">
      <c r="B1772" s="24" t="s">
        <v>361</v>
      </c>
      <c r="C1772" s="1" t="s">
        <v>347</v>
      </c>
      <c r="D1772" s="59"/>
      <c r="E1772" s="39"/>
      <c r="F1772" s="39"/>
      <c r="G1772" s="39"/>
      <c r="H1772" s="23"/>
      <c r="I1772" s="24">
        <f>+SUM(H1773:H1774)</f>
        <v>5.7204999999999995</v>
      </c>
      <c r="J1772" s="25" t="s">
        <v>337</v>
      </c>
    </row>
    <row r="1773" spans="2:10" s="1" customFormat="1" ht="15.75" customHeight="1" x14ac:dyDescent="0.25">
      <c r="B1773" s="24"/>
      <c r="C1773" s="45" t="s">
        <v>511</v>
      </c>
      <c r="D1773" s="59">
        <v>1</v>
      </c>
      <c r="E1773" s="39">
        <v>5.2</v>
      </c>
      <c r="F1773" s="39">
        <v>0.5</v>
      </c>
      <c r="G1773" s="39">
        <f>0.43+0.25</f>
        <v>0.67999999999999994</v>
      </c>
      <c r="H1773" s="39">
        <f>IF(AND(F1773=0,G1773=0),D1773*E1773,IF(AND(E1773=0,G1773=0),D1773*F1773,IF(AND(E1773=0,F1773=0),D1773*G1773,IF(AND(E1773=0),D1773*F1773*G1773,IF(AND(F1773=0),D1773*E1773*G1773,IF(AND(G1773=0),D1773*E1773*F1773,D1773*E1773*F1773*G1773))))))</f>
        <v>1.7679999999999998</v>
      </c>
      <c r="I1773" s="39"/>
      <c r="J1773" s="40"/>
    </row>
    <row r="1774" spans="2:10" s="1" customFormat="1" ht="13.2" x14ac:dyDescent="0.25">
      <c r="B1774" s="24"/>
      <c r="C1774" s="45" t="s">
        <v>484</v>
      </c>
      <c r="D1774" s="1">
        <v>1</v>
      </c>
      <c r="E1774" s="75">
        <v>9.3000000000000007</v>
      </c>
      <c r="F1774" s="39">
        <v>0.5</v>
      </c>
      <c r="G1774" s="39">
        <f>0.6+0.25</f>
        <v>0.85</v>
      </c>
      <c r="H1774" s="39">
        <f>IF(AND(F1774=0,G1774=0),D1774*E1774,IF(AND(E1774=0,G1774=0),D1774*F1774,IF(AND(E1774=0,F1774=0),D1774*G1774,IF(AND(E1774=0),D1774*F1774*G1774,IF(AND(F1774=0),D1774*E1774*G1774,IF(AND(G1774=0),D1774*E1774*F1774,D1774*E1774*F1774*G1774))))))</f>
        <v>3.9525000000000001</v>
      </c>
      <c r="I1774" s="39"/>
      <c r="J1774" s="40"/>
    </row>
    <row r="1775" spans="2:10" s="1" customFormat="1" ht="13.2" x14ac:dyDescent="0.25">
      <c r="B1775" s="24" t="s">
        <v>363</v>
      </c>
      <c r="C1775" s="1" t="s">
        <v>348</v>
      </c>
      <c r="D1775" s="59"/>
      <c r="E1775" s="39"/>
      <c r="F1775" s="39"/>
      <c r="G1775" s="39"/>
      <c r="H1775" s="23"/>
      <c r="I1775" s="24">
        <f>+SUM(H1776)</f>
        <v>1.2150000000000001</v>
      </c>
      <c r="J1775" s="25" t="s">
        <v>337</v>
      </c>
    </row>
    <row r="1776" spans="2:10" s="1" customFormat="1" ht="13.2" x14ac:dyDescent="0.25">
      <c r="B1776" s="56"/>
      <c r="C1776" s="38" t="s">
        <v>704</v>
      </c>
      <c r="D1776" s="39">
        <v>1</v>
      </c>
      <c r="E1776" s="39">
        <v>0.9</v>
      </c>
      <c r="F1776" s="39">
        <v>1.5</v>
      </c>
      <c r="G1776" s="39">
        <f>0.65+0.25</f>
        <v>0.9</v>
      </c>
      <c r="H1776" s="39">
        <f>IF(AND(F1776=0,G1776=0),D1776*E1776,IF(AND(E1776=0,G1776=0),D1776*F1776,IF(AND(E1776=0,F1776=0),D1776*G1776,IF(AND(E1776=0),D1776*F1776*G1776,IF(AND(F1776=0),D1776*E1776*G1776,IF(AND(G1776=0),D1776*E1776*F1776,D1776*E1776*F1776*G1776))))))</f>
        <v>1.2150000000000001</v>
      </c>
      <c r="I1776" s="39"/>
      <c r="J1776" s="40"/>
    </row>
    <row r="1777" spans="2:10" s="1" customFormat="1" ht="13.2" x14ac:dyDescent="0.25">
      <c r="B1777" s="24" t="s">
        <v>555</v>
      </c>
      <c r="C1777" s="1" t="s">
        <v>349</v>
      </c>
      <c r="D1777" s="59"/>
      <c r="E1777" s="39"/>
      <c r="F1777" s="39"/>
      <c r="G1777" s="39"/>
      <c r="H1777" s="39"/>
      <c r="I1777" s="39">
        <f>+SUM(H1778)</f>
        <v>0</v>
      </c>
      <c r="J1777" s="40" t="s">
        <v>337</v>
      </c>
    </row>
    <row r="1778" spans="2:10" s="1" customFormat="1" ht="13.2" x14ac:dyDescent="0.25">
      <c r="B1778" s="45"/>
      <c r="C1778" s="38"/>
      <c r="E1778" s="39"/>
      <c r="F1778" s="39"/>
      <c r="G1778" s="39"/>
      <c r="H1778" s="39">
        <f>IF(AND(F1778=0,G1778=0),D1778*E1778,IF(AND(E1778=0,G1778=0),D1778*F1778,IF(AND(E1778=0,F1778=0),D1778*G1778,IF(AND(E1778=0),D1778*F1778*G1778,IF(AND(F1778=0),D1778*E1778*G1778,IF(AND(G1778=0),D1778*E1778*F1778,D1778*E1778*F1778*G1778))))))</f>
        <v>0</v>
      </c>
      <c r="I1778" s="39"/>
      <c r="J1778" s="40"/>
    </row>
    <row r="1779" spans="2:10" x14ac:dyDescent="0.3">
      <c r="B1779" s="24" t="s">
        <v>556</v>
      </c>
      <c r="C1779" s="115" t="s">
        <v>350</v>
      </c>
      <c r="D1779" s="22"/>
      <c r="E1779" s="22"/>
      <c r="F1779" s="22"/>
      <c r="G1779" s="22"/>
      <c r="I1779" s="23">
        <f>+SUM(H1780:H1782)</f>
        <v>8.6000000000000014</v>
      </c>
      <c r="J1779" s="25" t="s">
        <v>333</v>
      </c>
    </row>
    <row r="1780" spans="2:10" x14ac:dyDescent="0.3">
      <c r="B1780" s="90"/>
      <c r="C1780" s="38" t="s">
        <v>704</v>
      </c>
      <c r="D1780" s="39">
        <v>1</v>
      </c>
      <c r="E1780" s="39">
        <v>0.9</v>
      </c>
      <c r="F1780" s="39">
        <v>1.5</v>
      </c>
      <c r="G1780" s="39"/>
      <c r="H1780" s="39">
        <f>IF(AND(F1780=0,G1780=0),D1780*E1780,IF(AND(E1780=0,G1780=0),D1780*F1780,IF(AND(E1780=0,F1780=0),D1780*G1780,IF(AND(E1780=0),D1780*F1780*G1780,IF(AND(F1780=0),D1780*E1780*G1780,IF(AND(G1780=0),D1780*E1780*F1780,D1780*E1780*F1780*G1780))))))</f>
        <v>1.35</v>
      </c>
      <c r="I1780" s="24"/>
      <c r="J1780" s="25"/>
    </row>
    <row r="1781" spans="2:10" s="1" customFormat="1" ht="15.75" customHeight="1" x14ac:dyDescent="0.25">
      <c r="B1781" s="24"/>
      <c r="C1781" s="45" t="s">
        <v>511</v>
      </c>
      <c r="D1781" s="59">
        <v>1</v>
      </c>
      <c r="E1781" s="39">
        <v>5.2</v>
      </c>
      <c r="F1781" s="39">
        <v>0.5</v>
      </c>
      <c r="G1781" s="39"/>
      <c r="H1781" s="39">
        <f>IF(AND(F1781=0,G1781=0),D1781*E1781,IF(AND(E1781=0,G1781=0),D1781*F1781,IF(AND(E1781=0,F1781=0),D1781*G1781,IF(AND(E1781=0),D1781*F1781*G1781,IF(AND(F1781=0),D1781*E1781*G1781,IF(AND(G1781=0),D1781*E1781*F1781,D1781*E1781*F1781*G1781))))))</f>
        <v>2.6</v>
      </c>
      <c r="I1781" s="39"/>
      <c r="J1781" s="40"/>
    </row>
    <row r="1782" spans="2:10" s="1" customFormat="1" ht="13.2" x14ac:dyDescent="0.25">
      <c r="B1782" s="24"/>
      <c r="C1782" s="45" t="s">
        <v>484</v>
      </c>
      <c r="D1782" s="1">
        <v>1</v>
      </c>
      <c r="E1782" s="75">
        <v>9.3000000000000007</v>
      </c>
      <c r="F1782" s="39">
        <v>0.5</v>
      </c>
      <c r="G1782" s="39"/>
      <c r="H1782" s="39">
        <f>IF(AND(F1782=0,G1782=0),D1782*E1782,IF(AND(E1782=0,G1782=0),D1782*F1782,IF(AND(E1782=0,F1782=0),D1782*G1782,IF(AND(E1782=0),D1782*F1782*G1782,IF(AND(F1782=0),D1782*E1782*G1782,IF(AND(G1782=0),D1782*E1782*F1782,D1782*E1782*F1782*G1782))))))</f>
        <v>4.6500000000000004</v>
      </c>
      <c r="I1782" s="39"/>
      <c r="J1782" s="40"/>
    </row>
    <row r="1783" spans="2:10" x14ac:dyDescent="0.3">
      <c r="B1783" s="90"/>
      <c r="C1783" s="58"/>
      <c r="D1783" s="59"/>
      <c r="E1783" s="39"/>
      <c r="F1783" s="39"/>
      <c r="G1783" s="39"/>
      <c r="H1783" s="39"/>
      <c r="I1783" s="24"/>
      <c r="J1783" s="25"/>
    </row>
    <row r="1784" spans="2:10" s="1" customFormat="1" ht="13.2" x14ac:dyDescent="0.25">
      <c r="B1784" s="24" t="s">
        <v>557</v>
      </c>
      <c r="C1784" s="115" t="s">
        <v>351</v>
      </c>
      <c r="D1784" s="59"/>
      <c r="E1784" s="39"/>
      <c r="F1784" s="39"/>
      <c r="G1784" s="39"/>
      <c r="H1784" s="39"/>
      <c r="I1784" s="39">
        <f>+SUM(H1786:H1788)-H1790+H1792-H1794</f>
        <v>17.502507461321667</v>
      </c>
      <c r="J1784" s="40" t="s">
        <v>337</v>
      </c>
    </row>
    <row r="1785" spans="2:10" s="1" customFormat="1" ht="13.2" x14ac:dyDescent="0.25">
      <c r="B1785" s="45"/>
      <c r="C1785" s="42" t="s">
        <v>636</v>
      </c>
      <c r="D1785" s="59"/>
      <c r="E1785" s="39"/>
      <c r="F1785" s="39"/>
      <c r="G1785" s="39"/>
      <c r="H1785" s="39"/>
      <c r="I1785" s="39"/>
      <c r="J1785" s="40"/>
    </row>
    <row r="1786" spans="2:10" s="1" customFormat="1" ht="13.2" x14ac:dyDescent="0.25">
      <c r="B1786" s="45"/>
      <c r="C1786" s="38" t="s">
        <v>705</v>
      </c>
      <c r="D1786" s="39">
        <v>1</v>
      </c>
      <c r="E1786" s="39">
        <v>11.85</v>
      </c>
      <c r="F1786" s="39">
        <f>4*0.0254+0.4</f>
        <v>0.50160000000000005</v>
      </c>
      <c r="G1786" s="39">
        <v>0.65</v>
      </c>
      <c r="H1786" s="39">
        <f>IF(AND(F1786=0,G1786=0),D1786*E1786,IF(AND(E1786=0,G1786=0),D1786*F1786,IF(AND(E1786=0,F1786=0),D1786*G1786,IF(AND(E1786=0),D1786*F1786*G1786,IF(AND(F1786=0),D1786*E1786*G1786,IF(AND(G1786=0),D1786*E1786*F1786,D1786*E1786*F1786*G1786))))))</f>
        <v>3.8635740000000003</v>
      </c>
      <c r="I1786" s="39"/>
      <c r="J1786" s="40"/>
    </row>
    <row r="1787" spans="2:10" s="1" customFormat="1" ht="13.2" x14ac:dyDescent="0.25">
      <c r="B1787" s="45"/>
      <c r="C1787" s="38" t="s">
        <v>706</v>
      </c>
      <c r="D1787" s="59">
        <v>1</v>
      </c>
      <c r="E1787" s="39">
        <f>16.6+0.3</f>
        <v>16.900000000000002</v>
      </c>
      <c r="F1787" s="39">
        <f t="shared" ref="F1787:F1788" si="125">4*0.0254+0.4</f>
        <v>0.50160000000000005</v>
      </c>
      <c r="G1787" s="39">
        <v>0.7</v>
      </c>
      <c r="H1787" s="39">
        <f t="shared" ref="H1787:H1788" si="126">IF(AND(F1787=0,G1787=0),D1787*E1787,IF(AND(E1787=0,G1787=0),D1787*F1787,IF(AND(E1787=0,F1787=0),D1787*G1787,IF(AND(E1787=0),D1787*F1787*G1787,IF(AND(F1787=0),D1787*E1787*G1787,IF(AND(G1787=0),D1787*E1787*F1787,D1787*E1787*F1787*G1787))))))</f>
        <v>5.9339280000000016</v>
      </c>
      <c r="I1787" s="39"/>
      <c r="J1787" s="40"/>
    </row>
    <row r="1788" spans="2:10" s="1" customFormat="1" ht="13.2" x14ac:dyDescent="0.25">
      <c r="B1788" s="45"/>
      <c r="C1788" s="79" t="s">
        <v>707</v>
      </c>
      <c r="D1788" s="59">
        <v>1</v>
      </c>
      <c r="E1788" s="39">
        <v>4.4000000000000004</v>
      </c>
      <c r="F1788" s="39">
        <f t="shared" si="125"/>
        <v>0.50160000000000005</v>
      </c>
      <c r="G1788" s="39">
        <v>0.7</v>
      </c>
      <c r="H1788" s="39">
        <f t="shared" si="126"/>
        <v>1.5449280000000003</v>
      </c>
      <c r="I1788" s="39"/>
      <c r="J1788" s="40"/>
    </row>
    <row r="1789" spans="2:10" s="1" customFormat="1" ht="13.2" x14ac:dyDescent="0.25">
      <c r="B1789" s="45"/>
      <c r="F1789" s="39" t="s">
        <v>485</v>
      </c>
      <c r="G1789" s="39">
        <v>4</v>
      </c>
      <c r="I1789" s="39"/>
      <c r="J1789" s="40"/>
    </row>
    <row r="1790" spans="2:10" s="1" customFormat="1" ht="13.2" x14ac:dyDescent="0.25">
      <c r="B1790" s="45"/>
      <c r="C1790" s="38" t="s">
        <v>569</v>
      </c>
      <c r="D1790" s="59">
        <v>1</v>
      </c>
      <c r="E1790" s="39">
        <f>+SUM(E1786:E1788)</f>
        <v>33.15</v>
      </c>
      <c r="F1790" s="39" t="s">
        <v>570</v>
      </c>
      <c r="G1790" s="39">
        <f>+PI()*((G1789*0.0254)^2)/4</f>
        <v>8.107319665559963E-3</v>
      </c>
      <c r="H1790" s="39">
        <f>+E1790*G1790</f>
        <v>0.26875764691331278</v>
      </c>
      <c r="I1790" s="39"/>
      <c r="J1790" s="40"/>
    </row>
    <row r="1791" spans="2:10" s="1" customFormat="1" ht="13.2" x14ac:dyDescent="0.25">
      <c r="B1791" s="45"/>
      <c r="C1791" s="42" t="s">
        <v>222</v>
      </c>
      <c r="D1791" s="59"/>
      <c r="E1791" s="39"/>
      <c r="F1791" s="39"/>
      <c r="G1791" s="39"/>
      <c r="H1791" s="39"/>
      <c r="I1791" s="39"/>
      <c r="J1791" s="40"/>
    </row>
    <row r="1792" spans="2:10" s="1" customFormat="1" ht="13.2" x14ac:dyDescent="0.25">
      <c r="B1792" s="45"/>
      <c r="C1792" s="38" t="s">
        <v>708</v>
      </c>
      <c r="D1792" s="39">
        <v>1</v>
      </c>
      <c r="E1792" s="39">
        <f>0.8+15.1</f>
        <v>15.9</v>
      </c>
      <c r="F1792" s="39">
        <v>0.7</v>
      </c>
      <c r="G1792" s="39">
        <v>0.65</v>
      </c>
      <c r="H1792" s="39">
        <f t="shared" ref="H1792" si="127">IF(AND(F1792=0,G1792=0),D1792*E1792,IF(AND(E1792=0,G1792=0),D1792*F1792,IF(AND(E1792=0,F1792=0),D1792*G1792,IF(AND(E1792=0),D1792*F1792*G1792,IF(AND(F1792=0),D1792*E1792*G1792,IF(AND(G1792=0),D1792*E1792*F1792,D1792*E1792*F1792*G1792))))))</f>
        <v>7.2344999999999997</v>
      </c>
      <c r="I1792" s="39"/>
      <c r="J1792" s="40"/>
    </row>
    <row r="1793" spans="2:10" s="1" customFormat="1" ht="13.2" x14ac:dyDescent="0.25">
      <c r="B1793" s="45"/>
      <c r="F1793" s="39" t="s">
        <v>485</v>
      </c>
      <c r="G1793" s="39">
        <v>10</v>
      </c>
      <c r="I1793" s="39"/>
      <c r="J1793" s="40"/>
    </row>
    <row r="1794" spans="2:10" s="1" customFormat="1" ht="13.2" x14ac:dyDescent="0.25">
      <c r="B1794" s="45"/>
      <c r="C1794" s="38" t="s">
        <v>569</v>
      </c>
      <c r="D1794" s="59">
        <v>1</v>
      </c>
      <c r="E1794" s="39">
        <f>+E1792</f>
        <v>15.9</v>
      </c>
      <c r="F1794" s="39" t="s">
        <v>570</v>
      </c>
      <c r="G1794" s="39">
        <f>+PI()*((G1793*0.0254)^2)/4</f>
        <v>5.0670747909749778E-2</v>
      </c>
      <c r="H1794" s="39">
        <f>+E1794*G1794</f>
        <v>0.80566489176502143</v>
      </c>
      <c r="I1794" s="39"/>
      <c r="J1794" s="40"/>
    </row>
    <row r="1795" spans="2:10" s="1" customFormat="1" ht="13.2" x14ac:dyDescent="0.25">
      <c r="B1795" s="45" t="s">
        <v>558</v>
      </c>
      <c r="C1795" s="1" t="s">
        <v>352</v>
      </c>
      <c r="D1795" s="59"/>
      <c r="E1795" s="39"/>
      <c r="F1795" s="39"/>
      <c r="G1795" s="39"/>
      <c r="H1795" s="39"/>
      <c r="I1795" s="39">
        <f>+SUM(H1796)</f>
        <v>0</v>
      </c>
      <c r="J1795" s="40" t="s">
        <v>333</v>
      </c>
    </row>
    <row r="1796" spans="2:10" s="1" customFormat="1" ht="13.2" x14ac:dyDescent="0.25">
      <c r="B1796" s="45"/>
      <c r="C1796" s="58"/>
      <c r="D1796" s="59"/>
      <c r="E1796" s="39"/>
      <c r="F1796" s="39"/>
      <c r="G1796" s="39"/>
      <c r="H1796" s="39">
        <f>+(F1796+G1796*2)*E1796</f>
        <v>0</v>
      </c>
      <c r="I1796" s="39"/>
      <c r="J1796" s="40"/>
    </row>
    <row r="1797" spans="2:10" s="1" customFormat="1" ht="13.2" x14ac:dyDescent="0.25">
      <c r="B1797" s="24" t="s">
        <v>558</v>
      </c>
      <c r="C1797" s="27" t="s">
        <v>352</v>
      </c>
      <c r="D1797" s="59"/>
      <c r="E1797" s="39"/>
      <c r="F1797" s="39"/>
      <c r="G1797" s="39"/>
      <c r="H1797" s="39"/>
      <c r="I1797" s="39">
        <f>+SUM(H1798:H1799)</f>
        <v>25.782000000000004</v>
      </c>
      <c r="J1797" s="40" t="s">
        <v>333</v>
      </c>
    </row>
    <row r="1798" spans="2:10" s="1" customFormat="1" ht="13.2" x14ac:dyDescent="0.25">
      <c r="B1798" s="45"/>
      <c r="C1798" s="45" t="s">
        <v>511</v>
      </c>
      <c r="D1798" s="59">
        <v>1</v>
      </c>
      <c r="E1798" s="39">
        <v>5.2</v>
      </c>
      <c r="F1798" s="39">
        <v>0.5</v>
      </c>
      <c r="G1798" s="39">
        <f>0.43+0.1</f>
        <v>0.53</v>
      </c>
      <c r="H1798" s="39">
        <f>+(F1798+G1798*2)*E1798</f>
        <v>8.1120000000000001</v>
      </c>
      <c r="I1798" s="39"/>
      <c r="J1798" s="40"/>
    </row>
    <row r="1799" spans="2:10" s="1" customFormat="1" ht="13.2" x14ac:dyDescent="0.25">
      <c r="B1799" s="45"/>
      <c r="C1799" s="45" t="s">
        <v>484</v>
      </c>
      <c r="D1799" s="1">
        <v>1</v>
      </c>
      <c r="E1799" s="75">
        <v>9.3000000000000007</v>
      </c>
      <c r="F1799" s="39">
        <v>0.5</v>
      </c>
      <c r="G1799" s="39">
        <f>0.6+0.1</f>
        <v>0.7</v>
      </c>
      <c r="H1799" s="39">
        <f>+(F1799+G1799*2)*E1799</f>
        <v>17.670000000000002</v>
      </c>
      <c r="I1799" s="39"/>
      <c r="J1799" s="40"/>
    </row>
    <row r="1800" spans="2:10" s="1" customFormat="1" ht="13.2" x14ac:dyDescent="0.25">
      <c r="B1800" s="45"/>
      <c r="C1800" s="58"/>
      <c r="D1800" s="59"/>
      <c r="E1800" s="39"/>
      <c r="F1800" s="39"/>
      <c r="G1800" s="39"/>
      <c r="H1800" s="39"/>
      <c r="I1800" s="39"/>
      <c r="J1800" s="40"/>
    </row>
    <row r="1801" spans="2:10" s="1" customFormat="1" ht="13.2" x14ac:dyDescent="0.25">
      <c r="B1801" s="24" t="s">
        <v>559</v>
      </c>
      <c r="C1801" s="27" t="s">
        <v>353</v>
      </c>
      <c r="D1801" s="59"/>
      <c r="E1801" s="39"/>
      <c r="F1801" s="39"/>
      <c r="G1801" s="39"/>
      <c r="H1801" s="39"/>
      <c r="I1801" s="39">
        <f>+SUM(H1803:H1808)</f>
        <v>93.653040000000004</v>
      </c>
      <c r="J1801" s="40" t="s">
        <v>333</v>
      </c>
    </row>
    <row r="1802" spans="2:10" s="1" customFormat="1" ht="13.2" x14ac:dyDescent="0.25">
      <c r="B1802" s="45"/>
      <c r="C1802" s="42" t="s">
        <v>636</v>
      </c>
      <c r="D1802" s="59"/>
      <c r="E1802" s="39"/>
      <c r="F1802" s="39"/>
      <c r="G1802" s="39"/>
      <c r="H1802" s="39"/>
      <c r="I1802" s="39"/>
      <c r="J1802" s="40"/>
    </row>
    <row r="1803" spans="2:10" s="1" customFormat="1" ht="13.2" x14ac:dyDescent="0.25">
      <c r="B1803" s="45"/>
      <c r="C1803" s="38" t="s">
        <v>705</v>
      </c>
      <c r="D1803" s="39">
        <v>1</v>
      </c>
      <c r="E1803" s="39">
        <v>11.85</v>
      </c>
      <c r="F1803" s="39">
        <f>4*0.0254+0.4</f>
        <v>0.50160000000000005</v>
      </c>
      <c r="G1803" s="39">
        <v>0.65</v>
      </c>
      <c r="H1803" s="39">
        <f>+(F1803+G1803*2)*E1803</f>
        <v>21.348960000000002</v>
      </c>
      <c r="I1803" s="39"/>
      <c r="J1803" s="40"/>
    </row>
    <row r="1804" spans="2:10" s="1" customFormat="1" ht="13.2" x14ac:dyDescent="0.25">
      <c r="B1804" s="45"/>
      <c r="C1804" s="38" t="s">
        <v>706</v>
      </c>
      <c r="D1804" s="59">
        <v>1</v>
      </c>
      <c r="E1804" s="39">
        <f>16.6+0.3</f>
        <v>16.900000000000002</v>
      </c>
      <c r="F1804" s="39">
        <f t="shared" ref="F1804:F1805" si="128">4*0.0254+0.4</f>
        <v>0.50160000000000005</v>
      </c>
      <c r="G1804" s="39">
        <v>0.7</v>
      </c>
      <c r="H1804" s="39">
        <f t="shared" ref="H1804:H1805" si="129">+(F1804+G1804*2)*E1804</f>
        <v>32.137040000000006</v>
      </c>
      <c r="I1804" s="39"/>
      <c r="J1804" s="40"/>
    </row>
    <row r="1805" spans="2:10" s="1" customFormat="1" ht="13.2" x14ac:dyDescent="0.25">
      <c r="B1805" s="45"/>
      <c r="C1805" s="79" t="s">
        <v>707</v>
      </c>
      <c r="D1805" s="59">
        <v>1</v>
      </c>
      <c r="E1805" s="39">
        <v>4.4000000000000004</v>
      </c>
      <c r="F1805" s="39">
        <f t="shared" si="128"/>
        <v>0.50160000000000005</v>
      </c>
      <c r="G1805" s="39">
        <v>0.7</v>
      </c>
      <c r="H1805" s="39">
        <f t="shared" si="129"/>
        <v>8.3670400000000011</v>
      </c>
      <c r="I1805" s="39"/>
      <c r="J1805" s="40"/>
    </row>
    <row r="1806" spans="2:10" s="1" customFormat="1" ht="13.2" x14ac:dyDescent="0.25">
      <c r="B1806" s="45"/>
      <c r="C1806" s="79"/>
      <c r="D1806" s="59"/>
      <c r="E1806" s="39"/>
      <c r="F1806" s="39"/>
      <c r="G1806" s="39"/>
      <c r="H1806" s="39"/>
      <c r="I1806" s="39"/>
      <c r="J1806" s="40"/>
    </row>
    <row r="1807" spans="2:10" s="1" customFormat="1" ht="13.2" x14ac:dyDescent="0.25">
      <c r="B1807" s="45"/>
      <c r="C1807" s="42" t="s">
        <v>222</v>
      </c>
      <c r="D1807" s="59"/>
      <c r="E1807" s="39"/>
      <c r="F1807" s="39"/>
      <c r="G1807" s="39"/>
      <c r="H1807" s="39"/>
      <c r="I1807" s="39"/>
      <c r="J1807" s="40"/>
    </row>
    <row r="1808" spans="2:10" s="1" customFormat="1" ht="13.2" x14ac:dyDescent="0.25">
      <c r="B1808" s="45"/>
      <c r="C1808" s="38" t="s">
        <v>708</v>
      </c>
      <c r="D1808" s="39">
        <v>1</v>
      </c>
      <c r="E1808" s="39">
        <f>0.8+15.1</f>
        <v>15.9</v>
      </c>
      <c r="F1808" s="39">
        <v>0.7</v>
      </c>
      <c r="G1808" s="39">
        <v>0.65</v>
      </c>
      <c r="H1808" s="39">
        <f>+(F1808+G1808*2)*E1808</f>
        <v>31.8</v>
      </c>
      <c r="I1808" s="39"/>
      <c r="J1808" s="40"/>
    </row>
    <row r="1809" spans="2:10" s="1" customFormat="1" ht="13.2" x14ac:dyDescent="0.25">
      <c r="B1809" s="45"/>
      <c r="C1809" s="58"/>
      <c r="D1809" s="59"/>
      <c r="E1809" s="39"/>
      <c r="F1809" s="39"/>
      <c r="G1809" s="39"/>
      <c r="H1809" s="39"/>
      <c r="I1809" s="39"/>
      <c r="J1809" s="40"/>
    </row>
    <row r="1810" spans="2:10" s="1" customFormat="1" ht="13.2" x14ac:dyDescent="0.25">
      <c r="B1810" s="45"/>
      <c r="C1810" s="58"/>
      <c r="D1810" s="59"/>
      <c r="E1810" s="39"/>
      <c r="F1810" s="39"/>
      <c r="G1810" s="39"/>
      <c r="H1810" s="39"/>
      <c r="I1810" s="39"/>
      <c r="J1810" s="40"/>
    </row>
    <row r="1811" spans="2:10" s="1" customFormat="1" ht="13.2" x14ac:dyDescent="0.25">
      <c r="B1811" s="45"/>
      <c r="C1811" s="58"/>
      <c r="D1811" s="59"/>
      <c r="E1811" s="39"/>
      <c r="F1811" s="39"/>
      <c r="G1811" s="39"/>
      <c r="H1811" s="39"/>
      <c r="I1811" s="39"/>
      <c r="J1811" s="40"/>
    </row>
    <row r="1812" spans="2:10" s="1" customFormat="1" ht="13.2" x14ac:dyDescent="0.25">
      <c r="B1812" s="45"/>
      <c r="C1812" s="58"/>
      <c r="D1812" s="59"/>
      <c r="E1812" s="39"/>
      <c r="F1812" s="39"/>
      <c r="G1812" s="39"/>
      <c r="H1812" s="39"/>
      <c r="I1812" s="39"/>
      <c r="J1812" s="40"/>
    </row>
    <row r="1813" spans="2:10" s="1" customFormat="1" ht="13.2" x14ac:dyDescent="0.25">
      <c r="B1813" s="24" t="s">
        <v>560</v>
      </c>
      <c r="C1813" s="27" t="s">
        <v>354</v>
      </c>
      <c r="D1813" s="59"/>
      <c r="E1813" s="39"/>
      <c r="F1813" s="39" t="s">
        <v>571</v>
      </c>
      <c r="G1813" s="39"/>
      <c r="H1813" s="39"/>
      <c r="I1813" s="39">
        <f>+SUM(H1814:H1828)</f>
        <v>1424.2395094991364</v>
      </c>
      <c r="J1813" s="40" t="s">
        <v>355</v>
      </c>
    </row>
    <row r="1814" spans="2:10" s="1" customFormat="1" ht="13.2" x14ac:dyDescent="0.25">
      <c r="B1814" s="107"/>
      <c r="C1814" s="42" t="s">
        <v>196</v>
      </c>
      <c r="D1814" s="59"/>
      <c r="E1814" s="39"/>
      <c r="F1814" s="39"/>
      <c r="G1814" s="39"/>
      <c r="H1814" s="39">
        <f>IF(AND(F1814=0,G1814=0),D1814*E1814,IF(AND(E1814=0,G1814=0),D1814*F1814,IF(AND(E1814=0,F1814=0),D1814*G1814,IF(AND(E1814=0),D1814*F1814*G1814,IF(AND(F1814=0),D1814*E1814*G1814,IF(AND(G1814=0),D1814*E1814*F1814,D1814*E1814*F1814*G1814))))))</f>
        <v>0</v>
      </c>
      <c r="I1814" s="39"/>
      <c r="J1814" s="40"/>
    </row>
    <row r="1815" spans="2:10" s="1" customFormat="1" ht="13.2" x14ac:dyDescent="0.25">
      <c r="B1815" s="107"/>
      <c r="C1815" s="74" t="s">
        <v>502</v>
      </c>
      <c r="D1815" s="39"/>
      <c r="E1815" s="39"/>
      <c r="F1815" s="39"/>
      <c r="G1815" s="39"/>
      <c r="H1815" s="39"/>
      <c r="I1815" s="39"/>
      <c r="J1815" s="40"/>
    </row>
    <row r="1816" spans="2:10" s="1" customFormat="1" ht="13.2" x14ac:dyDescent="0.25">
      <c r="B1816" s="107"/>
      <c r="C1816" s="38" t="s">
        <v>503</v>
      </c>
      <c r="D1816" s="39">
        <v>36</v>
      </c>
      <c r="E1816" s="39">
        <v>3.25</v>
      </c>
      <c r="F1816" s="39">
        <f>13.58/5</f>
        <v>2.7160000000000002</v>
      </c>
      <c r="G1816" s="39"/>
      <c r="H1816" s="39">
        <f t="shared" ref="H1816:H1825" si="130">IF(AND(F1816=0,G1816=0),D1816*E1816,IF(AND(E1816=0,G1816=0),D1816*F1816,IF(AND(E1816=0,F1816=0),D1816*G1816,IF(AND(E1816=0),D1816*F1816*G1816,IF(AND(F1816=0),D1816*E1816*G1816,IF(AND(G1816=0),D1816*E1816*F1816,D1816*E1816*F1816*G1816))))))</f>
        <v>317.77200000000005</v>
      </c>
      <c r="I1816" s="39"/>
      <c r="J1816" s="40"/>
    </row>
    <row r="1817" spans="2:10" s="1" customFormat="1" ht="13.2" x14ac:dyDescent="0.25">
      <c r="B1817" s="107"/>
      <c r="C1817" s="38" t="s">
        <v>504</v>
      </c>
      <c r="D1817" s="39">
        <v>36</v>
      </c>
      <c r="E1817" s="39">
        <v>3</v>
      </c>
      <c r="F1817" s="39">
        <f>13.58/5</f>
        <v>2.7160000000000002</v>
      </c>
      <c r="G1817" s="39"/>
      <c r="H1817" s="39">
        <f t="shared" si="130"/>
        <v>293.32800000000003</v>
      </c>
      <c r="I1817" s="39"/>
      <c r="J1817" s="40"/>
    </row>
    <row r="1818" spans="2:10" s="1" customFormat="1" ht="13.2" x14ac:dyDescent="0.25">
      <c r="B1818" s="107"/>
      <c r="C1818" s="74" t="s">
        <v>505</v>
      </c>
      <c r="D1818" s="39"/>
      <c r="E1818" s="39"/>
      <c r="F1818" s="39"/>
      <c r="G1818" s="39"/>
      <c r="H1818" s="39"/>
      <c r="I1818" s="39"/>
      <c r="J1818" s="40"/>
    </row>
    <row r="1819" spans="2:10" s="1" customFormat="1" ht="13.2" x14ac:dyDescent="0.25">
      <c r="B1819" s="107"/>
      <c r="C1819" s="38" t="s">
        <v>503</v>
      </c>
      <c r="D1819" s="39">
        <v>36</v>
      </c>
      <c r="E1819" s="39">
        <v>3.25</v>
      </c>
      <c r="F1819" s="39">
        <f>13.58/5</f>
        <v>2.7160000000000002</v>
      </c>
      <c r="G1819" s="39"/>
      <c r="H1819" s="39">
        <f t="shared" si="130"/>
        <v>317.77200000000005</v>
      </c>
      <c r="I1819" s="39"/>
      <c r="J1819" s="40"/>
    </row>
    <row r="1820" spans="2:10" s="1" customFormat="1" ht="13.2" x14ac:dyDescent="0.25">
      <c r="B1820" s="107"/>
      <c r="C1820" s="74" t="s">
        <v>506</v>
      </c>
      <c r="D1820" s="39"/>
      <c r="E1820" s="39"/>
      <c r="F1820" s="39"/>
      <c r="G1820" s="39"/>
      <c r="H1820" s="39"/>
      <c r="I1820" s="39"/>
      <c r="J1820" s="40"/>
    </row>
    <row r="1821" spans="2:10" s="1" customFormat="1" ht="13.2" x14ac:dyDescent="0.25">
      <c r="B1821" s="107"/>
      <c r="C1821" s="38" t="s">
        <v>503</v>
      </c>
      <c r="D1821" s="39">
        <v>36</v>
      </c>
      <c r="E1821" s="39">
        <v>3.25</v>
      </c>
      <c r="F1821" s="39">
        <f>13.58/5</f>
        <v>2.7160000000000002</v>
      </c>
      <c r="G1821" s="39"/>
      <c r="H1821" s="39">
        <f t="shared" si="130"/>
        <v>317.77200000000005</v>
      </c>
      <c r="I1821" s="39"/>
      <c r="J1821" s="40"/>
    </row>
    <row r="1822" spans="2:10" s="1" customFormat="1" ht="13.2" x14ac:dyDescent="0.25">
      <c r="B1822" s="107"/>
      <c r="C1822" s="42" t="s">
        <v>636</v>
      </c>
      <c r="D1822" s="59"/>
      <c r="E1822" s="39"/>
      <c r="F1822" s="39"/>
      <c r="G1822" s="39"/>
      <c r="H1822" s="39"/>
      <c r="I1822" s="39"/>
      <c r="J1822" s="40"/>
    </row>
    <row r="1823" spans="2:10" s="1" customFormat="1" ht="13.2" x14ac:dyDescent="0.25">
      <c r="B1823" s="107"/>
      <c r="C1823" s="38" t="s">
        <v>705</v>
      </c>
      <c r="D1823" s="39">
        <v>1</v>
      </c>
      <c r="E1823" s="39">
        <v>11.85</v>
      </c>
      <c r="F1823" s="39">
        <f>10.1/5.85</f>
        <v>1.7264957264957266</v>
      </c>
      <c r="G1823" s="39"/>
      <c r="H1823" s="39">
        <f t="shared" si="130"/>
        <v>20.458974358974359</v>
      </c>
      <c r="I1823" s="39"/>
      <c r="J1823" s="40"/>
    </row>
    <row r="1824" spans="2:10" s="1" customFormat="1" ht="13.2" x14ac:dyDescent="0.25">
      <c r="B1824" s="107"/>
      <c r="C1824" s="38" t="s">
        <v>706</v>
      </c>
      <c r="D1824" s="59">
        <v>1</v>
      </c>
      <c r="E1824" s="39">
        <f>16.6+0.3</f>
        <v>16.900000000000002</v>
      </c>
      <c r="F1824" s="39">
        <f t="shared" ref="F1824:F1825" si="131">10.1/5.85</f>
        <v>1.7264957264957266</v>
      </c>
      <c r="G1824" s="39"/>
      <c r="H1824" s="39">
        <f t="shared" si="130"/>
        <v>29.177777777777784</v>
      </c>
      <c r="I1824" s="39"/>
      <c r="J1824" s="40"/>
    </row>
    <row r="1825" spans="2:10" s="1" customFormat="1" ht="13.2" x14ac:dyDescent="0.25">
      <c r="B1825" s="107"/>
      <c r="C1825" s="79" t="s">
        <v>707</v>
      </c>
      <c r="D1825" s="59">
        <v>1</v>
      </c>
      <c r="E1825" s="39">
        <v>4.4000000000000004</v>
      </c>
      <c r="F1825" s="39">
        <f t="shared" si="131"/>
        <v>1.7264957264957266</v>
      </c>
      <c r="G1825" s="39"/>
      <c r="H1825" s="39">
        <f t="shared" si="130"/>
        <v>7.5965811965811971</v>
      </c>
      <c r="I1825" s="39"/>
      <c r="J1825" s="40"/>
    </row>
    <row r="1826" spans="2:10" s="1" customFormat="1" ht="13.2" x14ac:dyDescent="0.25">
      <c r="B1826" s="107"/>
      <c r="C1826" s="79"/>
      <c r="D1826" s="59"/>
      <c r="E1826" s="39"/>
      <c r="F1826" s="39"/>
      <c r="G1826" s="39"/>
      <c r="H1826" s="39"/>
      <c r="I1826" s="39"/>
      <c r="J1826" s="40"/>
    </row>
    <row r="1827" spans="2:10" s="1" customFormat="1" ht="13.2" x14ac:dyDescent="0.25">
      <c r="B1827" s="107"/>
      <c r="C1827" s="42" t="s">
        <v>222</v>
      </c>
      <c r="D1827" s="59"/>
      <c r="E1827" s="39"/>
      <c r="F1827" s="39"/>
      <c r="G1827" s="39"/>
      <c r="H1827" s="39"/>
      <c r="I1827" s="39"/>
      <c r="J1827" s="40"/>
    </row>
    <row r="1828" spans="2:10" s="1" customFormat="1" ht="13.2" x14ac:dyDescent="0.25">
      <c r="B1828" s="107"/>
      <c r="C1828" s="38" t="s">
        <v>708</v>
      </c>
      <c r="D1828" s="39">
        <v>1</v>
      </c>
      <c r="E1828" s="39">
        <f>0.8+15.1</f>
        <v>15.9</v>
      </c>
      <c r="F1828" s="39">
        <f>43.83/5.79</f>
        <v>7.5699481865284968</v>
      </c>
      <c r="G1828" s="39"/>
      <c r="H1828" s="39">
        <f t="shared" ref="H1828" si="132">IF(AND(F1828=0,G1828=0),D1828*E1828,IF(AND(E1828=0,G1828=0),D1828*F1828,IF(AND(E1828=0,F1828=0),D1828*G1828,IF(AND(E1828=0),D1828*F1828*G1828,IF(AND(F1828=0),D1828*E1828*G1828,IF(AND(G1828=0),D1828*E1828*F1828,D1828*E1828*F1828*G1828))))))</f>
        <v>120.36217616580311</v>
      </c>
      <c r="I1828" s="39"/>
      <c r="J1828" s="40"/>
    </row>
    <row r="1829" spans="2:10" s="1" customFormat="1" ht="28.5" customHeight="1" x14ac:dyDescent="0.25">
      <c r="B1829" s="24" t="s">
        <v>561</v>
      </c>
      <c r="C1829" s="27" t="s">
        <v>356</v>
      </c>
      <c r="D1829" s="59"/>
      <c r="E1829" s="39"/>
      <c r="F1829" s="39"/>
      <c r="G1829" s="39"/>
      <c r="H1829" s="39"/>
      <c r="I1829" s="39">
        <f>+SUM(H1830:H1835)</f>
        <v>4.0578000000000003</v>
      </c>
      <c r="J1829" s="40" t="s">
        <v>337</v>
      </c>
    </row>
    <row r="1830" spans="2:10" s="1" customFormat="1" ht="28.5" customHeight="1" x14ac:dyDescent="0.25">
      <c r="B1830" s="45"/>
      <c r="C1830" s="45" t="s">
        <v>511</v>
      </c>
      <c r="D1830" s="59">
        <v>2</v>
      </c>
      <c r="E1830" s="39">
        <v>5.2</v>
      </c>
      <c r="F1830" s="39">
        <v>0.15</v>
      </c>
      <c r="G1830" s="39">
        <f>+G1773-0.25</f>
        <v>0.42999999999999994</v>
      </c>
      <c r="H1830" s="39">
        <f t="shared" ref="H1830:H1835" si="133">IF(AND(F1830=0,G1830=0),D1830*E1830,IF(AND(E1830=0,G1830=0),D1830*F1830,IF(AND(E1830=0,F1830=0),D1830*G1830,IF(AND(E1830=0),D1830*F1830*G1830,IF(AND(F1830=0),D1830*E1830*G1830,IF(AND(G1830=0),D1830*E1830*F1830,D1830*E1830*F1830*G1830))))))</f>
        <v>0.67079999999999995</v>
      </c>
      <c r="I1830" s="39"/>
      <c r="J1830" s="40"/>
    </row>
    <row r="1831" spans="2:10" s="1" customFormat="1" ht="28.5" customHeight="1" x14ac:dyDescent="0.25">
      <c r="B1831" s="45"/>
      <c r="C1831" s="45"/>
      <c r="D1831" s="22">
        <v>1</v>
      </c>
      <c r="E1831" s="39">
        <v>5.2</v>
      </c>
      <c r="F1831" s="39">
        <v>0.5</v>
      </c>
      <c r="G1831" s="39">
        <v>0.15</v>
      </c>
      <c r="H1831" s="39">
        <f t="shared" si="133"/>
        <v>0.39</v>
      </c>
      <c r="I1831" s="39"/>
      <c r="J1831" s="40"/>
    </row>
    <row r="1832" spans="2:10" s="1" customFormat="1" ht="28.5" customHeight="1" x14ac:dyDescent="0.25">
      <c r="B1832" s="45"/>
      <c r="C1832" s="38" t="s">
        <v>484</v>
      </c>
      <c r="D1832" s="1">
        <v>2</v>
      </c>
      <c r="E1832" s="75">
        <v>9.3000000000000007</v>
      </c>
      <c r="F1832" s="39">
        <v>0.15</v>
      </c>
      <c r="G1832" s="39">
        <f>+G1774-0.15</f>
        <v>0.7</v>
      </c>
      <c r="H1832" s="39">
        <f t="shared" si="133"/>
        <v>1.9529999999999998</v>
      </c>
      <c r="I1832" s="39"/>
      <c r="J1832" s="40"/>
    </row>
    <row r="1833" spans="2:10" s="1" customFormat="1" ht="28.5" customHeight="1" x14ac:dyDescent="0.25">
      <c r="B1833" s="45"/>
      <c r="C1833" s="45"/>
      <c r="D1833" s="1">
        <v>1</v>
      </c>
      <c r="E1833" s="75">
        <v>9.3000000000000007</v>
      </c>
      <c r="F1833" s="39">
        <v>0.5</v>
      </c>
      <c r="G1833" s="39">
        <v>0.15</v>
      </c>
      <c r="H1833" s="39">
        <f t="shared" si="133"/>
        <v>0.69750000000000001</v>
      </c>
      <c r="I1833" s="39"/>
      <c r="J1833" s="40"/>
    </row>
    <row r="1834" spans="2:10" s="1" customFormat="1" ht="13.2" x14ac:dyDescent="0.25">
      <c r="B1834" s="45"/>
      <c r="C1834" s="38" t="s">
        <v>704</v>
      </c>
      <c r="D1834" s="39">
        <v>2</v>
      </c>
      <c r="E1834" s="39">
        <v>1.5</v>
      </c>
      <c r="F1834" s="39">
        <v>0.15</v>
      </c>
      <c r="G1834" s="39">
        <v>0.65</v>
      </c>
      <c r="H1834" s="39">
        <f t="shared" si="133"/>
        <v>0.29249999999999998</v>
      </c>
      <c r="I1834" s="39"/>
      <c r="J1834" s="40"/>
    </row>
    <row r="1835" spans="2:10" s="1" customFormat="1" ht="13.2" x14ac:dyDescent="0.25">
      <c r="B1835" s="45"/>
      <c r="C1835" s="58"/>
      <c r="D1835" s="59">
        <v>2</v>
      </c>
      <c r="E1835" s="39">
        <v>1.2</v>
      </c>
      <c r="F1835" s="39">
        <v>0.15</v>
      </c>
      <c r="G1835" s="39">
        <v>0.15</v>
      </c>
      <c r="H1835" s="39">
        <f t="shared" si="133"/>
        <v>5.3999999999999999E-2</v>
      </c>
      <c r="I1835" s="39"/>
      <c r="J1835" s="40"/>
    </row>
    <row r="1836" spans="2:10" s="1" customFormat="1" ht="13.2" x14ac:dyDescent="0.25">
      <c r="B1836" s="24" t="s">
        <v>562</v>
      </c>
      <c r="C1836" s="27" t="s">
        <v>357</v>
      </c>
      <c r="D1836" s="59" t="s">
        <v>574</v>
      </c>
      <c r="E1836" s="39"/>
      <c r="F1836" s="39"/>
      <c r="G1836" s="39"/>
      <c r="H1836" s="39"/>
      <c r="I1836" s="39">
        <f>+SUM(H1837:H1845)</f>
        <v>9.8109869504066634</v>
      </c>
      <c r="J1836" s="40" t="s">
        <v>337</v>
      </c>
    </row>
    <row r="1837" spans="2:10" s="1" customFormat="1" ht="13.2" x14ac:dyDescent="0.25">
      <c r="B1837" s="24"/>
      <c r="C1837" s="45" t="s">
        <v>511</v>
      </c>
      <c r="D1837" s="59">
        <v>1.25</v>
      </c>
      <c r="E1837" s="39">
        <v>5.2</v>
      </c>
      <c r="F1837" s="39">
        <v>0.5</v>
      </c>
      <c r="G1837" s="39">
        <f>0.43+0.25</f>
        <v>0.67999999999999994</v>
      </c>
      <c r="H1837" s="39">
        <f>IF(AND(F1837=0,G1837=0),D1837*E1837,IF(AND(E1837=0,G1837=0),D1837*F1837,IF(AND(E1837=0,F1837=0),D1837*G1837,IF(AND(E1837=0),D1837*F1837*G1837,IF(AND(F1837=0),D1837*E1837*G1837,IF(AND(G1837=0),D1837*E1837*F1837,D1837*E1837*F1837*G1837))))))</f>
        <v>2.21</v>
      </c>
      <c r="I1837" s="39"/>
      <c r="J1837" s="40"/>
    </row>
    <row r="1838" spans="2:10" s="1" customFormat="1" ht="13.2" x14ac:dyDescent="0.25">
      <c r="B1838" s="24"/>
      <c r="C1838" s="45" t="s">
        <v>484</v>
      </c>
      <c r="D1838" s="59">
        <v>1.25</v>
      </c>
      <c r="E1838" s="75">
        <v>9.3000000000000007</v>
      </c>
      <c r="F1838" s="39">
        <v>0.5</v>
      </c>
      <c r="G1838" s="39">
        <f>0.6+0.25</f>
        <v>0.85</v>
      </c>
      <c r="H1838" s="39">
        <f>IF(AND(F1838=0,G1838=0),D1838*E1838,IF(AND(E1838=0,G1838=0),D1838*F1838,IF(AND(E1838=0,F1838=0),D1838*G1838,IF(AND(E1838=0),D1838*F1838*G1838,IF(AND(F1838=0),D1838*E1838*G1838,IF(AND(G1838=0),D1838*E1838*F1838,D1838*E1838*F1838*G1838))))))</f>
        <v>4.9406249999999998</v>
      </c>
      <c r="I1838" s="39"/>
      <c r="J1838" s="40"/>
    </row>
    <row r="1839" spans="2:10" s="1" customFormat="1" ht="13.2" x14ac:dyDescent="0.25">
      <c r="B1839" s="24"/>
      <c r="C1839" s="38" t="s">
        <v>704</v>
      </c>
      <c r="D1839" s="59">
        <v>1.25</v>
      </c>
      <c r="E1839" s="39">
        <v>0.9</v>
      </c>
      <c r="F1839" s="39">
        <v>1.5</v>
      </c>
      <c r="G1839" s="39">
        <f>0.65+0.25</f>
        <v>0.9</v>
      </c>
      <c r="H1839" s="39">
        <f>IF(AND(F1839=0,G1839=0),D1839*E1839,IF(AND(E1839=0,G1839=0),D1839*F1839,IF(AND(E1839=0,F1839=0),D1839*G1839,IF(AND(E1839=0),D1839*F1839*G1839,IF(AND(F1839=0),D1839*E1839*G1839,IF(AND(G1839=0),D1839*E1839*F1839,D1839*E1839*F1839*G1839))))))</f>
        <v>1.51875</v>
      </c>
      <c r="I1839" s="39"/>
      <c r="J1839" s="40"/>
    </row>
    <row r="1840" spans="2:10" s="1" customFormat="1" ht="13.2" x14ac:dyDescent="0.25">
      <c r="B1840" s="45"/>
      <c r="C1840" s="42" t="s">
        <v>636</v>
      </c>
      <c r="D1840" s="59"/>
      <c r="E1840" s="39"/>
      <c r="F1840" s="39"/>
      <c r="G1840" s="39"/>
      <c r="H1840" s="39"/>
      <c r="I1840" s="39"/>
      <c r="J1840" s="40"/>
    </row>
    <row r="1841" spans="2:10" s="1" customFormat="1" ht="13.2" x14ac:dyDescent="0.25">
      <c r="B1841" s="45"/>
      <c r="C1841" s="115"/>
      <c r="F1841" s="39" t="s">
        <v>485</v>
      </c>
      <c r="G1841" s="39">
        <v>4</v>
      </c>
      <c r="I1841" s="39"/>
      <c r="J1841" s="40"/>
    </row>
    <row r="1842" spans="2:10" s="1" customFormat="1" ht="13.2" x14ac:dyDescent="0.25">
      <c r="B1842" s="45"/>
      <c r="C1842" s="38" t="s">
        <v>569</v>
      </c>
      <c r="D1842" s="59">
        <v>1.25</v>
      </c>
      <c r="E1842" s="39">
        <f>+E1790</f>
        <v>33.15</v>
      </c>
      <c r="F1842" s="39" t="s">
        <v>570</v>
      </c>
      <c r="G1842" s="39">
        <f>+PI()*((G1841*0.0254)^2)/4</f>
        <v>8.107319665559963E-3</v>
      </c>
      <c r="H1842" s="39">
        <f>+D1842*E1842*G1842</f>
        <v>0.33594705864164098</v>
      </c>
      <c r="I1842" s="39"/>
      <c r="J1842" s="40"/>
    </row>
    <row r="1843" spans="2:10" s="1" customFormat="1" ht="13.2" x14ac:dyDescent="0.25">
      <c r="B1843" s="45"/>
      <c r="C1843" s="42" t="s">
        <v>222</v>
      </c>
      <c r="D1843" s="59"/>
      <c r="E1843" s="39"/>
      <c r="F1843" s="39"/>
      <c r="G1843" s="39"/>
      <c r="H1843" s="39"/>
      <c r="I1843" s="39"/>
      <c r="J1843" s="40"/>
    </row>
    <row r="1844" spans="2:10" s="1" customFormat="1" ht="13.2" x14ac:dyDescent="0.25">
      <c r="B1844" s="45"/>
      <c r="C1844" s="38" t="s">
        <v>708</v>
      </c>
      <c r="F1844" s="39" t="s">
        <v>485</v>
      </c>
      <c r="G1844" s="39">
        <v>10</v>
      </c>
      <c r="I1844" s="39"/>
      <c r="J1844" s="40"/>
    </row>
    <row r="1845" spans="2:10" s="1" customFormat="1" ht="13.2" x14ac:dyDescent="0.25">
      <c r="B1845" s="45"/>
      <c r="C1845" s="38" t="s">
        <v>569</v>
      </c>
      <c r="D1845" s="59">
        <v>1</v>
      </c>
      <c r="E1845" s="39">
        <f>+E1794</f>
        <v>15.9</v>
      </c>
      <c r="F1845" s="39" t="s">
        <v>570</v>
      </c>
      <c r="G1845" s="39">
        <f>+PI()*((G1844*0.0254)^2)/4</f>
        <v>5.0670747909749778E-2</v>
      </c>
      <c r="H1845" s="39">
        <f>+D1845*E1845*G1845</f>
        <v>0.80566489176502143</v>
      </c>
      <c r="I1845" s="39"/>
      <c r="J1845" s="40"/>
    </row>
    <row r="1846" spans="2:10" x14ac:dyDescent="0.3">
      <c r="B1846" s="115"/>
      <c r="C1846" s="115"/>
    </row>
    <row r="1847" spans="2:10" s="1" customFormat="1" ht="13.2" x14ac:dyDescent="0.25">
      <c r="B1847" s="24" t="s">
        <v>563</v>
      </c>
      <c r="C1847" s="27" t="s">
        <v>358</v>
      </c>
      <c r="D1847" s="59"/>
      <c r="E1847" s="39"/>
      <c r="F1847" s="39"/>
      <c r="G1847" s="39"/>
      <c r="H1847" s="39"/>
      <c r="I1847" s="39">
        <f>+I1836</f>
        <v>9.8109869504066634</v>
      </c>
      <c r="J1847" s="40" t="s">
        <v>337</v>
      </c>
    </row>
    <row r="1849" spans="2:10" x14ac:dyDescent="0.3">
      <c r="B1849" s="72" t="s">
        <v>365</v>
      </c>
      <c r="C1849" s="73" t="s">
        <v>360</v>
      </c>
      <c r="D1849" s="22"/>
      <c r="E1849" s="22"/>
      <c r="F1849" s="22"/>
      <c r="G1849" s="22"/>
      <c r="H1849" s="23"/>
      <c r="I1849" s="24"/>
      <c r="J1849" s="25"/>
    </row>
    <row r="1850" spans="2:10" s="1" customFormat="1" ht="13.2" x14ac:dyDescent="0.25">
      <c r="B1850" s="42" t="s">
        <v>366</v>
      </c>
      <c r="C1850" s="24" t="s">
        <v>362</v>
      </c>
      <c r="D1850" s="59"/>
      <c r="E1850" s="39"/>
      <c r="F1850" s="39"/>
      <c r="G1850" s="39"/>
      <c r="H1850" s="39"/>
      <c r="I1850" s="43">
        <f>+SUM(H1851:H1852)</f>
        <v>7.25</v>
      </c>
      <c r="J1850" s="44" t="s">
        <v>333</v>
      </c>
    </row>
    <row r="1851" spans="2:10" s="1" customFormat="1" ht="15.75" customHeight="1" x14ac:dyDescent="0.25">
      <c r="B1851" s="24"/>
      <c r="C1851" s="45" t="s">
        <v>511</v>
      </c>
      <c r="D1851" s="59">
        <v>1</v>
      </c>
      <c r="E1851" s="39">
        <v>5.2</v>
      </c>
      <c r="F1851" s="39">
        <v>0.5</v>
      </c>
      <c r="G1851" s="39"/>
      <c r="H1851" s="39">
        <f>IF(AND(F1851=0,G1851=0),D1851*E1851,IF(AND(E1851=0,G1851=0),D1851*F1851,IF(AND(E1851=0,F1851=0),D1851*G1851,IF(AND(E1851=0),D1851*F1851*G1851,IF(AND(F1851=0),D1851*E1851*G1851,IF(AND(G1851=0),D1851*E1851*F1851,D1851*E1851*F1851*G1851))))))</f>
        <v>2.6</v>
      </c>
      <c r="I1851" s="39"/>
      <c r="J1851" s="40"/>
    </row>
    <row r="1852" spans="2:10" s="1" customFormat="1" ht="13.2" x14ac:dyDescent="0.25">
      <c r="B1852" s="24"/>
      <c r="C1852" s="45" t="s">
        <v>484</v>
      </c>
      <c r="D1852" s="1">
        <v>1</v>
      </c>
      <c r="E1852" s="75">
        <v>9.3000000000000007</v>
      </c>
      <c r="F1852" s="39">
        <v>0.5</v>
      </c>
      <c r="G1852" s="39"/>
      <c r="H1852" s="39">
        <f>IF(AND(F1852=0,G1852=0),D1852*E1852,IF(AND(E1852=0,G1852=0),D1852*F1852,IF(AND(E1852=0,F1852=0),D1852*G1852,IF(AND(E1852=0),D1852*F1852*G1852,IF(AND(F1852=0),D1852*E1852*G1852,IF(AND(G1852=0),D1852*E1852*F1852,D1852*E1852*F1852*G1852))))))</f>
        <v>4.6500000000000004</v>
      </c>
      <c r="I1852" s="39"/>
      <c r="J1852" s="40"/>
    </row>
    <row r="1853" spans="2:10" s="1" customFormat="1" ht="13.2" x14ac:dyDescent="0.25">
      <c r="B1853" s="42" t="s">
        <v>367</v>
      </c>
      <c r="C1853" s="24" t="s">
        <v>364</v>
      </c>
      <c r="D1853" s="59"/>
      <c r="E1853" s="39"/>
      <c r="F1853" s="39"/>
      <c r="G1853" s="39"/>
      <c r="H1853" s="39"/>
      <c r="I1853" s="43">
        <f>+H1854</f>
        <v>1.35</v>
      </c>
      <c r="J1853" s="44" t="s">
        <v>333</v>
      </c>
    </row>
    <row r="1854" spans="2:10" s="1" customFormat="1" ht="13.2" x14ac:dyDescent="0.25">
      <c r="B1854" s="56"/>
      <c r="C1854" s="38" t="s">
        <v>704</v>
      </c>
      <c r="D1854" s="39">
        <v>1</v>
      </c>
      <c r="E1854" s="39">
        <v>0.9</v>
      </c>
      <c r="F1854" s="39">
        <v>1.5</v>
      </c>
      <c r="G1854" s="39"/>
      <c r="H1854" s="39">
        <f>IF(AND(F1854=0,G1854=0),D1854*E1854,IF(AND(E1854=0,G1854=0),D1854*F1854,IF(AND(E1854=0,F1854=0),D1854*G1854,IF(AND(E1854=0),D1854*F1854*G1854,IF(AND(F1854=0),D1854*E1854*G1854,IF(AND(G1854=0),D1854*E1854*F1854,D1854*E1854*F1854*G1854))))))</f>
        <v>1.35</v>
      </c>
      <c r="I1854" s="39"/>
      <c r="J1854" s="40"/>
    </row>
    <row r="1855" spans="2:10" s="1" customFormat="1" ht="13.2" x14ac:dyDescent="0.25">
      <c r="B1855" s="56"/>
      <c r="C1855" s="38"/>
      <c r="D1855" s="59"/>
      <c r="E1855" s="39"/>
      <c r="F1855" s="39"/>
      <c r="G1855" s="39"/>
      <c r="H1855" s="39"/>
      <c r="I1855" s="39"/>
      <c r="J1855" s="40"/>
    </row>
    <row r="1856" spans="2:10" s="1" customFormat="1" ht="13.2" x14ac:dyDescent="0.25">
      <c r="B1856" s="56" t="s">
        <v>368</v>
      </c>
      <c r="C1856" s="57" t="s">
        <v>202</v>
      </c>
      <c r="D1856" s="59"/>
      <c r="E1856" s="39"/>
      <c r="F1856" s="39"/>
      <c r="G1856" s="39"/>
      <c r="H1856" s="39"/>
      <c r="I1856" s="39"/>
      <c r="J1856" s="40"/>
    </row>
    <row r="1857" spans="2:10" s="115" customFormat="1" ht="13.2" x14ac:dyDescent="0.25">
      <c r="B1857" s="42" t="s">
        <v>369</v>
      </c>
      <c r="C1857" s="45" t="s">
        <v>385</v>
      </c>
      <c r="D1857" s="22"/>
      <c r="E1857" s="22"/>
      <c r="F1857" s="39"/>
      <c r="G1857" s="39"/>
      <c r="I1857" s="43">
        <f>SUM(H1858:H1864)</f>
        <v>14.5</v>
      </c>
      <c r="J1857" s="44" t="s">
        <v>102</v>
      </c>
    </row>
    <row r="1858" spans="2:10" s="115" customFormat="1" ht="13.2" x14ac:dyDescent="0.25">
      <c r="B1858" s="114"/>
      <c r="C1858" s="45" t="s">
        <v>511</v>
      </c>
      <c r="D1858" s="59">
        <v>1</v>
      </c>
      <c r="E1858" s="39">
        <v>5.2</v>
      </c>
      <c r="F1858" s="39"/>
      <c r="G1858" s="39"/>
      <c r="H1858" s="39">
        <f>IF(AND(F1858=0,G1858=0),D1858*E1858,IF(AND(E1858=0,G1858=0),D1858*F1858,IF(AND(E1858=0,F1858=0),D1858*G1858,IF(AND(E1858=0),D1858*F1858*G1858,IF(AND(F1858=0),D1858*E1858*G1858,IF(AND(G1858=0),D1858*E1858*F1858,D1858*E1858*F1858*G1858))))))</f>
        <v>5.2</v>
      </c>
      <c r="I1858" s="39"/>
      <c r="J1858" s="40"/>
    </row>
    <row r="1859" spans="2:10" s="115" customFormat="1" ht="13.8" x14ac:dyDescent="0.25">
      <c r="B1859" s="114"/>
      <c r="C1859" s="45" t="s">
        <v>617</v>
      </c>
      <c r="F1859" s="39" t="s">
        <v>618</v>
      </c>
      <c r="G1859" s="39" t="s">
        <v>619</v>
      </c>
      <c r="I1859" s="39">
        <f>+SUM(G1860:G1861)</f>
        <v>5.6999999999999993</v>
      </c>
      <c r="J1859" s="40"/>
    </row>
    <row r="1860" spans="2:10" s="115" customFormat="1" ht="13.2" x14ac:dyDescent="0.25">
      <c r="B1860" s="114"/>
      <c r="C1860" s="38" t="s">
        <v>620</v>
      </c>
      <c r="D1860" s="115">
        <f>4+4+4</f>
        <v>12</v>
      </c>
      <c r="E1860" s="115">
        <v>1</v>
      </c>
      <c r="F1860" s="39">
        <v>0.25</v>
      </c>
      <c r="G1860" s="39">
        <f>+D1860*E1860*F1860</f>
        <v>3</v>
      </c>
      <c r="H1860" s="39"/>
      <c r="I1860" s="39"/>
      <c r="J1860" s="40"/>
    </row>
    <row r="1861" spans="2:10" s="115" customFormat="1" ht="13.2" x14ac:dyDescent="0.25">
      <c r="B1861" s="114"/>
      <c r="C1861" s="38" t="s">
        <v>621</v>
      </c>
      <c r="D1861" s="59">
        <v>6</v>
      </c>
      <c r="E1861" s="39">
        <f>0.6*2+0.6</f>
        <v>1.7999999999999998</v>
      </c>
      <c r="F1861" s="39">
        <v>0.25</v>
      </c>
      <c r="G1861" s="39">
        <f>+D1861*E1861*F1861</f>
        <v>2.6999999999999997</v>
      </c>
      <c r="H1861" s="39"/>
      <c r="I1861" s="39"/>
      <c r="J1861" s="40"/>
    </row>
    <row r="1862" spans="2:10" s="115" customFormat="1" ht="13.2" x14ac:dyDescent="0.25">
      <c r="B1862" s="114"/>
      <c r="C1862" s="38"/>
      <c r="D1862" s="22"/>
      <c r="E1862" s="23"/>
      <c r="F1862" s="39"/>
      <c r="G1862" s="39"/>
      <c r="H1862" s="39"/>
      <c r="I1862" s="39"/>
      <c r="J1862" s="40"/>
    </row>
    <row r="1863" spans="2:10" s="115" customFormat="1" ht="13.2" x14ac:dyDescent="0.25">
      <c r="B1863" s="114"/>
      <c r="C1863" s="45" t="s">
        <v>484</v>
      </c>
      <c r="D1863" s="115">
        <v>1</v>
      </c>
      <c r="E1863" s="116">
        <v>9.3000000000000007</v>
      </c>
      <c r="F1863" s="39"/>
      <c r="G1863" s="39"/>
      <c r="H1863" s="39">
        <f>IF(AND(F1863=0,G1863=0),D1863*E1863,IF(AND(E1863=0,G1863=0),D1863*F1863,IF(AND(E1863=0,F1863=0),D1863*G1863,IF(AND(E1863=0),D1863*F1863*G1863,IF(AND(F1863=0),D1863*E1863*G1863,IF(AND(G1863=0),D1863*E1863*F1863,D1863*E1863*F1863*G1863))))))</f>
        <v>9.3000000000000007</v>
      </c>
      <c r="I1863" s="39"/>
      <c r="J1863" s="40"/>
    </row>
    <row r="1864" spans="2:10" s="115" customFormat="1" ht="13.8" x14ac:dyDescent="0.25">
      <c r="B1864" s="114"/>
      <c r="C1864" s="45" t="s">
        <v>617</v>
      </c>
      <c r="D1864" s="119"/>
      <c r="E1864" s="120"/>
      <c r="F1864" s="39" t="s">
        <v>618</v>
      </c>
      <c r="G1864" s="39" t="s">
        <v>619</v>
      </c>
      <c r="I1864" s="39">
        <f>+SUM(G1865:G1866)</f>
        <v>5.2249999999999996</v>
      </c>
      <c r="J1864" s="40"/>
    </row>
    <row r="1865" spans="2:10" s="115" customFormat="1" ht="13.2" x14ac:dyDescent="0.25">
      <c r="B1865" s="114"/>
      <c r="C1865" s="38" t="s">
        <v>620</v>
      </c>
      <c r="D1865" s="115">
        <v>11</v>
      </c>
      <c r="E1865" s="115">
        <v>1</v>
      </c>
      <c r="F1865" s="39">
        <v>0.25</v>
      </c>
      <c r="G1865" s="39">
        <f>+D1865*E1865*F1865</f>
        <v>2.75</v>
      </c>
      <c r="H1865" s="39"/>
      <c r="I1865" s="39"/>
      <c r="J1865" s="40"/>
    </row>
    <row r="1866" spans="2:10" s="115" customFormat="1" ht="13.2" x14ac:dyDescent="0.25">
      <c r="B1866" s="114"/>
      <c r="C1866" s="38" t="s">
        <v>621</v>
      </c>
      <c r="D1866" s="59">
        <v>6</v>
      </c>
      <c r="E1866" s="39">
        <f>0.55+0.55*2</f>
        <v>1.6500000000000001</v>
      </c>
      <c r="F1866" s="39">
        <v>0.25</v>
      </c>
      <c r="G1866" s="39">
        <f>+D1866*E1866*F1866</f>
        <v>2.4750000000000001</v>
      </c>
      <c r="H1866" s="39"/>
      <c r="I1866" s="39"/>
      <c r="J1866" s="40"/>
    </row>
    <row r="1867" spans="2:10" s="115" customFormat="1" ht="13.2" x14ac:dyDescent="0.25">
      <c r="B1867" s="42" t="s">
        <v>377</v>
      </c>
      <c r="C1867" s="42" t="s">
        <v>399</v>
      </c>
      <c r="D1867" s="59"/>
      <c r="E1867" s="39"/>
      <c r="F1867" s="39"/>
      <c r="G1867" s="39"/>
      <c r="H1867" s="39"/>
      <c r="I1867" s="43">
        <f>SUM(H1868)</f>
        <v>1.1000000000000001</v>
      </c>
      <c r="J1867" s="44" t="s">
        <v>102</v>
      </c>
    </row>
    <row r="1868" spans="2:10" s="115" customFormat="1" ht="13.2" x14ac:dyDescent="0.25">
      <c r="C1868" s="38" t="s">
        <v>704</v>
      </c>
      <c r="D1868" s="39">
        <v>1</v>
      </c>
      <c r="E1868" s="39">
        <v>1.1000000000000001</v>
      </c>
      <c r="F1868" s="39"/>
      <c r="G1868" s="39"/>
      <c r="H1868" s="39">
        <f>IF(AND(F1868=0,G1868=0),D1868*E1868,IF(AND(E1868=0,G1868=0),D1868*F1868,IF(AND(E1868=0,F1868=0),D1868*G1868,IF(AND(E1868=0),D1868*F1868*G1868,IF(AND(F1868=0),D1868*E1868*G1868,IF(AND(G1868=0),D1868*E1868*F1868,D1868*E1868*F1868*G1868))))))</f>
        <v>1.1000000000000001</v>
      </c>
    </row>
    <row r="1869" spans="2:10" s="1" customFormat="1" ht="13.2" x14ac:dyDescent="0.25">
      <c r="B1869" s="42" t="s">
        <v>380</v>
      </c>
      <c r="C1869" s="42" t="s">
        <v>636</v>
      </c>
      <c r="D1869" s="59"/>
      <c r="E1869" s="39"/>
      <c r="F1869" s="39"/>
      <c r="G1869" s="39"/>
      <c r="H1869" s="39"/>
      <c r="I1869" s="43">
        <f>SUM(H1870:H1872)</f>
        <v>33.15</v>
      </c>
      <c r="J1869" s="44" t="s">
        <v>102</v>
      </c>
    </row>
    <row r="1870" spans="2:10" s="1" customFormat="1" ht="13.2" x14ac:dyDescent="0.25">
      <c r="B1870" s="56"/>
      <c r="C1870" s="38" t="s">
        <v>705</v>
      </c>
      <c r="D1870" s="39">
        <v>1</v>
      </c>
      <c r="E1870" s="39">
        <v>11.85</v>
      </c>
      <c r="F1870" s="39"/>
      <c r="G1870" s="39"/>
      <c r="H1870" s="39">
        <f>IF(AND(F1870=0,G1870=0),D1870*E1870,IF(AND(E1870=0,G1870=0),D1870*F1870,IF(AND(E1870=0,F1870=0),D1870*G1870,IF(AND(E1870=0),D1870*F1870*G1870,IF(AND(F1870=0),D1870*E1870*G1870,IF(AND(G1870=0),D1870*E1870*F1870,D1870*E1870*F1870*G1870))))))</f>
        <v>11.85</v>
      </c>
      <c r="I1870" s="39"/>
      <c r="J1870" s="40"/>
    </row>
    <row r="1871" spans="2:10" s="1" customFormat="1" ht="13.2" x14ac:dyDescent="0.25">
      <c r="B1871" s="56"/>
      <c r="C1871" s="38" t="s">
        <v>706</v>
      </c>
      <c r="D1871" s="59">
        <v>1</v>
      </c>
      <c r="E1871" s="39">
        <f>16.6+0.3</f>
        <v>16.900000000000002</v>
      </c>
      <c r="F1871" s="39"/>
      <c r="G1871" s="39"/>
      <c r="H1871" s="39">
        <f>IF(AND(F1871=0,G1871=0),D1871*E1871,IF(AND(E1871=0,G1871=0),D1871*F1871,IF(AND(E1871=0,F1871=0),D1871*G1871,IF(AND(E1871=0),D1871*F1871*G1871,IF(AND(F1871=0),D1871*E1871*G1871,IF(AND(G1871=0),D1871*E1871*F1871,D1871*E1871*F1871*G1871))))))</f>
        <v>16.900000000000002</v>
      </c>
      <c r="I1871" s="39"/>
      <c r="J1871" s="40"/>
    </row>
    <row r="1872" spans="2:10" s="1" customFormat="1" ht="13.2" x14ac:dyDescent="0.25">
      <c r="B1872" s="56"/>
      <c r="C1872" s="79" t="s">
        <v>707</v>
      </c>
      <c r="D1872" s="59">
        <v>1</v>
      </c>
      <c r="E1872" s="39">
        <v>4.4000000000000004</v>
      </c>
      <c r="F1872" s="39"/>
      <c r="G1872" s="39"/>
      <c r="H1872" s="39">
        <f>IF(AND(F1872=0,G1872=0),D1872*E1872,IF(AND(E1872=0,G1872=0),D1872*F1872,IF(AND(E1872=0,F1872=0),D1872*G1872,IF(AND(E1872=0),D1872*F1872*G1872,IF(AND(F1872=0),D1872*E1872*G1872,IF(AND(G1872=0),D1872*E1872*F1872,D1872*E1872*F1872*G1872))))))</f>
        <v>4.4000000000000004</v>
      </c>
      <c r="I1872" s="39"/>
      <c r="J1872" s="40"/>
    </row>
    <row r="1873" spans="2:10" s="115" customFormat="1" ht="13.2" x14ac:dyDescent="0.25">
      <c r="B1873" s="24" t="s">
        <v>390</v>
      </c>
      <c r="C1873" s="27" t="s">
        <v>709</v>
      </c>
      <c r="D1873" s="59"/>
      <c r="E1873" s="39"/>
      <c r="F1873" s="39"/>
      <c r="G1873" s="39"/>
      <c r="H1873" s="39"/>
      <c r="I1873" s="39">
        <f>+SUM(H1874)</f>
        <v>1</v>
      </c>
      <c r="J1873" s="40" t="s">
        <v>30</v>
      </c>
    </row>
    <row r="1874" spans="2:10" s="115" customFormat="1" ht="13.2" x14ac:dyDescent="0.25">
      <c r="C1874" s="38" t="s">
        <v>704</v>
      </c>
      <c r="D1874" s="39">
        <v>1</v>
      </c>
      <c r="E1874" s="39"/>
      <c r="F1874" s="39"/>
      <c r="G1874" s="39"/>
      <c r="H1874" s="39">
        <f>+D1874</f>
        <v>1</v>
      </c>
      <c r="I1874" s="39"/>
      <c r="J1874" s="40"/>
    </row>
    <row r="1875" spans="2:10" s="1" customFormat="1" ht="13.2" x14ac:dyDescent="0.25">
      <c r="B1875" s="24" t="s">
        <v>394</v>
      </c>
      <c r="C1875" s="27" t="s">
        <v>411</v>
      </c>
      <c r="D1875" s="59"/>
      <c r="E1875" s="39"/>
      <c r="F1875" s="39"/>
      <c r="G1875" s="39"/>
      <c r="H1875" s="39"/>
      <c r="I1875" s="39">
        <f>+SUM(H1876:H1877)</f>
        <v>4.4400000000000004</v>
      </c>
      <c r="J1875" s="40" t="s">
        <v>333</v>
      </c>
    </row>
    <row r="1876" spans="2:10" s="1" customFormat="1" ht="13.2" x14ac:dyDescent="0.25">
      <c r="B1876" s="24"/>
      <c r="C1876" s="38" t="s">
        <v>704</v>
      </c>
      <c r="D1876" s="39">
        <v>1</v>
      </c>
      <c r="E1876" s="39">
        <f>0.9*2+1.2*2</f>
        <v>4.2</v>
      </c>
      <c r="F1876" s="39"/>
      <c r="G1876" s="39">
        <f>0.65+0.15</f>
        <v>0.8</v>
      </c>
      <c r="H1876" s="39">
        <f t="shared" ref="H1876:H1877" si="134">IF(AND(F1876=0,G1876=0),D1876*E1876,IF(AND(E1876=0,G1876=0),D1876*F1876,IF(AND(E1876=0,F1876=0),D1876*G1876,IF(AND(E1876=0),D1876*F1876*G1876,IF(AND(F1876=0),D1876*E1876*G1876,IF(AND(G1876=0),D1876*E1876*F1876,D1876*E1876*F1876*G1876))))))</f>
        <v>3.3600000000000003</v>
      </c>
      <c r="I1876" s="39"/>
      <c r="J1876" s="40"/>
    </row>
    <row r="1877" spans="2:10" s="1" customFormat="1" ht="13.2" x14ac:dyDescent="0.25">
      <c r="B1877" s="24"/>
      <c r="C1877" s="58"/>
      <c r="D1877" s="59">
        <v>1</v>
      </c>
      <c r="E1877" s="39">
        <v>0.9</v>
      </c>
      <c r="F1877" s="39"/>
      <c r="G1877" s="39">
        <v>1.2</v>
      </c>
      <c r="H1877" s="39">
        <f t="shared" si="134"/>
        <v>1.08</v>
      </c>
      <c r="I1877" s="39"/>
      <c r="J1877" s="40"/>
    </row>
    <row r="1878" spans="2:10" s="1" customFormat="1" ht="13.2" x14ac:dyDescent="0.25">
      <c r="B1878" s="24" t="s">
        <v>396</v>
      </c>
      <c r="C1878" s="27" t="s">
        <v>412</v>
      </c>
      <c r="D1878" s="59"/>
      <c r="E1878" s="39"/>
      <c r="F1878" s="39"/>
      <c r="G1878" s="39"/>
      <c r="H1878" s="39"/>
      <c r="I1878" s="39">
        <f>+SUM(H1879:H1882)</f>
        <v>25.782000000000004</v>
      </c>
      <c r="J1878" s="40" t="s">
        <v>333</v>
      </c>
    </row>
    <row r="1879" spans="2:10" s="1" customFormat="1" ht="13.2" x14ac:dyDescent="0.25">
      <c r="B1879" s="45"/>
      <c r="C1879" s="45" t="s">
        <v>511</v>
      </c>
      <c r="D1879" s="59">
        <v>2</v>
      </c>
      <c r="E1879" s="39">
        <v>5.2</v>
      </c>
      <c r="F1879" s="39"/>
      <c r="G1879" s="39">
        <f>0.43+0.2</f>
        <v>0.63</v>
      </c>
      <c r="H1879" s="39">
        <f t="shared" ref="H1879:H1882" si="135">IF(AND(F1879=0,G1879=0),D1879*E1879,IF(AND(E1879=0,G1879=0),D1879*F1879,IF(AND(E1879=0,F1879=0),D1879*G1879,IF(AND(E1879=0),D1879*F1879*G1879,IF(AND(F1879=0),D1879*E1879*G1879,IF(AND(G1879=0),D1879*E1879*F1879,D1879*E1879*F1879*G1879))))))</f>
        <v>6.5520000000000005</v>
      </c>
      <c r="I1879" s="39"/>
      <c r="J1879" s="40"/>
    </row>
    <row r="1880" spans="2:10" s="1" customFormat="1" ht="13.2" x14ac:dyDescent="0.25">
      <c r="B1880" s="45"/>
      <c r="C1880" s="45"/>
      <c r="D1880" s="22">
        <v>1</v>
      </c>
      <c r="E1880" s="39">
        <v>5.2</v>
      </c>
      <c r="F1880" s="39"/>
      <c r="G1880" s="39">
        <v>0.3</v>
      </c>
      <c r="H1880" s="39">
        <f t="shared" si="135"/>
        <v>1.56</v>
      </c>
      <c r="I1880" s="39"/>
      <c r="J1880" s="40"/>
    </row>
    <row r="1881" spans="2:10" s="1" customFormat="1" ht="13.2" x14ac:dyDescent="0.25">
      <c r="B1881" s="45"/>
      <c r="C1881" s="38" t="s">
        <v>484</v>
      </c>
      <c r="D1881" s="1">
        <v>2</v>
      </c>
      <c r="E1881" s="75">
        <v>9.3000000000000007</v>
      </c>
      <c r="F1881" s="39"/>
      <c r="G1881" s="39">
        <f>0.6+0.2</f>
        <v>0.8</v>
      </c>
      <c r="H1881" s="39">
        <f t="shared" si="135"/>
        <v>14.880000000000003</v>
      </c>
      <c r="I1881" s="39"/>
      <c r="J1881" s="40"/>
    </row>
    <row r="1882" spans="2:10" s="1" customFormat="1" ht="13.2" x14ac:dyDescent="0.25">
      <c r="B1882" s="45"/>
      <c r="C1882" s="45"/>
      <c r="D1882" s="1">
        <v>1</v>
      </c>
      <c r="E1882" s="75">
        <v>9.3000000000000007</v>
      </c>
      <c r="F1882" s="39"/>
      <c r="G1882" s="39">
        <v>0.3</v>
      </c>
      <c r="H1882" s="39">
        <f t="shared" si="135"/>
        <v>2.79</v>
      </c>
      <c r="I1882" s="39"/>
      <c r="J1882" s="40"/>
    </row>
    <row r="1883" spans="2:10" s="1" customFormat="1" ht="13.2" x14ac:dyDescent="0.25">
      <c r="B1883" s="56"/>
      <c r="C1883" s="38"/>
      <c r="D1883" s="59"/>
      <c r="E1883" s="39"/>
      <c r="F1883" s="39"/>
      <c r="G1883" s="39"/>
      <c r="H1883" s="39"/>
      <c r="I1883" s="39"/>
      <c r="J1883" s="40"/>
    </row>
    <row r="1884" spans="2:10" s="1" customFormat="1" ht="13.2" x14ac:dyDescent="0.25">
      <c r="B1884" s="56" t="s">
        <v>413</v>
      </c>
      <c r="C1884" s="57" t="s">
        <v>234</v>
      </c>
      <c r="D1884" s="59"/>
      <c r="E1884" s="39"/>
      <c r="F1884" s="39"/>
      <c r="G1884" s="39"/>
      <c r="H1884" s="39"/>
      <c r="I1884" s="39"/>
      <c r="J1884" s="40"/>
    </row>
    <row r="1885" spans="2:10" s="1" customFormat="1" ht="13.2" x14ac:dyDescent="0.25">
      <c r="B1885" s="42" t="s">
        <v>415</v>
      </c>
      <c r="C1885" s="42" t="s">
        <v>424</v>
      </c>
      <c r="D1885" s="59"/>
      <c r="E1885" s="39"/>
      <c r="F1885" s="39"/>
      <c r="G1885" s="39"/>
      <c r="H1885" s="39"/>
      <c r="I1885" s="43">
        <f>SUM(H1886:H1889)</f>
        <v>57</v>
      </c>
      <c r="J1885" s="44" t="s">
        <v>30</v>
      </c>
    </row>
    <row r="1886" spans="2:10" s="1" customFormat="1" ht="13.2" x14ac:dyDescent="0.25">
      <c r="B1886" s="56"/>
      <c r="C1886" s="38" t="s">
        <v>710</v>
      </c>
      <c r="D1886" s="39">
        <v>2</v>
      </c>
      <c r="E1886" s="39">
        <v>12</v>
      </c>
      <c r="F1886" s="39"/>
      <c r="G1886" s="39"/>
      <c r="H1886" s="39">
        <f>IF(AND(F1886=0,G1886=0),D1886*E1886,IF(AND(E1886=0,G1886=0),D1886*F1886,IF(AND(E1886=0,F1886=0),D1886*G1886,IF(AND(E1886=0),D1886*F1886*G1886,IF(AND(F1886=0),D1886*E1886*G1886,IF(AND(G1886=0),D1886*E1886*F1886,D1886*E1886*F1886*G1886))))))</f>
        <v>24</v>
      </c>
      <c r="I1886" s="39"/>
      <c r="J1886" s="40"/>
    </row>
    <row r="1887" spans="2:10" s="1" customFormat="1" ht="13.2" x14ac:dyDescent="0.25">
      <c r="B1887" s="56"/>
      <c r="C1887" s="38" t="s">
        <v>711</v>
      </c>
      <c r="D1887" s="59">
        <v>1</v>
      </c>
      <c r="E1887" s="39">
        <v>19</v>
      </c>
      <c r="F1887" s="39"/>
      <c r="G1887" s="39"/>
      <c r="H1887" s="39">
        <f t="shared" ref="H1887:H1889" si="136">IF(AND(F1887=0,G1887=0),D1887*E1887,IF(AND(E1887=0,G1887=0),D1887*F1887,IF(AND(E1887=0,F1887=0),D1887*G1887,IF(AND(E1887=0),D1887*F1887*G1887,IF(AND(F1887=0),D1887*E1887*G1887,IF(AND(G1887=0),D1887*E1887*F1887,D1887*E1887*F1887*G1887))))))</f>
        <v>19</v>
      </c>
      <c r="I1887" s="39"/>
      <c r="J1887" s="40"/>
    </row>
    <row r="1888" spans="2:10" s="1" customFormat="1" ht="13.2" x14ac:dyDescent="0.25">
      <c r="B1888" s="56"/>
      <c r="C1888" s="79" t="s">
        <v>712</v>
      </c>
      <c r="D1888" s="59">
        <v>1</v>
      </c>
      <c r="E1888" s="39">
        <v>6</v>
      </c>
      <c r="F1888" s="39"/>
      <c r="G1888" s="39"/>
      <c r="H1888" s="39">
        <f t="shared" si="136"/>
        <v>6</v>
      </c>
      <c r="I1888" s="39"/>
      <c r="J1888" s="40"/>
    </row>
    <row r="1889" spans="2:10" s="115" customFormat="1" ht="13.2" x14ac:dyDescent="0.25">
      <c r="B1889" s="24"/>
      <c r="C1889" s="27" t="s">
        <v>713</v>
      </c>
      <c r="D1889" s="59">
        <v>1</v>
      </c>
      <c r="E1889" s="39">
        <v>8</v>
      </c>
      <c r="F1889" s="39"/>
      <c r="G1889" s="39"/>
      <c r="H1889" s="39">
        <f t="shared" si="136"/>
        <v>8</v>
      </c>
      <c r="I1889" s="39"/>
      <c r="J1889" s="40"/>
    </row>
    <row r="1890" spans="2:10" s="115" customFormat="1" ht="13.2" x14ac:dyDescent="0.25">
      <c r="B1890" s="115" t="s">
        <v>417</v>
      </c>
      <c r="C1890" s="38" t="s">
        <v>646</v>
      </c>
      <c r="D1890" s="39"/>
      <c r="E1890" s="39"/>
      <c r="F1890" s="39"/>
      <c r="G1890" s="39"/>
      <c r="H1890" s="39"/>
      <c r="I1890" s="39">
        <f>+H1891</f>
        <v>2</v>
      </c>
      <c r="J1890" s="40" t="s">
        <v>30</v>
      </c>
    </row>
    <row r="1891" spans="2:10" s="1" customFormat="1" ht="13.2" x14ac:dyDescent="0.25">
      <c r="B1891" s="24"/>
      <c r="C1891" s="27" t="s">
        <v>714</v>
      </c>
      <c r="D1891" s="59">
        <v>2</v>
      </c>
      <c r="E1891" s="39"/>
      <c r="F1891" s="39"/>
      <c r="G1891" s="39"/>
      <c r="H1891" s="39">
        <f>+D1891</f>
        <v>2</v>
      </c>
      <c r="I1891" s="39"/>
      <c r="J1891" s="40"/>
    </row>
    <row r="1892" spans="2:10" s="1" customFormat="1" ht="13.2" x14ac:dyDescent="0.25">
      <c r="B1892" s="24"/>
      <c r="C1892" s="38"/>
      <c r="D1892" s="39"/>
      <c r="E1892" s="39"/>
      <c r="F1892" s="39"/>
      <c r="G1892" s="39"/>
      <c r="H1892" s="39"/>
      <c r="I1892" s="39"/>
      <c r="J1892" s="40"/>
    </row>
    <row r="1893" spans="2:10" s="1" customFormat="1" ht="13.2" x14ac:dyDescent="0.25">
      <c r="B1893" s="24"/>
      <c r="C1893" s="58"/>
      <c r="D1893" s="59"/>
      <c r="E1893" s="39"/>
      <c r="F1893" s="39"/>
      <c r="G1893" s="39"/>
      <c r="H1893" s="39"/>
      <c r="I1893" s="39"/>
      <c r="J1893" s="40"/>
    </row>
    <row r="1894" spans="2:10" s="1" customFormat="1" ht="13.2" x14ac:dyDescent="0.25">
      <c r="B1894" s="42" t="s">
        <v>419</v>
      </c>
      <c r="C1894" s="42" t="s">
        <v>666</v>
      </c>
      <c r="D1894" s="59"/>
      <c r="E1894" s="39"/>
      <c r="F1894" s="39"/>
      <c r="G1894" s="39"/>
      <c r="H1894" s="39"/>
      <c r="I1894" s="43">
        <f>SUM(H1895)</f>
        <v>0</v>
      </c>
      <c r="J1894" s="44" t="str">
        <f>+J1895</f>
        <v>und</v>
      </c>
    </row>
    <row r="1895" spans="2:10" s="1" customFormat="1" ht="13.2" x14ac:dyDescent="0.25">
      <c r="B1895" s="56"/>
      <c r="C1895" s="38" t="s">
        <v>715</v>
      </c>
      <c r="D1895" s="39">
        <v>0</v>
      </c>
      <c r="E1895" s="39"/>
      <c r="F1895" s="39"/>
      <c r="G1895" s="39"/>
      <c r="H1895" s="39">
        <f>+D1895</f>
        <v>0</v>
      </c>
      <c r="I1895" s="39"/>
      <c r="J1895" s="40" t="s">
        <v>30</v>
      </c>
    </row>
    <row r="1896" spans="2:10" s="1" customFormat="1" ht="13.2" x14ac:dyDescent="0.25">
      <c r="B1896" s="56"/>
      <c r="C1896" s="38"/>
      <c r="D1896" s="59"/>
      <c r="E1896" s="39"/>
      <c r="F1896" s="39"/>
      <c r="G1896" s="39"/>
      <c r="H1896" s="39"/>
      <c r="I1896" s="39"/>
      <c r="J1896" s="40"/>
    </row>
    <row r="1897" spans="2:10" s="1" customFormat="1" ht="13.2" x14ac:dyDescent="0.25">
      <c r="B1897" s="56" t="s">
        <v>427</v>
      </c>
      <c r="C1897" s="79" t="s">
        <v>649</v>
      </c>
      <c r="D1897" s="59"/>
      <c r="E1897" s="39"/>
      <c r="F1897" s="39"/>
      <c r="G1897" s="39"/>
      <c r="H1897" s="39"/>
      <c r="I1897" s="39">
        <f>SUM(H1898:H1900)</f>
        <v>18</v>
      </c>
      <c r="J1897" s="40" t="str">
        <f>+J1898</f>
        <v>und</v>
      </c>
    </row>
    <row r="1898" spans="2:10" s="115" customFormat="1" ht="13.2" x14ac:dyDescent="0.25">
      <c r="B1898" s="24"/>
      <c r="C1898" s="27" t="s">
        <v>707</v>
      </c>
      <c r="D1898" s="59">
        <v>1</v>
      </c>
      <c r="E1898" s="39"/>
      <c r="F1898" s="39"/>
      <c r="G1898" s="39"/>
      <c r="H1898" s="39">
        <f>+D1898</f>
        <v>1</v>
      </c>
      <c r="I1898" s="39"/>
      <c r="J1898" s="40" t="s">
        <v>30</v>
      </c>
    </row>
    <row r="1899" spans="2:10" s="115" customFormat="1" ht="13.2" x14ac:dyDescent="0.25">
      <c r="C1899" s="38" t="s">
        <v>716</v>
      </c>
      <c r="D1899" s="39">
        <v>11</v>
      </c>
      <c r="E1899" s="39"/>
      <c r="F1899" s="39"/>
      <c r="G1899" s="39"/>
      <c r="H1899" s="39">
        <f>+D1899</f>
        <v>11</v>
      </c>
      <c r="I1899" s="39"/>
      <c r="J1899" s="40"/>
    </row>
    <row r="1900" spans="2:10" s="1" customFormat="1" ht="13.2" x14ac:dyDescent="0.25">
      <c r="B1900" s="24"/>
      <c r="C1900" s="27" t="s">
        <v>717</v>
      </c>
      <c r="D1900" s="59">
        <v>6</v>
      </c>
      <c r="E1900" s="39"/>
      <c r="F1900" s="39"/>
      <c r="G1900" s="39"/>
      <c r="H1900" s="39">
        <f>+D1900</f>
        <v>6</v>
      </c>
      <c r="I1900" s="39"/>
      <c r="J1900" s="40"/>
    </row>
    <row r="1901" spans="2:10" s="1" customFormat="1" ht="13.2" x14ac:dyDescent="0.25">
      <c r="B1901" s="24"/>
      <c r="C1901" s="38"/>
      <c r="D1901" s="39"/>
      <c r="E1901" s="39"/>
      <c r="F1901" s="39"/>
      <c r="G1901" s="39"/>
      <c r="H1901" s="39"/>
      <c r="I1901" s="39"/>
      <c r="J1901" s="40"/>
    </row>
    <row r="1902" spans="2:10" s="1" customFormat="1" ht="13.2" x14ac:dyDescent="0.25">
      <c r="B1902" s="24" t="s">
        <v>435</v>
      </c>
      <c r="C1902" s="58" t="s">
        <v>585</v>
      </c>
      <c r="D1902" s="59"/>
      <c r="E1902" s="39"/>
      <c r="F1902" s="39"/>
      <c r="G1902" s="39"/>
      <c r="H1902" s="39"/>
      <c r="I1902" s="39">
        <f>SUM(H1903)</f>
        <v>1</v>
      </c>
      <c r="J1902" s="40" t="str">
        <f>+J1903</f>
        <v>und</v>
      </c>
    </row>
    <row r="1903" spans="2:10" s="1" customFormat="1" ht="13.2" x14ac:dyDescent="0.25">
      <c r="B1903" s="42"/>
      <c r="C1903" s="42" t="s">
        <v>705</v>
      </c>
      <c r="D1903" s="59">
        <v>1</v>
      </c>
      <c r="E1903" s="39"/>
      <c r="F1903" s="39"/>
      <c r="G1903" s="39"/>
      <c r="H1903" s="39">
        <f>+D1903</f>
        <v>1</v>
      </c>
      <c r="I1903" s="43"/>
      <c r="J1903" s="44" t="s">
        <v>30</v>
      </c>
    </row>
    <row r="1904" spans="2:10" s="1" customFormat="1" ht="13.2" x14ac:dyDescent="0.25">
      <c r="B1904" s="56"/>
      <c r="C1904" s="38"/>
      <c r="D1904" s="39"/>
      <c r="E1904" s="39"/>
      <c r="F1904" s="39"/>
      <c r="G1904" s="39"/>
      <c r="H1904" s="39"/>
      <c r="I1904" s="39"/>
      <c r="J1904" s="40"/>
    </row>
    <row r="1905" spans="2:10" s="1" customFormat="1" ht="13.2" x14ac:dyDescent="0.25">
      <c r="B1905" s="56"/>
      <c r="C1905" s="38"/>
      <c r="D1905" s="59"/>
      <c r="E1905" s="39"/>
      <c r="F1905" s="39"/>
      <c r="G1905" s="39"/>
      <c r="H1905" s="39"/>
      <c r="I1905" s="39"/>
      <c r="J1905" s="40"/>
    </row>
    <row r="1906" spans="2:10" s="1" customFormat="1" ht="13.2" x14ac:dyDescent="0.25">
      <c r="B1906" s="56"/>
      <c r="C1906" s="79"/>
      <c r="D1906" s="59"/>
      <c r="E1906" s="39"/>
      <c r="F1906" s="39"/>
      <c r="G1906" s="39"/>
      <c r="H1906" s="39"/>
      <c r="I1906" s="39"/>
      <c r="J1906" s="40"/>
    </row>
    <row r="1907" spans="2:10" s="115" customFormat="1" ht="13.2" x14ac:dyDescent="0.25">
      <c r="B1907" s="24"/>
      <c r="C1907" s="27"/>
      <c r="D1907" s="59"/>
      <c r="E1907" s="39"/>
      <c r="F1907" s="39"/>
      <c r="G1907" s="39"/>
      <c r="H1907" s="39"/>
      <c r="I1907" s="39"/>
      <c r="J1907" s="40"/>
    </row>
    <row r="1908" spans="2:10" s="115" customFormat="1" ht="13.2" x14ac:dyDescent="0.25">
      <c r="C1908" s="38"/>
      <c r="D1908" s="39"/>
      <c r="E1908" s="39"/>
      <c r="F1908" s="39"/>
      <c r="G1908" s="39"/>
      <c r="H1908" s="39"/>
      <c r="I1908" s="39"/>
      <c r="J1908" s="40"/>
    </row>
    <row r="1909" spans="2:10" s="1" customFormat="1" ht="13.2" x14ac:dyDescent="0.25">
      <c r="B1909" s="24"/>
      <c r="C1909" s="27"/>
      <c r="D1909" s="59"/>
      <c r="E1909" s="39"/>
      <c r="F1909" s="39"/>
      <c r="G1909" s="39"/>
      <c r="H1909" s="39"/>
      <c r="I1909" s="39"/>
      <c r="J1909" s="40"/>
    </row>
    <row r="1910" spans="2:10" s="1" customFormat="1" ht="13.2" x14ac:dyDescent="0.25">
      <c r="B1910" s="24"/>
      <c r="C1910" s="38"/>
      <c r="D1910" s="39"/>
      <c r="E1910" s="39"/>
      <c r="F1910" s="39"/>
      <c r="G1910" s="39"/>
      <c r="H1910" s="39"/>
      <c r="I1910" s="39"/>
      <c r="J1910" s="40"/>
    </row>
    <row r="1911" spans="2:10" s="1" customFormat="1" ht="13.2" x14ac:dyDescent="0.25">
      <c r="B1911" s="24"/>
      <c r="C1911" s="58"/>
      <c r="D1911" s="59"/>
      <c r="E1911" s="39"/>
      <c r="F1911" s="39"/>
      <c r="G1911" s="39"/>
      <c r="H1911" s="39"/>
      <c r="I1911" s="39"/>
      <c r="J1911" s="40"/>
    </row>
    <row r="1912" spans="2:10" s="1" customFormat="1" ht="13.2" x14ac:dyDescent="0.25">
      <c r="B1912" s="42"/>
      <c r="C1912" s="42"/>
      <c r="D1912" s="59"/>
      <c r="E1912" s="39"/>
      <c r="F1912" s="39"/>
      <c r="G1912" s="39"/>
      <c r="H1912" s="39"/>
      <c r="I1912" s="43"/>
      <c r="J1912" s="44"/>
    </row>
    <row r="1913" spans="2:10" s="1" customFormat="1" ht="13.2" x14ac:dyDescent="0.25">
      <c r="B1913" s="56"/>
      <c r="C1913" s="38"/>
      <c r="D1913" s="39"/>
      <c r="E1913" s="39"/>
      <c r="F1913" s="39"/>
      <c r="G1913" s="39"/>
      <c r="H1913" s="39"/>
      <c r="I1913" s="39"/>
      <c r="J1913" s="40"/>
    </row>
    <row r="1914" spans="2:10" s="1" customFormat="1" ht="13.2" x14ac:dyDescent="0.25">
      <c r="B1914" s="56"/>
      <c r="C1914" s="38"/>
      <c r="D1914" s="59"/>
      <c r="E1914" s="39"/>
      <c r="F1914" s="39"/>
      <c r="G1914" s="39"/>
      <c r="H1914" s="39"/>
      <c r="I1914" s="39"/>
      <c r="J1914" s="40"/>
    </row>
  </sheetData>
  <mergeCells count="55">
    <mergeCell ref="B1749:J1749"/>
    <mergeCell ref="H1750:I1750"/>
    <mergeCell ref="H1430:I1430"/>
    <mergeCell ref="B1535:J1535"/>
    <mergeCell ref="H1536:I1536"/>
    <mergeCell ref="B1659:J1659"/>
    <mergeCell ref="H1660:I1660"/>
    <mergeCell ref="B1255:J1255"/>
    <mergeCell ref="H1256:I1256"/>
    <mergeCell ref="B1341:J1341"/>
    <mergeCell ref="H1342:I1342"/>
    <mergeCell ref="B1429:J1429"/>
    <mergeCell ref="H807:I807"/>
    <mergeCell ref="H1000:I1000"/>
    <mergeCell ref="B1166:J1166"/>
    <mergeCell ref="H1167:I1167"/>
    <mergeCell ref="B410:J410"/>
    <mergeCell ref="H411:I411"/>
    <mergeCell ref="B531:J531"/>
    <mergeCell ref="H532:I532"/>
    <mergeCell ref="B806:J806"/>
    <mergeCell ref="C800:H800"/>
    <mergeCell ref="C801:H801"/>
    <mergeCell ref="C523:H523"/>
    <mergeCell ref="C524:H524"/>
    <mergeCell ref="C525:H525"/>
    <mergeCell ref="C526:H526"/>
    <mergeCell ref="C798:H798"/>
    <mergeCell ref="C98:H98"/>
    <mergeCell ref="C1:H1"/>
    <mergeCell ref="C2:H2"/>
    <mergeCell ref="C3:H3"/>
    <mergeCell ref="C4:H4"/>
    <mergeCell ref="B6:J6"/>
    <mergeCell ref="B8:J8"/>
    <mergeCell ref="B10:J10"/>
    <mergeCell ref="H11:I11"/>
    <mergeCell ref="C95:H95"/>
    <mergeCell ref="C96:H96"/>
    <mergeCell ref="C97:H97"/>
    <mergeCell ref="C799:H799"/>
    <mergeCell ref="C405:H405"/>
    <mergeCell ref="B100:J100"/>
    <mergeCell ref="B101:J101"/>
    <mergeCell ref="B103:J103"/>
    <mergeCell ref="H104:I104"/>
    <mergeCell ref="C263:H263"/>
    <mergeCell ref="C264:H264"/>
    <mergeCell ref="B271:J271"/>
    <mergeCell ref="H272:I272"/>
    <mergeCell ref="C265:H265"/>
    <mergeCell ref="C266:H266"/>
    <mergeCell ref="C402:H402"/>
    <mergeCell ref="C403:H403"/>
    <mergeCell ref="C404:H404"/>
  </mergeCells>
  <pageMargins left="0.70866141732283472" right="0.70866141732283472" top="0.74803149606299213" bottom="0.74803149606299213" header="0.31496062992125984" footer="0.31496062992125984"/>
  <pageSetup paperSize="9" scale="52" fitToWidth="0" fitToHeight="0" orientation="portrait" r:id="rId1"/>
  <rowBreaks count="4" manualBreakCount="4">
    <brk id="92" min="1" max="9" man="1"/>
    <brk id="194" min="1" max="9" man="1"/>
    <brk id="261" min="1" max="9" man="1"/>
    <brk id="1099" min="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MET-I.S.</vt:lpstr>
      <vt:lpstr>RESUMEN_PN</vt:lpstr>
      <vt:lpstr>MET_PN</vt:lpstr>
      <vt:lpstr>MET_PN!Área_de_impresión</vt:lpstr>
      <vt:lpstr>'MET-I.S.'!Área_de_impresión</vt:lpstr>
      <vt:lpstr>RESUMEN_PN!Área_de_impresión</vt:lpstr>
      <vt:lpstr>'MET-I.S.'!Títulos_a_imprimir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USUARIO</cp:lastModifiedBy>
  <cp:revision/>
  <cp:lastPrinted>2022-02-19T14:22:01Z</cp:lastPrinted>
  <dcterms:created xsi:type="dcterms:W3CDTF">2017-05-18T21:02:36Z</dcterms:created>
  <dcterms:modified xsi:type="dcterms:W3CDTF">2022-02-19T14:38:03Z</dcterms:modified>
  <cp:category/>
  <cp:contentStatus/>
</cp:coreProperties>
</file>