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esktop\ADICIONALES SANTA ROSA\"/>
    </mc:Choice>
  </mc:AlternateContent>
  <xr:revisionPtr revIDLastSave="0" documentId="13_ncr:1_{B00EC46B-9EA4-4063-B818-A267A7BF4F45}" xr6:coauthVersionLast="47" xr6:coauthVersionMax="47" xr10:uidLastSave="{00000000-0000-0000-0000-000000000000}"/>
  <bookViews>
    <workbookView xWindow="3330" yWindow="345" windowWidth="10245" windowHeight="10920" firstSheet="4" activeTab="5" xr2:uid="{65F83A0C-B8DA-4168-96A2-33ABD6E24713}"/>
    <workbookView xWindow="-120" yWindow="-120" windowWidth="20730" windowHeight="11160" firstSheet="2" activeTab="6" xr2:uid="{01ECE0E4-66DF-4D13-8651-23CAB83A579E}"/>
  </bookViews>
  <sheets>
    <sheet name="MET-I.S." sheetId="10" state="hidden" r:id="rId1"/>
    <sheet name="CUADRO COMPARATIVO" sheetId="14" r:id="rId2"/>
    <sheet name="RESUMEN_MM" sheetId="32" r:id="rId3"/>
    <sheet name="MET_MM" sheetId="28" r:id="rId4"/>
    <sheet name="RESUMEN_PN" sheetId="34" r:id="rId5"/>
    <sheet name="MET_PN" sheetId="30" r:id="rId6"/>
    <sheet name="RESUMEN_DED" sheetId="33" r:id="rId7"/>
    <sheet name="MET_DED" sheetId="29" r:id="rId8"/>
    <sheet name="MET_PLUVIAL BASE" sheetId="12" r:id="rId9"/>
    <sheet name="MET-DRENAJE EXP." sheetId="8" r:id="rId10"/>
  </sheets>
  <externalReferences>
    <externalReference r:id="rId11"/>
    <externalReference r:id="rId12"/>
    <externalReference r:id="rId13"/>
    <externalReference r:id="rId14"/>
    <externalReference r:id="rId15"/>
  </externalReferences>
  <definedNames>
    <definedName name="_C0001">[1]MATERIAL!$A$2:$R$57</definedName>
    <definedName name="_C002">[1]MATERIAL!$A$96:$R$146</definedName>
    <definedName name="_Fill" hidden="1">[1]MATERIAL!$D$60:$O$60</definedName>
    <definedName name="_xlnm._FilterDatabase" localSheetId="1" hidden="1">'CUADRO COMPARATIVO'!$A$7:$AA$119</definedName>
    <definedName name="_Key1" hidden="1">'[2]ALT-PREC'!$D$10:$D$15</definedName>
    <definedName name="_Order1" hidden="1">0</definedName>
    <definedName name="_Regression_Out" hidden="1">'[2]ALT-PREC'!$I$7</definedName>
    <definedName name="_Sort" hidden="1">'[2]ALT-PREC'!$C$10:$E$18</definedName>
    <definedName name="A" localSheetId="7">#REF!</definedName>
    <definedName name="A" localSheetId="3">#REF!</definedName>
    <definedName name="A" localSheetId="8">#REF!</definedName>
    <definedName name="A" localSheetId="5">#REF!</definedName>
    <definedName name="A" localSheetId="9">#REF!</definedName>
    <definedName name="A" localSheetId="0">#REF!</definedName>
    <definedName name="A" localSheetId="6">#REF!</definedName>
    <definedName name="A" localSheetId="2">#REF!</definedName>
    <definedName name="A" localSheetId="4">#REF!</definedName>
    <definedName name="A">#REF!</definedName>
    <definedName name="_xlnm.Extract">[1]MATERIAL!$U$9:$U$39</definedName>
    <definedName name="_xlnm.Print_Area" localSheetId="1">'CUADRO COMPARATIVO'!$A$1:$V$119</definedName>
    <definedName name="_xlnm.Print_Area" localSheetId="7">MET_DED!$B$1:$J$1135</definedName>
    <definedName name="_xlnm.Print_Area" localSheetId="3">MET_MM!$A$1:$J$826</definedName>
    <definedName name="_xlnm.Print_Area" localSheetId="8">'MET_PLUVIAL BASE'!$B$1:$J$3070</definedName>
    <definedName name="_xlnm.Print_Area" localSheetId="5">MET_PN!$B$1:$J$1922</definedName>
    <definedName name="_xlnm.Print_Area" localSheetId="9">'MET-DRENAJE EXP.'!$B$1:$J$2529</definedName>
    <definedName name="_xlnm.Print_Area" localSheetId="0">'MET-I.S.'!$B$1:$J$171</definedName>
    <definedName name="_xlnm.Print_Area" localSheetId="6">RESUMEN_DED!$B$1:$L$49</definedName>
    <definedName name="_xlnm.Print_Area" localSheetId="2">RESUMEN_MM!$A$1:$L$43</definedName>
    <definedName name="_xlnm.Print_Area" localSheetId="4">RESUMEN_PN!$B$1:$J$95</definedName>
    <definedName name="Base_datos_IM">[1]MATERIAL!$Q$10:$R$40</definedName>
    <definedName name="_xlnm.Database">[3]SOCTA2!$Q$10:$R$40</definedName>
    <definedName name="_xlnm.Criteria">[1]MATERIAL!$T$9:$U$10</definedName>
    <definedName name="Criterios_IM">[1]MATERIAL!$T$9:$U$10</definedName>
    <definedName name="datos" localSheetId="7">#REF!</definedName>
    <definedName name="datos" localSheetId="3">#REF!</definedName>
    <definedName name="datos" localSheetId="8">#REF!</definedName>
    <definedName name="datos" localSheetId="5">#REF!</definedName>
    <definedName name="datos" localSheetId="9">#REF!</definedName>
    <definedName name="datos" localSheetId="0">#REF!</definedName>
    <definedName name="datos" localSheetId="6">#REF!</definedName>
    <definedName name="datos" localSheetId="2">#REF!</definedName>
    <definedName name="datos" localSheetId="4">#REF!</definedName>
    <definedName name="datos">#REF!</definedName>
    <definedName name="DSD">#REF!</definedName>
    <definedName name="DSDS">#REF!</definedName>
    <definedName name="DSDSD">#REF!</definedName>
    <definedName name="DSDSDDSD">#REF!</definedName>
    <definedName name="DSDSDSD">#REF!</definedName>
    <definedName name="Extracción_IM">[1]MATERIAL!$U$9:$U$39</definedName>
    <definedName name="FIERRO" localSheetId="7">#REF!</definedName>
    <definedName name="FIERRO" localSheetId="3">#REF!</definedName>
    <definedName name="FIERRO" localSheetId="8">#REF!</definedName>
    <definedName name="FIERRO" localSheetId="5">#REF!</definedName>
    <definedName name="FIERRO" localSheetId="9">#REF!</definedName>
    <definedName name="FIERRO" localSheetId="0">#REF!</definedName>
    <definedName name="FIERRO" localSheetId="6">#REF!</definedName>
    <definedName name="FIERRO" localSheetId="2">#REF!</definedName>
    <definedName name="FIERRO" localSheetId="4">#REF!</definedName>
    <definedName name="FIERRO">#REF!</definedName>
    <definedName name="fnvkdnklgtrmtrlñ">[4]SOCTA2!$Q$10:$R$40</definedName>
    <definedName name="freddy" hidden="1">'[5]ALT-PREC'!$I$7</definedName>
    <definedName name="ggg">[3]SOCTA2!$T$9:$U$10</definedName>
    <definedName name="HH">[3]SOCTA2!$T$9:$U$10</definedName>
    <definedName name="MEDIA" localSheetId="7">#REF!</definedName>
    <definedName name="MEDIA" localSheetId="3">#REF!</definedName>
    <definedName name="MEDIA" localSheetId="8">#REF!</definedName>
    <definedName name="MEDIA" localSheetId="5">#REF!</definedName>
    <definedName name="MEDIA" localSheetId="9">#REF!</definedName>
    <definedName name="MEDIA" localSheetId="0">#REF!</definedName>
    <definedName name="MEDIA" localSheetId="6">#REF!</definedName>
    <definedName name="MEDIA" localSheetId="2">#REF!</definedName>
    <definedName name="MEDIA" localSheetId="4">#REF!</definedName>
    <definedName name="MEDIA">#REF!</definedName>
    <definedName name="METRADOSTOT">#REF!</definedName>
    <definedName name="NUEVO">[3]SOCTA2!$A$2:$R$57</definedName>
    <definedName name="Pileta" localSheetId="7">#REF!</definedName>
    <definedName name="Pileta" localSheetId="3">#REF!</definedName>
    <definedName name="Pileta" localSheetId="8">#REF!</definedName>
    <definedName name="Pileta" localSheetId="5">#REF!</definedName>
    <definedName name="Pileta" localSheetId="9">#REF!</definedName>
    <definedName name="Pileta" localSheetId="0">#REF!</definedName>
    <definedName name="Pileta" localSheetId="6">#REF!</definedName>
    <definedName name="Pileta" localSheetId="2">#REF!</definedName>
    <definedName name="Pileta" localSheetId="4">#REF!</definedName>
    <definedName name="Pileta">#REF!</definedName>
    <definedName name="SDDSDS">#REF!</definedName>
    <definedName name="SDSD">#REF!</definedName>
    <definedName name="SDSDD">#REF!</definedName>
    <definedName name="_xlnm.Print_Titles" localSheetId="1">'CUADRO COMPARATIVO'!$3:$6</definedName>
    <definedName name="_xlnm.Print_Titles" localSheetId="0">'MET-I.S.'!$1:$16</definedName>
    <definedName name="TOTAL" localSheetId="7">#REF!</definedName>
    <definedName name="TOTAL" localSheetId="3">#REF!</definedName>
    <definedName name="TOTAL" localSheetId="8">#REF!</definedName>
    <definedName name="TOTAL" localSheetId="5">#REF!</definedName>
    <definedName name="TOTAL" localSheetId="9">#REF!</definedName>
    <definedName name="TOTAL" localSheetId="0">#REF!</definedName>
    <definedName name="TOTAL" localSheetId="6">#REF!</definedName>
    <definedName name="TOTAL" localSheetId="2">#REF!</definedName>
    <definedName name="TOTAL" localSheetId="4">#REF!</definedName>
    <definedName name="TOTA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5" i="34" l="1"/>
  <c r="H33" i="32" l="1"/>
  <c r="H32" i="32"/>
  <c r="H20" i="32"/>
  <c r="E1878" i="30"/>
  <c r="E1879" i="30"/>
  <c r="D442" i="28"/>
  <c r="D619" i="28"/>
  <c r="D750" i="28"/>
  <c r="E622" i="28" l="1"/>
  <c r="E445" i="28"/>
  <c r="E387" i="28"/>
  <c r="E386" i="28"/>
  <c r="E330" i="28"/>
  <c r="E269" i="28"/>
  <c r="E199" i="28"/>
  <c r="E247" i="28" l="1"/>
  <c r="H247" i="28" s="1"/>
  <c r="E604" i="28"/>
  <c r="E369" i="28"/>
  <c r="E368" i="28"/>
  <c r="E308" i="28"/>
  <c r="H308" i="28" s="1"/>
  <c r="H67" i="14" l="1"/>
  <c r="N67" i="14"/>
  <c r="AB67" i="14"/>
  <c r="Q67" i="14"/>
  <c r="R67" i="14" s="1"/>
  <c r="W67" i="14"/>
  <c r="Y67" i="14"/>
  <c r="H1859" i="30"/>
  <c r="I1858" i="30" s="1"/>
  <c r="H1857" i="30"/>
  <c r="H1856" i="30"/>
  <c r="I1715" i="30"/>
  <c r="H1714" i="30"/>
  <c r="H1602" i="30"/>
  <c r="I1601" i="30" s="1"/>
  <c r="F1600" i="30"/>
  <c r="H1600" i="30" s="1"/>
  <c r="F1599" i="30"/>
  <c r="H1599" i="30" s="1"/>
  <c r="H1598" i="30"/>
  <c r="H1495" i="30"/>
  <c r="H1494" i="30"/>
  <c r="H1492" i="30"/>
  <c r="E1491" i="30"/>
  <c r="H1491" i="30" s="1"/>
  <c r="E1499" i="30"/>
  <c r="H1499" i="30" s="1"/>
  <c r="H1402" i="30"/>
  <c r="I1401" i="30" s="1"/>
  <c r="H1404" i="30"/>
  <c r="I1403" i="30" s="1"/>
  <c r="E1408" i="30"/>
  <c r="H1408" i="30" s="1"/>
  <c r="E1409" i="30"/>
  <c r="H1409" i="30" s="1"/>
  <c r="G1411" i="30"/>
  <c r="H1411" i="30" s="1"/>
  <c r="H1306" i="30"/>
  <c r="I1305" i="30" s="1"/>
  <c r="H1304" i="30"/>
  <c r="I1303" i="30" s="1"/>
  <c r="H1222" i="30"/>
  <c r="I1221" i="30" s="1"/>
  <c r="H1220" i="30"/>
  <c r="I1219" i="30" s="1"/>
  <c r="H1114" i="30"/>
  <c r="H1113" i="30"/>
  <c r="H1111" i="30"/>
  <c r="I1110" i="30" s="1"/>
  <c r="H936" i="30"/>
  <c r="H935" i="30"/>
  <c r="E933" i="30"/>
  <c r="H933" i="30" s="1"/>
  <c r="H932" i="30"/>
  <c r="H931" i="30"/>
  <c r="H930" i="30"/>
  <c r="H716" i="30"/>
  <c r="H715" i="30"/>
  <c r="H714" i="30"/>
  <c r="H713" i="30"/>
  <c r="H712" i="30"/>
  <c r="H711" i="30"/>
  <c r="H710" i="30"/>
  <c r="H709" i="30"/>
  <c r="E707" i="30"/>
  <c r="H707" i="30" s="1"/>
  <c r="H706" i="30"/>
  <c r="H485" i="30"/>
  <c r="I484" i="30" s="1"/>
  <c r="I482" i="30"/>
  <c r="H361" i="30"/>
  <c r="H360" i="30"/>
  <c r="H359" i="30"/>
  <c r="H357" i="30"/>
  <c r="I356" i="30" s="1"/>
  <c r="H201" i="30"/>
  <c r="H200" i="30"/>
  <c r="I1855" i="30" l="1"/>
  <c r="Z67" i="14"/>
  <c r="AA67" i="14"/>
  <c r="AD67" i="14"/>
  <c r="AC67" i="14"/>
  <c r="I1713" i="30"/>
  <c r="I1493" i="30"/>
  <c r="I1597" i="30"/>
  <c r="I1490" i="30"/>
  <c r="J1499" i="30"/>
  <c r="I1407" i="30"/>
  <c r="I934" i="30"/>
  <c r="I1112" i="30"/>
  <c r="I929" i="30"/>
  <c r="I705" i="30"/>
  <c r="I708" i="30"/>
  <c r="I358" i="30"/>
  <c r="I199" i="30"/>
  <c r="G1126" i="30"/>
  <c r="E753" i="30"/>
  <c r="G753" i="30"/>
  <c r="E767" i="30"/>
  <c r="B19" i="34" l="1"/>
  <c r="B20" i="34"/>
  <c r="B21" i="34"/>
  <c r="B23" i="34"/>
  <c r="B24" i="34"/>
  <c r="B25" i="34"/>
  <c r="B27" i="34"/>
  <c r="B28" i="34"/>
  <c r="B29" i="34"/>
  <c r="B31" i="34"/>
  <c r="B32" i="34"/>
  <c r="B34" i="34"/>
  <c r="B35" i="34"/>
  <c r="B36" i="34"/>
  <c r="B37" i="34"/>
  <c r="B38" i="34"/>
  <c r="B39" i="34"/>
  <c r="B40" i="34"/>
  <c r="B41" i="34"/>
  <c r="B42" i="34"/>
  <c r="B43" i="34"/>
  <c r="B44" i="34"/>
  <c r="B45" i="34"/>
  <c r="B47" i="34"/>
  <c r="B48" i="34"/>
  <c r="B49" i="34"/>
  <c r="B51" i="34"/>
  <c r="B53" i="34"/>
  <c r="B60" i="34"/>
  <c r="B63" i="34"/>
  <c r="B64" i="34"/>
  <c r="B68" i="34"/>
  <c r="B69" i="34"/>
  <c r="B71" i="34"/>
  <c r="B72" i="34"/>
  <c r="B73" i="34"/>
  <c r="B75" i="34"/>
  <c r="B76" i="34"/>
  <c r="B78" i="34"/>
  <c r="B81" i="34"/>
  <c r="B82" i="34"/>
  <c r="S52" i="34"/>
  <c r="S53" i="34"/>
  <c r="Y53" i="34"/>
  <c r="Z53" i="34"/>
  <c r="AA53" i="34"/>
  <c r="AB53" i="34"/>
  <c r="AB63" i="34" s="1"/>
  <c r="S55" i="34"/>
  <c r="S56" i="34"/>
  <c r="S57" i="34"/>
  <c r="AB57" i="34"/>
  <c r="S58" i="34"/>
  <c r="S60" i="34"/>
  <c r="S61" i="34"/>
  <c r="AB61" i="34"/>
  <c r="AB65" i="34"/>
  <c r="S66" i="34"/>
  <c r="S67" i="34"/>
  <c r="S68" i="34"/>
  <c r="S69" i="34"/>
  <c r="S71" i="34"/>
  <c r="Z76" i="34"/>
  <c r="AF76" i="34" s="1"/>
  <c r="AH76" i="34" s="1"/>
  <c r="AA76" i="34"/>
  <c r="AC76" i="34"/>
  <c r="AD76" i="34"/>
  <c r="AE76" i="34"/>
  <c r="Z83" i="34"/>
  <c r="AC83" i="34" s="1"/>
  <c r="AC84" i="34"/>
  <c r="AC85" i="34"/>
  <c r="AC86" i="34"/>
  <c r="AC87" i="34"/>
  <c r="AC90" i="34"/>
  <c r="AC91" i="34"/>
  <c r="Z93" i="34"/>
  <c r="AC93" i="34" s="1"/>
  <c r="N101" i="14"/>
  <c r="N99" i="14"/>
  <c r="N98" i="14"/>
  <c r="N97" i="14"/>
  <c r="N96" i="14"/>
  <c r="N95" i="14"/>
  <c r="N94" i="14"/>
  <c r="N93" i="14"/>
  <c r="N92" i="14"/>
  <c r="N91" i="14"/>
  <c r="N90" i="14"/>
  <c r="N75" i="14"/>
  <c r="N66" i="14"/>
  <c r="N65" i="14"/>
  <c r="N64" i="14"/>
  <c r="N63" i="14"/>
  <c r="N62" i="14"/>
  <c r="N61" i="14"/>
  <c r="N60" i="14"/>
  <c r="N59" i="14"/>
  <c r="N58" i="14"/>
  <c r="N57" i="14"/>
  <c r="N56" i="14"/>
  <c r="N55" i="14"/>
  <c r="N54" i="14"/>
  <c r="N53" i="14"/>
  <c r="N52" i="14"/>
  <c r="N51" i="14"/>
  <c r="N50" i="14"/>
  <c r="N49" i="14"/>
  <c r="N48" i="14"/>
  <c r="N47" i="14"/>
  <c r="N46" i="14"/>
  <c r="N45" i="14"/>
  <c r="N44" i="14"/>
  <c r="N43" i="14"/>
  <c r="N42" i="14"/>
  <c r="N41" i="14"/>
  <c r="N38" i="14"/>
  <c r="N37" i="14"/>
  <c r="N36" i="14"/>
  <c r="N33" i="14"/>
  <c r="N32" i="14"/>
  <c r="N27" i="14"/>
  <c r="N26" i="14"/>
  <c r="N25" i="14"/>
  <c r="N24" i="14"/>
  <c r="N22" i="14"/>
  <c r="N21" i="14"/>
  <c r="N18" i="14"/>
  <c r="N17" i="14"/>
  <c r="N14" i="14"/>
  <c r="N13" i="14"/>
  <c r="N12" i="14"/>
  <c r="AB64" i="34" l="1"/>
  <c r="AB56" i="34"/>
  <c r="AB62" i="34"/>
  <c r="AC94" i="34"/>
  <c r="AE94" i="34" s="1"/>
  <c r="AB58" i="34"/>
  <c r="AB55" i="34"/>
  <c r="AB60" i="34"/>
  <c r="AB59" i="34"/>
  <c r="H44" i="14" l="1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43" i="14"/>
  <c r="W95" i="14"/>
  <c r="Y95" i="14"/>
  <c r="W60" i="14"/>
  <c r="Y60" i="14"/>
  <c r="W59" i="14"/>
  <c r="Y59" i="14"/>
  <c r="B19" i="33"/>
  <c r="J24" i="33"/>
  <c r="N24" i="33" s="1"/>
  <c r="Q24" i="33" s="1"/>
  <c r="AE47" i="33"/>
  <c r="AB44" i="33"/>
  <c r="AE44" i="33" s="1"/>
  <c r="AE42" i="33"/>
  <c r="AE40" i="33"/>
  <c r="AC40" i="33"/>
  <c r="AB40" i="33"/>
  <c r="AG39" i="33"/>
  <c r="AF39" i="33"/>
  <c r="AG38" i="33"/>
  <c r="AF38" i="33"/>
  <c r="B34" i="29"/>
  <c r="B34" i="33" s="1"/>
  <c r="B33" i="29"/>
  <c r="B33" i="33" s="1"/>
  <c r="B30" i="29"/>
  <c r="B30" i="33" s="1"/>
  <c r="S23" i="32"/>
  <c r="AF32" i="32"/>
  <c r="AG32" i="32"/>
  <c r="AF33" i="32"/>
  <c r="AG33" i="32"/>
  <c r="AB35" i="32"/>
  <c r="AE35" i="32"/>
  <c r="AE36" i="32" s="1"/>
  <c r="AG36" i="32" s="1"/>
  <c r="AE38" i="32"/>
  <c r="AE45" i="33" l="1"/>
  <c r="K24" i="33"/>
  <c r="H114" i="14"/>
  <c r="H127" i="14" s="1"/>
  <c r="AG40" i="33"/>
  <c r="AF40" i="33"/>
  <c r="AG45" i="33"/>
  <c r="AE48" i="33"/>
  <c r="AG48" i="33" s="1"/>
  <c r="AE39" i="32"/>
  <c r="AG39" i="32" s="1"/>
  <c r="I197" i="30" l="1"/>
  <c r="I135" i="30"/>
  <c r="I133" i="30"/>
  <c r="I131" i="30"/>
  <c r="I128" i="30"/>
  <c r="I126" i="30"/>
  <c r="B52" i="30"/>
  <c r="I35" i="12"/>
  <c r="H1801" i="30"/>
  <c r="I1800" i="30" s="1"/>
  <c r="H1199" i="30"/>
  <c r="I1198" i="30" s="1"/>
  <c r="H453" i="30"/>
  <c r="I452" i="30" s="1"/>
  <c r="H158" i="30"/>
  <c r="I157" i="30" s="1"/>
  <c r="P98" i="14"/>
  <c r="P99" i="14"/>
  <c r="P100" i="14"/>
  <c r="P102" i="14"/>
  <c r="P103" i="14"/>
  <c r="P104" i="14"/>
  <c r="P105" i="14"/>
  <c r="P106" i="14"/>
  <c r="P107" i="14"/>
  <c r="P108" i="14"/>
  <c r="P109" i="14"/>
  <c r="P110" i="14"/>
  <c r="P111" i="14"/>
  <c r="P112" i="14"/>
  <c r="P113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P92" i="14"/>
  <c r="P94" i="14"/>
  <c r="P96" i="14"/>
  <c r="P97" i="14"/>
  <c r="P53" i="14"/>
  <c r="P54" i="14"/>
  <c r="P56" i="14"/>
  <c r="P57" i="14"/>
  <c r="P59" i="14"/>
  <c r="P60" i="14"/>
  <c r="P61" i="14"/>
  <c r="P62" i="14"/>
  <c r="P64" i="14"/>
  <c r="P65" i="14"/>
  <c r="P66" i="14"/>
  <c r="P68" i="14"/>
  <c r="P69" i="14"/>
  <c r="P70" i="14"/>
  <c r="P71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6" i="14"/>
  <c r="P48" i="14"/>
  <c r="P50" i="14"/>
  <c r="P51" i="14"/>
  <c r="P52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11" i="14"/>
  <c r="K102" i="14"/>
  <c r="K103" i="14"/>
  <c r="K104" i="14"/>
  <c r="K105" i="14"/>
  <c r="K106" i="14"/>
  <c r="K107" i="14"/>
  <c r="K108" i="14"/>
  <c r="K109" i="14"/>
  <c r="K110" i="14"/>
  <c r="K111" i="14"/>
  <c r="K112" i="14"/>
  <c r="K113" i="14"/>
  <c r="K91" i="14"/>
  <c r="K93" i="14"/>
  <c r="K95" i="14"/>
  <c r="K99" i="14"/>
  <c r="K100" i="14"/>
  <c r="K75" i="14"/>
  <c r="K76" i="14"/>
  <c r="K77" i="14"/>
  <c r="K78" i="14"/>
  <c r="K79" i="14"/>
  <c r="K80" i="14"/>
  <c r="K81" i="14"/>
  <c r="K82" i="14"/>
  <c r="K83" i="14"/>
  <c r="K84" i="14"/>
  <c r="K85" i="14"/>
  <c r="K86" i="14"/>
  <c r="K87" i="14"/>
  <c r="K88" i="14"/>
  <c r="K89" i="14"/>
  <c r="K90" i="14"/>
  <c r="K58" i="14"/>
  <c r="K63" i="14"/>
  <c r="K68" i="14"/>
  <c r="K69" i="14"/>
  <c r="K70" i="14"/>
  <c r="K71" i="14"/>
  <c r="K72" i="14"/>
  <c r="K73" i="14"/>
  <c r="K74" i="14"/>
  <c r="K46" i="14"/>
  <c r="K47" i="14"/>
  <c r="K49" i="14"/>
  <c r="K51" i="14"/>
  <c r="K52" i="14"/>
  <c r="K55" i="14"/>
  <c r="K34" i="14"/>
  <c r="K35" i="14"/>
  <c r="K36" i="14"/>
  <c r="K37" i="14"/>
  <c r="K38" i="14"/>
  <c r="K39" i="14"/>
  <c r="K40" i="14"/>
  <c r="K41" i="14"/>
  <c r="K42" i="14"/>
  <c r="K43" i="14"/>
  <c r="K44" i="14"/>
  <c r="K45" i="14"/>
  <c r="K12" i="14"/>
  <c r="K13" i="14"/>
  <c r="K14" i="14"/>
  <c r="K15" i="14"/>
  <c r="K16" i="14"/>
  <c r="K17" i="14"/>
  <c r="K18" i="14"/>
  <c r="K19" i="14"/>
  <c r="K20" i="14"/>
  <c r="K21" i="14"/>
  <c r="K22" i="14"/>
  <c r="K23" i="14"/>
  <c r="K24" i="14"/>
  <c r="K25" i="14"/>
  <c r="K26" i="14"/>
  <c r="K27" i="14"/>
  <c r="K28" i="14"/>
  <c r="K29" i="14"/>
  <c r="K30" i="14"/>
  <c r="K31" i="14"/>
  <c r="K32" i="14"/>
  <c r="K33" i="14"/>
  <c r="K11" i="14"/>
  <c r="N23" i="14"/>
  <c r="H1188" i="30"/>
  <c r="I1187" i="30" s="1"/>
  <c r="H1783" i="30"/>
  <c r="I1782" i="30" s="1"/>
  <c r="H1685" i="30"/>
  <c r="I1684" i="30" s="1"/>
  <c r="H1564" i="30"/>
  <c r="I1563" i="30" s="1"/>
  <c r="H1458" i="30"/>
  <c r="I1457" i="30" s="1"/>
  <c r="I1370" i="30"/>
  <c r="H1369" i="30"/>
  <c r="I1368" i="30" s="1"/>
  <c r="H1281" i="30"/>
  <c r="I1280" i="30" s="1"/>
  <c r="H1037" i="30"/>
  <c r="I1036" i="30" s="1"/>
  <c r="I846" i="30"/>
  <c r="I601" i="30"/>
  <c r="I438" i="30"/>
  <c r="H305" i="30"/>
  <c r="I303" i="30" s="1"/>
  <c r="H145" i="30"/>
  <c r="I144" i="30" s="1"/>
  <c r="H140" i="30"/>
  <c r="I139" i="30" s="1"/>
  <c r="H435" i="30"/>
  <c r="I434" i="30" s="1"/>
  <c r="H1873" i="30"/>
  <c r="I1872" i="30" s="1"/>
  <c r="G1215" i="30"/>
  <c r="G1212" i="30"/>
  <c r="H1212" i="30" s="1"/>
  <c r="H1210" i="30"/>
  <c r="H1209" i="30"/>
  <c r="F1207" i="30"/>
  <c r="H1207" i="30" s="1"/>
  <c r="H1205" i="30"/>
  <c r="E1204" i="30"/>
  <c r="H1204" i="30" s="1"/>
  <c r="F1202" i="30"/>
  <c r="I1200" i="30"/>
  <c r="G1197" i="30"/>
  <c r="E1197" i="30"/>
  <c r="E1215" i="30" s="1"/>
  <c r="F1195" i="30"/>
  <c r="H1195" i="30" s="1"/>
  <c r="H1192" i="30"/>
  <c r="I1191" i="30" s="1"/>
  <c r="G1190" i="30"/>
  <c r="H1190" i="30" s="1"/>
  <c r="I1189" i="30" s="1"/>
  <c r="F1183" i="30"/>
  <c r="H1183" i="30" s="1"/>
  <c r="H1181" i="30"/>
  <c r="H976" i="30"/>
  <c r="I975" i="30" s="1"/>
  <c r="H978" i="30"/>
  <c r="I977" i="30" s="1"/>
  <c r="H974" i="30"/>
  <c r="E720" i="30"/>
  <c r="H720" i="30" s="1"/>
  <c r="I719" i="30" s="1"/>
  <c r="D722" i="30"/>
  <c r="G722" i="30" s="1"/>
  <c r="E723" i="30"/>
  <c r="G723" i="30" s="1"/>
  <c r="B52" i="34" l="1"/>
  <c r="P114" i="14"/>
  <c r="K114" i="14"/>
  <c r="H1215" i="30"/>
  <c r="I1211" i="30" s="1"/>
  <c r="I1216" i="30" s="1"/>
  <c r="I1203" i="30"/>
  <c r="H1197" i="30"/>
  <c r="I1193" i="30" s="1"/>
  <c r="I1208" i="30"/>
  <c r="I1180" i="30"/>
  <c r="I1184" i="30" s="1"/>
  <c r="I721" i="30"/>
  <c r="H243" i="12" l="1"/>
  <c r="I242" i="12" s="1"/>
  <c r="H406" i="12"/>
  <c r="I405" i="12" s="1"/>
  <c r="H412" i="12"/>
  <c r="I411" i="12" s="1"/>
  <c r="J412" i="12"/>
  <c r="J411" i="12" s="1"/>
  <c r="H430" i="12"/>
  <c r="I429" i="12" s="1"/>
  <c r="J430" i="12"/>
  <c r="J429" i="12" s="1"/>
  <c r="E423" i="12"/>
  <c r="H423" i="12" s="1"/>
  <c r="I421" i="12" s="1"/>
  <c r="H441" i="12"/>
  <c r="H442" i="12"/>
  <c r="H445" i="12"/>
  <c r="H446" i="12"/>
  <c r="H447" i="12"/>
  <c r="G451" i="12"/>
  <c r="H451" i="12" s="1"/>
  <c r="H452" i="12"/>
  <c r="G453" i="12"/>
  <c r="H453" i="12" s="1"/>
  <c r="H454" i="12"/>
  <c r="G455" i="12"/>
  <c r="H455" i="12" s="1"/>
  <c r="H456" i="12"/>
  <c r="G458" i="12"/>
  <c r="H458" i="12" s="1"/>
  <c r="H459" i="12"/>
  <c r="I438" i="12"/>
  <c r="J438" i="12"/>
  <c r="H614" i="12"/>
  <c r="I613" i="12" s="1"/>
  <c r="J614" i="12"/>
  <c r="J613" i="12" s="1"/>
  <c r="H821" i="12"/>
  <c r="I820" i="12" s="1"/>
  <c r="J821" i="12"/>
  <c r="J820" i="12" s="1"/>
  <c r="H829" i="12"/>
  <c r="J829" i="12"/>
  <c r="E830" i="12"/>
  <c r="H830" i="12" s="1"/>
  <c r="H831" i="12"/>
  <c r="H832" i="12"/>
  <c r="H849" i="12"/>
  <c r="I848" i="12" s="1"/>
  <c r="J849" i="12"/>
  <c r="J848" i="12" s="1"/>
  <c r="E863" i="12"/>
  <c r="H863" i="12" s="1"/>
  <c r="I862" i="12" s="1"/>
  <c r="D865" i="12"/>
  <c r="G865" i="12" s="1"/>
  <c r="E866" i="12"/>
  <c r="G866" i="12" s="1"/>
  <c r="H869" i="12"/>
  <c r="H870" i="12"/>
  <c r="H871" i="12"/>
  <c r="H875" i="12"/>
  <c r="H876" i="12"/>
  <c r="H877" i="12"/>
  <c r="H880" i="12"/>
  <c r="I879" i="12" s="1"/>
  <c r="H883" i="12"/>
  <c r="I882" i="12" s="1"/>
  <c r="H886" i="12"/>
  <c r="H887" i="12"/>
  <c r="H888" i="12"/>
  <c r="H891" i="12"/>
  <c r="I890" i="12" s="1"/>
  <c r="H894" i="12"/>
  <c r="H895" i="12"/>
  <c r="H896" i="12"/>
  <c r="H897" i="12"/>
  <c r="J898" i="12"/>
  <c r="H899" i="12"/>
  <c r="I898" i="12" s="1"/>
  <c r="E903" i="12"/>
  <c r="G903" i="12"/>
  <c r="H904" i="12"/>
  <c r="E905" i="12"/>
  <c r="G905" i="12"/>
  <c r="H905" i="12" s="1"/>
  <c r="H906" i="12"/>
  <c r="E907" i="12"/>
  <c r="G907" i="12"/>
  <c r="H908" i="12"/>
  <c r="E909" i="12"/>
  <c r="G909" i="12"/>
  <c r="H910" i="12"/>
  <c r="E911" i="12"/>
  <c r="G911" i="12"/>
  <c r="H912" i="12"/>
  <c r="E913" i="12"/>
  <c r="G913" i="12"/>
  <c r="H913" i="12" s="1"/>
  <c r="H914" i="12"/>
  <c r="E915" i="12"/>
  <c r="G915" i="12"/>
  <c r="H916" i="12"/>
  <c r="E917" i="12"/>
  <c r="G917" i="12"/>
  <c r="H918" i="12"/>
  <c r="G922" i="12"/>
  <c r="H922" i="12" s="1"/>
  <c r="H923" i="12"/>
  <c r="E924" i="12"/>
  <c r="G924" i="12"/>
  <c r="H925" i="12"/>
  <c r="H1205" i="12"/>
  <c r="I1204" i="12" s="1"/>
  <c r="J1205" i="12"/>
  <c r="H620" i="12"/>
  <c r="I619" i="12" s="1"/>
  <c r="J620" i="12"/>
  <c r="J619" i="12" s="1"/>
  <c r="H635" i="12"/>
  <c r="I634" i="12" s="1"/>
  <c r="J635" i="12"/>
  <c r="J634" i="12" s="1"/>
  <c r="H648" i="12"/>
  <c r="I647" i="12" s="1"/>
  <c r="H651" i="12"/>
  <c r="I650" i="12" s="1"/>
  <c r="G655" i="12"/>
  <c r="H655" i="12" s="1"/>
  <c r="H656" i="12"/>
  <c r="H1506" i="12"/>
  <c r="I1505" i="12" s="1"/>
  <c r="J1506" i="12"/>
  <c r="H1513" i="12"/>
  <c r="I1512" i="12" s="1"/>
  <c r="H1545" i="12"/>
  <c r="I1544" i="12" s="1"/>
  <c r="H1547" i="12"/>
  <c r="I1546" i="12" s="1"/>
  <c r="H1549" i="12"/>
  <c r="I1548" i="12" s="1"/>
  <c r="G1553" i="12"/>
  <c r="H1553" i="12" s="1"/>
  <c r="H1554" i="12"/>
  <c r="E1555" i="12"/>
  <c r="G1555" i="12"/>
  <c r="H1556" i="12"/>
  <c r="G1560" i="12"/>
  <c r="H1560" i="12" s="1"/>
  <c r="H1561" i="12"/>
  <c r="H1771" i="12"/>
  <c r="I1770" i="12" s="1"/>
  <c r="J1771" i="12"/>
  <c r="J1770" i="12" s="1"/>
  <c r="H1777" i="12"/>
  <c r="I1776" i="12" s="1"/>
  <c r="J1777" i="12"/>
  <c r="J1776" i="12" s="1"/>
  <c r="H1792" i="12"/>
  <c r="I1791" i="12" s="1"/>
  <c r="J1792" i="12"/>
  <c r="J1791" i="12" s="1"/>
  <c r="H1805" i="12"/>
  <c r="I1804" i="12" s="1"/>
  <c r="E1808" i="12"/>
  <c r="G1808" i="12"/>
  <c r="H1809" i="12"/>
  <c r="H1951" i="12"/>
  <c r="I1950" i="12" s="1"/>
  <c r="H1958" i="12"/>
  <c r="I1957" i="12" s="1"/>
  <c r="J1958" i="12"/>
  <c r="J1957" i="12" s="1"/>
  <c r="H1971" i="12"/>
  <c r="I1970" i="12" s="1"/>
  <c r="J1971" i="12"/>
  <c r="J1970" i="12" s="1"/>
  <c r="H1981" i="12"/>
  <c r="I1980" i="12" s="1"/>
  <c r="G1984" i="12"/>
  <c r="H1984" i="12" s="1"/>
  <c r="H1985" i="12"/>
  <c r="G1988" i="12"/>
  <c r="H1988" i="12" s="1"/>
  <c r="H1989" i="12"/>
  <c r="H2128" i="12"/>
  <c r="I2127" i="12" s="1"/>
  <c r="J2128" i="12"/>
  <c r="J2127" i="12" s="1"/>
  <c r="H2134" i="12"/>
  <c r="I2133" i="12" s="1"/>
  <c r="J2134" i="12"/>
  <c r="J2133" i="12" s="1"/>
  <c r="H2150" i="12"/>
  <c r="I2149" i="12" s="1"/>
  <c r="J2150" i="12"/>
  <c r="J2149" i="12" s="1"/>
  <c r="G2162" i="12"/>
  <c r="H2162" i="12" s="1"/>
  <c r="H2163" i="12"/>
  <c r="H2309" i="12"/>
  <c r="I2308" i="12" s="1"/>
  <c r="J2309" i="12"/>
  <c r="J2308" i="12" s="1"/>
  <c r="J2316" i="12"/>
  <c r="H2317" i="12"/>
  <c r="I2316" i="12" s="1"/>
  <c r="J2317" i="12"/>
  <c r="H2315" i="12"/>
  <c r="J2315" i="12"/>
  <c r="H2332" i="12"/>
  <c r="I2331" i="12" s="1"/>
  <c r="J2332" i="12"/>
  <c r="J2331" i="12" s="1"/>
  <c r="H2336" i="12"/>
  <c r="I2335" i="12" s="1"/>
  <c r="J2345" i="12"/>
  <c r="H2346" i="12"/>
  <c r="H2347" i="12"/>
  <c r="E2350" i="12"/>
  <c r="G2350" i="12"/>
  <c r="G2351" i="12"/>
  <c r="H2351" i="12" s="1"/>
  <c r="G2354" i="12"/>
  <c r="H2354" i="12" s="1"/>
  <c r="G2355" i="12"/>
  <c r="H2355" i="12" s="1"/>
  <c r="G2359" i="12"/>
  <c r="H2359" i="12" s="1"/>
  <c r="H2360" i="12"/>
  <c r="G2361" i="12"/>
  <c r="H2361" i="12" s="1"/>
  <c r="H2362" i="12"/>
  <c r="E2364" i="12"/>
  <c r="G2364" i="12"/>
  <c r="H2365" i="12"/>
  <c r="G2366" i="12"/>
  <c r="H2366" i="12" s="1"/>
  <c r="H2367" i="12"/>
  <c r="H2518" i="12"/>
  <c r="I2517" i="12" s="1"/>
  <c r="J2518" i="12"/>
  <c r="J2517" i="12" s="1"/>
  <c r="H2526" i="12"/>
  <c r="I2525" i="12" s="1"/>
  <c r="J2526" i="12"/>
  <c r="J2525" i="12" s="1"/>
  <c r="H2529" i="12"/>
  <c r="H2530" i="12"/>
  <c r="H2537" i="12"/>
  <c r="H2538" i="12"/>
  <c r="H2539" i="12"/>
  <c r="H2542" i="12"/>
  <c r="I2541" i="12" s="1"/>
  <c r="H2549" i="12"/>
  <c r="I2548" i="12" s="1"/>
  <c r="J2549" i="12"/>
  <c r="J2548" i="12" s="1"/>
  <c r="H2560" i="12"/>
  <c r="G2562" i="12"/>
  <c r="E2563" i="12"/>
  <c r="G2563" i="12" s="1"/>
  <c r="H2565" i="12"/>
  <c r="D2567" i="12"/>
  <c r="G2567" i="12" s="1"/>
  <c r="E2568" i="12"/>
  <c r="G2568" i="12" s="1"/>
  <c r="H2571" i="12"/>
  <c r="I2570" i="12" s="1"/>
  <c r="H2574" i="12"/>
  <c r="I2573" i="12" s="1"/>
  <c r="E2578" i="12"/>
  <c r="G2578" i="12"/>
  <c r="H2579" i="12"/>
  <c r="G2582" i="12"/>
  <c r="H2582" i="12" s="1"/>
  <c r="H2583" i="12"/>
  <c r="G2584" i="12"/>
  <c r="H2584" i="12" s="1"/>
  <c r="H2585" i="12"/>
  <c r="G2586" i="12"/>
  <c r="H2586" i="12" s="1"/>
  <c r="H2587" i="12"/>
  <c r="H2735" i="12"/>
  <c r="I2734" i="12" s="1"/>
  <c r="J2735" i="12"/>
  <c r="J2734" i="12" s="1"/>
  <c r="H2743" i="12"/>
  <c r="I2742" i="12" s="1"/>
  <c r="J2743" i="12"/>
  <c r="J2742" i="12" s="1"/>
  <c r="H2757" i="12"/>
  <c r="I2756" i="12" s="1"/>
  <c r="J2757" i="12"/>
  <c r="J2756" i="12" s="1"/>
  <c r="G2768" i="12"/>
  <c r="H2768" i="12" s="1"/>
  <c r="H2769" i="12"/>
  <c r="H2925" i="12"/>
  <c r="I2924" i="12" s="1"/>
  <c r="J2925" i="12"/>
  <c r="J2924" i="12" s="1"/>
  <c r="H2933" i="12"/>
  <c r="I2932" i="12" s="1"/>
  <c r="J2933" i="12"/>
  <c r="J2932" i="12" s="1"/>
  <c r="H2941" i="12"/>
  <c r="E2942" i="12"/>
  <c r="H2942" i="12" s="1"/>
  <c r="H2943" i="12"/>
  <c r="H2951" i="12"/>
  <c r="I2950" i="12" s="1"/>
  <c r="J2951" i="12"/>
  <c r="J2950" i="12" s="1"/>
  <c r="H2962" i="12"/>
  <c r="D2964" i="12"/>
  <c r="G2964" i="12" s="1"/>
  <c r="E2965" i="12"/>
  <c r="G2965" i="12" s="1"/>
  <c r="H2967" i="12"/>
  <c r="G2969" i="12"/>
  <c r="E2970" i="12"/>
  <c r="G2970" i="12" s="1"/>
  <c r="H2973" i="12"/>
  <c r="I2972" i="12" s="1"/>
  <c r="H2976" i="12"/>
  <c r="I2975" i="12" s="1"/>
  <c r="G2980" i="12"/>
  <c r="H2980" i="12" s="1"/>
  <c r="G2981" i="12"/>
  <c r="H2981" i="12" s="1"/>
  <c r="G2983" i="12"/>
  <c r="H2983" i="12" s="1"/>
  <c r="I2982" i="12" s="1"/>
  <c r="E2987" i="12"/>
  <c r="G2987" i="12"/>
  <c r="H2988" i="12"/>
  <c r="G2990" i="12"/>
  <c r="H2990" i="12" s="1"/>
  <c r="H2991" i="12"/>
  <c r="G2992" i="12"/>
  <c r="H2992" i="12" s="1"/>
  <c r="H2993" i="12"/>
  <c r="H930" i="12"/>
  <c r="H931" i="12"/>
  <c r="H178" i="28"/>
  <c r="H179" i="28"/>
  <c r="H190" i="28"/>
  <c r="I189" i="28" s="1"/>
  <c r="J190" i="28"/>
  <c r="J189" i="28" s="1"/>
  <c r="D196" i="28"/>
  <c r="H77" i="28"/>
  <c r="J77" i="28"/>
  <c r="D384" i="28"/>
  <c r="D383" i="28"/>
  <c r="D327" i="28"/>
  <c r="D326" i="28"/>
  <c r="D267" i="28"/>
  <c r="D266" i="28"/>
  <c r="H66" i="28"/>
  <c r="I885" i="12" l="1"/>
  <c r="I868" i="12"/>
  <c r="H911" i="12"/>
  <c r="H903" i="12"/>
  <c r="I874" i="12"/>
  <c r="H1555" i="12"/>
  <c r="I1552" i="12" s="1"/>
  <c r="H917" i="12"/>
  <c r="H909" i="12"/>
  <c r="I893" i="12"/>
  <c r="I457" i="12"/>
  <c r="I1987" i="12"/>
  <c r="I864" i="12"/>
  <c r="I1559" i="12"/>
  <c r="I654" i="12"/>
  <c r="I444" i="12"/>
  <c r="H924" i="12"/>
  <c r="I921" i="12" s="1"/>
  <c r="H915" i="12"/>
  <c r="H907" i="12"/>
  <c r="I440" i="12"/>
  <c r="I450" i="12"/>
  <c r="I828" i="12"/>
  <c r="H1808" i="12"/>
  <c r="I1807" i="12" s="1"/>
  <c r="H2364" i="12"/>
  <c r="I2363" i="12" s="1"/>
  <c r="I2161" i="12"/>
  <c r="I1983" i="12"/>
  <c r="H2350" i="12"/>
  <c r="I2349" i="12" s="1"/>
  <c r="H2578" i="12"/>
  <c r="I2577" i="12" s="1"/>
  <c r="I2566" i="12"/>
  <c r="I2345" i="12"/>
  <c r="I2353" i="12"/>
  <c r="I2358" i="12"/>
  <c r="I2528" i="12"/>
  <c r="I2536" i="12"/>
  <c r="I2581" i="12"/>
  <c r="I2767" i="12"/>
  <c r="I2561" i="12"/>
  <c r="I2559" i="12"/>
  <c r="I2940" i="12"/>
  <c r="H2987" i="12"/>
  <c r="I2986" i="12" s="1"/>
  <c r="I2979" i="12"/>
  <c r="I2968" i="12"/>
  <c r="I2961" i="12"/>
  <c r="I2989" i="12"/>
  <c r="I2963" i="12"/>
  <c r="I929" i="12"/>
  <c r="I177" i="28"/>
  <c r="B29" i="28"/>
  <c r="B29" i="32" s="1"/>
  <c r="I902" i="12" l="1"/>
  <c r="G1850" i="30"/>
  <c r="G1847" i="30"/>
  <c r="G1844" i="30"/>
  <c r="H1844" i="30" s="1"/>
  <c r="G1843" i="30"/>
  <c r="H1843" i="30" s="1"/>
  <c r="G1842" i="30"/>
  <c r="H1842" i="30" s="1"/>
  <c r="H1840" i="30"/>
  <c r="H1839" i="30"/>
  <c r="H1838" i="30"/>
  <c r="H1836" i="30"/>
  <c r="F1833" i="30"/>
  <c r="E1833" i="30"/>
  <c r="F1830" i="30"/>
  <c r="H1830" i="30" s="1"/>
  <c r="F1829" i="30"/>
  <c r="E1829" i="30"/>
  <c r="F1828" i="30"/>
  <c r="H1828" i="30" s="1"/>
  <c r="F1826" i="30"/>
  <c r="H1826" i="30" s="1"/>
  <c r="F1824" i="30"/>
  <c r="H1824" i="30" s="1"/>
  <c r="F1822" i="30"/>
  <c r="H1822" i="30" s="1"/>
  <c r="F1821" i="30"/>
  <c r="H1821" i="30" s="1"/>
  <c r="H1819" i="30"/>
  <c r="E1813" i="30"/>
  <c r="F1810" i="30"/>
  <c r="H1810" i="30" s="1"/>
  <c r="F1809" i="30"/>
  <c r="E1809" i="30"/>
  <c r="F1808" i="30"/>
  <c r="H1808" i="30" s="1"/>
  <c r="G1804" i="30"/>
  <c r="H1804" i="30" s="1"/>
  <c r="G1803" i="30"/>
  <c r="H1803" i="30" s="1"/>
  <c r="G1799" i="30"/>
  <c r="E1797" i="30"/>
  <c r="E1799" i="30" s="1"/>
  <c r="G1795" i="30"/>
  <c r="F1793" i="30"/>
  <c r="H1793" i="30" s="1"/>
  <c r="F1792" i="30"/>
  <c r="E1792" i="30"/>
  <c r="E1795" i="30" s="1"/>
  <c r="F1791" i="30"/>
  <c r="H1791" i="30" s="1"/>
  <c r="H1787" i="30"/>
  <c r="H1786" i="30"/>
  <c r="H1785" i="30"/>
  <c r="G1781" i="30"/>
  <c r="H1781" i="30" s="1"/>
  <c r="I1780" i="30" s="1"/>
  <c r="G1779" i="30"/>
  <c r="G1778" i="30"/>
  <c r="G1835" i="30" s="1"/>
  <c r="H1835" i="30" s="1"/>
  <c r="E1773" i="30"/>
  <c r="F1770" i="30"/>
  <c r="H1770" i="30" s="1"/>
  <c r="F1769" i="30"/>
  <c r="E1769" i="30"/>
  <c r="F1768" i="30"/>
  <c r="H1768" i="30" s="1"/>
  <c r="H1766" i="30"/>
  <c r="H1765" i="30"/>
  <c r="H1764" i="30"/>
  <c r="H1897" i="30"/>
  <c r="H1896" i="30"/>
  <c r="H1894" i="30"/>
  <c r="I1893" i="30" s="1"/>
  <c r="H1911" i="30"/>
  <c r="I1910" i="30" s="1"/>
  <c r="J1910" i="30"/>
  <c r="H1908" i="30"/>
  <c r="H1907" i="30"/>
  <c r="H1906" i="30"/>
  <c r="J1905" i="30"/>
  <c r="H1903" i="30"/>
  <c r="I1902" i="30" s="1"/>
  <c r="J1902" i="30"/>
  <c r="H1899" i="30"/>
  <c r="I1898" i="30" s="1"/>
  <c r="H1890" i="30"/>
  <c r="G1889" i="30"/>
  <c r="H1889" i="30" s="1"/>
  <c r="H1888" i="30"/>
  <c r="G1887" i="30"/>
  <c r="H1887" i="30" s="1"/>
  <c r="H1885" i="30"/>
  <c r="G1884" i="30"/>
  <c r="E1884" i="30"/>
  <c r="H1882" i="30"/>
  <c r="I1881" i="30" s="1"/>
  <c r="E1871" i="30"/>
  <c r="G1871" i="30" s="1"/>
  <c r="G1870" i="30"/>
  <c r="H1868" i="30"/>
  <c r="E1866" i="30"/>
  <c r="G1866" i="30" s="1"/>
  <c r="D1865" i="30"/>
  <c r="G1865" i="30" s="1"/>
  <c r="H1863" i="30"/>
  <c r="H1877" i="30"/>
  <c r="E1876" i="30"/>
  <c r="H1876" i="30" s="1"/>
  <c r="H1875" i="30"/>
  <c r="G1709" i="30"/>
  <c r="G1706" i="30"/>
  <c r="H1706" i="30" s="1"/>
  <c r="H1703" i="30"/>
  <c r="H1702" i="30"/>
  <c r="F1699" i="30"/>
  <c r="E1699" i="30"/>
  <c r="F1697" i="30"/>
  <c r="H1697" i="30" s="1"/>
  <c r="E1695" i="30"/>
  <c r="H1695" i="30" s="1"/>
  <c r="I1693" i="30" s="1"/>
  <c r="G1692" i="30"/>
  <c r="H1692" i="30" s="1"/>
  <c r="I1691" i="30" s="1"/>
  <c r="G1690" i="30"/>
  <c r="E1688" i="30"/>
  <c r="H1683" i="30"/>
  <c r="I1682" i="30" s="1"/>
  <c r="G1681" i="30"/>
  <c r="H1681" i="30" s="1"/>
  <c r="I1680" i="30" s="1"/>
  <c r="E1676" i="30"/>
  <c r="H1676" i="30" s="1"/>
  <c r="H1674" i="30"/>
  <c r="H1727" i="30"/>
  <c r="D1726" i="30"/>
  <c r="H1726" i="30" s="1"/>
  <c r="H1722" i="30"/>
  <c r="G1721" i="30"/>
  <c r="H1721" i="30" s="1"/>
  <c r="E1719" i="30"/>
  <c r="H1719" i="30" s="1"/>
  <c r="I1718" i="30" s="1"/>
  <c r="G1593" i="30"/>
  <c r="D1593" i="30"/>
  <c r="G1592" i="30"/>
  <c r="F1592" i="30"/>
  <c r="D1592" i="30"/>
  <c r="G1591" i="30"/>
  <c r="F1591" i="30"/>
  <c r="D1591" i="30"/>
  <c r="G1590" i="30"/>
  <c r="D1590" i="30"/>
  <c r="H1588" i="30"/>
  <c r="H1587" i="30"/>
  <c r="H1586" i="30"/>
  <c r="H1584" i="30"/>
  <c r="G1583" i="30"/>
  <c r="H1583" i="30" s="1"/>
  <c r="H1582" i="30"/>
  <c r="H1581" i="30"/>
  <c r="F1579" i="30"/>
  <c r="H1579" i="30" s="1"/>
  <c r="F1578" i="30"/>
  <c r="H1578" i="30" s="1"/>
  <c r="F1577" i="30"/>
  <c r="H1577" i="30" s="1"/>
  <c r="F1575" i="30"/>
  <c r="H1575" i="30" s="1"/>
  <c r="G1573" i="30"/>
  <c r="F1573" i="30"/>
  <c r="G1572" i="30"/>
  <c r="F1572" i="30"/>
  <c r="G1571" i="30"/>
  <c r="H1571" i="30" s="1"/>
  <c r="F1569" i="30"/>
  <c r="H1569" i="30" s="1"/>
  <c r="F1568" i="30"/>
  <c r="H1568" i="30" s="1"/>
  <c r="H1567" i="30"/>
  <c r="H1566" i="30"/>
  <c r="G1562" i="30"/>
  <c r="H1562" i="30" s="1"/>
  <c r="I1561" i="30" s="1"/>
  <c r="G1560" i="30"/>
  <c r="G1585" i="30" s="1"/>
  <c r="H1585" i="30" s="1"/>
  <c r="F1560" i="30"/>
  <c r="G1559" i="30"/>
  <c r="F1559" i="30"/>
  <c r="G1558" i="30"/>
  <c r="H1558" i="30" s="1"/>
  <c r="H1553" i="30"/>
  <c r="F1552" i="30"/>
  <c r="H1552" i="30" s="1"/>
  <c r="F1551" i="30"/>
  <c r="H1551" i="30" s="1"/>
  <c r="H1550" i="30"/>
  <c r="H1642" i="30"/>
  <c r="I1641" i="30" s="1"/>
  <c r="H1638" i="30"/>
  <c r="G1637" i="30"/>
  <c r="H1637" i="30" s="1"/>
  <c r="H1636" i="30"/>
  <c r="G1635" i="30"/>
  <c r="H1635" i="30" s="1"/>
  <c r="H1634" i="30"/>
  <c r="G1633" i="30"/>
  <c r="H1633" i="30" s="1"/>
  <c r="H1631" i="30"/>
  <c r="G1630" i="30"/>
  <c r="E1630" i="30"/>
  <c r="H1628" i="30"/>
  <c r="I1627" i="30" s="1"/>
  <c r="H1626" i="30"/>
  <c r="I1625" i="30" s="1"/>
  <c r="E1624" i="30"/>
  <c r="G1624" i="30" s="1"/>
  <c r="D1623" i="30"/>
  <c r="G1623" i="30" s="1"/>
  <c r="H1621" i="30"/>
  <c r="E1619" i="30"/>
  <c r="G1619" i="30" s="1"/>
  <c r="G1618" i="30"/>
  <c r="H1616" i="30"/>
  <c r="H1614" i="30"/>
  <c r="I1613" i="30" s="1"/>
  <c r="H1611" i="30"/>
  <c r="H1610" i="30"/>
  <c r="H1609" i="30"/>
  <c r="H1607" i="30"/>
  <c r="H1606" i="30"/>
  <c r="G1486" i="30"/>
  <c r="H1486" i="30" s="1"/>
  <c r="G1485" i="30"/>
  <c r="H1485" i="30" s="1"/>
  <c r="G1484" i="30"/>
  <c r="H1484" i="30" s="1"/>
  <c r="G1483" i="30"/>
  <c r="E1483" i="30"/>
  <c r="H1481" i="30"/>
  <c r="H1480" i="30"/>
  <c r="H1479" i="30"/>
  <c r="H1478" i="30"/>
  <c r="H1477" i="30"/>
  <c r="H1476" i="30"/>
  <c r="H1475" i="30"/>
  <c r="E1474" i="30"/>
  <c r="H1474" i="30" s="1"/>
  <c r="E1471" i="30"/>
  <c r="H1471" i="30" s="1"/>
  <c r="F1469" i="30"/>
  <c r="H1469" i="30" s="1"/>
  <c r="F1468" i="30"/>
  <c r="H1468" i="30" s="1"/>
  <c r="F1467" i="30"/>
  <c r="E1467" i="30"/>
  <c r="G1465" i="30"/>
  <c r="E1465" i="30"/>
  <c r="H1463" i="30"/>
  <c r="H1462" i="30"/>
  <c r="H1461" i="30"/>
  <c r="E1460" i="30"/>
  <c r="H1460" i="30" s="1"/>
  <c r="G1456" i="30"/>
  <c r="H1456" i="30" s="1"/>
  <c r="G1455" i="30"/>
  <c r="H1455" i="30" s="1"/>
  <c r="G1453" i="30"/>
  <c r="H1453" i="30" s="1"/>
  <c r="G1452" i="30"/>
  <c r="E1452" i="30"/>
  <c r="H1447" i="30"/>
  <c r="H1446" i="30"/>
  <c r="H1445" i="30"/>
  <c r="E1444" i="30"/>
  <c r="H1444" i="30" s="1"/>
  <c r="D1519" i="30"/>
  <c r="H1519" i="30" s="1"/>
  <c r="H1518" i="30"/>
  <c r="H1514" i="30"/>
  <c r="G1513" i="30"/>
  <c r="H1513" i="30" s="1"/>
  <c r="H1512" i="30"/>
  <c r="G1511" i="30"/>
  <c r="E1511" i="30"/>
  <c r="H1509" i="30"/>
  <c r="G1508" i="30"/>
  <c r="H1508" i="30" s="1"/>
  <c r="H1507" i="30"/>
  <c r="G1506" i="30"/>
  <c r="H1506" i="30" s="1"/>
  <c r="H1504" i="30"/>
  <c r="H1503" i="30"/>
  <c r="J1502" i="30"/>
  <c r="H1501" i="30"/>
  <c r="I1500" i="30" s="1"/>
  <c r="G1397" i="30"/>
  <c r="H1397" i="30" s="1"/>
  <c r="I1396" i="30" s="1"/>
  <c r="I1398" i="30" s="1"/>
  <c r="H1395" i="30"/>
  <c r="H1394" i="30"/>
  <c r="F1392" i="30"/>
  <c r="H1392" i="30" s="1"/>
  <c r="F1389" i="30"/>
  <c r="E1389" i="30"/>
  <c r="F1388" i="30"/>
  <c r="E1388" i="30"/>
  <c r="F1386" i="30"/>
  <c r="H1386" i="30" s="1"/>
  <c r="H1384" i="30"/>
  <c r="E1381" i="30"/>
  <c r="H1381" i="30" s="1"/>
  <c r="E1380" i="30"/>
  <c r="H1380" i="30" s="1"/>
  <c r="H1376" i="30"/>
  <c r="I1375" i="30" s="1"/>
  <c r="H1373" i="30"/>
  <c r="I1372" i="30" s="1"/>
  <c r="G1367" i="30"/>
  <c r="H1367" i="30" s="1"/>
  <c r="I1366" i="30" s="1"/>
  <c r="H1362" i="30"/>
  <c r="E1359" i="30"/>
  <c r="H1359" i="30" s="1"/>
  <c r="E1358" i="30"/>
  <c r="H1358" i="30" s="1"/>
  <c r="H1356" i="30"/>
  <c r="H1418" i="30"/>
  <c r="H1417" i="30"/>
  <c r="H1416" i="30"/>
  <c r="H1412" i="30"/>
  <c r="I1410" i="30" s="1"/>
  <c r="G1299" i="30"/>
  <c r="H1299" i="30" s="1"/>
  <c r="G1298" i="30"/>
  <c r="H1298" i="30" s="1"/>
  <c r="H1296" i="30"/>
  <c r="H1295" i="30"/>
  <c r="H1294" i="30"/>
  <c r="H1293" i="30"/>
  <c r="F1291" i="30"/>
  <c r="E1291" i="30"/>
  <c r="F1290" i="30"/>
  <c r="H1290" i="30" s="1"/>
  <c r="F1288" i="30"/>
  <c r="E1288" i="30"/>
  <c r="G1286" i="30"/>
  <c r="H1286" i="30" s="1"/>
  <c r="I1285" i="30" s="1"/>
  <c r="H1284" i="30"/>
  <c r="H1283" i="30"/>
  <c r="G1279" i="30"/>
  <c r="H1279" i="30" s="1"/>
  <c r="I1278" i="30" s="1"/>
  <c r="G1276" i="30"/>
  <c r="H1276" i="30" s="1"/>
  <c r="I1275" i="30" s="1"/>
  <c r="H1271" i="30"/>
  <c r="H1270" i="30"/>
  <c r="H1324" i="30"/>
  <c r="H1323" i="30"/>
  <c r="H1321" i="30"/>
  <c r="I1320" i="30" s="1"/>
  <c r="H1318" i="30"/>
  <c r="G1317" i="30"/>
  <c r="H1317" i="30" s="1"/>
  <c r="H1314" i="30"/>
  <c r="G1313" i="30"/>
  <c r="H1313" i="30" s="1"/>
  <c r="H1310" i="30"/>
  <c r="I1309" i="30" s="1"/>
  <c r="H1239" i="30"/>
  <c r="I1238" i="30" s="1"/>
  <c r="H1241" i="30"/>
  <c r="I1240" i="30" s="1"/>
  <c r="H1237" i="30"/>
  <c r="H1236" i="30"/>
  <c r="H1232" i="30"/>
  <c r="G1231" i="30"/>
  <c r="E1231" i="30"/>
  <c r="H1228" i="30"/>
  <c r="I1227" i="30" s="1"/>
  <c r="J1226" i="30"/>
  <c r="J1225" i="30" s="1"/>
  <c r="H1226" i="30"/>
  <c r="I1225" i="30" s="1"/>
  <c r="G1105" i="30"/>
  <c r="G1102" i="30"/>
  <c r="G1099" i="30"/>
  <c r="G1096" i="30"/>
  <c r="H1096" i="30" s="1"/>
  <c r="G1095" i="30"/>
  <c r="H1095" i="30" s="1"/>
  <c r="G1094" i="30"/>
  <c r="H1094" i="30" s="1"/>
  <c r="H1092" i="30"/>
  <c r="H1091" i="30"/>
  <c r="H1090" i="30"/>
  <c r="H1089" i="30"/>
  <c r="H1088" i="30"/>
  <c r="H1087" i="30"/>
  <c r="F1084" i="30"/>
  <c r="H1084" i="30" s="1"/>
  <c r="F1081" i="30"/>
  <c r="H1081" i="30" s="1"/>
  <c r="F1080" i="30"/>
  <c r="H1080" i="30" s="1"/>
  <c r="F1079" i="30"/>
  <c r="E1079" i="30"/>
  <c r="F1076" i="30"/>
  <c r="H1076" i="30" s="1"/>
  <c r="H1074" i="30"/>
  <c r="H1073" i="30"/>
  <c r="H1072" i="30"/>
  <c r="H1071" i="30"/>
  <c r="H1070" i="30"/>
  <c r="E1069" i="30"/>
  <c r="H1069" i="30" s="1"/>
  <c r="H1067" i="30"/>
  <c r="E1063" i="30"/>
  <c r="H1063" i="30" s="1"/>
  <c r="F1060" i="30"/>
  <c r="H1060" i="30" s="1"/>
  <c r="G1057" i="30"/>
  <c r="H1057" i="30" s="1"/>
  <c r="I1056" i="30" s="1"/>
  <c r="G1055" i="30"/>
  <c r="E1055" i="30"/>
  <c r="E1105" i="30" s="1"/>
  <c r="H1053" i="30"/>
  <c r="G1051" i="30"/>
  <c r="E1049" i="30"/>
  <c r="G1047" i="30"/>
  <c r="E1047" i="30"/>
  <c r="E1099" i="30" s="1"/>
  <c r="F1045" i="30"/>
  <c r="H1045" i="30" s="1"/>
  <c r="H1041" i="30"/>
  <c r="H1040" i="30"/>
  <c r="H1039" i="30"/>
  <c r="G1034" i="30"/>
  <c r="H1034" i="30" s="1"/>
  <c r="G1033" i="30"/>
  <c r="H1033" i="30" s="1"/>
  <c r="G1030" i="30"/>
  <c r="H1030" i="30" s="1"/>
  <c r="I1029" i="30" s="1"/>
  <c r="H1025" i="30"/>
  <c r="H1023" i="30"/>
  <c r="H1022" i="30"/>
  <c r="E1021" i="30"/>
  <c r="H1021" i="30" s="1"/>
  <c r="F1018" i="30"/>
  <c r="H1018" i="30" s="1"/>
  <c r="H1017" i="30"/>
  <c r="H1016" i="30"/>
  <c r="H1015" i="30"/>
  <c r="H1014" i="30"/>
  <c r="H1151" i="30"/>
  <c r="I1150" i="30" s="1"/>
  <c r="H1148" i="30"/>
  <c r="I1147" i="30" s="1"/>
  <c r="H1146" i="30"/>
  <c r="I1145" i="30" s="1"/>
  <c r="H1143" i="30"/>
  <c r="I1142" i="30" s="1"/>
  <c r="H1141" i="30"/>
  <c r="H1140" i="30"/>
  <c r="D1138" i="30"/>
  <c r="H1138" i="30" s="1"/>
  <c r="H1137" i="30"/>
  <c r="H1136" i="30"/>
  <c r="H1132" i="30"/>
  <c r="G1131" i="30"/>
  <c r="H1131" i="30" s="1"/>
  <c r="H1129" i="30"/>
  <c r="G1128" i="30"/>
  <c r="E1128" i="30"/>
  <c r="H1127" i="30"/>
  <c r="H1126" i="30"/>
  <c r="H1124" i="30"/>
  <c r="I1123" i="30" s="1"/>
  <c r="H1122" i="30"/>
  <c r="I1121" i="30" s="1"/>
  <c r="H1118" i="30"/>
  <c r="I1117" i="30" s="1"/>
  <c r="J1120" i="30"/>
  <c r="J1119" i="30" s="1"/>
  <c r="H1120" i="30"/>
  <c r="I1119" i="30" s="1"/>
  <c r="G925" i="30"/>
  <c r="G921" i="30"/>
  <c r="G918" i="30"/>
  <c r="G914" i="30"/>
  <c r="H914" i="30" s="1"/>
  <c r="G913" i="30"/>
  <c r="H913" i="30" s="1"/>
  <c r="G912" i="30"/>
  <c r="E912" i="30"/>
  <c r="G911" i="30"/>
  <c r="H911" i="30" s="1"/>
  <c r="G910" i="30"/>
  <c r="H910" i="30" s="1"/>
  <c r="G909" i="30"/>
  <c r="H909" i="30" s="1"/>
  <c r="H907" i="30"/>
  <c r="H906" i="30"/>
  <c r="H905" i="30"/>
  <c r="H904" i="30"/>
  <c r="H903" i="30"/>
  <c r="E902" i="30"/>
  <c r="H902" i="30" s="1"/>
  <c r="H901" i="30"/>
  <c r="H900" i="30"/>
  <c r="H899" i="30"/>
  <c r="H898" i="30"/>
  <c r="H897" i="30"/>
  <c r="H896" i="30"/>
  <c r="H882" i="30"/>
  <c r="E879" i="30"/>
  <c r="H879" i="30" s="1"/>
  <c r="F876" i="30"/>
  <c r="H876" i="30" s="1"/>
  <c r="G868" i="30"/>
  <c r="E868" i="30"/>
  <c r="E925" i="30" s="1"/>
  <c r="H866" i="30"/>
  <c r="G863" i="30"/>
  <c r="E861" i="30"/>
  <c r="G859" i="30"/>
  <c r="E859" i="30"/>
  <c r="E918" i="30" s="1"/>
  <c r="F857" i="30"/>
  <c r="H857" i="30" s="1"/>
  <c r="E854" i="30"/>
  <c r="H854" i="30" s="1"/>
  <c r="H853" i="30"/>
  <c r="H852" i="30"/>
  <c r="H851" i="30"/>
  <c r="H850" i="30"/>
  <c r="H849" i="30"/>
  <c r="F894" i="30"/>
  <c r="H894" i="30" s="1"/>
  <c r="F891" i="30"/>
  <c r="E891" i="30"/>
  <c r="F888" i="30"/>
  <c r="H888" i="30" s="1"/>
  <c r="H886" i="30"/>
  <c r="H885" i="30"/>
  <c r="H884" i="30"/>
  <c r="G873" i="30"/>
  <c r="E873" i="30"/>
  <c r="G872" i="30"/>
  <c r="H872" i="30" s="1"/>
  <c r="G871" i="30"/>
  <c r="H871" i="30" s="1"/>
  <c r="G870" i="30"/>
  <c r="H870" i="30" s="1"/>
  <c r="G845" i="30"/>
  <c r="H845" i="30" s="1"/>
  <c r="G844" i="30"/>
  <c r="H844" i="30" s="1"/>
  <c r="G842" i="30"/>
  <c r="E842" i="30"/>
  <c r="G841" i="30"/>
  <c r="H841" i="30" s="1"/>
  <c r="G840" i="30"/>
  <c r="H840" i="30" s="1"/>
  <c r="G839" i="30"/>
  <c r="H839" i="30" s="1"/>
  <c r="H834" i="30"/>
  <c r="E831" i="30"/>
  <c r="H831" i="30" s="1"/>
  <c r="F828" i="30"/>
  <c r="H828" i="30" s="1"/>
  <c r="H827" i="30"/>
  <c r="H826" i="30"/>
  <c r="H825" i="30"/>
  <c r="E824" i="30"/>
  <c r="H824" i="30" s="1"/>
  <c r="H823" i="30"/>
  <c r="H822" i="30"/>
  <c r="H821" i="30"/>
  <c r="H987" i="30"/>
  <c r="I986" i="30" s="1"/>
  <c r="H985" i="30"/>
  <c r="I984" i="30" s="1"/>
  <c r="H982" i="30"/>
  <c r="I981" i="30" s="1"/>
  <c r="H980" i="30"/>
  <c r="I979" i="30" s="1"/>
  <c r="H973" i="30"/>
  <c r="H972" i="30"/>
  <c r="H971" i="30"/>
  <c r="H967" i="30"/>
  <c r="G966" i="30"/>
  <c r="E966" i="30"/>
  <c r="H965" i="30"/>
  <c r="G964" i="30"/>
  <c r="H964" i="30" s="1"/>
  <c r="H963" i="30"/>
  <c r="G962" i="30"/>
  <c r="H962" i="30" s="1"/>
  <c r="H961" i="30"/>
  <c r="G960" i="30"/>
  <c r="H960" i="30" s="1"/>
  <c r="H958" i="30"/>
  <c r="G957" i="30"/>
  <c r="H957" i="30" s="1"/>
  <c r="H956" i="30"/>
  <c r="G955" i="30"/>
  <c r="E955" i="30"/>
  <c r="H953" i="30"/>
  <c r="H952" i="30"/>
  <c r="H946" i="30"/>
  <c r="H945" i="30"/>
  <c r="E943" i="30"/>
  <c r="G943" i="30" s="1"/>
  <c r="D942" i="30"/>
  <c r="G942" i="30" s="1"/>
  <c r="E940" i="30"/>
  <c r="H940" i="30" s="1"/>
  <c r="E950" i="30"/>
  <c r="H950" i="30" s="1"/>
  <c r="I949" i="30" s="1"/>
  <c r="J948" i="30"/>
  <c r="J947" i="30" s="1"/>
  <c r="H948" i="30"/>
  <c r="I947" i="30" s="1"/>
  <c r="G701" i="30"/>
  <c r="G698" i="30"/>
  <c r="G695" i="30"/>
  <c r="G692" i="30"/>
  <c r="H692" i="30" s="1"/>
  <c r="G691" i="30"/>
  <c r="D691" i="30"/>
  <c r="G690" i="30"/>
  <c r="D690" i="30"/>
  <c r="G689" i="30"/>
  <c r="H689" i="30" s="1"/>
  <c r="G688" i="30"/>
  <c r="H688" i="30" s="1"/>
  <c r="G687" i="30"/>
  <c r="H687" i="30" s="1"/>
  <c r="G686" i="30"/>
  <c r="H686" i="30" s="1"/>
  <c r="G685" i="30"/>
  <c r="H685" i="30" s="1"/>
  <c r="G684" i="30"/>
  <c r="E684" i="30"/>
  <c r="G683" i="30"/>
  <c r="H683" i="30" s="1"/>
  <c r="H681" i="30"/>
  <c r="I679" i="30" s="1"/>
  <c r="H678" i="30"/>
  <c r="H677" i="30"/>
  <c r="H676" i="30"/>
  <c r="H675" i="30"/>
  <c r="H674" i="30"/>
  <c r="H673" i="30"/>
  <c r="H672" i="30"/>
  <c r="H671" i="30"/>
  <c r="H670" i="30"/>
  <c r="H669" i="30"/>
  <c r="H668" i="30"/>
  <c r="H667" i="30"/>
  <c r="H666" i="30"/>
  <c r="H665" i="30"/>
  <c r="H664" i="30"/>
  <c r="H663" i="30"/>
  <c r="H662" i="30"/>
  <c r="E661" i="30"/>
  <c r="H661" i="30" s="1"/>
  <c r="H660" i="30"/>
  <c r="H659" i="30"/>
  <c r="F657" i="30"/>
  <c r="H657" i="30" s="1"/>
  <c r="F656" i="30"/>
  <c r="H656" i="30" s="1"/>
  <c r="F654" i="30"/>
  <c r="H654" i="30" s="1"/>
  <c r="H653" i="30"/>
  <c r="H652" i="30"/>
  <c r="E651" i="30"/>
  <c r="H651" i="30" s="1"/>
  <c r="H649" i="30"/>
  <c r="H648" i="30"/>
  <c r="E647" i="30"/>
  <c r="H647" i="30" s="1"/>
  <c r="H645" i="30"/>
  <c r="H642" i="30"/>
  <c r="H641" i="30"/>
  <c r="F638" i="30"/>
  <c r="H638" i="30" s="1"/>
  <c r="H635" i="30"/>
  <c r="E634" i="30"/>
  <c r="G631" i="30"/>
  <c r="E631" i="30"/>
  <c r="G630" i="30"/>
  <c r="H630" i="30" s="1"/>
  <c r="G628" i="30"/>
  <c r="E628" i="30"/>
  <c r="E701" i="30" s="1"/>
  <c r="H626" i="30"/>
  <c r="H625" i="30"/>
  <c r="G623" i="30"/>
  <c r="E623" i="30"/>
  <c r="E698" i="30" s="1"/>
  <c r="F621" i="30"/>
  <c r="H621" i="30" s="1"/>
  <c r="G619" i="30"/>
  <c r="H617" i="30"/>
  <c r="E616" i="30"/>
  <c r="E619" i="30" s="1"/>
  <c r="H613" i="30"/>
  <c r="H612" i="30"/>
  <c r="H611" i="30"/>
  <c r="H610" i="30"/>
  <c r="H609" i="30"/>
  <c r="H608" i="30"/>
  <c r="H607" i="30"/>
  <c r="H606" i="30"/>
  <c r="E605" i="30"/>
  <c r="H605" i="30" s="1"/>
  <c r="H604" i="30"/>
  <c r="G600" i="30"/>
  <c r="H600" i="30" s="1"/>
  <c r="G599" i="30"/>
  <c r="H599" i="30" s="1"/>
  <c r="G598" i="30"/>
  <c r="H598" i="30" s="1"/>
  <c r="G597" i="30"/>
  <c r="H597" i="30" s="1"/>
  <c r="G596" i="30"/>
  <c r="H596" i="30" s="1"/>
  <c r="G595" i="30"/>
  <c r="H595" i="30" s="1"/>
  <c r="G594" i="30"/>
  <c r="H594" i="30" s="1"/>
  <c r="G593" i="30"/>
  <c r="H593" i="30" s="1"/>
  <c r="G591" i="30"/>
  <c r="E591" i="30"/>
  <c r="G590" i="30"/>
  <c r="H590" i="30" s="1"/>
  <c r="H567" i="30"/>
  <c r="H566" i="30"/>
  <c r="F563" i="30"/>
  <c r="H563" i="30" s="1"/>
  <c r="H562" i="30"/>
  <c r="H561" i="30"/>
  <c r="H560" i="30"/>
  <c r="E559" i="30"/>
  <c r="E557" i="30"/>
  <c r="H557" i="30" s="1"/>
  <c r="H556" i="30"/>
  <c r="H555" i="30"/>
  <c r="H554" i="30"/>
  <c r="H553" i="30"/>
  <c r="H552" i="30"/>
  <c r="H551" i="30"/>
  <c r="H550" i="30"/>
  <c r="H549" i="30"/>
  <c r="H548" i="30"/>
  <c r="E547" i="30"/>
  <c r="H547" i="30" s="1"/>
  <c r="H546" i="30"/>
  <c r="H586" i="30"/>
  <c r="F585" i="30"/>
  <c r="H585" i="30" s="1"/>
  <c r="H580" i="30"/>
  <c r="I580" i="30" s="1"/>
  <c r="H575" i="30"/>
  <c r="I574" i="30" s="1"/>
  <c r="I578" i="30" s="1"/>
  <c r="F572" i="30"/>
  <c r="H572" i="30" s="1"/>
  <c r="I571" i="30" s="1"/>
  <c r="H782" i="30"/>
  <c r="I781" i="30" s="1"/>
  <c r="H780" i="30"/>
  <c r="H779" i="30"/>
  <c r="H778" i="30"/>
  <c r="D777" i="30"/>
  <c r="H777" i="30" s="1"/>
  <c r="H773" i="30"/>
  <c r="G772" i="30"/>
  <c r="E772" i="30"/>
  <c r="H771" i="30"/>
  <c r="G770" i="30"/>
  <c r="H770" i="30" s="1"/>
  <c r="H768" i="30"/>
  <c r="G767" i="30"/>
  <c r="H766" i="30"/>
  <c r="G765" i="30"/>
  <c r="E765" i="30"/>
  <c r="H764" i="30"/>
  <c r="G763" i="30"/>
  <c r="E763" i="30"/>
  <c r="H762" i="30"/>
  <c r="G761" i="30"/>
  <c r="E761" i="30"/>
  <c r="H760" i="30"/>
  <c r="G759" i="30"/>
  <c r="E759" i="30"/>
  <c r="H758" i="30"/>
  <c r="G757" i="30"/>
  <c r="E757" i="30"/>
  <c r="H756" i="30"/>
  <c r="G755" i="30"/>
  <c r="E755" i="30"/>
  <c r="H754" i="30"/>
  <c r="H740" i="30"/>
  <c r="I739" i="30" s="1"/>
  <c r="J739" i="30"/>
  <c r="H749" i="30"/>
  <c r="H748" i="30"/>
  <c r="H747" i="30"/>
  <c r="H746" i="30"/>
  <c r="H751" i="30"/>
  <c r="I750" i="30" s="1"/>
  <c r="H744" i="30"/>
  <c r="H743" i="30"/>
  <c r="H742" i="30"/>
  <c r="H735" i="30"/>
  <c r="I734" i="30" s="1"/>
  <c r="H733" i="30"/>
  <c r="I732" i="30" s="1"/>
  <c r="H731" i="30"/>
  <c r="H730" i="30"/>
  <c r="H729" i="30"/>
  <c r="H727" i="30"/>
  <c r="H726" i="30"/>
  <c r="H725" i="30"/>
  <c r="H738" i="30"/>
  <c r="E737" i="30"/>
  <c r="H737" i="30" s="1"/>
  <c r="G478" i="30"/>
  <c r="G475" i="30"/>
  <c r="G473" i="30"/>
  <c r="H473" i="30" s="1"/>
  <c r="G472" i="30"/>
  <c r="H472" i="30" s="1"/>
  <c r="H470" i="30"/>
  <c r="H469" i="30"/>
  <c r="F467" i="30"/>
  <c r="H467" i="30" s="1"/>
  <c r="E464" i="30"/>
  <c r="H464" i="30" s="1"/>
  <c r="H462" i="30"/>
  <c r="H461" i="30"/>
  <c r="H460" i="30"/>
  <c r="F458" i="30"/>
  <c r="H458" i="30" s="1"/>
  <c r="G456" i="30"/>
  <c r="E456" i="30"/>
  <c r="G451" i="30"/>
  <c r="E451" i="30"/>
  <c r="E478" i="30" s="1"/>
  <c r="F449" i="30"/>
  <c r="H449" i="30" s="1"/>
  <c r="G447" i="30"/>
  <c r="G445" i="30"/>
  <c r="E445" i="30"/>
  <c r="E447" i="30" s="1"/>
  <c r="H442" i="30"/>
  <c r="I441" i="30" s="1"/>
  <c r="G437" i="30"/>
  <c r="H437" i="30" s="1"/>
  <c r="I436" i="30" s="1"/>
  <c r="F429" i="30"/>
  <c r="H429" i="30" s="1"/>
  <c r="E427" i="30"/>
  <c r="H427" i="30" s="1"/>
  <c r="H425" i="30"/>
  <c r="H501" i="30"/>
  <c r="H500" i="30"/>
  <c r="H499" i="30"/>
  <c r="H496" i="30"/>
  <c r="G495" i="30"/>
  <c r="H495" i="30" s="1"/>
  <c r="H489" i="30"/>
  <c r="I488" i="30" s="1"/>
  <c r="H493" i="30"/>
  <c r="I492" i="30" s="1"/>
  <c r="E491" i="30"/>
  <c r="H491" i="30" s="1"/>
  <c r="I490" i="30" s="1"/>
  <c r="G350" i="30"/>
  <c r="G347" i="30"/>
  <c r="H347" i="30" s="1"/>
  <c r="G346" i="30"/>
  <c r="H346" i="30" s="1"/>
  <c r="G345" i="30"/>
  <c r="H345" i="30" s="1"/>
  <c r="H344" i="30"/>
  <c r="F331" i="30"/>
  <c r="E331" i="30"/>
  <c r="H329" i="30"/>
  <c r="E323" i="30"/>
  <c r="H323" i="30" s="1"/>
  <c r="I321" i="30" s="1"/>
  <c r="G320" i="30"/>
  <c r="H320" i="30" s="1"/>
  <c r="I319" i="30" s="1"/>
  <c r="G316" i="30"/>
  <c r="E314" i="30"/>
  <c r="H310" i="30"/>
  <c r="H309" i="30"/>
  <c r="H308" i="30"/>
  <c r="H307" i="30"/>
  <c r="G302" i="30"/>
  <c r="H302" i="30" s="1"/>
  <c r="G301" i="30"/>
  <c r="H301" i="30" s="1"/>
  <c r="G300" i="30"/>
  <c r="H300" i="30" s="1"/>
  <c r="G297" i="30"/>
  <c r="H297" i="30" s="1"/>
  <c r="I296" i="30" s="1"/>
  <c r="H342" i="30"/>
  <c r="H341" i="30"/>
  <c r="H340" i="30"/>
  <c r="H339" i="30"/>
  <c r="H338" i="30"/>
  <c r="H337" i="30"/>
  <c r="H336" i="30"/>
  <c r="H335" i="30"/>
  <c r="F291" i="30"/>
  <c r="E291" i="30"/>
  <c r="E350" i="30" s="1"/>
  <c r="H289" i="30"/>
  <c r="H288" i="30"/>
  <c r="H287" i="30"/>
  <c r="H286" i="30"/>
  <c r="H394" i="30"/>
  <c r="I393" i="30" s="1"/>
  <c r="H391" i="30"/>
  <c r="I390" i="30" s="1"/>
  <c r="D388" i="30"/>
  <c r="H388" i="30" s="1"/>
  <c r="I387" i="30" s="1"/>
  <c r="H384" i="30"/>
  <c r="G383" i="30"/>
  <c r="H383" i="30" s="1"/>
  <c r="H381" i="30"/>
  <c r="G380" i="30"/>
  <c r="H380" i="30" s="1"/>
  <c r="H379" i="30"/>
  <c r="G378" i="30"/>
  <c r="H378" i="30" s="1"/>
  <c r="H377" i="30"/>
  <c r="G376" i="30"/>
  <c r="H376" i="30" s="1"/>
  <c r="H372" i="30"/>
  <c r="H371" i="30"/>
  <c r="H370" i="30"/>
  <c r="H366" i="30"/>
  <c r="H365" i="30"/>
  <c r="E368" i="30"/>
  <c r="H368" i="30" s="1"/>
  <c r="H238" i="30"/>
  <c r="I237" i="30" s="1"/>
  <c r="H235" i="30"/>
  <c r="I234" i="30" s="1"/>
  <c r="H232" i="30"/>
  <c r="I231" i="30" s="1"/>
  <c r="H229" i="30"/>
  <c r="I228" i="30" s="1"/>
  <c r="H227" i="30"/>
  <c r="I226" i="30" s="1"/>
  <c r="H224" i="30"/>
  <c r="H223" i="30"/>
  <c r="H222" i="30"/>
  <c r="H221" i="30"/>
  <c r="H220" i="30"/>
  <c r="H216" i="30"/>
  <c r="G215" i="30"/>
  <c r="H215" i="30" s="1"/>
  <c r="H214" i="30"/>
  <c r="G213" i="30"/>
  <c r="H213" i="30" s="1"/>
  <c r="E208" i="30"/>
  <c r="H208" i="30" s="1"/>
  <c r="E207" i="30"/>
  <c r="H207" i="30" s="1"/>
  <c r="E205" i="30"/>
  <c r="H205" i="30" s="1"/>
  <c r="I204" i="30" s="1"/>
  <c r="H211" i="30"/>
  <c r="H210" i="30"/>
  <c r="G191" i="30"/>
  <c r="G188" i="30"/>
  <c r="H188" i="30" s="1"/>
  <c r="G187" i="30"/>
  <c r="H187" i="30" s="1"/>
  <c r="H183" i="30"/>
  <c r="H182" i="30"/>
  <c r="H181" i="30"/>
  <c r="H180" i="30"/>
  <c r="F176" i="30"/>
  <c r="E176" i="30"/>
  <c r="F175" i="30"/>
  <c r="E175" i="30"/>
  <c r="E172" i="30"/>
  <c r="H172" i="30" s="1"/>
  <c r="F170" i="30"/>
  <c r="E170" i="30"/>
  <c r="F169" i="30"/>
  <c r="E169" i="30"/>
  <c r="F168" i="30"/>
  <c r="H168" i="30" s="1"/>
  <c r="F167" i="30"/>
  <c r="E167" i="30"/>
  <c r="E162" i="30"/>
  <c r="H162" i="30" s="1"/>
  <c r="E161" i="30"/>
  <c r="H161" i="30" s="1"/>
  <c r="G155" i="30"/>
  <c r="E153" i="30"/>
  <c r="H153" i="30" s="1"/>
  <c r="E152" i="30"/>
  <c r="H152" i="30" s="1"/>
  <c r="H148" i="30"/>
  <c r="H147" i="30"/>
  <c r="G143" i="30"/>
  <c r="H143" i="30" s="1"/>
  <c r="G142" i="30"/>
  <c r="H142" i="30" s="1"/>
  <c r="E122" i="30"/>
  <c r="H122" i="30" s="1"/>
  <c r="E121" i="30"/>
  <c r="H121" i="30" s="1"/>
  <c r="H119" i="30"/>
  <c r="H118" i="30"/>
  <c r="AG100" i="30"/>
  <c r="AF100" i="30"/>
  <c r="AE100" i="30"/>
  <c r="AB100" i="30" s="1"/>
  <c r="AD100" i="30"/>
  <c r="AC100" i="30"/>
  <c r="AA100" i="30"/>
  <c r="Z100" i="30"/>
  <c r="Y100" i="30"/>
  <c r="AC96" i="30"/>
  <c r="Z93" i="30"/>
  <c r="AC93" i="30" s="1"/>
  <c r="AC91" i="30"/>
  <c r="AC90" i="30"/>
  <c r="B90" i="30"/>
  <c r="B89" i="30"/>
  <c r="B88" i="30"/>
  <c r="AC87" i="30"/>
  <c r="B87" i="30"/>
  <c r="AC86" i="30"/>
  <c r="B86" i="30"/>
  <c r="AC85" i="30"/>
  <c r="B85" i="30"/>
  <c r="AC84" i="30"/>
  <c r="B84" i="30"/>
  <c r="Z83" i="30"/>
  <c r="AC83" i="30" s="1"/>
  <c r="B83" i="30"/>
  <c r="B80" i="30"/>
  <c r="B79" i="30"/>
  <c r="B77" i="30"/>
  <c r="AC76" i="30"/>
  <c r="AA76" i="30"/>
  <c r="Z76" i="30"/>
  <c r="S71" i="30"/>
  <c r="B70" i="30"/>
  <c r="S69" i="30"/>
  <c r="S68" i="30"/>
  <c r="S67" i="30"/>
  <c r="B67" i="30"/>
  <c r="S66" i="30"/>
  <c r="B66" i="30"/>
  <c r="B65" i="30"/>
  <c r="B62" i="30"/>
  <c r="S61" i="30"/>
  <c r="B61" i="30"/>
  <c r="S60" i="30"/>
  <c r="B59" i="30"/>
  <c r="S58" i="30"/>
  <c r="B58" i="30"/>
  <c r="S57" i="30"/>
  <c r="B57" i="30"/>
  <c r="S56" i="30"/>
  <c r="B56" i="30"/>
  <c r="S55" i="30"/>
  <c r="B55" i="30"/>
  <c r="B54" i="30"/>
  <c r="AB53" i="30"/>
  <c r="AA53" i="30"/>
  <c r="Z53" i="30"/>
  <c r="Y53" i="30"/>
  <c r="S53" i="30"/>
  <c r="S52" i="30"/>
  <c r="B18" i="30"/>
  <c r="H1126" i="29"/>
  <c r="I1125" i="29" s="1"/>
  <c r="J1125" i="29"/>
  <c r="H1124" i="29"/>
  <c r="I1123" i="29" s="1"/>
  <c r="J1123" i="29"/>
  <c r="H1122" i="29"/>
  <c r="I1121" i="29" s="1"/>
  <c r="J1121" i="29"/>
  <c r="H1120" i="29"/>
  <c r="H1119" i="29"/>
  <c r="H1118" i="29"/>
  <c r="J1117" i="29"/>
  <c r="H1116" i="29"/>
  <c r="H1115" i="29"/>
  <c r="J1114" i="29"/>
  <c r="H1111" i="29"/>
  <c r="I1110" i="29" s="1"/>
  <c r="J1110" i="29"/>
  <c r="H1109" i="29"/>
  <c r="I1108" i="29" s="1"/>
  <c r="J1108" i="29"/>
  <c r="H1107" i="29"/>
  <c r="I1106" i="29" s="1"/>
  <c r="J1106" i="29"/>
  <c r="J1105" i="29"/>
  <c r="J1104" i="29" s="1"/>
  <c r="H1105" i="29"/>
  <c r="I1104" i="29" s="1"/>
  <c r="E1102" i="29"/>
  <c r="J1102" i="29" s="1"/>
  <c r="J1101" i="29" s="1"/>
  <c r="J1100" i="29"/>
  <c r="J1099" i="29" s="1"/>
  <c r="H1100" i="29"/>
  <c r="I1099" i="29" s="1"/>
  <c r="J1097" i="29"/>
  <c r="J1095" i="29" s="1"/>
  <c r="H1097" i="29"/>
  <c r="J1096" i="29"/>
  <c r="H1096" i="29"/>
  <c r="J1094" i="29"/>
  <c r="J1093" i="29" s="1"/>
  <c r="H1094" i="29"/>
  <c r="I1093" i="29" s="1"/>
  <c r="J1092" i="29"/>
  <c r="H1092" i="29"/>
  <c r="J1091" i="29"/>
  <c r="H1091" i="29"/>
  <c r="J1090" i="29"/>
  <c r="J1089" i="29" s="1"/>
  <c r="H1090" i="29"/>
  <c r="J1088" i="29"/>
  <c r="J1087" i="29" s="1"/>
  <c r="H1088" i="29"/>
  <c r="I1087" i="29" s="1"/>
  <c r="J1086" i="29"/>
  <c r="H1086" i="29"/>
  <c r="J1085" i="29"/>
  <c r="H1085" i="29"/>
  <c r="J1084" i="29"/>
  <c r="J1083" i="29" s="1"/>
  <c r="H1084" i="29"/>
  <c r="H1082" i="29"/>
  <c r="J1081" i="29"/>
  <c r="J1080" i="29" s="1"/>
  <c r="H1081" i="29"/>
  <c r="H1078" i="29"/>
  <c r="I1077" i="29" s="1"/>
  <c r="J1077" i="29"/>
  <c r="H1076" i="29"/>
  <c r="J1076" i="29" s="1"/>
  <c r="H1075" i="29"/>
  <c r="J1075" i="29" s="1"/>
  <c r="H1074" i="29"/>
  <c r="J1074" i="29" s="1"/>
  <c r="H1073" i="29"/>
  <c r="J1073" i="29" s="1"/>
  <c r="H1072" i="29"/>
  <c r="J1072" i="29" s="1"/>
  <c r="H1071" i="29"/>
  <c r="J1071" i="29" s="1"/>
  <c r="J1070" i="29"/>
  <c r="J1069" i="29" s="1"/>
  <c r="H1033" i="29"/>
  <c r="I1032" i="29" s="1"/>
  <c r="J1032" i="29"/>
  <c r="H1031" i="29"/>
  <c r="I1030" i="29" s="1"/>
  <c r="J1030" i="29"/>
  <c r="H1029" i="29"/>
  <c r="I1028" i="29" s="1"/>
  <c r="J1028" i="29"/>
  <c r="H1027" i="29"/>
  <c r="H1026" i="29"/>
  <c r="H1025" i="29"/>
  <c r="J1024" i="29"/>
  <c r="H1023" i="29"/>
  <c r="I1022" i="29" s="1"/>
  <c r="H1019" i="29"/>
  <c r="I1018" i="29" s="1"/>
  <c r="J1018" i="29"/>
  <c r="H1017" i="29"/>
  <c r="I1016" i="29" s="1"/>
  <c r="J1016" i="29"/>
  <c r="J1015" i="29"/>
  <c r="J1014" i="29" s="1"/>
  <c r="H1015" i="29"/>
  <c r="I1014" i="29" s="1"/>
  <c r="J1013" i="29"/>
  <c r="J1012" i="29" s="1"/>
  <c r="H1013" i="29"/>
  <c r="I1012" i="29" s="1"/>
  <c r="J1011" i="29"/>
  <c r="J1010" i="29" s="1"/>
  <c r="H1011" i="29"/>
  <c r="I1010" i="29" s="1"/>
  <c r="J1009" i="29"/>
  <c r="J1007" i="29" s="1"/>
  <c r="H1009" i="29"/>
  <c r="J1008" i="29"/>
  <c r="H1008" i="29"/>
  <c r="J1006" i="29"/>
  <c r="J1005" i="29" s="1"/>
  <c r="H1006" i="29"/>
  <c r="I1005" i="29" s="1"/>
  <c r="J1004" i="29"/>
  <c r="J1003" i="29"/>
  <c r="J1002" i="29"/>
  <c r="J1001" i="29" s="1"/>
  <c r="H1002" i="29"/>
  <c r="I1001" i="29" s="1"/>
  <c r="J1000" i="29"/>
  <c r="J999" i="29" s="1"/>
  <c r="H1000" i="29"/>
  <c r="I999" i="29" s="1"/>
  <c r="J998" i="29"/>
  <c r="H998" i="29"/>
  <c r="J997" i="29"/>
  <c r="H997" i="29"/>
  <c r="J996" i="29"/>
  <c r="J995" i="29" s="1"/>
  <c r="H996" i="29"/>
  <c r="H994" i="29"/>
  <c r="J993" i="29"/>
  <c r="J992" i="29" s="1"/>
  <c r="H993" i="29"/>
  <c r="H990" i="29"/>
  <c r="I989" i="29" s="1"/>
  <c r="J989" i="29"/>
  <c r="J988" i="29"/>
  <c r="H988" i="29"/>
  <c r="J987" i="29"/>
  <c r="H987" i="29"/>
  <c r="J986" i="29"/>
  <c r="H986" i="29"/>
  <c r="J985" i="29"/>
  <c r="H985" i="29"/>
  <c r="J984" i="29"/>
  <c r="H984" i="29"/>
  <c r="J983" i="29"/>
  <c r="H983" i="29"/>
  <c r="J982" i="29"/>
  <c r="J981" i="29" s="1"/>
  <c r="H982" i="29"/>
  <c r="H941" i="29"/>
  <c r="I940" i="29" s="1"/>
  <c r="J940" i="29"/>
  <c r="H939" i="29"/>
  <c r="I938" i="29" s="1"/>
  <c r="J938" i="29"/>
  <c r="H937" i="29"/>
  <c r="I936" i="29" s="1"/>
  <c r="J936" i="29"/>
  <c r="H935" i="29"/>
  <c r="H934" i="29"/>
  <c r="H933" i="29"/>
  <c r="J932" i="29"/>
  <c r="H931" i="29"/>
  <c r="I930" i="29" s="1"/>
  <c r="H927" i="29"/>
  <c r="I926" i="29" s="1"/>
  <c r="J926" i="29"/>
  <c r="H925" i="29"/>
  <c r="I924" i="29" s="1"/>
  <c r="J924" i="29"/>
  <c r="J923" i="29"/>
  <c r="J922" i="29" s="1"/>
  <c r="H923" i="29"/>
  <c r="I922" i="29" s="1"/>
  <c r="J921" i="29"/>
  <c r="J920" i="29" s="1"/>
  <c r="H921" i="29"/>
  <c r="I920" i="29" s="1"/>
  <c r="J919" i="29"/>
  <c r="J918" i="29" s="1"/>
  <c r="H919" i="29"/>
  <c r="I918" i="29" s="1"/>
  <c r="J917" i="29"/>
  <c r="J915" i="29" s="1"/>
  <c r="H917" i="29"/>
  <c r="J916" i="29"/>
  <c r="H916" i="29"/>
  <c r="J914" i="29"/>
  <c r="J913" i="29" s="1"/>
  <c r="H914" i="29"/>
  <c r="I913" i="29" s="1"/>
  <c r="J912" i="29"/>
  <c r="H912" i="29"/>
  <c r="J911" i="29"/>
  <c r="H911" i="29"/>
  <c r="J910" i="29"/>
  <c r="J909" i="29" s="1"/>
  <c r="H910" i="29"/>
  <c r="J908" i="29"/>
  <c r="J907" i="29" s="1"/>
  <c r="H908" i="29"/>
  <c r="I907" i="29" s="1"/>
  <c r="J906" i="29"/>
  <c r="J905" i="29"/>
  <c r="J904" i="29" s="1"/>
  <c r="I904" i="29"/>
  <c r="H903" i="29"/>
  <c r="J902" i="29"/>
  <c r="J901" i="29" s="1"/>
  <c r="H902" i="29"/>
  <c r="H899" i="29"/>
  <c r="I898" i="29" s="1"/>
  <c r="J898" i="29"/>
  <c r="J897" i="29"/>
  <c r="H897" i="29"/>
  <c r="J896" i="29"/>
  <c r="H896" i="29"/>
  <c r="J895" i="29"/>
  <c r="H895" i="29"/>
  <c r="J894" i="29"/>
  <c r="H894" i="29"/>
  <c r="J893" i="29"/>
  <c r="H893" i="29"/>
  <c r="J892" i="29"/>
  <c r="H892" i="29"/>
  <c r="J891" i="29"/>
  <c r="J890" i="29" s="1"/>
  <c r="H891" i="29"/>
  <c r="H845" i="29"/>
  <c r="I844" i="29" s="1"/>
  <c r="J844" i="29"/>
  <c r="H843" i="29"/>
  <c r="I842" i="29" s="1"/>
  <c r="J842" i="29"/>
  <c r="H841" i="29"/>
  <c r="I840" i="29" s="1"/>
  <c r="J840" i="29"/>
  <c r="H839" i="29"/>
  <c r="H838" i="29"/>
  <c r="H837" i="29"/>
  <c r="J836" i="29"/>
  <c r="H835" i="29"/>
  <c r="I834" i="29" s="1"/>
  <c r="H831" i="29"/>
  <c r="I830" i="29" s="1"/>
  <c r="J830" i="29"/>
  <c r="H829" i="29"/>
  <c r="I828" i="29" s="1"/>
  <c r="J828" i="29"/>
  <c r="J827" i="29"/>
  <c r="J826" i="29" s="1"/>
  <c r="H827" i="29"/>
  <c r="I826" i="29" s="1"/>
  <c r="J825" i="29"/>
  <c r="J824" i="29" s="1"/>
  <c r="H825" i="29"/>
  <c r="I824" i="29" s="1"/>
  <c r="J823" i="29"/>
  <c r="J822" i="29" s="1"/>
  <c r="H823" i="29"/>
  <c r="I822" i="29" s="1"/>
  <c r="H821" i="29"/>
  <c r="H820" i="29"/>
  <c r="J818" i="29"/>
  <c r="J817" i="29" s="1"/>
  <c r="H818" i="29"/>
  <c r="I817" i="29" s="1"/>
  <c r="J816" i="29"/>
  <c r="H816" i="29"/>
  <c r="E815" i="29"/>
  <c r="J815" i="29" s="1"/>
  <c r="J814" i="29" s="1"/>
  <c r="J813" i="29"/>
  <c r="J812" i="29" s="1"/>
  <c r="H813" i="29"/>
  <c r="I812" i="29" s="1"/>
  <c r="J811" i="29"/>
  <c r="H810" i="29"/>
  <c r="E809" i="29"/>
  <c r="H807" i="29"/>
  <c r="J806" i="29"/>
  <c r="J805" i="29" s="1"/>
  <c r="H806" i="29"/>
  <c r="H802" i="29"/>
  <c r="I801" i="29" s="1"/>
  <c r="J801" i="29"/>
  <c r="J800" i="29"/>
  <c r="H800" i="29"/>
  <c r="J799" i="29"/>
  <c r="H799" i="29"/>
  <c r="J798" i="29"/>
  <c r="H798" i="29"/>
  <c r="J797" i="29"/>
  <c r="H797" i="29"/>
  <c r="J796" i="29"/>
  <c r="H796" i="29"/>
  <c r="J795" i="29"/>
  <c r="H795" i="29"/>
  <c r="J794" i="29"/>
  <c r="J793" i="29" s="1"/>
  <c r="H794" i="29"/>
  <c r="H768" i="29"/>
  <c r="I767" i="29" s="1"/>
  <c r="J767" i="29"/>
  <c r="H765" i="29"/>
  <c r="I764" i="29" s="1"/>
  <c r="J764" i="29"/>
  <c r="H763" i="29"/>
  <c r="I762" i="29" s="1"/>
  <c r="J762" i="29"/>
  <c r="H761" i="29"/>
  <c r="H760" i="29"/>
  <c r="H759" i="29"/>
  <c r="J758" i="29"/>
  <c r="H757" i="29"/>
  <c r="I756" i="29" s="1"/>
  <c r="H753" i="29"/>
  <c r="I752" i="29" s="1"/>
  <c r="J752" i="29"/>
  <c r="H751" i="29"/>
  <c r="I750" i="29" s="1"/>
  <c r="J750" i="29"/>
  <c r="J749" i="29"/>
  <c r="J748" i="29" s="1"/>
  <c r="H749" i="29"/>
  <c r="I748" i="29" s="1"/>
  <c r="J747" i="29"/>
  <c r="J746" i="29" s="1"/>
  <c r="H747" i="29"/>
  <c r="I746" i="29" s="1"/>
  <c r="J744" i="29"/>
  <c r="J743" i="29" s="1"/>
  <c r="H744" i="29"/>
  <c r="I743" i="29" s="1"/>
  <c r="J742" i="29"/>
  <c r="J740" i="29" s="1"/>
  <c r="H742" i="29"/>
  <c r="J741" i="29"/>
  <c r="H741" i="29"/>
  <c r="J739" i="29"/>
  <c r="J738" i="29" s="1"/>
  <c r="H739" i="29"/>
  <c r="I738" i="29" s="1"/>
  <c r="J737" i="29"/>
  <c r="J736" i="29" s="1"/>
  <c r="H737" i="29"/>
  <c r="I736" i="29" s="1"/>
  <c r="J735" i="29"/>
  <c r="J734" i="29" s="1"/>
  <c r="H735" i="29"/>
  <c r="I734" i="29" s="1"/>
  <c r="J733" i="29"/>
  <c r="J732" i="29" s="1"/>
  <c r="H733" i="29"/>
  <c r="I732" i="29" s="1"/>
  <c r="H731" i="29"/>
  <c r="J730" i="29"/>
  <c r="J729" i="29" s="1"/>
  <c r="H730" i="29"/>
  <c r="H727" i="29"/>
  <c r="I726" i="29" s="1"/>
  <c r="J726" i="29"/>
  <c r="J725" i="29"/>
  <c r="H725" i="29"/>
  <c r="J724" i="29"/>
  <c r="H724" i="29"/>
  <c r="J723" i="29"/>
  <c r="H723" i="29"/>
  <c r="J722" i="29"/>
  <c r="H722" i="29"/>
  <c r="J721" i="29"/>
  <c r="H721" i="29"/>
  <c r="J720" i="29"/>
  <c r="H720" i="29"/>
  <c r="J719" i="29"/>
  <c r="J718" i="29" s="1"/>
  <c r="H719" i="29"/>
  <c r="H687" i="29"/>
  <c r="I686" i="29" s="1"/>
  <c r="J686" i="29"/>
  <c r="H685" i="29"/>
  <c r="I684" i="29" s="1"/>
  <c r="J684" i="29"/>
  <c r="H683" i="29"/>
  <c r="I682" i="29" s="1"/>
  <c r="J682" i="29"/>
  <c r="H681" i="29"/>
  <c r="H680" i="29"/>
  <c r="H679" i="29"/>
  <c r="J678" i="29"/>
  <c r="H677" i="29"/>
  <c r="I676" i="29" s="1"/>
  <c r="H673" i="29"/>
  <c r="I672" i="29" s="1"/>
  <c r="J672" i="29"/>
  <c r="H671" i="29"/>
  <c r="I670" i="29" s="1"/>
  <c r="J670" i="29"/>
  <c r="J669" i="29"/>
  <c r="J668" i="29" s="1"/>
  <c r="H669" i="29"/>
  <c r="I668" i="29" s="1"/>
  <c r="J667" i="29"/>
  <c r="J666" i="29" s="1"/>
  <c r="H667" i="29"/>
  <c r="I666" i="29" s="1"/>
  <c r="E664" i="29"/>
  <c r="H664" i="29" s="1"/>
  <c r="J663" i="29"/>
  <c r="J662" i="29" s="1"/>
  <c r="H663" i="29"/>
  <c r="I662" i="29" s="1"/>
  <c r="H660" i="29"/>
  <c r="I659" i="29" s="1"/>
  <c r="J659" i="29"/>
  <c r="J658" i="29"/>
  <c r="J657" i="29" s="1"/>
  <c r="H658" i="29"/>
  <c r="I657" i="29" s="1"/>
  <c r="J656" i="29"/>
  <c r="J655" i="29" s="1"/>
  <c r="H656" i="29"/>
  <c r="I655" i="29" s="1"/>
  <c r="J654" i="29"/>
  <c r="H654" i="29"/>
  <c r="J652" i="29"/>
  <c r="J651" i="29" s="1"/>
  <c r="H652" i="29"/>
  <c r="I651" i="29" s="1"/>
  <c r="H650" i="29"/>
  <c r="J649" i="29"/>
  <c r="J648" i="29" s="1"/>
  <c r="H649" i="29"/>
  <c r="H646" i="29"/>
  <c r="I645" i="29" s="1"/>
  <c r="J645" i="29"/>
  <c r="J644" i="29"/>
  <c r="H644" i="29"/>
  <c r="J643" i="29"/>
  <c r="H643" i="29"/>
  <c r="J642" i="29"/>
  <c r="H642" i="29"/>
  <c r="J641" i="29"/>
  <c r="H641" i="29"/>
  <c r="J640" i="29"/>
  <c r="H640" i="29"/>
  <c r="J639" i="29"/>
  <c r="H639" i="29"/>
  <c r="J638" i="29"/>
  <c r="J637" i="29" s="1"/>
  <c r="H638" i="29"/>
  <c r="H609" i="29"/>
  <c r="I608" i="29" s="1"/>
  <c r="J608" i="29"/>
  <c r="H607" i="29"/>
  <c r="I606" i="29" s="1"/>
  <c r="J606" i="29"/>
  <c r="H605" i="29"/>
  <c r="I604" i="29" s="1"/>
  <c r="J604" i="29"/>
  <c r="H603" i="29"/>
  <c r="H602" i="29"/>
  <c r="H601" i="29"/>
  <c r="J600" i="29"/>
  <c r="H599" i="29"/>
  <c r="I598" i="29" s="1"/>
  <c r="J598" i="29"/>
  <c r="H595" i="29"/>
  <c r="I594" i="29" s="1"/>
  <c r="J594" i="29"/>
  <c r="H593" i="29"/>
  <c r="H592" i="29"/>
  <c r="H591" i="29"/>
  <c r="J590" i="29"/>
  <c r="J589" i="29"/>
  <c r="J588" i="29" s="1"/>
  <c r="H589" i="29"/>
  <c r="I588" i="29" s="1"/>
  <c r="J587" i="29"/>
  <c r="J586" i="29" s="1"/>
  <c r="H587" i="29"/>
  <c r="I586" i="29" s="1"/>
  <c r="H584" i="29"/>
  <c r="I583" i="29" s="1"/>
  <c r="J583" i="29"/>
  <c r="J582" i="29"/>
  <c r="J580" i="29" s="1"/>
  <c r="H582" i="29"/>
  <c r="J581" i="29"/>
  <c r="H581" i="29"/>
  <c r="J579" i="29"/>
  <c r="J578" i="29" s="1"/>
  <c r="H579" i="29"/>
  <c r="I578" i="29" s="1"/>
  <c r="J577" i="29"/>
  <c r="J576" i="29" s="1"/>
  <c r="H577" i="29"/>
  <c r="I576" i="29" s="1"/>
  <c r="J575" i="29"/>
  <c r="J574" i="29" s="1"/>
  <c r="H575" i="29"/>
  <c r="I574" i="29" s="1"/>
  <c r="J573" i="29"/>
  <c r="H573" i="29"/>
  <c r="J572" i="29"/>
  <c r="J571" i="29" s="1"/>
  <c r="H572" i="29"/>
  <c r="J570" i="29"/>
  <c r="J569" i="29" s="1"/>
  <c r="H570" i="29"/>
  <c r="I569" i="29" s="1"/>
  <c r="H566" i="29"/>
  <c r="I565" i="29" s="1"/>
  <c r="J565" i="29"/>
  <c r="J564" i="29"/>
  <c r="H564" i="29"/>
  <c r="J563" i="29"/>
  <c r="H563" i="29"/>
  <c r="J562" i="29"/>
  <c r="J561" i="29" s="1"/>
  <c r="H562" i="29"/>
  <c r="H530" i="29"/>
  <c r="I529" i="29" s="1"/>
  <c r="J529" i="29"/>
  <c r="H528" i="29"/>
  <c r="I527" i="29" s="1"/>
  <c r="J527" i="29"/>
  <c r="H526" i="29"/>
  <c r="I525" i="29" s="1"/>
  <c r="J525" i="29"/>
  <c r="H524" i="29"/>
  <c r="H523" i="29"/>
  <c r="H522" i="29"/>
  <c r="J521" i="29"/>
  <c r="H520" i="29"/>
  <c r="I519" i="29" s="1"/>
  <c r="H516" i="29"/>
  <c r="I515" i="29" s="1"/>
  <c r="J515" i="29"/>
  <c r="H514" i="29"/>
  <c r="I513" i="29" s="1"/>
  <c r="J513" i="29"/>
  <c r="J511" i="29"/>
  <c r="J510" i="29" s="1"/>
  <c r="H511" i="29"/>
  <c r="I510" i="29" s="1"/>
  <c r="H508" i="29"/>
  <c r="H507" i="29"/>
  <c r="E506" i="29"/>
  <c r="H506" i="29" s="1"/>
  <c r="J504" i="29"/>
  <c r="J503" i="29" s="1"/>
  <c r="H504" i="29"/>
  <c r="I503" i="29" s="1"/>
  <c r="J501" i="29"/>
  <c r="H502" i="29"/>
  <c r="I501" i="29" s="1"/>
  <c r="J500" i="29"/>
  <c r="J499" i="29" s="1"/>
  <c r="H500" i="29"/>
  <c r="I499" i="29" s="1"/>
  <c r="J498" i="29"/>
  <c r="J497" i="29"/>
  <c r="J496" i="29" s="1"/>
  <c r="I496" i="29"/>
  <c r="J495" i="29"/>
  <c r="J494" i="29" s="1"/>
  <c r="H495" i="29"/>
  <c r="I494" i="29" s="1"/>
  <c r="J492" i="29"/>
  <c r="J493" i="29"/>
  <c r="I492" i="29"/>
  <c r="J490" i="29"/>
  <c r="J489" i="29" s="1"/>
  <c r="H490" i="29"/>
  <c r="I489" i="29" s="1"/>
  <c r="H487" i="29"/>
  <c r="H486" i="29"/>
  <c r="J485" i="29"/>
  <c r="J484" i="29"/>
  <c r="H484" i="29"/>
  <c r="J483" i="29"/>
  <c r="H483" i="29"/>
  <c r="J482" i="29"/>
  <c r="H482" i="29"/>
  <c r="J481" i="29"/>
  <c r="H481" i="29"/>
  <c r="J480" i="29"/>
  <c r="H480" i="29"/>
  <c r="J479" i="29"/>
  <c r="H479" i="29"/>
  <c r="J478" i="29"/>
  <c r="J477" i="29" s="1"/>
  <c r="H478" i="29"/>
  <c r="H445" i="29"/>
  <c r="H444" i="29"/>
  <c r="H443" i="29"/>
  <c r="H442" i="29"/>
  <c r="H441" i="29"/>
  <c r="I440" i="29" s="1"/>
  <c r="J440" i="29"/>
  <c r="H439" i="29"/>
  <c r="I438" i="29" s="1"/>
  <c r="J438" i="29"/>
  <c r="H437" i="29"/>
  <c r="I436" i="29" s="1"/>
  <c r="J436" i="29"/>
  <c r="H435" i="29"/>
  <c r="I434" i="29" s="1"/>
  <c r="J434" i="29"/>
  <c r="H433" i="29"/>
  <c r="I432" i="29" s="1"/>
  <c r="H429" i="29"/>
  <c r="I428" i="29" s="1"/>
  <c r="J428" i="29"/>
  <c r="H427" i="29"/>
  <c r="I426" i="29" s="1"/>
  <c r="J426" i="29"/>
  <c r="J425" i="29"/>
  <c r="J424" i="29" s="1"/>
  <c r="H425" i="29"/>
  <c r="I424" i="29" s="1"/>
  <c r="J422" i="29"/>
  <c r="J421" i="29" s="1"/>
  <c r="H422" i="29"/>
  <c r="I421" i="29" s="1"/>
  <c r="J420" i="29"/>
  <c r="J419" i="29" s="1"/>
  <c r="H420" i="29"/>
  <c r="I419" i="29" s="1"/>
  <c r="J417" i="29"/>
  <c r="J415" i="29" s="1"/>
  <c r="H417" i="29"/>
  <c r="J416" i="29"/>
  <c r="H416" i="29"/>
  <c r="J414" i="29"/>
  <c r="H414" i="29"/>
  <c r="H413" i="29"/>
  <c r="H412" i="29"/>
  <c r="J411" i="29"/>
  <c r="J409" i="29"/>
  <c r="J406" i="29"/>
  <c r="H408" i="29"/>
  <c r="J407" i="29"/>
  <c r="H407" i="29"/>
  <c r="J405" i="29"/>
  <c r="J404" i="29" s="1"/>
  <c r="H405" i="29"/>
  <c r="I404" i="29" s="1"/>
  <c r="H401" i="29"/>
  <c r="I400" i="29" s="1"/>
  <c r="J400" i="29"/>
  <c r="J399" i="29"/>
  <c r="H399" i="29"/>
  <c r="I398" i="29" s="1"/>
  <c r="H360" i="29"/>
  <c r="I359" i="29" s="1"/>
  <c r="J359" i="29"/>
  <c r="H358" i="29"/>
  <c r="I357" i="29" s="1"/>
  <c r="J357" i="29"/>
  <c r="H356" i="29"/>
  <c r="I355" i="29" s="1"/>
  <c r="J355" i="29"/>
  <c r="H354" i="29"/>
  <c r="I353" i="29" s="1"/>
  <c r="J353" i="29"/>
  <c r="H352" i="29"/>
  <c r="I350" i="29" s="1"/>
  <c r="H351" i="29"/>
  <c r="H347" i="29"/>
  <c r="I346" i="29" s="1"/>
  <c r="J346" i="29"/>
  <c r="H345" i="29"/>
  <c r="I344" i="29" s="1"/>
  <c r="J344" i="29"/>
  <c r="H342" i="29"/>
  <c r="J341" i="29"/>
  <c r="J340" i="29" s="1"/>
  <c r="H341" i="29"/>
  <c r="J339" i="29"/>
  <c r="J338" i="29" s="1"/>
  <c r="H339" i="29"/>
  <c r="I338" i="29" s="1"/>
  <c r="J337" i="29"/>
  <c r="J336" i="29" s="1"/>
  <c r="H337" i="29"/>
  <c r="I336" i="29" s="1"/>
  <c r="J335" i="29"/>
  <c r="J333" i="29" s="1"/>
  <c r="H335" i="29"/>
  <c r="J334" i="29"/>
  <c r="H334" i="29"/>
  <c r="J332" i="29"/>
  <c r="J331" i="29" s="1"/>
  <c r="H332" i="29"/>
  <c r="I331" i="29" s="1"/>
  <c r="J330" i="29"/>
  <c r="J329" i="29" s="1"/>
  <c r="H330" i="29"/>
  <c r="I329" i="29" s="1"/>
  <c r="J328" i="29"/>
  <c r="J327" i="29" s="1"/>
  <c r="H328" i="29"/>
  <c r="I327" i="29" s="1"/>
  <c r="J326" i="29"/>
  <c r="H326" i="29"/>
  <c r="J325" i="29"/>
  <c r="J324" i="29" s="1"/>
  <c r="H325" i="29"/>
  <c r="J323" i="29"/>
  <c r="J322" i="29" s="1"/>
  <c r="H323" i="29"/>
  <c r="I322" i="29" s="1"/>
  <c r="H319" i="29"/>
  <c r="I318" i="29" s="1"/>
  <c r="J318" i="29"/>
  <c r="J317" i="29"/>
  <c r="J316" i="29" s="1"/>
  <c r="H317" i="29"/>
  <c r="I316" i="29" s="1"/>
  <c r="H277" i="29"/>
  <c r="I276" i="29" s="1"/>
  <c r="J276" i="29"/>
  <c r="H275" i="29"/>
  <c r="I274" i="29" s="1"/>
  <c r="J274" i="29"/>
  <c r="H273" i="29"/>
  <c r="I272" i="29" s="1"/>
  <c r="J272" i="29"/>
  <c r="H271" i="29"/>
  <c r="I270" i="29" s="1"/>
  <c r="J270" i="29"/>
  <c r="H269" i="29"/>
  <c r="I268" i="29" s="1"/>
  <c r="J268" i="29"/>
  <c r="H265" i="29"/>
  <c r="I264" i="29" s="1"/>
  <c r="J264" i="29"/>
  <c r="H263" i="29"/>
  <c r="H262" i="29"/>
  <c r="H261" i="29"/>
  <c r="J260" i="29"/>
  <c r="J259" i="29"/>
  <c r="J258" i="29" s="1"/>
  <c r="H259" i="29"/>
  <c r="I258" i="29" s="1"/>
  <c r="J257" i="29"/>
  <c r="J256" i="29" s="1"/>
  <c r="H257" i="29"/>
  <c r="I256" i="29" s="1"/>
  <c r="J254" i="29"/>
  <c r="J253" i="29" s="1"/>
  <c r="H254" i="29"/>
  <c r="I253" i="29" s="1"/>
  <c r="J252" i="29"/>
  <c r="J250" i="29" s="1"/>
  <c r="H252" i="29"/>
  <c r="J251" i="29"/>
  <c r="H251" i="29"/>
  <c r="J249" i="29"/>
  <c r="J248" i="29" s="1"/>
  <c r="H249" i="29"/>
  <c r="I248" i="29" s="1"/>
  <c r="J247" i="29"/>
  <c r="J246" i="29" s="1"/>
  <c r="H247" i="29"/>
  <c r="I246" i="29" s="1"/>
  <c r="J245" i="29"/>
  <c r="J244" i="29" s="1"/>
  <c r="H245" i="29"/>
  <c r="I244" i="29" s="1"/>
  <c r="J243" i="29"/>
  <c r="H243" i="29"/>
  <c r="J242" i="29"/>
  <c r="J241" i="29" s="1"/>
  <c r="H242" i="29"/>
  <c r="J240" i="29"/>
  <c r="J239" i="29" s="1"/>
  <c r="H240" i="29"/>
  <c r="I239" i="29" s="1"/>
  <c r="H237" i="29"/>
  <c r="H236" i="29"/>
  <c r="J235" i="29"/>
  <c r="H234" i="29"/>
  <c r="I233" i="29" s="1"/>
  <c r="H205" i="29"/>
  <c r="I204" i="29" s="1"/>
  <c r="J204" i="29"/>
  <c r="H203" i="29"/>
  <c r="I202" i="29" s="1"/>
  <c r="J202" i="29"/>
  <c r="H201" i="29"/>
  <c r="I200" i="29" s="1"/>
  <c r="J200" i="29"/>
  <c r="H199" i="29"/>
  <c r="I198" i="29" s="1"/>
  <c r="J198" i="29"/>
  <c r="H197" i="29"/>
  <c r="I196" i="29" s="1"/>
  <c r="J196" i="29"/>
  <c r="H193" i="29"/>
  <c r="I192" i="29" s="1"/>
  <c r="J192" i="29"/>
  <c r="H191" i="29"/>
  <c r="I190" i="29" s="1"/>
  <c r="J188" i="29"/>
  <c r="J187" i="29" s="1"/>
  <c r="H188" i="29"/>
  <c r="I187" i="29" s="1"/>
  <c r="J183" i="29"/>
  <c r="J186" i="29"/>
  <c r="J185" i="29" s="1"/>
  <c r="H186" i="29"/>
  <c r="I185" i="29" s="1"/>
  <c r="H184" i="29"/>
  <c r="I183" i="29" s="1"/>
  <c r="H182" i="29"/>
  <c r="I181" i="29" s="1"/>
  <c r="H180" i="29"/>
  <c r="H179" i="29"/>
  <c r="H178" i="29"/>
  <c r="J177" i="29"/>
  <c r="J176" i="29" s="1"/>
  <c r="H177" i="29"/>
  <c r="J175" i="29"/>
  <c r="J174" i="29" s="1"/>
  <c r="H175" i="29"/>
  <c r="I174" i="29" s="1"/>
  <c r="J173" i="29"/>
  <c r="J172" i="29" s="1"/>
  <c r="H173" i="29"/>
  <c r="I172" i="29" s="1"/>
  <c r="J171" i="29"/>
  <c r="J170" i="29" s="1"/>
  <c r="H171" i="29"/>
  <c r="I170" i="29" s="1"/>
  <c r="J169" i="29"/>
  <c r="J168" i="29" s="1"/>
  <c r="H169" i="29"/>
  <c r="I168" i="29" s="1"/>
  <c r="H166" i="29"/>
  <c r="I165" i="29" s="1"/>
  <c r="J165" i="29"/>
  <c r="J164" i="29"/>
  <c r="J163" i="29" s="1"/>
  <c r="H164" i="29"/>
  <c r="I163" i="29" s="1"/>
  <c r="H118" i="29"/>
  <c r="I117" i="29" s="1"/>
  <c r="J117" i="29"/>
  <c r="H116" i="29"/>
  <c r="I115" i="29" s="1"/>
  <c r="J115" i="29"/>
  <c r="H114" i="29"/>
  <c r="I113" i="29" s="1"/>
  <c r="J113" i="29"/>
  <c r="H112" i="29"/>
  <c r="I111" i="29" s="1"/>
  <c r="H110" i="29"/>
  <c r="H109" i="29"/>
  <c r="J108" i="29"/>
  <c r="H105" i="29"/>
  <c r="H104" i="29"/>
  <c r="J103" i="29"/>
  <c r="H101" i="29"/>
  <c r="H100" i="29"/>
  <c r="H99" i="29"/>
  <c r="H98" i="29"/>
  <c r="H97" i="29"/>
  <c r="H96" i="29"/>
  <c r="J94" i="29"/>
  <c r="J93" i="29" s="1"/>
  <c r="H94" i="29"/>
  <c r="I93" i="29" s="1"/>
  <c r="J92" i="29"/>
  <c r="J91" i="29" s="1"/>
  <c r="H92" i="29"/>
  <c r="I91" i="29" s="1"/>
  <c r="I89" i="29"/>
  <c r="H87" i="29"/>
  <c r="H86" i="29"/>
  <c r="J84" i="29"/>
  <c r="J83" i="29" s="1"/>
  <c r="H84" i="29"/>
  <c r="I83" i="29" s="1"/>
  <c r="H82" i="29"/>
  <c r="I81" i="29" s="1"/>
  <c r="J81" i="29"/>
  <c r="J79" i="29"/>
  <c r="J78" i="29" s="1"/>
  <c r="H79" i="29"/>
  <c r="I78" i="29" s="1"/>
  <c r="H77" i="29"/>
  <c r="I76" i="29" s="1"/>
  <c r="J75" i="29"/>
  <c r="J74" i="29" s="1"/>
  <c r="H75" i="29"/>
  <c r="I74" i="29" s="1"/>
  <c r="H72" i="29"/>
  <c r="I71" i="29" s="1"/>
  <c r="J71" i="29"/>
  <c r="J69" i="29"/>
  <c r="I69" i="29"/>
  <c r="AG52" i="29"/>
  <c r="AC52" i="29" s="1"/>
  <c r="AF52" i="29"/>
  <c r="AE52" i="29"/>
  <c r="AB52" i="29" s="1"/>
  <c r="AD52" i="29"/>
  <c r="AA52" i="29"/>
  <c r="Z52" i="29"/>
  <c r="Y52" i="29"/>
  <c r="AC48" i="29"/>
  <c r="Z45" i="29"/>
  <c r="AC45" i="29" s="1"/>
  <c r="AC43" i="29"/>
  <c r="B42" i="29"/>
  <c r="B41" i="33" s="1"/>
  <c r="AC41" i="29"/>
  <c r="AA41" i="29"/>
  <c r="Z41" i="29"/>
  <c r="B41" i="29"/>
  <c r="B40" i="33" s="1"/>
  <c r="AE40" i="29"/>
  <c r="AD40" i="29"/>
  <c r="B40" i="29"/>
  <c r="B39" i="33" s="1"/>
  <c r="AE39" i="29"/>
  <c r="AD39" i="29"/>
  <c r="B39" i="29"/>
  <c r="B38" i="33" s="1"/>
  <c r="B38" i="29"/>
  <c r="B37" i="33" s="1"/>
  <c r="B37" i="29"/>
  <c r="B36" i="33" s="1"/>
  <c r="S35" i="29"/>
  <c r="B35" i="29"/>
  <c r="B32" i="29"/>
  <c r="B32" i="33" s="1"/>
  <c r="B31" i="29"/>
  <c r="B31" i="33" s="1"/>
  <c r="B29" i="29"/>
  <c r="B29" i="33" s="1"/>
  <c r="B28" i="29"/>
  <c r="B28" i="33" s="1"/>
  <c r="B27" i="29"/>
  <c r="B27" i="33" s="1"/>
  <c r="B26" i="29"/>
  <c r="B26" i="33" s="1"/>
  <c r="B25" i="29"/>
  <c r="B25" i="33" s="1"/>
  <c r="L24" i="29"/>
  <c r="O24" i="29" s="1"/>
  <c r="B24" i="29"/>
  <c r="B24" i="33" s="1"/>
  <c r="B23" i="29"/>
  <c r="B23" i="33" s="1"/>
  <c r="B21" i="29"/>
  <c r="B21" i="33" s="1"/>
  <c r="B20" i="29"/>
  <c r="B20" i="33" s="1"/>
  <c r="B18" i="29"/>
  <c r="H823" i="28"/>
  <c r="I822" i="28" s="1"/>
  <c r="J822" i="28"/>
  <c r="H821" i="28"/>
  <c r="H819" i="28"/>
  <c r="H817" i="28"/>
  <c r="J815" i="28"/>
  <c r="J812" i="28"/>
  <c r="J811" i="28" s="1"/>
  <c r="H812" i="28"/>
  <c r="I811" i="28" s="1"/>
  <c r="J810" i="28"/>
  <c r="J809" i="28" s="1"/>
  <c r="H810" i="28"/>
  <c r="I809" i="28" s="1"/>
  <c r="J808" i="28"/>
  <c r="J807" i="28" s="1"/>
  <c r="H808" i="28"/>
  <c r="I807" i="28" s="1"/>
  <c r="H805" i="28"/>
  <c r="I804" i="28" s="1"/>
  <c r="J804" i="28"/>
  <c r="J803" i="28"/>
  <c r="H803" i="28"/>
  <c r="J802" i="28"/>
  <c r="H802" i="28"/>
  <c r="J801" i="28"/>
  <c r="H801" i="28"/>
  <c r="J800" i="28"/>
  <c r="H800" i="28"/>
  <c r="J799" i="28"/>
  <c r="H799" i="28"/>
  <c r="J798" i="28"/>
  <c r="H798" i="28"/>
  <c r="J797" i="28"/>
  <c r="J796" i="28" s="1"/>
  <c r="H797" i="28"/>
  <c r="J795" i="28"/>
  <c r="H795" i="28"/>
  <c r="J794" i="28"/>
  <c r="J793" i="28" s="1"/>
  <c r="H794" i="28"/>
  <c r="I793" i="28" s="1"/>
  <c r="J792" i="28"/>
  <c r="H792" i="28"/>
  <c r="J791" i="28"/>
  <c r="J790" i="28" s="1"/>
  <c r="H791" i="28"/>
  <c r="I790" i="28" s="1"/>
  <c r="J789" i="28"/>
  <c r="H789" i="28"/>
  <c r="J788" i="28"/>
  <c r="J787" i="28" s="1"/>
  <c r="H788" i="28"/>
  <c r="I787" i="28" s="1"/>
  <c r="H753" i="28"/>
  <c r="I752" i="28" s="1"/>
  <c r="J752" i="28"/>
  <c r="H750" i="28"/>
  <c r="I749" i="28" s="1"/>
  <c r="J746" i="28"/>
  <c r="J745" i="28" s="1"/>
  <c r="H746" i="28"/>
  <c r="I745" i="28" s="1"/>
  <c r="J744" i="28"/>
  <c r="J743" i="28" s="1"/>
  <c r="H744" i="28"/>
  <c r="I743" i="28" s="1"/>
  <c r="J742" i="28"/>
  <c r="J741" i="28" s="1"/>
  <c r="H742" i="28"/>
  <c r="I741" i="28" s="1"/>
  <c r="H739" i="28"/>
  <c r="H738" i="28"/>
  <c r="J737" i="28"/>
  <c r="J736" i="28"/>
  <c r="H736" i="28"/>
  <c r="J735" i="28"/>
  <c r="J734" i="28" s="1"/>
  <c r="H735" i="28"/>
  <c r="J733" i="28"/>
  <c r="H733" i="28"/>
  <c r="J732" i="28"/>
  <c r="J731" i="28" s="1"/>
  <c r="H732" i="28"/>
  <c r="I731" i="28" s="1"/>
  <c r="J730" i="28"/>
  <c r="H730" i="28"/>
  <c r="J729" i="28"/>
  <c r="J728" i="28" s="1"/>
  <c r="H729" i="28"/>
  <c r="J727" i="28"/>
  <c r="H727" i="28"/>
  <c r="J726" i="28"/>
  <c r="J725" i="28" s="1"/>
  <c r="H726" i="28"/>
  <c r="I725" i="28" s="1"/>
  <c r="H690" i="28"/>
  <c r="I689" i="28" s="1"/>
  <c r="J689" i="28"/>
  <c r="H688" i="28"/>
  <c r="H686" i="28"/>
  <c r="H684" i="28"/>
  <c r="J682" i="28"/>
  <c r="J679" i="28"/>
  <c r="J678" i="28" s="1"/>
  <c r="H679" i="28"/>
  <c r="I678" i="28" s="1"/>
  <c r="J677" i="28"/>
  <c r="J676" i="28" s="1"/>
  <c r="H677" i="28"/>
  <c r="I676" i="28" s="1"/>
  <c r="J675" i="28"/>
  <c r="J674" i="28" s="1"/>
  <c r="H675" i="28"/>
  <c r="I674" i="28" s="1"/>
  <c r="J673" i="28"/>
  <c r="J672" i="28"/>
  <c r="J671" i="28" s="1"/>
  <c r="I671" i="28"/>
  <c r="H669" i="28"/>
  <c r="I668" i="28" s="1"/>
  <c r="J668" i="28"/>
  <c r="J667" i="28"/>
  <c r="H667" i="28"/>
  <c r="J666" i="28"/>
  <c r="H666" i="28"/>
  <c r="J665" i="28"/>
  <c r="H665" i="28"/>
  <c r="J664" i="28"/>
  <c r="H664" i="28"/>
  <c r="J663" i="28"/>
  <c r="H663" i="28"/>
  <c r="J662" i="28"/>
  <c r="H662" i="28"/>
  <c r="J661" i="28"/>
  <c r="J660" i="28" s="1"/>
  <c r="H661" i="28"/>
  <c r="J659" i="28"/>
  <c r="H659" i="28"/>
  <c r="J658" i="28"/>
  <c r="J657" i="28" s="1"/>
  <c r="H658" i="28"/>
  <c r="I657" i="28" s="1"/>
  <c r="J656" i="28"/>
  <c r="H656" i="28"/>
  <c r="J655" i="28"/>
  <c r="J654" i="28" s="1"/>
  <c r="H655" i="28"/>
  <c r="J653" i="28"/>
  <c r="H653" i="28"/>
  <c r="J652" i="28"/>
  <c r="J651" i="28" s="1"/>
  <c r="H652" i="28"/>
  <c r="I651" i="28" s="1"/>
  <c r="H622" i="28"/>
  <c r="I621" i="28" s="1"/>
  <c r="J621" i="28"/>
  <c r="H619" i="28"/>
  <c r="I618" i="28" s="1"/>
  <c r="J618" i="28"/>
  <c r="J615" i="28"/>
  <c r="J614" i="28" s="1"/>
  <c r="H615" i="28"/>
  <c r="I614" i="28" s="1"/>
  <c r="J612" i="28"/>
  <c r="H612" i="28"/>
  <c r="I611" i="28" s="1"/>
  <c r="J611" i="28"/>
  <c r="J610" i="28"/>
  <c r="J609" i="28" s="1"/>
  <c r="H610" i="28"/>
  <c r="I609" i="28" s="1"/>
  <c r="H607" i="28"/>
  <c r="I606" i="28" s="1"/>
  <c r="J606" i="28"/>
  <c r="H604" i="28"/>
  <c r="H603" i="28"/>
  <c r="J601" i="28"/>
  <c r="H601" i="28"/>
  <c r="J600" i="28"/>
  <c r="J599" i="28" s="1"/>
  <c r="H600" i="28"/>
  <c r="I599" i="28" s="1"/>
  <c r="J598" i="28"/>
  <c r="H598" i="28"/>
  <c r="J597" i="28"/>
  <c r="J596" i="28" s="1"/>
  <c r="H597" i="28"/>
  <c r="J595" i="28"/>
  <c r="J594" i="28"/>
  <c r="J593" i="28" s="1"/>
  <c r="I593" i="28"/>
  <c r="H565" i="28"/>
  <c r="I564" i="28" s="1"/>
  <c r="J564" i="28"/>
  <c r="H563" i="28"/>
  <c r="I562" i="28" s="1"/>
  <c r="J562" i="28"/>
  <c r="J559" i="28"/>
  <c r="J558" i="28" s="1"/>
  <c r="H559" i="28"/>
  <c r="I558" i="28" s="1"/>
  <c r="J557" i="28"/>
  <c r="J556" i="28" s="1"/>
  <c r="H557" i="28"/>
  <c r="I556" i="28" s="1"/>
  <c r="J555" i="28"/>
  <c r="J554" i="28" s="1"/>
  <c r="H555" i="28"/>
  <c r="I554" i="28" s="1"/>
  <c r="H551" i="28"/>
  <c r="I550" i="28" s="1"/>
  <c r="J550" i="28"/>
  <c r="J549" i="28"/>
  <c r="J548" i="28" s="1"/>
  <c r="H549" i="28"/>
  <c r="I548" i="28" s="1"/>
  <c r="H546" i="28"/>
  <c r="I545" i="28" s="1"/>
  <c r="J544" i="28"/>
  <c r="H544" i="28"/>
  <c r="J543" i="28"/>
  <c r="J542" i="28" s="1"/>
  <c r="H543" i="28"/>
  <c r="I542" i="28" s="1"/>
  <c r="J541" i="28"/>
  <c r="H541" i="28"/>
  <c r="J540" i="28"/>
  <c r="J539" i="28" s="1"/>
  <c r="H540" i="28"/>
  <c r="I539" i="28" s="1"/>
  <c r="J538" i="28"/>
  <c r="H538" i="28"/>
  <c r="J537" i="28"/>
  <c r="J536" i="28" s="1"/>
  <c r="H537" i="28"/>
  <c r="I536" i="28" s="1"/>
  <c r="H507" i="28"/>
  <c r="I506" i="28" s="1"/>
  <c r="J506" i="28"/>
  <c r="J503" i="28"/>
  <c r="I503" i="28"/>
  <c r="J500" i="28"/>
  <c r="J499" i="28" s="1"/>
  <c r="H500" i="28"/>
  <c r="I499" i="28" s="1"/>
  <c r="J498" i="28"/>
  <c r="J497" i="28" s="1"/>
  <c r="H498" i="28"/>
  <c r="I497" i="28" s="1"/>
  <c r="J496" i="28"/>
  <c r="I496" i="28"/>
  <c r="H495" i="28"/>
  <c r="I494" i="28" s="1"/>
  <c r="H492" i="28"/>
  <c r="I491" i="28" s="1"/>
  <c r="J491" i="28"/>
  <c r="J490" i="28"/>
  <c r="J489" i="28" s="1"/>
  <c r="H490" i="28"/>
  <c r="I489" i="28" s="1"/>
  <c r="J487" i="28"/>
  <c r="H487" i="28"/>
  <c r="J486" i="28"/>
  <c r="J485" i="28" s="1"/>
  <c r="H486" i="28"/>
  <c r="I485" i="28" s="1"/>
  <c r="J484" i="28"/>
  <c r="H484" i="28"/>
  <c r="J483" i="28"/>
  <c r="J482" i="28" s="1"/>
  <c r="H483" i="28"/>
  <c r="J481" i="28"/>
  <c r="H481" i="28"/>
  <c r="J480" i="28"/>
  <c r="J479" i="28" s="1"/>
  <c r="H480" i="28"/>
  <c r="I479" i="28" s="1"/>
  <c r="H445" i="28"/>
  <c r="I444" i="28" s="1"/>
  <c r="J444" i="28"/>
  <c r="J441" i="28"/>
  <c r="J438" i="28"/>
  <c r="J437" i="28" s="1"/>
  <c r="H438" i="28"/>
  <c r="I437" i="28" s="1"/>
  <c r="J436" i="28"/>
  <c r="J435" i="28" s="1"/>
  <c r="H436" i="28"/>
  <c r="I435" i="28" s="1"/>
  <c r="J434" i="28"/>
  <c r="J433" i="28" s="1"/>
  <c r="H434" i="28"/>
  <c r="I433" i="28" s="1"/>
  <c r="H430" i="28"/>
  <c r="I429" i="28" s="1"/>
  <c r="J429" i="28"/>
  <c r="J428" i="28"/>
  <c r="H427" i="28"/>
  <c r="J426" i="28"/>
  <c r="J425" i="28" s="1"/>
  <c r="E426" i="28"/>
  <c r="J423" i="28"/>
  <c r="J422" i="28" s="1"/>
  <c r="H423" i="28"/>
  <c r="I422" i="28" s="1"/>
  <c r="J421" i="28"/>
  <c r="H421" i="28"/>
  <c r="J420" i="28"/>
  <c r="J419" i="28" s="1"/>
  <c r="H420" i="28"/>
  <c r="J418" i="28"/>
  <c r="J417" i="28"/>
  <c r="J416" i="28" s="1"/>
  <c r="H417" i="28"/>
  <c r="I416" i="28" s="1"/>
  <c r="H387" i="28"/>
  <c r="H386" i="28"/>
  <c r="J385" i="28"/>
  <c r="H384" i="28"/>
  <c r="H383" i="28"/>
  <c r="J382" i="28"/>
  <c r="J379" i="28"/>
  <c r="J378" i="28" s="1"/>
  <c r="H379" i="28"/>
  <c r="I378" i="28" s="1"/>
  <c r="H377" i="28"/>
  <c r="I376" i="28" s="1"/>
  <c r="J375" i="28"/>
  <c r="H375" i="28"/>
  <c r="I374" i="28" s="1"/>
  <c r="H372" i="28"/>
  <c r="H371" i="28"/>
  <c r="J370" i="28"/>
  <c r="H369" i="28"/>
  <c r="H368" i="28"/>
  <c r="H367" i="28"/>
  <c r="J366" i="28"/>
  <c r="J365" i="28" s="1"/>
  <c r="H366" i="28"/>
  <c r="J363" i="28"/>
  <c r="H363" i="28"/>
  <c r="J362" i="28"/>
  <c r="J361" i="28" s="1"/>
  <c r="H362" i="28"/>
  <c r="J360" i="28"/>
  <c r="H360" i="28"/>
  <c r="J359" i="28"/>
  <c r="J358" i="28" s="1"/>
  <c r="H359" i="28"/>
  <c r="J357" i="28"/>
  <c r="H357" i="28"/>
  <c r="J356" i="28"/>
  <c r="J355" i="28" s="1"/>
  <c r="H356" i="28"/>
  <c r="H330" i="28"/>
  <c r="I329" i="28" s="1"/>
  <c r="J329" i="28"/>
  <c r="H327" i="28"/>
  <c r="H326" i="28"/>
  <c r="J325" i="28"/>
  <c r="J322" i="28"/>
  <c r="J321" i="28" s="1"/>
  <c r="H322" i="28"/>
  <c r="I321" i="28" s="1"/>
  <c r="H320" i="28"/>
  <c r="J319" i="28"/>
  <c r="J318" i="28" s="1"/>
  <c r="H319" i="28"/>
  <c r="J316" i="28"/>
  <c r="H316" i="28"/>
  <c r="I315" i="28" s="1"/>
  <c r="H311" i="28"/>
  <c r="I310" i="28" s="1"/>
  <c r="J310" i="28"/>
  <c r="H307" i="28"/>
  <c r="H306" i="28"/>
  <c r="I305" i="28" s="1"/>
  <c r="J304" i="28"/>
  <c r="H304" i="28"/>
  <c r="J303" i="28"/>
  <c r="J302" i="28" s="1"/>
  <c r="H303" i="28"/>
  <c r="J301" i="28"/>
  <c r="H301" i="28"/>
  <c r="J300" i="28"/>
  <c r="J299" i="28" s="1"/>
  <c r="H300" i="28"/>
  <c r="J298" i="28"/>
  <c r="J297" i="28"/>
  <c r="J296" i="28" s="1"/>
  <c r="H297" i="28"/>
  <c r="I296" i="28" s="1"/>
  <c r="H269" i="28"/>
  <c r="I268" i="28" s="1"/>
  <c r="J268" i="28"/>
  <c r="H266" i="28"/>
  <c r="J265" i="28"/>
  <c r="J262" i="28"/>
  <c r="J261" i="28" s="1"/>
  <c r="H262" i="28"/>
  <c r="I261" i="28" s="1"/>
  <c r="H259" i="28"/>
  <c r="H258" i="28"/>
  <c r="E257" i="28"/>
  <c r="H257" i="28" s="1"/>
  <c r="J256" i="28"/>
  <c r="H256" i="28"/>
  <c r="J253" i="28"/>
  <c r="J252" i="28" s="1"/>
  <c r="H253" i="28"/>
  <c r="I252" i="28" s="1"/>
  <c r="H249" i="28"/>
  <c r="I248" i="28" s="1"/>
  <c r="J248" i="28"/>
  <c r="H246" i="28"/>
  <c r="E245" i="28"/>
  <c r="J243" i="28"/>
  <c r="J242" i="28" s="1"/>
  <c r="H243" i="28"/>
  <c r="I242" i="28" s="1"/>
  <c r="J241" i="28"/>
  <c r="H241" i="28"/>
  <c r="J240" i="28"/>
  <c r="J239" i="28" s="1"/>
  <c r="H240" i="28"/>
  <c r="J238" i="28"/>
  <c r="J237" i="28"/>
  <c r="J236" i="28" s="1"/>
  <c r="H237" i="28"/>
  <c r="I236" i="28" s="1"/>
  <c r="H199" i="28"/>
  <c r="I198" i="28" s="1"/>
  <c r="H196" i="28"/>
  <c r="J195" i="28"/>
  <c r="J192" i="28"/>
  <c r="J191" i="28" s="1"/>
  <c r="H192" i="28"/>
  <c r="I191" i="28" s="1"/>
  <c r="J188" i="28"/>
  <c r="J187" i="28" s="1"/>
  <c r="H188" i="28"/>
  <c r="I187" i="28" s="1"/>
  <c r="J186" i="28"/>
  <c r="J185" i="28" s="1"/>
  <c r="H186" i="28"/>
  <c r="I185" i="28" s="1"/>
  <c r="H183" i="28"/>
  <c r="H182" i="28"/>
  <c r="J181" i="28"/>
  <c r="J176" i="28"/>
  <c r="J175" i="28" s="1"/>
  <c r="H176" i="28"/>
  <c r="I175" i="28" s="1"/>
  <c r="J174" i="28"/>
  <c r="H174" i="28"/>
  <c r="J173" i="28"/>
  <c r="J172" i="28" s="1"/>
  <c r="H173" i="28"/>
  <c r="J171" i="28"/>
  <c r="J170" i="28" s="1"/>
  <c r="H171" i="28"/>
  <c r="I170" i="28" s="1"/>
  <c r="H142" i="28"/>
  <c r="I141" i="28" s="1"/>
  <c r="J141" i="28"/>
  <c r="J139" i="28"/>
  <c r="I139" i="28"/>
  <c r="J136" i="28"/>
  <c r="J135" i="28" s="1"/>
  <c r="H136" i="28"/>
  <c r="I135" i="28" s="1"/>
  <c r="J134" i="28"/>
  <c r="J133" i="28" s="1"/>
  <c r="H134" i="28"/>
  <c r="I133" i="28" s="1"/>
  <c r="H132" i="28"/>
  <c r="I131" i="28" s="1"/>
  <c r="H129" i="28"/>
  <c r="I128" i="28" s="1"/>
  <c r="J127" i="28"/>
  <c r="J126" i="28" s="1"/>
  <c r="H127" i="28"/>
  <c r="I126" i="28" s="1"/>
  <c r="J125" i="28"/>
  <c r="J124" i="28" s="1"/>
  <c r="H125" i="28"/>
  <c r="I124" i="28" s="1"/>
  <c r="J123" i="28"/>
  <c r="H123" i="28"/>
  <c r="J122" i="28"/>
  <c r="J121" i="28" s="1"/>
  <c r="H122" i="28"/>
  <c r="H120" i="28"/>
  <c r="I119" i="28" s="1"/>
  <c r="H87" i="28"/>
  <c r="I86" i="28" s="1"/>
  <c r="H84" i="28"/>
  <c r="J79" i="28"/>
  <c r="H79" i="28"/>
  <c r="I78" i="28" s="1"/>
  <c r="J76" i="28"/>
  <c r="I76" i="28"/>
  <c r="I74" i="28"/>
  <c r="H71" i="28"/>
  <c r="H70" i="28"/>
  <c r="H68" i="28"/>
  <c r="I67" i="28" s="1"/>
  <c r="H83" i="28"/>
  <c r="I65" i="28"/>
  <c r="H63" i="28"/>
  <c r="H62" i="28"/>
  <c r="H60" i="28"/>
  <c r="I59" i="28" s="1"/>
  <c r="AG42" i="28"/>
  <c r="AC42" i="28" s="1"/>
  <c r="AF42" i="28"/>
  <c r="AE42" i="28"/>
  <c r="AB42" i="28" s="1"/>
  <c r="AD42" i="28"/>
  <c r="AA42" i="28"/>
  <c r="Z42" i="28"/>
  <c r="Y42" i="28"/>
  <c r="AC38" i="28"/>
  <c r="Z35" i="28"/>
  <c r="AC35" i="28" s="1"/>
  <c r="AE33" i="28"/>
  <c r="AD33" i="28"/>
  <c r="B33" i="28"/>
  <c r="B33" i="32" s="1"/>
  <c r="AE32" i="28"/>
  <c r="AD32" i="28"/>
  <c r="B32" i="28"/>
  <c r="B32" i="32" s="1"/>
  <c r="B31" i="28"/>
  <c r="B31" i="32" s="1"/>
  <c r="B28" i="28"/>
  <c r="B28" i="32" s="1"/>
  <c r="B27" i="28"/>
  <c r="B27" i="32" s="1"/>
  <c r="B26" i="28"/>
  <c r="B26" i="32" s="1"/>
  <c r="B24" i="28"/>
  <c r="B24" i="32" s="1"/>
  <c r="Q23" i="28"/>
  <c r="B23" i="28"/>
  <c r="B23" i="32" s="1"/>
  <c r="B22" i="28"/>
  <c r="B22" i="32" s="1"/>
  <c r="B21" i="28"/>
  <c r="B21" i="32" s="1"/>
  <c r="B20" i="28"/>
  <c r="B19" i="28"/>
  <c r="B19" i="32" s="1"/>
  <c r="B18" i="28"/>
  <c r="B18" i="32" s="1"/>
  <c r="F3111" i="12"/>
  <c r="F3107" i="12"/>
  <c r="F3108" i="12"/>
  <c r="H3108" i="12" s="1"/>
  <c r="F3106" i="12"/>
  <c r="H3106" i="12" s="1"/>
  <c r="F3104" i="12"/>
  <c r="H3104" i="12" s="1"/>
  <c r="F3102" i="12"/>
  <c r="H3102" i="12" s="1"/>
  <c r="F3100" i="12"/>
  <c r="H3100" i="12" s="1"/>
  <c r="F3099" i="12"/>
  <c r="H3099" i="12" s="1"/>
  <c r="E3111" i="12"/>
  <c r="E3107" i="12"/>
  <c r="H3097" i="12"/>
  <c r="E2828" i="12"/>
  <c r="F2828" i="12"/>
  <c r="F2826" i="12"/>
  <c r="H2826" i="12" s="1"/>
  <c r="F2654" i="12"/>
  <c r="H2654" i="12" s="1"/>
  <c r="F2653" i="12"/>
  <c r="H2653" i="12" s="1"/>
  <c r="F2652" i="12"/>
  <c r="H2652" i="12" s="1"/>
  <c r="F2650" i="12"/>
  <c r="H2650" i="12" s="1"/>
  <c r="F2426" i="12"/>
  <c r="H2426" i="12" s="1"/>
  <c r="E2429" i="12"/>
  <c r="H2429" i="12" s="1"/>
  <c r="E2425" i="12"/>
  <c r="F2427" i="12"/>
  <c r="H2427" i="12" s="1"/>
  <c r="F2425" i="12"/>
  <c r="F2233" i="12"/>
  <c r="H2233" i="12" s="1"/>
  <c r="F2229" i="12"/>
  <c r="F2230" i="12"/>
  <c r="E2230" i="12"/>
  <c r="E2229" i="12"/>
  <c r="F2227" i="12"/>
  <c r="H2227" i="12" s="1"/>
  <c r="F2047" i="12"/>
  <c r="F2046" i="12"/>
  <c r="H2046" i="12" s="1"/>
  <c r="F2044" i="12"/>
  <c r="E2047" i="12"/>
  <c r="E2044" i="12"/>
  <c r="AC127" i="12"/>
  <c r="AA131" i="12"/>
  <c r="AG131" i="12"/>
  <c r="AC131" i="12" s="1"/>
  <c r="AF131" i="12"/>
  <c r="AE131" i="12"/>
  <c r="AB131" i="12" s="1"/>
  <c r="AD131" i="12"/>
  <c r="Z131" i="12"/>
  <c r="Y131" i="12"/>
  <c r="H245" i="28" l="1"/>
  <c r="I244" i="28" s="1"/>
  <c r="K64" i="28"/>
  <c r="I939" i="30"/>
  <c r="B56" i="34"/>
  <c r="B58" i="34"/>
  <c r="B61" i="34"/>
  <c r="B66" i="34"/>
  <c r="B79" i="34"/>
  <c r="B84" i="34"/>
  <c r="B86" i="34"/>
  <c r="B88" i="34"/>
  <c r="B54" i="34"/>
  <c r="B80" i="34"/>
  <c r="B89" i="34"/>
  <c r="B55" i="34"/>
  <c r="B57" i="34"/>
  <c r="B59" i="34"/>
  <c r="B62" i="34"/>
  <c r="B67" i="34"/>
  <c r="B70" i="34"/>
  <c r="B83" i="34"/>
  <c r="B85" i="34"/>
  <c r="B87" i="34"/>
  <c r="B90" i="34"/>
  <c r="B65" i="34"/>
  <c r="B77" i="34"/>
  <c r="C18" i="29"/>
  <c r="B18" i="33"/>
  <c r="C18" i="30"/>
  <c r="B18" i="34"/>
  <c r="B20" i="32"/>
  <c r="I1517" i="30"/>
  <c r="I1322" i="30"/>
  <c r="I1235" i="30"/>
  <c r="I1135" i="30"/>
  <c r="I970" i="30"/>
  <c r="I776" i="30"/>
  <c r="J63" i="30"/>
  <c r="J69" i="30"/>
  <c r="J68" i="30"/>
  <c r="I498" i="30"/>
  <c r="J64" i="30"/>
  <c r="J67" i="30"/>
  <c r="H698" i="30"/>
  <c r="I382" i="30"/>
  <c r="I146" i="30"/>
  <c r="H350" i="30"/>
  <c r="I343" i="30" s="1"/>
  <c r="I353" i="30" s="1"/>
  <c r="I1725" i="30"/>
  <c r="H1773" i="30"/>
  <c r="H842" i="30"/>
  <c r="I838" i="30" s="1"/>
  <c r="H478" i="30"/>
  <c r="H631" i="30"/>
  <c r="I629" i="30" s="1"/>
  <c r="H691" i="30"/>
  <c r="I1038" i="30"/>
  <c r="H1291" i="30"/>
  <c r="H1699" i="30"/>
  <c r="I1696" i="30" s="1"/>
  <c r="H175" i="30"/>
  <c r="I1615" i="30"/>
  <c r="H176" i="30"/>
  <c r="I736" i="30"/>
  <c r="H1630" i="30"/>
  <c r="I1629" i="30" s="1"/>
  <c r="H1572" i="30"/>
  <c r="H1813" i="30"/>
  <c r="I159" i="30"/>
  <c r="I209" i="30"/>
  <c r="I206" i="30"/>
  <c r="L197" i="30" s="1"/>
  <c r="H456" i="30"/>
  <c r="I454" i="30" s="1"/>
  <c r="I468" i="30"/>
  <c r="H955" i="30"/>
  <c r="I954" i="30" s="1"/>
  <c r="H912" i="30"/>
  <c r="H1388" i="30"/>
  <c r="I1502" i="30"/>
  <c r="H1560" i="30"/>
  <c r="I1784" i="30"/>
  <c r="AD76" i="30"/>
  <c r="H169" i="30"/>
  <c r="I745" i="30"/>
  <c r="I843" i="30"/>
  <c r="I874" i="30"/>
  <c r="I1269" i="30"/>
  <c r="I1272" i="30" s="1"/>
  <c r="I1617" i="30"/>
  <c r="H1590" i="30"/>
  <c r="I1720" i="30"/>
  <c r="H1884" i="30"/>
  <c r="I1883" i="30" s="1"/>
  <c r="AC103" i="30"/>
  <c r="H167" i="30"/>
  <c r="H331" i="30"/>
  <c r="I328" i="30" s="1"/>
  <c r="I424" i="30"/>
  <c r="I430" i="30" s="1"/>
  <c r="H591" i="30"/>
  <c r="I589" i="30" s="1"/>
  <c r="I1282" i="30"/>
  <c r="AE76" i="30"/>
  <c r="H753" i="30"/>
  <c r="H761" i="30"/>
  <c r="H616" i="30"/>
  <c r="H634" i="30"/>
  <c r="I632" i="30" s="1"/>
  <c r="H684" i="30"/>
  <c r="I1058" i="30"/>
  <c r="I1086" i="30"/>
  <c r="I724" i="30"/>
  <c r="I741" i="30"/>
  <c r="I1574" i="30"/>
  <c r="H1573" i="30"/>
  <c r="H1511" i="30"/>
  <c r="I1510" i="30" s="1"/>
  <c r="H1483" i="30"/>
  <c r="I1482" i="30" s="1"/>
  <c r="I1487" i="30" s="1"/>
  <c r="H1792" i="30"/>
  <c r="H1809" i="30"/>
  <c r="H1833" i="30"/>
  <c r="I179" i="30"/>
  <c r="I369" i="30"/>
  <c r="I375" i="30"/>
  <c r="H291" i="30"/>
  <c r="I285" i="30" s="1"/>
  <c r="I293" i="30" s="1"/>
  <c r="I494" i="30"/>
  <c r="H451" i="30"/>
  <c r="H757" i="30"/>
  <c r="H765" i="30"/>
  <c r="H772" i="30"/>
  <c r="I769" i="30" s="1"/>
  <c r="I583" i="30"/>
  <c r="H559" i="30"/>
  <c r="I545" i="30" s="1"/>
  <c r="I568" i="30" s="1"/>
  <c r="H701" i="30"/>
  <c r="H891" i="30"/>
  <c r="I883" i="30" s="1"/>
  <c r="I1130" i="30"/>
  <c r="H1099" i="30"/>
  <c r="H1079" i="30"/>
  <c r="I1068" i="30" s="1"/>
  <c r="I1415" i="30"/>
  <c r="H1467" i="30"/>
  <c r="I1466" i="30" s="1"/>
  <c r="I1565" i="30"/>
  <c r="H1797" i="30"/>
  <c r="H1829" i="30"/>
  <c r="I646" i="30"/>
  <c r="I658" i="30"/>
  <c r="H619" i="30"/>
  <c r="E695" i="30"/>
  <c r="H695" i="30" s="1"/>
  <c r="AB64" i="30"/>
  <c r="AB61" i="30"/>
  <c r="AF76" i="30"/>
  <c r="AH76" i="30" s="1"/>
  <c r="E155" i="30"/>
  <c r="H155" i="30" s="1"/>
  <c r="I150" i="30" s="1"/>
  <c r="H170" i="30"/>
  <c r="I306" i="30"/>
  <c r="H314" i="30"/>
  <c r="E316" i="30"/>
  <c r="H316" i="30" s="1"/>
  <c r="H445" i="30"/>
  <c r="I592" i="30"/>
  <c r="I603" i="30"/>
  <c r="H690" i="30"/>
  <c r="AB56" i="30"/>
  <c r="I141" i="30"/>
  <c r="I299" i="30"/>
  <c r="I219" i="30"/>
  <c r="L199" i="30" s="1"/>
  <c r="I364" i="30"/>
  <c r="I459" i="30"/>
  <c r="I728" i="30"/>
  <c r="H759" i="30"/>
  <c r="H767" i="30"/>
  <c r="J1498" i="30"/>
  <c r="J62" i="30" s="1"/>
  <c r="I1498" i="30"/>
  <c r="I1013" i="30"/>
  <c r="I1026" i="30" s="1"/>
  <c r="I1505" i="30"/>
  <c r="I1459" i="30"/>
  <c r="I1473" i="30"/>
  <c r="H1592" i="30"/>
  <c r="I1862" i="30"/>
  <c r="G1837" i="30"/>
  <c r="H1837" i="30" s="1"/>
  <c r="I1834" i="30" s="1"/>
  <c r="H1779" i="30"/>
  <c r="I212" i="30"/>
  <c r="H755" i="30"/>
  <c r="H763" i="30"/>
  <c r="I951" i="30"/>
  <c r="H966" i="30"/>
  <c r="I959" i="30" s="1"/>
  <c r="I820" i="30"/>
  <c r="I835" i="30" s="1"/>
  <c r="I1297" i="30"/>
  <c r="I1300" i="30" s="1"/>
  <c r="I1378" i="30"/>
  <c r="I1864" i="30"/>
  <c r="H873" i="30"/>
  <c r="I869" i="30" s="1"/>
  <c r="H859" i="30"/>
  <c r="H925" i="30"/>
  <c r="H1389" i="30"/>
  <c r="I1393" i="30"/>
  <c r="I1605" i="30"/>
  <c r="H1593" i="30"/>
  <c r="I1673" i="30"/>
  <c r="I1677" i="30" s="1"/>
  <c r="I1869" i="30"/>
  <c r="H1769" i="30"/>
  <c r="I848" i="30"/>
  <c r="H918" i="30"/>
  <c r="I1139" i="30"/>
  <c r="I1032" i="30"/>
  <c r="H1105" i="30"/>
  <c r="H1231" i="30"/>
  <c r="I1230" i="30" s="1"/>
  <c r="I1316" i="30"/>
  <c r="H1288" i="30"/>
  <c r="I1355" i="30"/>
  <c r="I1363" i="30" s="1"/>
  <c r="I1443" i="30"/>
  <c r="I1448" i="30" s="1"/>
  <c r="H1452" i="30"/>
  <c r="I1451" i="30" s="1"/>
  <c r="I1454" i="30"/>
  <c r="I1608" i="30"/>
  <c r="I1622" i="30"/>
  <c r="H1591" i="30"/>
  <c r="I1701" i="30"/>
  <c r="I1874" i="30"/>
  <c r="H3111" i="12"/>
  <c r="H3107" i="12"/>
  <c r="H2828" i="12"/>
  <c r="J31" i="29"/>
  <c r="J39" i="29"/>
  <c r="I729" i="29"/>
  <c r="AE41" i="29"/>
  <c r="I561" i="29"/>
  <c r="I411" i="29"/>
  <c r="J40" i="29"/>
  <c r="I477" i="29"/>
  <c r="I909" i="29"/>
  <c r="I915" i="29"/>
  <c r="I793" i="29"/>
  <c r="I890" i="29"/>
  <c r="I995" i="29"/>
  <c r="J24" i="29"/>
  <c r="I758" i="29"/>
  <c r="I836" i="29"/>
  <c r="H815" i="29"/>
  <c r="I814" i="29" s="1"/>
  <c r="I1024" i="29"/>
  <c r="I1095" i="29"/>
  <c r="I103" i="29"/>
  <c r="I250" i="29"/>
  <c r="I406" i="29"/>
  <c r="I521" i="29"/>
  <c r="I637" i="29"/>
  <c r="I1089" i="29"/>
  <c r="J32" i="29"/>
  <c r="J26" i="29"/>
  <c r="J28" i="29"/>
  <c r="I176" i="29"/>
  <c r="I485" i="29"/>
  <c r="I805" i="29"/>
  <c r="AC55" i="29"/>
  <c r="I340" i="29"/>
  <c r="I415" i="29"/>
  <c r="I648" i="29"/>
  <c r="I718" i="29"/>
  <c r="I1083" i="29"/>
  <c r="I1117" i="29"/>
  <c r="I108" i="29"/>
  <c r="I40" i="29" s="1"/>
  <c r="I324" i="29"/>
  <c r="I571" i="29"/>
  <c r="I1007" i="29"/>
  <c r="I1080" i="29"/>
  <c r="H1102" i="29"/>
  <c r="I1101" i="29" s="1"/>
  <c r="AC46" i="29"/>
  <c r="AC49" i="29" s="1"/>
  <c r="AE49" i="29" s="1"/>
  <c r="I235" i="29"/>
  <c r="I333" i="29"/>
  <c r="I505" i="29"/>
  <c r="AD41" i="29"/>
  <c r="I85" i="29"/>
  <c r="I241" i="29"/>
  <c r="I819" i="29"/>
  <c r="I981" i="29"/>
  <c r="I992" i="29"/>
  <c r="I580" i="29"/>
  <c r="I678" i="29"/>
  <c r="I740" i="29"/>
  <c r="I901" i="29"/>
  <c r="I1069" i="29"/>
  <c r="I590" i="29"/>
  <c r="J22" i="28"/>
  <c r="J21" i="28"/>
  <c r="J24" i="28"/>
  <c r="J33" i="28"/>
  <c r="J32" i="28"/>
  <c r="I239" i="28"/>
  <c r="I69" i="28"/>
  <c r="I596" i="28"/>
  <c r="J20" i="28"/>
  <c r="J78" i="28"/>
  <c r="J29" i="28" s="1"/>
  <c r="I355" i="28"/>
  <c r="AB45" i="28"/>
  <c r="I299" i="28"/>
  <c r="I737" i="28"/>
  <c r="I358" i="28"/>
  <c r="I482" i="28"/>
  <c r="I172" i="28"/>
  <c r="I255" i="28"/>
  <c r="I318" i="28"/>
  <c r="I61" i="28"/>
  <c r="I815" i="28"/>
  <c r="I654" i="28"/>
  <c r="AC45" i="28"/>
  <c r="I121" i="28"/>
  <c r="I302" i="28"/>
  <c r="I365" i="28"/>
  <c r="I682" i="28"/>
  <c r="AB46" i="28"/>
  <c r="AC46" i="28" s="1"/>
  <c r="I181" i="28"/>
  <c r="I382" i="28"/>
  <c r="I385" i="28"/>
  <c r="I195" i="28"/>
  <c r="H443" i="28"/>
  <c r="H426" i="28"/>
  <c r="I425" i="28" s="1"/>
  <c r="H442" i="28"/>
  <c r="I361" i="28"/>
  <c r="I419" i="28"/>
  <c r="I660" i="28"/>
  <c r="I728" i="28"/>
  <c r="I734" i="28"/>
  <c r="I796" i="28"/>
  <c r="I117" i="30"/>
  <c r="AB103" i="30"/>
  <c r="AB104" i="30"/>
  <c r="AC104" i="30" s="1"/>
  <c r="AB102" i="30"/>
  <c r="AC102" i="30" s="1"/>
  <c r="AC94" i="30"/>
  <c r="E475" i="30"/>
  <c r="H475" i="30" s="1"/>
  <c r="H447" i="30"/>
  <c r="I334" i="30"/>
  <c r="AB57" i="30"/>
  <c r="AB63" i="30"/>
  <c r="AB65" i="30"/>
  <c r="H628" i="30"/>
  <c r="I944" i="30"/>
  <c r="H1128" i="30"/>
  <c r="I1125" i="30" s="1"/>
  <c r="AB58" i="30"/>
  <c r="AB59" i="30"/>
  <c r="H623" i="30"/>
  <c r="H1049" i="30"/>
  <c r="E1051" i="30"/>
  <c r="AB55" i="30"/>
  <c r="AB60" i="30"/>
  <c r="AB62" i="30"/>
  <c r="I941" i="30"/>
  <c r="E863" i="30"/>
  <c r="H861" i="30"/>
  <c r="I895" i="30"/>
  <c r="H868" i="30"/>
  <c r="I1312" i="30"/>
  <c r="I1292" i="30"/>
  <c r="H1799" i="30"/>
  <c r="E1850" i="30"/>
  <c r="H1850" i="30" s="1"/>
  <c r="H1055" i="30"/>
  <c r="H1047" i="30"/>
  <c r="H1465" i="30"/>
  <c r="I1464" i="30" s="1"/>
  <c r="E1690" i="30"/>
  <c r="H1688" i="30"/>
  <c r="I1886" i="30"/>
  <c r="I1905" i="30"/>
  <c r="I1802" i="30"/>
  <c r="I1549" i="30"/>
  <c r="I1554" i="30" s="1"/>
  <c r="I1580" i="30"/>
  <c r="H1795" i="30"/>
  <c r="E1847" i="30"/>
  <c r="H1847" i="30" s="1"/>
  <c r="I1632" i="30"/>
  <c r="H1559" i="30"/>
  <c r="H1778" i="30"/>
  <c r="J21" i="29"/>
  <c r="J30" i="29"/>
  <c r="AB56" i="29"/>
  <c r="AC56" i="29" s="1"/>
  <c r="AB54" i="29"/>
  <c r="AC54" i="29" s="1"/>
  <c r="AB55" i="29"/>
  <c r="J410" i="29"/>
  <c r="I95" i="29"/>
  <c r="I260" i="29"/>
  <c r="J809" i="29"/>
  <c r="J808" i="29" s="1"/>
  <c r="J25" i="29" s="1"/>
  <c r="H809" i="29"/>
  <c r="I808" i="29" s="1"/>
  <c r="I600" i="29"/>
  <c r="I1114" i="29"/>
  <c r="I932" i="29"/>
  <c r="I82" i="28"/>
  <c r="AC36" i="28"/>
  <c r="AB44" i="28"/>
  <c r="AC44" i="28" s="1"/>
  <c r="H267" i="28"/>
  <c r="I265" i="28" s="1"/>
  <c r="I325" i="28"/>
  <c r="I370" i="28"/>
  <c r="I602" i="28"/>
  <c r="H2229" i="12"/>
  <c r="H2425" i="12"/>
  <c r="I2424" i="12" s="1"/>
  <c r="I2649" i="12"/>
  <c r="I2825" i="12"/>
  <c r="H2230" i="12"/>
  <c r="H2047" i="12"/>
  <c r="H2044" i="12"/>
  <c r="AB134" i="12"/>
  <c r="AB133" i="12"/>
  <c r="AC133" i="12" s="1"/>
  <c r="AB135" i="12"/>
  <c r="AC135" i="12" s="1"/>
  <c r="AC134" i="12"/>
  <c r="I1777" i="30" l="1"/>
  <c r="I48" i="30"/>
  <c r="I312" i="30"/>
  <c r="I443" i="30"/>
  <c r="I471" i="30"/>
  <c r="I479" i="30" s="1"/>
  <c r="I1385" i="30"/>
  <c r="I1763" i="30"/>
  <c r="I1774" i="30" s="1"/>
  <c r="E191" i="30"/>
  <c r="H191" i="30" s="1"/>
  <c r="I186" i="30" s="1"/>
  <c r="I194" i="30" s="1"/>
  <c r="I1557" i="30"/>
  <c r="I1818" i="30"/>
  <c r="I1570" i="30"/>
  <c r="I1287" i="30"/>
  <c r="I682" i="30"/>
  <c r="I702" i="30" s="1"/>
  <c r="I165" i="30"/>
  <c r="I1806" i="30"/>
  <c r="I752" i="30"/>
  <c r="I1841" i="30"/>
  <c r="I1852" i="30" s="1"/>
  <c r="I614" i="30"/>
  <c r="I1789" i="30"/>
  <c r="I1589" i="30"/>
  <c r="I1594" i="30" s="1"/>
  <c r="I3096" i="12"/>
  <c r="AE46" i="29"/>
  <c r="I441" i="28"/>
  <c r="I20" i="28" s="1"/>
  <c r="J20" i="32" s="1"/>
  <c r="E1709" i="30"/>
  <c r="H1709" i="30" s="1"/>
  <c r="I1705" i="30" s="1"/>
  <c r="I1710" i="30" s="1"/>
  <c r="H1690" i="30"/>
  <c r="I1686" i="30" s="1"/>
  <c r="I123" i="30"/>
  <c r="I49" i="30" s="1"/>
  <c r="I49" i="34" s="1"/>
  <c r="E1102" i="30"/>
  <c r="H1102" i="30" s="1"/>
  <c r="I1093" i="30" s="1"/>
  <c r="I1107" i="30" s="1"/>
  <c r="H1051" i="30"/>
  <c r="I1043" i="30" s="1"/>
  <c r="E921" i="30"/>
  <c r="H921" i="30" s="1"/>
  <c r="I908" i="30" s="1"/>
  <c r="I926" i="30" s="1"/>
  <c r="H863" i="30"/>
  <c r="I855" i="30" s="1"/>
  <c r="AC97" i="30"/>
  <c r="AE97" i="30" s="1"/>
  <c r="AE94" i="30"/>
  <c r="AE36" i="28"/>
  <c r="AC39" i="28"/>
  <c r="AE39" i="28" s="1"/>
  <c r="I2226" i="12"/>
  <c r="I2043" i="12"/>
  <c r="N20" i="32" l="1"/>
  <c r="I57" i="30"/>
  <c r="I57" i="34" s="1"/>
  <c r="I38" i="30"/>
  <c r="I38" i="34" s="1"/>
  <c r="I45" i="30"/>
  <c r="I45" i="34" s="1"/>
  <c r="I41" i="30"/>
  <c r="I41" i="34" s="1"/>
  <c r="I29" i="30"/>
  <c r="I29" i="34" s="1"/>
  <c r="I72" i="30"/>
  <c r="I72" i="34" s="1"/>
  <c r="I42" i="30"/>
  <c r="I42" i="34" s="1"/>
  <c r="I53" i="30"/>
  <c r="I53" i="34" s="1"/>
  <c r="I85" i="30"/>
  <c r="I85" i="34" s="1"/>
  <c r="I61" i="30"/>
  <c r="I61" i="34" s="1"/>
  <c r="I65" i="30"/>
  <c r="I65" i="34" s="1"/>
  <c r="I64" i="30"/>
  <c r="I64" i="34" s="1"/>
  <c r="I73" i="30"/>
  <c r="I73" i="34" s="1"/>
  <c r="I43" i="30"/>
  <c r="I43" i="34" s="1"/>
  <c r="I68" i="30"/>
  <c r="I68" i="34" s="1"/>
  <c r="I70" i="30"/>
  <c r="I70" i="34" s="1"/>
  <c r="I52" i="30"/>
  <c r="I52" i="34" s="1"/>
  <c r="I24" i="30"/>
  <c r="I24" i="34" s="1"/>
  <c r="I40" i="30"/>
  <c r="I40" i="34" s="1"/>
  <c r="I44" i="30"/>
  <c r="I44" i="34" s="1"/>
  <c r="I81" i="30"/>
  <c r="I81" i="34" s="1"/>
  <c r="I32" i="30"/>
  <c r="I32" i="34" s="1"/>
  <c r="I71" i="30"/>
  <c r="I71" i="34" s="1"/>
  <c r="I67" i="30"/>
  <c r="I67" i="34" s="1"/>
  <c r="I59" i="30"/>
  <c r="I59" i="34" s="1"/>
  <c r="I79" i="30"/>
  <c r="I79" i="34" s="1"/>
  <c r="I87" i="30"/>
  <c r="I87" i="34" s="1"/>
  <c r="I54" i="30"/>
  <c r="I54" i="34" s="1"/>
  <c r="I86" i="30"/>
  <c r="I86" i="34" s="1"/>
  <c r="I84" i="30"/>
  <c r="I84" i="34" s="1"/>
  <c r="I77" i="30"/>
  <c r="I77" i="34" s="1"/>
  <c r="I25" i="30"/>
  <c r="I25" i="34" s="1"/>
  <c r="I66" i="30"/>
  <c r="I66" i="34" s="1"/>
  <c r="I83" i="30"/>
  <c r="I83" i="34" s="1"/>
  <c r="I20" i="30"/>
  <c r="I20" i="34" s="1"/>
  <c r="I37" i="30"/>
  <c r="I37" i="34" s="1"/>
  <c r="I21" i="30"/>
  <c r="I21" i="34" s="1"/>
  <c r="I88" i="30"/>
  <c r="I88" i="34" s="1"/>
  <c r="I56" i="30"/>
  <c r="I56" i="34" s="1"/>
  <c r="I60" i="30"/>
  <c r="I60" i="34" s="1"/>
  <c r="I69" i="30"/>
  <c r="I69" i="34" s="1"/>
  <c r="I39" i="30"/>
  <c r="I39" i="34" s="1"/>
  <c r="I58" i="30"/>
  <c r="I58" i="34" s="1"/>
  <c r="I90" i="30"/>
  <c r="I90" i="34" s="1"/>
  <c r="I80" i="30"/>
  <c r="I80" i="34" s="1"/>
  <c r="I55" i="30"/>
  <c r="I55" i="34" s="1"/>
  <c r="I78" i="30"/>
  <c r="I78" i="34" s="1"/>
  <c r="I63" i="30"/>
  <c r="I63" i="34" s="1"/>
  <c r="I82" i="30"/>
  <c r="I82" i="34" s="1"/>
  <c r="I36" i="30"/>
  <c r="I36" i="34" s="1"/>
  <c r="I35" i="30"/>
  <c r="I35" i="34" s="1"/>
  <c r="I76" i="30"/>
  <c r="I76" i="34" s="1"/>
  <c r="I48" i="34"/>
  <c r="I28" i="30"/>
  <c r="I28" i="34" s="1"/>
  <c r="I62" i="30"/>
  <c r="I62" i="34" s="1"/>
  <c r="I89" i="30"/>
  <c r="I89" i="34" s="1"/>
  <c r="I22" i="28"/>
  <c r="I28" i="28"/>
  <c r="I29" i="28"/>
  <c r="I21" i="28"/>
  <c r="I33" i="28"/>
  <c r="I23" i="28"/>
  <c r="I32" i="28"/>
  <c r="J32" i="32" s="1"/>
  <c r="L20" i="28"/>
  <c r="I27" i="28"/>
  <c r="I24" i="28"/>
  <c r="I35" i="29"/>
  <c r="I27" i="29"/>
  <c r="I30" i="29"/>
  <c r="J30" i="33" s="1"/>
  <c r="K30" i="33" s="1"/>
  <c r="I29" i="29"/>
  <c r="I25" i="29"/>
  <c r="J25" i="33" s="1"/>
  <c r="I33" i="29"/>
  <c r="I26" i="29"/>
  <c r="I41" i="29"/>
  <c r="I21" i="29"/>
  <c r="I31" i="29"/>
  <c r="J31" i="33" s="1"/>
  <c r="K31" i="33" s="1"/>
  <c r="I32" i="29"/>
  <c r="I42" i="29"/>
  <c r="I20" i="29"/>
  <c r="I38" i="29"/>
  <c r="I34" i="29"/>
  <c r="I28" i="29"/>
  <c r="I39" i="29"/>
  <c r="Z124" i="12"/>
  <c r="AC124" i="12" s="1"/>
  <c r="AC115" i="12"/>
  <c r="AC116" i="12"/>
  <c r="AC117" i="12"/>
  <c r="AC118" i="12"/>
  <c r="AC121" i="12"/>
  <c r="AC122" i="12"/>
  <c r="Z114" i="12"/>
  <c r="AC114" i="12" s="1"/>
  <c r="Z106" i="12"/>
  <c r="Z108" i="12" s="1"/>
  <c r="AA106" i="12"/>
  <c r="AA108" i="12" s="1"/>
  <c r="AC106" i="12"/>
  <c r="AC108" i="12" s="1"/>
  <c r="AE103" i="12"/>
  <c r="AE104" i="12"/>
  <c r="AE105" i="12"/>
  <c r="AE102" i="12"/>
  <c r="AD105" i="12"/>
  <c r="AD104" i="12"/>
  <c r="AD103" i="12"/>
  <c r="AD102" i="12"/>
  <c r="F1875" i="12"/>
  <c r="H1875" i="12" s="1"/>
  <c r="E1872" i="12"/>
  <c r="H1872" i="12" s="1"/>
  <c r="H1873" i="12"/>
  <c r="H1671" i="12"/>
  <c r="H1672" i="12"/>
  <c r="H1673" i="12"/>
  <c r="F1683" i="12"/>
  <c r="H1683" i="12" s="1"/>
  <c r="F1679" i="12"/>
  <c r="H1679" i="12" s="1"/>
  <c r="F1680" i="12"/>
  <c r="H1680" i="12" s="1"/>
  <c r="F1678" i="12"/>
  <c r="E1678" i="12"/>
  <c r="E1668" i="12"/>
  <c r="H1668" i="12" s="1"/>
  <c r="F1675" i="12"/>
  <c r="H1675" i="12" s="1"/>
  <c r="H1670" i="12"/>
  <c r="H1669" i="12"/>
  <c r="H1686" i="12"/>
  <c r="H1687" i="12"/>
  <c r="H1688" i="12"/>
  <c r="H1689" i="12"/>
  <c r="H1690" i="12"/>
  <c r="H1691" i="12"/>
  <c r="G1696" i="12"/>
  <c r="H1696" i="12" s="1"/>
  <c r="G1697" i="12"/>
  <c r="H1697" i="12" s="1"/>
  <c r="F1366" i="12"/>
  <c r="H1366" i="12" s="1"/>
  <c r="F1363" i="12"/>
  <c r="F1360" i="12"/>
  <c r="H1360" i="12" s="1"/>
  <c r="E1363" i="12"/>
  <c r="H1358" i="12"/>
  <c r="H1357" i="12"/>
  <c r="H1356" i="12"/>
  <c r="H722" i="12"/>
  <c r="H723" i="12"/>
  <c r="H721" i="12"/>
  <c r="H1069" i="12"/>
  <c r="H1070" i="12"/>
  <c r="H1073" i="12"/>
  <c r="H1074" i="12"/>
  <c r="F1078" i="12"/>
  <c r="H1078" i="12" s="1"/>
  <c r="F1077" i="12"/>
  <c r="H1077" i="12" s="1"/>
  <c r="F1075" i="12"/>
  <c r="H1075" i="12" s="1"/>
  <c r="E1072" i="12"/>
  <c r="H1072" i="12" s="1"/>
  <c r="E1068" i="12"/>
  <c r="H1068" i="12" s="1"/>
  <c r="F728" i="12"/>
  <c r="H728" i="12" s="1"/>
  <c r="F191" i="12"/>
  <c r="F190" i="12"/>
  <c r="F545" i="12"/>
  <c r="F183" i="12"/>
  <c r="H183" i="12" s="1"/>
  <c r="F184" i="12"/>
  <c r="F185" i="12"/>
  <c r="F182" i="12"/>
  <c r="E725" i="12"/>
  <c r="H725" i="12" s="1"/>
  <c r="E545" i="12"/>
  <c r="H543" i="12"/>
  <c r="E191" i="12"/>
  <c r="E190" i="12"/>
  <c r="E187" i="12"/>
  <c r="H187" i="12" s="1"/>
  <c r="E185" i="12"/>
  <c r="E184" i="12"/>
  <c r="E182" i="12"/>
  <c r="F975" i="12"/>
  <c r="H975" i="12" s="1"/>
  <c r="E153" i="12"/>
  <c r="H153" i="12" s="1"/>
  <c r="E152" i="12"/>
  <c r="H152" i="12" s="1"/>
  <c r="H150" i="12"/>
  <c r="H149" i="12"/>
  <c r="J32" i="33" l="1"/>
  <c r="K32" i="33" s="1"/>
  <c r="K20" i="32"/>
  <c r="J29" i="32"/>
  <c r="K29" i="32" s="1"/>
  <c r="N25" i="33"/>
  <c r="Q25" i="33" s="1"/>
  <c r="K25" i="33"/>
  <c r="L26" i="29"/>
  <c r="O26" i="29" s="1"/>
  <c r="J26" i="33"/>
  <c r="L40" i="29"/>
  <c r="O40" i="29" s="1"/>
  <c r="J39" i="33"/>
  <c r="L38" i="29"/>
  <c r="O38" i="29" s="1"/>
  <c r="J37" i="33"/>
  <c r="N31" i="33"/>
  <c r="Q31" i="33" s="1"/>
  <c r="S31" i="33"/>
  <c r="U31" i="33" s="1"/>
  <c r="L33" i="29"/>
  <c r="O33" i="29" s="1"/>
  <c r="J33" i="33"/>
  <c r="L27" i="29"/>
  <c r="O27" i="29" s="1"/>
  <c r="J27" i="33"/>
  <c r="L34" i="29"/>
  <c r="O34" i="29" s="1"/>
  <c r="J34" i="33"/>
  <c r="L39" i="29"/>
  <c r="O39" i="29" s="1"/>
  <c r="J38" i="33"/>
  <c r="L21" i="29"/>
  <c r="O21" i="29" s="1"/>
  <c r="J21" i="33"/>
  <c r="L35" i="29"/>
  <c r="O35" i="29" s="1"/>
  <c r="S32" i="33"/>
  <c r="U32" i="33" s="1"/>
  <c r="L28" i="29"/>
  <c r="O28" i="29" s="1"/>
  <c r="J28" i="33"/>
  <c r="L42" i="29"/>
  <c r="O42" i="29" s="1"/>
  <c r="J41" i="33"/>
  <c r="L41" i="29"/>
  <c r="O41" i="29" s="1"/>
  <c r="J40" i="33"/>
  <c r="L29" i="29"/>
  <c r="O29" i="29" s="1"/>
  <c r="J29" i="33"/>
  <c r="N30" i="33"/>
  <c r="Q30" i="33" s="1"/>
  <c r="S30" i="33"/>
  <c r="U30" i="33" s="1"/>
  <c r="L20" i="29"/>
  <c r="O20" i="29" s="1"/>
  <c r="J20" i="33"/>
  <c r="K20" i="33" s="1"/>
  <c r="L21" i="28"/>
  <c r="J21" i="32"/>
  <c r="L32" i="28"/>
  <c r="K32" i="32"/>
  <c r="L24" i="28"/>
  <c r="J24" i="32"/>
  <c r="L23" i="28"/>
  <c r="J23" i="32"/>
  <c r="L28" i="28"/>
  <c r="J28" i="32"/>
  <c r="L27" i="28"/>
  <c r="J27" i="32"/>
  <c r="L33" i="28"/>
  <c r="J33" i="32"/>
  <c r="L22" i="28"/>
  <c r="J22" i="32"/>
  <c r="Q29" i="28"/>
  <c r="S29" i="28" s="1"/>
  <c r="L29" i="28"/>
  <c r="L31" i="29"/>
  <c r="O31" i="29" s="1"/>
  <c r="Q31" i="29"/>
  <c r="S31" i="29" s="1"/>
  <c r="L30" i="29"/>
  <c r="O30" i="29" s="1"/>
  <c r="Q30" i="29"/>
  <c r="S30" i="29" s="1"/>
  <c r="L32" i="29"/>
  <c r="O32" i="29" s="1"/>
  <c r="Q32" i="29"/>
  <c r="S32" i="29" s="1"/>
  <c r="L25" i="29"/>
  <c r="O25" i="29" s="1"/>
  <c r="AD106" i="12"/>
  <c r="AD108" i="12" s="1"/>
  <c r="AE106" i="12"/>
  <c r="AE108" i="12" s="1"/>
  <c r="AC125" i="12"/>
  <c r="I1871" i="12"/>
  <c r="H1678" i="12"/>
  <c r="I1667" i="12" s="1"/>
  <c r="I1685" i="12"/>
  <c r="H182" i="12"/>
  <c r="H190" i="12"/>
  <c r="I720" i="12"/>
  <c r="H1363" i="12"/>
  <c r="I1355" i="12" s="1"/>
  <c r="I1067" i="12"/>
  <c r="H191" i="12"/>
  <c r="H545" i="12"/>
  <c r="I542" i="12" s="1"/>
  <c r="H184" i="12"/>
  <c r="H185" i="12"/>
  <c r="I148" i="12"/>
  <c r="N32" i="33" l="1"/>
  <c r="Q32" i="33" s="1"/>
  <c r="S29" i="32"/>
  <c r="U29" i="32" s="1"/>
  <c r="N29" i="32"/>
  <c r="N29" i="33"/>
  <c r="Q29" i="33" s="1"/>
  <c r="K29" i="33"/>
  <c r="N41" i="33"/>
  <c r="Q41" i="33" s="1"/>
  <c r="K41" i="33"/>
  <c r="N21" i="33"/>
  <c r="Q21" i="33" s="1"/>
  <c r="K21" i="33"/>
  <c r="N34" i="33"/>
  <c r="Q34" i="33" s="1"/>
  <c r="K34" i="33"/>
  <c r="N33" i="33"/>
  <c r="Q33" i="33" s="1"/>
  <c r="K33" i="33"/>
  <c r="N37" i="33"/>
  <c r="Q37" i="33" s="1"/>
  <c r="K37" i="33"/>
  <c r="N26" i="33"/>
  <c r="Q26" i="33" s="1"/>
  <c r="K26" i="33"/>
  <c r="N40" i="33"/>
  <c r="Q40" i="33" s="1"/>
  <c r="K40" i="33"/>
  <c r="N28" i="33"/>
  <c r="Q28" i="33" s="1"/>
  <c r="K28" i="33"/>
  <c r="N38" i="33"/>
  <c r="Q38" i="33" s="1"/>
  <c r="K38" i="33"/>
  <c r="N27" i="33"/>
  <c r="Q27" i="33" s="1"/>
  <c r="K27" i="33"/>
  <c r="N39" i="33"/>
  <c r="Q39" i="33" s="1"/>
  <c r="K39" i="33"/>
  <c r="N20" i="33"/>
  <c r="Q20" i="33" s="1"/>
  <c r="N23" i="32"/>
  <c r="K23" i="32"/>
  <c r="N33" i="32"/>
  <c r="K33" i="32"/>
  <c r="N28" i="32"/>
  <c r="K28" i="32"/>
  <c r="N24" i="32"/>
  <c r="K24" i="32"/>
  <c r="N32" i="32"/>
  <c r="N22" i="32"/>
  <c r="K22" i="32"/>
  <c r="N21" i="32"/>
  <c r="K21" i="32"/>
  <c r="N27" i="32"/>
  <c r="K27" i="32"/>
  <c r="AF108" i="12"/>
  <c r="AH108" i="12" s="1"/>
  <c r="AE125" i="12"/>
  <c r="AC128" i="12"/>
  <c r="AE128" i="12" s="1"/>
  <c r="I155" i="12"/>
  <c r="I180" i="12"/>
  <c r="G3131" i="12"/>
  <c r="G3128" i="12"/>
  <c r="G3125" i="12"/>
  <c r="H3125" i="12" s="1"/>
  <c r="G3124" i="12"/>
  <c r="H3124" i="12" s="1"/>
  <c r="G3123" i="12"/>
  <c r="H3123" i="12" s="1"/>
  <c r="G2840" i="12"/>
  <c r="G2837" i="12"/>
  <c r="H2837" i="12" s="1"/>
  <c r="D2671" i="12"/>
  <c r="D2669" i="12"/>
  <c r="D2670" i="12"/>
  <c r="D2668" i="12"/>
  <c r="G2671" i="12"/>
  <c r="G2670" i="12"/>
  <c r="F2670" i="12"/>
  <c r="G2669" i="12"/>
  <c r="F2669" i="12"/>
  <c r="G2668" i="12"/>
  <c r="G2446" i="12"/>
  <c r="H2446" i="12" s="1"/>
  <c r="G2445" i="12"/>
  <c r="H2445" i="12" s="1"/>
  <c r="G2444" i="12"/>
  <c r="H2444" i="12" s="1"/>
  <c r="G2443" i="12"/>
  <c r="E2443" i="12"/>
  <c r="G2243" i="12"/>
  <c r="H2243" i="12" s="1"/>
  <c r="I2242" i="12" s="1"/>
  <c r="I2246" i="12" s="1"/>
  <c r="G2059" i="12"/>
  <c r="H2059" i="12" s="1"/>
  <c r="G2058" i="12"/>
  <c r="H2058" i="12" s="1"/>
  <c r="G1887" i="12"/>
  <c r="G1884" i="12"/>
  <c r="H1884" i="12" s="1"/>
  <c r="G1707" i="12"/>
  <c r="G1704" i="12"/>
  <c r="G1701" i="12"/>
  <c r="G1698" i="12"/>
  <c r="H1698" i="12" s="1"/>
  <c r="G1438" i="12"/>
  <c r="G1434" i="12"/>
  <c r="G1431" i="12"/>
  <c r="G1427" i="12"/>
  <c r="H1427" i="12" s="1"/>
  <c r="G1426" i="12"/>
  <c r="H1426" i="12" s="1"/>
  <c r="G1425" i="12"/>
  <c r="E1425" i="12"/>
  <c r="G1424" i="12"/>
  <c r="H1424" i="12" s="1"/>
  <c r="G1423" i="12"/>
  <c r="H1423" i="12" s="1"/>
  <c r="G1422" i="12"/>
  <c r="H1422" i="12" s="1"/>
  <c r="D1118" i="12"/>
  <c r="D1117" i="12"/>
  <c r="G1129" i="12"/>
  <c r="G1126" i="12"/>
  <c r="G1123" i="12"/>
  <c r="G1119" i="12"/>
  <c r="H1119" i="12" s="1"/>
  <c r="G1118" i="12"/>
  <c r="G1117" i="12"/>
  <c r="G1116" i="12"/>
  <c r="H1116" i="12" s="1"/>
  <c r="G1115" i="12"/>
  <c r="H1115" i="12" s="1"/>
  <c r="G1114" i="12"/>
  <c r="H1114" i="12" s="1"/>
  <c r="G1113" i="12"/>
  <c r="H1113" i="12" s="1"/>
  <c r="G1112" i="12"/>
  <c r="H1112" i="12" s="1"/>
  <c r="G1111" i="12"/>
  <c r="E1111" i="12"/>
  <c r="G1110" i="12"/>
  <c r="H1110" i="12" s="1"/>
  <c r="H1028" i="12"/>
  <c r="H1027" i="12"/>
  <c r="H1026" i="12"/>
  <c r="H1025" i="12"/>
  <c r="H1024" i="12"/>
  <c r="H1023" i="12"/>
  <c r="H1022" i="12"/>
  <c r="H1021" i="12"/>
  <c r="E1020" i="12"/>
  <c r="H1019" i="12"/>
  <c r="G743" i="12"/>
  <c r="G740" i="12"/>
  <c r="G737" i="12"/>
  <c r="H737" i="12" s="1"/>
  <c r="G738" i="12"/>
  <c r="H738" i="12" s="1"/>
  <c r="G555" i="12"/>
  <c r="G550" i="12"/>
  <c r="H550" i="12" s="1"/>
  <c r="G551" i="12"/>
  <c r="H551" i="12" s="1"/>
  <c r="G552" i="12"/>
  <c r="H552" i="12" s="1"/>
  <c r="H549" i="12"/>
  <c r="G206" i="12"/>
  <c r="G203" i="12"/>
  <c r="H203" i="12" s="1"/>
  <c r="G202" i="12"/>
  <c r="H202" i="12" s="1"/>
  <c r="H2668" i="12" l="1"/>
  <c r="H2671" i="12"/>
  <c r="H2670" i="12"/>
  <c r="H2669" i="12"/>
  <c r="H2443" i="12"/>
  <c r="I2442" i="12" s="1"/>
  <c r="I2449" i="12" s="1"/>
  <c r="I2057" i="12"/>
  <c r="I2063" i="12" s="1"/>
  <c r="H1117" i="12"/>
  <c r="H1118" i="12"/>
  <c r="H1425" i="12"/>
  <c r="H1111" i="12"/>
  <c r="H1020" i="12"/>
  <c r="I2667" i="12" l="1"/>
  <c r="I2674" i="12" s="1"/>
  <c r="E1044" i="12" l="1"/>
  <c r="E1129" i="12" s="1"/>
  <c r="H1129" i="12" s="1"/>
  <c r="E1039" i="12"/>
  <c r="E1126" i="12" s="1"/>
  <c r="H1126" i="12" s="1"/>
  <c r="G1044" i="12"/>
  <c r="F1042" i="12"/>
  <c r="H1042" i="12" s="1"/>
  <c r="F1041" i="12"/>
  <c r="H1041" i="12" s="1"/>
  <c r="F1060" i="12"/>
  <c r="H1060" i="12" s="1"/>
  <c r="G1039" i="12"/>
  <c r="F1037" i="12"/>
  <c r="H1037" i="12" s="1"/>
  <c r="F1033" i="12"/>
  <c r="H1033" i="12" s="1"/>
  <c r="F1032" i="12"/>
  <c r="E1032" i="12"/>
  <c r="E1035" i="12" s="1"/>
  <c r="E1123" i="12" s="1"/>
  <c r="G3080" i="12"/>
  <c r="F3078" i="12"/>
  <c r="E3078" i="12"/>
  <c r="E3080" i="12" s="1"/>
  <c r="E3131" i="12" s="1"/>
  <c r="H3131" i="12" s="1"/>
  <c r="F3074" i="12"/>
  <c r="H3074" i="12" s="1"/>
  <c r="F3073" i="12"/>
  <c r="E3073" i="12"/>
  <c r="E3076" i="12" s="1"/>
  <c r="E3128" i="12" s="1"/>
  <c r="H3128" i="12" s="1"/>
  <c r="F3072" i="12"/>
  <c r="H3072" i="12" s="1"/>
  <c r="H3068" i="12"/>
  <c r="H3067" i="12"/>
  <c r="H3066" i="12"/>
  <c r="G3076" i="12"/>
  <c r="E2813" i="12"/>
  <c r="H2813" i="12" s="1"/>
  <c r="H2809" i="12"/>
  <c r="I2808" i="12" s="1"/>
  <c r="G2815" i="12"/>
  <c r="F2641" i="12"/>
  <c r="H2641" i="12" s="1"/>
  <c r="F2640" i="12"/>
  <c r="H2640" i="12" s="1"/>
  <c r="H2639" i="12"/>
  <c r="H2638" i="12"/>
  <c r="H2417" i="12"/>
  <c r="H2416" i="12"/>
  <c r="H2415" i="12"/>
  <c r="E2414" i="12"/>
  <c r="H2414" i="12" s="1"/>
  <c r="H2211" i="12"/>
  <c r="I2210" i="12" s="1"/>
  <c r="H2036" i="12"/>
  <c r="H2035" i="12"/>
  <c r="G1649" i="12"/>
  <c r="E1649" i="12"/>
  <c r="E1707" i="12" s="1"/>
  <c r="H1707" i="12" s="1"/>
  <c r="H1647" i="12"/>
  <c r="G1645" i="12"/>
  <c r="E1643" i="12"/>
  <c r="E1645" i="12" s="1"/>
  <c r="E1704" i="12" s="1"/>
  <c r="H1704" i="12" s="1"/>
  <c r="G1641" i="12"/>
  <c r="E1641" i="12"/>
  <c r="E1701" i="12" s="1"/>
  <c r="H1701" i="12" s="1"/>
  <c r="F1639" i="12"/>
  <c r="H1639" i="12" s="1"/>
  <c r="H1635" i="12"/>
  <c r="H1634" i="12"/>
  <c r="H1633" i="12"/>
  <c r="G1864" i="12"/>
  <c r="E1864" i="12"/>
  <c r="E1887" i="12" s="1"/>
  <c r="H1887" i="12" s="1"/>
  <c r="I1883" i="12" s="1"/>
  <c r="I1889" i="12" s="1"/>
  <c r="F1862" i="12"/>
  <c r="H1862" i="12" s="1"/>
  <c r="H1858" i="12"/>
  <c r="I1857" i="12" s="1"/>
  <c r="G1391" i="12"/>
  <c r="E1391" i="12"/>
  <c r="E1438" i="12" s="1"/>
  <c r="H1438" i="12" s="1"/>
  <c r="G1386" i="12"/>
  <c r="F1389" i="12"/>
  <c r="H1389" i="12" s="1"/>
  <c r="E1384" i="12"/>
  <c r="H1384" i="12" s="1"/>
  <c r="F1380" i="12"/>
  <c r="H1380" i="12" s="1"/>
  <c r="H1371" i="12"/>
  <c r="H1372" i="12"/>
  <c r="H1373" i="12"/>
  <c r="H1374" i="12"/>
  <c r="H1370" i="12"/>
  <c r="E1375" i="12"/>
  <c r="H1375" i="12" s="1"/>
  <c r="G1339" i="12"/>
  <c r="H1339" i="12" s="1"/>
  <c r="G1340" i="12"/>
  <c r="H1340" i="12" s="1"/>
  <c r="G1341" i="12"/>
  <c r="H1341" i="12" s="1"/>
  <c r="E1342" i="12"/>
  <c r="G1342" i="12"/>
  <c r="G1382" i="12"/>
  <c r="E1382" i="12"/>
  <c r="E1431" i="12" s="1"/>
  <c r="H1431" i="12" s="1"/>
  <c r="G1035" i="12"/>
  <c r="E710" i="12"/>
  <c r="E743" i="12" s="1"/>
  <c r="H743" i="12" s="1"/>
  <c r="G706" i="12"/>
  <c r="F708" i="12"/>
  <c r="H708" i="12" s="1"/>
  <c r="G704" i="12"/>
  <c r="E704" i="12"/>
  <c r="G710" i="12"/>
  <c r="H700" i="12"/>
  <c r="E526" i="12"/>
  <c r="E528" i="12" s="1"/>
  <c r="H522" i="12"/>
  <c r="H521" i="12"/>
  <c r="H520" i="12"/>
  <c r="H519" i="12"/>
  <c r="G528" i="12"/>
  <c r="G171" i="12"/>
  <c r="E169" i="12"/>
  <c r="H169" i="12" s="1"/>
  <c r="E168" i="12"/>
  <c r="H168" i="12" s="1"/>
  <c r="H164" i="12"/>
  <c r="H163" i="12"/>
  <c r="I1695" i="12" l="1"/>
  <c r="I1709" i="12" s="1"/>
  <c r="I3122" i="12"/>
  <c r="I3133" i="12" s="1"/>
  <c r="H3073" i="12"/>
  <c r="H1123" i="12"/>
  <c r="I1109" i="12" s="1"/>
  <c r="I1132" i="12" s="1"/>
  <c r="H1039" i="12"/>
  <c r="H1032" i="12"/>
  <c r="H3078" i="12"/>
  <c r="H1044" i="12"/>
  <c r="I3065" i="12"/>
  <c r="H3080" i="12"/>
  <c r="I2413" i="12"/>
  <c r="H3076" i="12"/>
  <c r="E2815" i="12"/>
  <c r="I2637" i="12"/>
  <c r="H1864" i="12"/>
  <c r="I1860" i="12" s="1"/>
  <c r="I2034" i="12"/>
  <c r="H1645" i="12"/>
  <c r="H1641" i="12"/>
  <c r="I1632" i="12"/>
  <c r="H1649" i="12"/>
  <c r="H1643" i="12"/>
  <c r="H1342" i="12"/>
  <c r="E1386" i="12"/>
  <c r="H1391" i="12"/>
  <c r="I1369" i="12"/>
  <c r="H1382" i="12"/>
  <c r="H704" i="12"/>
  <c r="I1018" i="12"/>
  <c r="H1035" i="12"/>
  <c r="H526" i="12"/>
  <c r="E706" i="12"/>
  <c r="H710" i="12"/>
  <c r="H528" i="12"/>
  <c r="I699" i="12"/>
  <c r="I518" i="12"/>
  <c r="E171" i="12"/>
  <c r="I162" i="12"/>
  <c r="H2815" i="12" l="1"/>
  <c r="I2811" i="12" s="1"/>
  <c r="E2840" i="12"/>
  <c r="H1386" i="12"/>
  <c r="I1378" i="12" s="1"/>
  <c r="E1434" i="12"/>
  <c r="H1434" i="12" s="1"/>
  <c r="I1421" i="12" s="1"/>
  <c r="I1441" i="12" s="1"/>
  <c r="H706" i="12"/>
  <c r="I702" i="12" s="1"/>
  <c r="E740" i="12"/>
  <c r="H740" i="12" s="1"/>
  <c r="I736" i="12" s="1"/>
  <c r="I746" i="12" s="1"/>
  <c r="H171" i="12"/>
  <c r="I166" i="12" s="1"/>
  <c r="E206" i="12"/>
  <c r="H206" i="12" s="1"/>
  <c r="I201" i="12" s="1"/>
  <c r="I209" i="12" s="1"/>
  <c r="I1030" i="12"/>
  <c r="I3070" i="12"/>
  <c r="I1637" i="12"/>
  <c r="I524" i="12"/>
  <c r="H2840" i="12" l="1"/>
  <c r="I2836" i="12" s="1"/>
  <c r="I2843" i="12" s="1"/>
  <c r="Q56" i="12" l="1"/>
  <c r="Q55" i="12"/>
  <c r="H1842" i="12" l="1"/>
  <c r="I1841" i="12" s="1"/>
  <c r="AB78" i="12" l="1"/>
  <c r="AA78" i="12"/>
  <c r="Z78" i="12"/>
  <c r="Y78" i="12"/>
  <c r="H1105" i="12"/>
  <c r="I1103" i="12" s="1"/>
  <c r="G3062" i="12"/>
  <c r="H3062" i="12" s="1"/>
  <c r="I3061" i="12" s="1"/>
  <c r="G2634" i="12"/>
  <c r="H2634" i="12" s="1"/>
  <c r="G1271" i="12"/>
  <c r="G1261" i="12"/>
  <c r="H1261" i="12" s="1"/>
  <c r="G1259" i="12"/>
  <c r="H1268" i="12"/>
  <c r="H1270" i="12"/>
  <c r="H1272" i="12"/>
  <c r="H1266" i="12"/>
  <c r="G1269" i="12"/>
  <c r="H1269" i="12" s="1"/>
  <c r="G1267" i="12"/>
  <c r="H1267" i="12" s="1"/>
  <c r="G1265" i="12"/>
  <c r="H1265" i="12" s="1"/>
  <c r="E1271" i="12"/>
  <c r="E1259" i="12"/>
  <c r="H1262" i="12"/>
  <c r="H1260" i="12"/>
  <c r="H296" i="12"/>
  <c r="G295" i="12"/>
  <c r="H295" i="12" s="1"/>
  <c r="G160" i="12"/>
  <c r="H160" i="12" s="1"/>
  <c r="G159" i="12"/>
  <c r="H159" i="12" s="1"/>
  <c r="H294" i="12"/>
  <c r="G293" i="12"/>
  <c r="H293" i="12" s="1"/>
  <c r="H3115" i="12"/>
  <c r="H3117" i="12"/>
  <c r="H3118" i="12"/>
  <c r="H3119" i="12"/>
  <c r="G3058" i="12"/>
  <c r="G3114" i="12" s="1"/>
  <c r="H3114" i="12" s="1"/>
  <c r="G3059" i="12"/>
  <c r="G3116" i="12" s="1"/>
  <c r="H3116" i="12" s="1"/>
  <c r="H2832" i="12"/>
  <c r="H2831" i="12"/>
  <c r="G2805" i="12"/>
  <c r="H2805" i="12" s="1"/>
  <c r="I2804" i="12" s="1"/>
  <c r="H2658" i="12"/>
  <c r="H2660" i="12"/>
  <c r="H2662" i="12"/>
  <c r="H2663" i="12"/>
  <c r="H2664" i="12"/>
  <c r="H2657" i="12"/>
  <c r="G2659" i="12"/>
  <c r="H2659" i="12" s="1"/>
  <c r="G2631" i="12"/>
  <c r="G2661" i="12" s="1"/>
  <c r="H2661" i="12" s="1"/>
  <c r="G2630" i="12"/>
  <c r="G2629" i="12"/>
  <c r="H2629" i="12" s="1"/>
  <c r="H2433" i="12"/>
  <c r="H2434" i="12"/>
  <c r="H2435" i="12"/>
  <c r="H2436" i="12"/>
  <c r="H2437" i="12"/>
  <c r="H2438" i="12"/>
  <c r="H2439" i="12"/>
  <c r="G2420" i="12"/>
  <c r="G2410" i="12"/>
  <c r="H2410" i="12" s="1"/>
  <c r="G2409" i="12"/>
  <c r="H2409" i="12" s="1"/>
  <c r="G2406" i="12"/>
  <c r="H2406" i="12" s="1"/>
  <c r="G2405" i="12"/>
  <c r="E2432" i="12"/>
  <c r="H2432" i="12" s="1"/>
  <c r="H2239" i="12"/>
  <c r="H2238" i="12"/>
  <c r="G2207" i="12"/>
  <c r="H2207" i="12" s="1"/>
  <c r="I2206" i="12" s="1"/>
  <c r="H2051" i="12"/>
  <c r="H2052" i="12"/>
  <c r="H2053" i="12"/>
  <c r="H2050" i="12"/>
  <c r="G1050" i="12"/>
  <c r="G1049" i="12"/>
  <c r="H1049" i="12" s="1"/>
  <c r="G2031" i="12"/>
  <c r="H2031" i="12" s="1"/>
  <c r="I2030" i="12" s="1"/>
  <c r="G2028" i="12"/>
  <c r="H2028" i="12" s="1"/>
  <c r="I2027" i="12" s="1"/>
  <c r="H1879" i="12"/>
  <c r="H1878" i="12"/>
  <c r="G1854" i="12"/>
  <c r="H1854" i="12" s="1"/>
  <c r="I1853" i="12" s="1"/>
  <c r="G1352" i="12"/>
  <c r="G1351" i="12"/>
  <c r="H1351" i="12" s="1"/>
  <c r="G1350" i="12"/>
  <c r="H1350" i="12" s="1"/>
  <c r="G1349" i="12"/>
  <c r="H1349" i="12" s="1"/>
  <c r="G1652" i="12"/>
  <c r="H1652" i="12" s="1"/>
  <c r="I1651" i="12" s="1"/>
  <c r="G1629" i="12"/>
  <c r="H1629" i="12" s="1"/>
  <c r="G1628" i="12"/>
  <c r="H1628" i="12" s="1"/>
  <c r="G1625" i="12"/>
  <c r="H1625" i="12" s="1"/>
  <c r="I1624" i="12" s="1"/>
  <c r="H1407" i="12"/>
  <c r="H1408" i="12"/>
  <c r="H1409" i="12"/>
  <c r="H1410" i="12"/>
  <c r="H1411" i="12"/>
  <c r="H1413" i="12"/>
  <c r="H1414" i="12"/>
  <c r="H1415" i="12"/>
  <c r="H1416" i="12"/>
  <c r="H1417" i="12"/>
  <c r="H1406" i="12"/>
  <c r="G1345" i="12"/>
  <c r="H1345" i="12" s="1"/>
  <c r="G1346" i="12"/>
  <c r="H1346" i="12" s="1"/>
  <c r="E1412" i="12"/>
  <c r="H1412" i="12" s="1"/>
  <c r="H1083" i="12"/>
  <c r="H1085" i="12"/>
  <c r="H1086" i="12"/>
  <c r="H1087" i="12"/>
  <c r="H1088" i="12"/>
  <c r="H1089" i="12"/>
  <c r="H1090" i="12"/>
  <c r="H1091" i="12"/>
  <c r="H1092" i="12"/>
  <c r="H1093" i="12"/>
  <c r="H1094" i="12"/>
  <c r="H1095" i="12"/>
  <c r="H1096" i="12"/>
  <c r="H1097" i="12"/>
  <c r="H1098" i="12"/>
  <c r="H1099" i="12"/>
  <c r="H1100" i="12"/>
  <c r="H1101" i="12"/>
  <c r="H1082" i="12"/>
  <c r="G1015" i="12"/>
  <c r="H1015" i="12" s="1"/>
  <c r="G1014" i="12"/>
  <c r="H1014" i="12" s="1"/>
  <c r="G1013" i="12"/>
  <c r="H1013" i="12" s="1"/>
  <c r="G1012" i="12"/>
  <c r="H1012" i="12" s="1"/>
  <c r="G1011" i="12"/>
  <c r="H1011" i="12" s="1"/>
  <c r="G1010" i="12"/>
  <c r="H1010" i="12" s="1"/>
  <c r="G1009" i="12"/>
  <c r="H1009" i="12" s="1"/>
  <c r="G1008" i="12"/>
  <c r="H1008" i="12" s="1"/>
  <c r="G1006" i="12"/>
  <c r="G1005" i="12"/>
  <c r="H1005" i="12" s="1"/>
  <c r="E1084" i="12"/>
  <c r="H1084" i="12" s="1"/>
  <c r="H732" i="12"/>
  <c r="H731" i="12"/>
  <c r="G696" i="12"/>
  <c r="H696" i="12" s="1"/>
  <c r="I695" i="12" s="1"/>
  <c r="G514" i="12"/>
  <c r="H514" i="12" s="1"/>
  <c r="G532" i="12"/>
  <c r="H532" i="12" s="1"/>
  <c r="I531" i="12" s="1"/>
  <c r="G515" i="12"/>
  <c r="H515" i="12" s="1"/>
  <c r="G516" i="12"/>
  <c r="H516" i="12" s="1"/>
  <c r="G511" i="12"/>
  <c r="H511" i="12" s="1"/>
  <c r="I510" i="12" s="1"/>
  <c r="H502" i="12"/>
  <c r="H503" i="12"/>
  <c r="H504" i="12"/>
  <c r="H505" i="12"/>
  <c r="H506" i="12"/>
  <c r="H501" i="12"/>
  <c r="H500" i="12"/>
  <c r="H499" i="12"/>
  <c r="H197" i="12"/>
  <c r="H198" i="12"/>
  <c r="H196" i="12"/>
  <c r="H195" i="12"/>
  <c r="F976" i="12"/>
  <c r="H976" i="12" s="1"/>
  <c r="F965" i="12"/>
  <c r="F968" i="12"/>
  <c r="H3045" i="12"/>
  <c r="H3046" i="12"/>
  <c r="H3044" i="12"/>
  <c r="F3053" i="12"/>
  <c r="E3053" i="12"/>
  <c r="F3050" i="12"/>
  <c r="H3050" i="12" s="1"/>
  <c r="F3049" i="12"/>
  <c r="E3049" i="12"/>
  <c r="F3048" i="12"/>
  <c r="H3048" i="12" s="1"/>
  <c r="H2798" i="12"/>
  <c r="E2800" i="12"/>
  <c r="H2800" i="12" s="1"/>
  <c r="H2624" i="12"/>
  <c r="H2621" i="12"/>
  <c r="F2623" i="12"/>
  <c r="H2623" i="12" s="1"/>
  <c r="F2622" i="12"/>
  <c r="H2622" i="12" s="1"/>
  <c r="H2398" i="12"/>
  <c r="H2399" i="12"/>
  <c r="H2400" i="12"/>
  <c r="E2397" i="12"/>
  <c r="H2397" i="12" s="1"/>
  <c r="H2202" i="12"/>
  <c r="H2196" i="12"/>
  <c r="E2199" i="12"/>
  <c r="H2199" i="12" s="1"/>
  <c r="E2198" i="12"/>
  <c r="H2198" i="12" s="1"/>
  <c r="H2023" i="12"/>
  <c r="H2022" i="12"/>
  <c r="H1847" i="12"/>
  <c r="F1849" i="12"/>
  <c r="H1849" i="12" s="1"/>
  <c r="H1610" i="12"/>
  <c r="H1611" i="12"/>
  <c r="H1612" i="12"/>
  <c r="H1617" i="12"/>
  <c r="H1618" i="12"/>
  <c r="H1609" i="12"/>
  <c r="F1620" i="12"/>
  <c r="H1620" i="12" s="1"/>
  <c r="E1616" i="12"/>
  <c r="H1616" i="12" s="1"/>
  <c r="F1613" i="12"/>
  <c r="H1613" i="12" s="1"/>
  <c r="H1321" i="12"/>
  <c r="H1322" i="12"/>
  <c r="H1324" i="12"/>
  <c r="H1325" i="12"/>
  <c r="H1326" i="12"/>
  <c r="H1320" i="12"/>
  <c r="F1333" i="12"/>
  <c r="H1333" i="12" s="1"/>
  <c r="E1330" i="12"/>
  <c r="H1330" i="12" s="1"/>
  <c r="F1327" i="12"/>
  <c r="H1327" i="12" s="1"/>
  <c r="E1323" i="12"/>
  <c r="H1323" i="12" s="1"/>
  <c r="H994" i="12"/>
  <c r="H995" i="12"/>
  <c r="H981" i="12"/>
  <c r="H982" i="12"/>
  <c r="H983" i="12"/>
  <c r="H984" i="12"/>
  <c r="H985" i="12"/>
  <c r="H986" i="12"/>
  <c r="H987" i="12"/>
  <c r="H988" i="12"/>
  <c r="H989" i="12"/>
  <c r="H979" i="12"/>
  <c r="F1000" i="12"/>
  <c r="H1000" i="12" s="1"/>
  <c r="F999" i="12"/>
  <c r="H999" i="12" s="1"/>
  <c r="F996" i="12"/>
  <c r="H996" i="12" s="1"/>
  <c r="F993" i="12"/>
  <c r="H993" i="12" s="1"/>
  <c r="F992" i="12"/>
  <c r="E992" i="12"/>
  <c r="E990" i="12"/>
  <c r="H990" i="12" s="1"/>
  <c r="E980" i="12"/>
  <c r="H980" i="12" s="1"/>
  <c r="H686" i="12"/>
  <c r="F690" i="12"/>
  <c r="H690" i="12" s="1"/>
  <c r="E688" i="12"/>
  <c r="H688" i="12" s="1"/>
  <c r="H492" i="12"/>
  <c r="H493" i="12"/>
  <c r="H494" i="12"/>
  <c r="H491" i="12"/>
  <c r="F496" i="12"/>
  <c r="E496" i="12"/>
  <c r="E555" i="12" s="1"/>
  <c r="H555" i="12" s="1"/>
  <c r="I548" i="12" s="1"/>
  <c r="I558" i="12" s="1"/>
  <c r="F3093" i="12"/>
  <c r="F3089" i="12"/>
  <c r="F3090" i="12"/>
  <c r="H3090" i="12" s="1"/>
  <c r="F3088" i="12"/>
  <c r="H3088" i="12" s="1"/>
  <c r="E3093" i="12"/>
  <c r="E3089" i="12"/>
  <c r="G3084" i="12"/>
  <c r="H3084" i="12" s="1"/>
  <c r="G3083" i="12"/>
  <c r="H3083" i="12" s="1"/>
  <c r="E2822" i="12"/>
  <c r="H2822" i="12" s="1"/>
  <c r="I2820" i="12" s="1"/>
  <c r="G2818" i="12"/>
  <c r="H2818" i="12" s="1"/>
  <c r="I2817" i="12" s="1"/>
  <c r="H2306" i="12"/>
  <c r="G2646" i="12"/>
  <c r="F2646" i="12"/>
  <c r="G2645" i="12"/>
  <c r="F2645" i="12"/>
  <c r="G2644" i="12"/>
  <c r="H2644" i="12" s="1"/>
  <c r="E2420" i="12"/>
  <c r="E2405" i="12"/>
  <c r="H2222" i="12"/>
  <c r="H2214" i="12"/>
  <c r="I2213" i="12" s="1"/>
  <c r="E2219" i="12"/>
  <c r="H2219" i="12" s="1"/>
  <c r="E2218" i="12"/>
  <c r="H2218" i="12" s="1"/>
  <c r="G2039" i="12"/>
  <c r="H2039" i="12" s="1"/>
  <c r="I2038" i="12" s="1"/>
  <c r="I1866" i="12"/>
  <c r="F1868" i="12"/>
  <c r="H1664" i="12"/>
  <c r="F1657" i="12"/>
  <c r="H1657" i="12" s="1"/>
  <c r="E1660" i="12"/>
  <c r="H1660" i="12" s="1"/>
  <c r="F1396" i="12"/>
  <c r="H1396" i="12" s="1"/>
  <c r="F1402" i="12"/>
  <c r="H1402" i="12" s="1"/>
  <c r="E1399" i="12"/>
  <c r="H1399" i="12" s="1"/>
  <c r="E1352" i="12"/>
  <c r="F1061" i="12"/>
  <c r="H1061" i="12" s="1"/>
  <c r="F1064" i="12"/>
  <c r="H1064" i="12" s="1"/>
  <c r="F1057" i="12"/>
  <c r="H1057" i="12" s="1"/>
  <c r="F1054" i="12"/>
  <c r="H1054" i="12" s="1"/>
  <c r="F1053" i="12"/>
  <c r="E1053" i="12"/>
  <c r="E1050" i="12"/>
  <c r="F717" i="12"/>
  <c r="H717" i="12" s="1"/>
  <c r="G715" i="12"/>
  <c r="E715" i="12"/>
  <c r="E537" i="12"/>
  <c r="E177" i="12"/>
  <c r="E176" i="12"/>
  <c r="B95" i="12"/>
  <c r="F2631" i="12"/>
  <c r="F2630" i="12"/>
  <c r="E1006" i="12"/>
  <c r="B83" i="12"/>
  <c r="B81" i="12"/>
  <c r="H1787" i="12"/>
  <c r="H1251" i="12"/>
  <c r="H1250" i="12"/>
  <c r="B78" i="12"/>
  <c r="B77" i="12"/>
  <c r="E1247" i="12"/>
  <c r="G1247" i="12" s="1"/>
  <c r="D1246" i="12"/>
  <c r="G1246" i="12" s="1"/>
  <c r="E1244" i="12"/>
  <c r="H1244" i="12" s="1"/>
  <c r="I1243" i="12" s="1"/>
  <c r="D2777" i="12"/>
  <c r="H2777" i="12" s="1"/>
  <c r="I2776" i="12" s="1"/>
  <c r="D2374" i="12"/>
  <c r="H2374" i="12" s="1"/>
  <c r="I2373" i="12" s="1"/>
  <c r="D1568" i="12"/>
  <c r="D1567" i="12"/>
  <c r="D1279" i="12"/>
  <c r="D1278" i="12"/>
  <c r="D934" i="12"/>
  <c r="D664" i="12"/>
  <c r="D2170" i="12"/>
  <c r="H2170" i="12" s="1"/>
  <c r="D665" i="12"/>
  <c r="H665" i="12" s="1"/>
  <c r="E305" i="12"/>
  <c r="H305" i="12" s="1"/>
  <c r="I194" i="12" l="1"/>
  <c r="AB84" i="12"/>
  <c r="AB80" i="12"/>
  <c r="AB87" i="12"/>
  <c r="AB83" i="12"/>
  <c r="AB90" i="12"/>
  <c r="AB86" i="12"/>
  <c r="AB82" i="12"/>
  <c r="AB89" i="12"/>
  <c r="AB85" i="12"/>
  <c r="AB81" i="12"/>
  <c r="AB88" i="12"/>
  <c r="H1271" i="12"/>
  <c r="I1264" i="12" s="1"/>
  <c r="H1259" i="12"/>
  <c r="I1258" i="12" s="1"/>
  <c r="H3059" i="12"/>
  <c r="H3058" i="12"/>
  <c r="I292" i="12"/>
  <c r="I2830" i="12"/>
  <c r="I3113" i="12"/>
  <c r="I2656" i="12"/>
  <c r="I2431" i="12"/>
  <c r="H3053" i="12"/>
  <c r="I2237" i="12"/>
  <c r="I2049" i="12"/>
  <c r="I1877" i="12"/>
  <c r="I1405" i="12"/>
  <c r="I730" i="12"/>
  <c r="I1081" i="12"/>
  <c r="I498" i="12"/>
  <c r="H176" i="12"/>
  <c r="H3049" i="12"/>
  <c r="I2797" i="12"/>
  <c r="I2620" i="12"/>
  <c r="I2195" i="12"/>
  <c r="I2396" i="12"/>
  <c r="I685" i="12"/>
  <c r="I2021" i="12"/>
  <c r="I1846" i="12"/>
  <c r="I1608" i="12"/>
  <c r="I1319" i="12"/>
  <c r="H992" i="12"/>
  <c r="I978" i="12" s="1"/>
  <c r="H496" i="12"/>
  <c r="I490" i="12" s="1"/>
  <c r="H2645" i="12"/>
  <c r="H3093" i="12"/>
  <c r="H3089" i="12"/>
  <c r="I3082" i="12"/>
  <c r="H2646" i="12"/>
  <c r="I2216" i="12"/>
  <c r="H2405" i="12"/>
  <c r="I2404" i="12" s="1"/>
  <c r="H2420" i="12"/>
  <c r="I2419" i="12" s="1"/>
  <c r="I2408" i="12"/>
  <c r="I1344" i="12"/>
  <c r="I1655" i="12"/>
  <c r="H1352" i="12"/>
  <c r="I1348" i="12" s="1"/>
  <c r="H1050" i="12"/>
  <c r="I1048" i="12" s="1"/>
  <c r="I1394" i="12"/>
  <c r="H1053" i="12"/>
  <c r="I1051" i="12" s="1"/>
  <c r="I1338" i="12"/>
  <c r="H715" i="12"/>
  <c r="I713" i="12" s="1"/>
  <c r="H537" i="12"/>
  <c r="I535" i="12" s="1"/>
  <c r="H177" i="12"/>
  <c r="H2631" i="12"/>
  <c r="H2630" i="12"/>
  <c r="I2633" i="12"/>
  <c r="I1627" i="12"/>
  <c r="H1006" i="12"/>
  <c r="I1004" i="12" s="1"/>
  <c r="I1007" i="12"/>
  <c r="I513" i="12"/>
  <c r="I158" i="12"/>
  <c r="I1249" i="12"/>
  <c r="I1245" i="12"/>
  <c r="H1495" i="12"/>
  <c r="H603" i="12"/>
  <c r="H2722" i="12"/>
  <c r="B90" i="12"/>
  <c r="B82" i="12"/>
  <c r="B92" i="12"/>
  <c r="B91" i="12"/>
  <c r="H283" i="12"/>
  <c r="H282" i="12"/>
  <c r="H1255" i="12"/>
  <c r="H1254" i="12"/>
  <c r="B84" i="12"/>
  <c r="H2322" i="12"/>
  <c r="H2323" i="12"/>
  <c r="H1962" i="12"/>
  <c r="H1517" i="12"/>
  <c r="H419" i="12"/>
  <c r="I418" i="12" s="1"/>
  <c r="B79" i="12"/>
  <c r="H2739" i="12"/>
  <c r="H2731" i="12"/>
  <c r="E2313" i="12"/>
  <c r="I1503" i="12"/>
  <c r="H1202" i="12"/>
  <c r="H255" i="12"/>
  <c r="H256" i="12"/>
  <c r="I2643" i="12" l="1"/>
  <c r="I3057" i="12"/>
  <c r="I3043" i="12"/>
  <c r="I174" i="12"/>
  <c r="I3086" i="12"/>
  <c r="I2628" i="12"/>
  <c r="I2321" i="12"/>
  <c r="I281" i="12"/>
  <c r="I1253" i="12"/>
  <c r="E2305" i="12"/>
  <c r="H1529" i="12"/>
  <c r="H3030" i="12"/>
  <c r="H3029" i="12"/>
  <c r="H333" i="12"/>
  <c r="I332" i="12" s="1"/>
  <c r="H1592" i="12"/>
  <c r="H1294" i="12"/>
  <c r="H1293" i="12"/>
  <c r="H3021" i="12"/>
  <c r="I3020" i="12" s="1"/>
  <c r="B109" i="12" l="1"/>
  <c r="H3037" i="12"/>
  <c r="H3038" i="12"/>
  <c r="H3039" i="12"/>
  <c r="H3036" i="12"/>
  <c r="H2390" i="12"/>
  <c r="I2389" i="12" s="1"/>
  <c r="H2284" i="12"/>
  <c r="H1833" i="12"/>
  <c r="I1832" i="12" s="1"/>
  <c r="H1751" i="12"/>
  <c r="E1750" i="12"/>
  <c r="H1586" i="12"/>
  <c r="H1585" i="12"/>
  <c r="H1483" i="12"/>
  <c r="H1484" i="12"/>
  <c r="H1292" i="12"/>
  <c r="I1291" i="12" s="1"/>
  <c r="H956" i="12"/>
  <c r="I955" i="12" s="1"/>
  <c r="B108" i="12"/>
  <c r="H682" i="12"/>
  <c r="I681" i="12" s="1"/>
  <c r="H597" i="12"/>
  <c r="D1818" i="12" l="1"/>
  <c r="H1818" i="12" s="1"/>
  <c r="D1817" i="12"/>
  <c r="I1584" i="12"/>
  <c r="I3035" i="12"/>
  <c r="S93" i="12"/>
  <c r="S94" i="12"/>
  <c r="S92" i="12"/>
  <c r="H272" i="12"/>
  <c r="S76" i="12"/>
  <c r="S77" i="12"/>
  <c r="S78" i="12"/>
  <c r="S96" i="12"/>
  <c r="S91" i="12"/>
  <c r="S80" i="12"/>
  <c r="S81" i="12"/>
  <c r="S82" i="12"/>
  <c r="S83" i="12"/>
  <c r="S85" i="12"/>
  <c r="S86" i="12"/>
  <c r="B80" i="12"/>
  <c r="H1498" i="12"/>
  <c r="H606" i="12"/>
  <c r="I973" i="12"/>
  <c r="I32" i="12" s="1"/>
  <c r="H970" i="12"/>
  <c r="I970" i="12" s="1"/>
  <c r="H968" i="12"/>
  <c r="I967" i="12" s="1"/>
  <c r="H965" i="12"/>
  <c r="I964" i="12" s="1"/>
  <c r="B51" i="12" l="1"/>
  <c r="E119" i="14"/>
  <c r="B70" i="12"/>
  <c r="U118" i="14" l="1"/>
  <c r="W118" i="14" s="1"/>
  <c r="Y118" i="14" s="1"/>
  <c r="U117" i="14"/>
  <c r="W117" i="14" s="1"/>
  <c r="Y117" i="14" s="1"/>
  <c r="U116" i="14"/>
  <c r="W116" i="14" s="1"/>
  <c r="Y116" i="14" s="1"/>
  <c r="U115" i="14"/>
  <c r="W115" i="14" s="1"/>
  <c r="U114" i="14"/>
  <c r="U119" i="14" s="1"/>
  <c r="Y113" i="14"/>
  <c r="W113" i="14"/>
  <c r="Y112" i="14"/>
  <c r="W112" i="14"/>
  <c r="Y111" i="14"/>
  <c r="W111" i="14"/>
  <c r="Y110" i="14"/>
  <c r="W110" i="14"/>
  <c r="Y109" i="14"/>
  <c r="W109" i="14"/>
  <c r="Y108" i="14"/>
  <c r="W108" i="14"/>
  <c r="Y107" i="14"/>
  <c r="W107" i="14"/>
  <c r="Y106" i="14"/>
  <c r="W106" i="14"/>
  <c r="Y104" i="14"/>
  <c r="W104" i="14"/>
  <c r="Y103" i="14"/>
  <c r="W103" i="14"/>
  <c r="Y102" i="14"/>
  <c r="W102" i="14"/>
  <c r="Y100" i="14"/>
  <c r="W100" i="14"/>
  <c r="Y99" i="14"/>
  <c r="W99" i="14"/>
  <c r="Y98" i="14"/>
  <c r="W98" i="14"/>
  <c r="Y97" i="14"/>
  <c r="W97" i="14"/>
  <c r="Y96" i="14"/>
  <c r="W96" i="14"/>
  <c r="Y94" i="14"/>
  <c r="W94" i="14"/>
  <c r="Y93" i="14"/>
  <c r="W93" i="14"/>
  <c r="Y92" i="14"/>
  <c r="W92" i="14"/>
  <c r="Y91" i="14"/>
  <c r="W91" i="14"/>
  <c r="Q91" i="14"/>
  <c r="Z91" i="14" s="1"/>
  <c r="Y90" i="14"/>
  <c r="W90" i="14"/>
  <c r="Q90" i="14"/>
  <c r="Z90" i="14" s="1"/>
  <c r="Y89" i="14"/>
  <c r="W89" i="14"/>
  <c r="Y88" i="14"/>
  <c r="W88" i="14"/>
  <c r="Y87" i="14"/>
  <c r="W87" i="14"/>
  <c r="Y86" i="14"/>
  <c r="W86" i="14"/>
  <c r="Y84" i="14"/>
  <c r="W84" i="14"/>
  <c r="Y83" i="14"/>
  <c r="W83" i="14"/>
  <c r="Y82" i="14"/>
  <c r="W82" i="14"/>
  <c r="Y81" i="14"/>
  <c r="W81" i="14"/>
  <c r="Y80" i="14"/>
  <c r="W80" i="14"/>
  <c r="Y79" i="14"/>
  <c r="W79" i="14"/>
  <c r="Y78" i="14"/>
  <c r="W78" i="14"/>
  <c r="Y77" i="14"/>
  <c r="W77" i="14"/>
  <c r="Y76" i="14"/>
  <c r="W76" i="14"/>
  <c r="Y74" i="14"/>
  <c r="W74" i="14"/>
  <c r="Y73" i="14"/>
  <c r="W73" i="14"/>
  <c r="Y72" i="14"/>
  <c r="W72" i="14"/>
  <c r="Y71" i="14"/>
  <c r="W71" i="14"/>
  <c r="Y70" i="14"/>
  <c r="W70" i="14"/>
  <c r="Y69" i="14"/>
  <c r="W69" i="14"/>
  <c r="Y68" i="14"/>
  <c r="W68" i="14"/>
  <c r="Y66" i="14"/>
  <c r="W66" i="14"/>
  <c r="U64" i="14"/>
  <c r="Y63" i="14"/>
  <c r="W63" i="14"/>
  <c r="Y62" i="14"/>
  <c r="W62" i="14"/>
  <c r="Y61" i="14"/>
  <c r="W61" i="14"/>
  <c r="AB58" i="14"/>
  <c r="Y58" i="14"/>
  <c r="W58" i="14"/>
  <c r="Y57" i="14"/>
  <c r="W57" i="14"/>
  <c r="AB57" i="14"/>
  <c r="Y56" i="14"/>
  <c r="W56" i="14"/>
  <c r="AB56" i="14"/>
  <c r="AB55" i="14"/>
  <c r="Y55" i="14"/>
  <c r="W55" i="14"/>
  <c r="AB54" i="14"/>
  <c r="Y54" i="14"/>
  <c r="W54" i="14"/>
  <c r="AB53" i="14"/>
  <c r="Y53" i="14"/>
  <c r="W53" i="14"/>
  <c r="Q53" i="14"/>
  <c r="Z53" i="14" s="1"/>
  <c r="AB52" i="14"/>
  <c r="Y52" i="14"/>
  <c r="W52" i="14"/>
  <c r="Q52" i="14"/>
  <c r="Z52" i="14" s="1"/>
  <c r="AB51" i="14"/>
  <c r="Y51" i="14"/>
  <c r="W51" i="14"/>
  <c r="Q51" i="14"/>
  <c r="Z51" i="14" s="1"/>
  <c r="AB50" i="14"/>
  <c r="Y50" i="14"/>
  <c r="W50" i="14"/>
  <c r="AB49" i="14"/>
  <c r="Y49" i="14"/>
  <c r="W49" i="14"/>
  <c r="AB48" i="14"/>
  <c r="Y48" i="14"/>
  <c r="W48" i="14"/>
  <c r="AB47" i="14"/>
  <c r="Y47" i="14"/>
  <c r="W47" i="14"/>
  <c r="AB46" i="14"/>
  <c r="Y46" i="14"/>
  <c r="W46" i="14"/>
  <c r="AB45" i="14"/>
  <c r="Y45" i="14"/>
  <c r="W45" i="14"/>
  <c r="AB44" i="14"/>
  <c r="Y44" i="14"/>
  <c r="W44" i="14"/>
  <c r="AB43" i="14"/>
  <c r="Y43" i="14"/>
  <c r="W43" i="14"/>
  <c r="AB42" i="14"/>
  <c r="Y42" i="14"/>
  <c r="W42" i="14"/>
  <c r="AB41" i="14"/>
  <c r="Y41" i="14"/>
  <c r="W41" i="14"/>
  <c r="Y40" i="14"/>
  <c r="W40" i="14"/>
  <c r="Y39" i="14"/>
  <c r="W39" i="14"/>
  <c r="AB38" i="14"/>
  <c r="Y38" i="14"/>
  <c r="W38" i="14"/>
  <c r="AB37" i="14"/>
  <c r="Y37" i="14"/>
  <c r="W37" i="14"/>
  <c r="U35" i="14"/>
  <c r="Y25" i="14"/>
  <c r="W25" i="14"/>
  <c r="AB25" i="14"/>
  <c r="AB24" i="14"/>
  <c r="Y24" i="14"/>
  <c r="W24" i="14"/>
  <c r="AB23" i="14"/>
  <c r="Y23" i="14"/>
  <c r="W23" i="14"/>
  <c r="AB22" i="14"/>
  <c r="Y22" i="14"/>
  <c r="W22" i="14"/>
  <c r="Y21" i="14"/>
  <c r="W21" i="14"/>
  <c r="AB21" i="14"/>
  <c r="U20" i="14"/>
  <c r="Y19" i="14"/>
  <c r="W19" i="14"/>
  <c r="AB18" i="14"/>
  <c r="Y18" i="14"/>
  <c r="W18" i="14"/>
  <c r="AB17" i="14"/>
  <c r="Y17" i="14"/>
  <c r="W17" i="14"/>
  <c r="Q17" i="14"/>
  <c r="Z17" i="14" s="1"/>
  <c r="Y16" i="14"/>
  <c r="W16" i="14"/>
  <c r="AB14" i="14"/>
  <c r="Y14" i="14"/>
  <c r="W14" i="14"/>
  <c r="AB13" i="14"/>
  <c r="Y13" i="14"/>
  <c r="W13" i="14"/>
  <c r="Y12" i="14"/>
  <c r="W12" i="14"/>
  <c r="Y11" i="14"/>
  <c r="W11" i="14"/>
  <c r="AE10" i="14"/>
  <c r="AB10" i="14"/>
  <c r="Y10" i="14"/>
  <c r="W10" i="14"/>
  <c r="U9" i="14"/>
  <c r="AD7" i="14"/>
  <c r="AD6" i="14"/>
  <c r="J2338" i="12"/>
  <c r="H2339" i="12"/>
  <c r="I2338" i="12" s="1"/>
  <c r="H1297" i="12"/>
  <c r="I1296" i="12" s="1"/>
  <c r="H271" i="12"/>
  <c r="J274" i="12"/>
  <c r="B86" i="12"/>
  <c r="B85" i="12"/>
  <c r="H1947" i="12"/>
  <c r="H1946" i="12"/>
  <c r="H402" i="12"/>
  <c r="H802" i="12"/>
  <c r="H600" i="12"/>
  <c r="I599" i="12" s="1"/>
  <c r="H596" i="12"/>
  <c r="I595" i="12" s="1"/>
  <c r="W20" i="14" l="1"/>
  <c r="R51" i="14"/>
  <c r="AD51" i="14" s="1"/>
  <c r="U8" i="14"/>
  <c r="Y20" i="14"/>
  <c r="Y35" i="14"/>
  <c r="W64" i="14"/>
  <c r="R90" i="14"/>
  <c r="AA90" i="14" s="1"/>
  <c r="AC19" i="14"/>
  <c r="W35" i="14"/>
  <c r="Y64" i="14"/>
  <c r="R17" i="14"/>
  <c r="AD17" i="14" s="1"/>
  <c r="R91" i="14"/>
  <c r="AD91" i="14" s="1"/>
  <c r="R53" i="14"/>
  <c r="AD53" i="14" s="1"/>
  <c r="AB65" i="14"/>
  <c r="AC12" i="14"/>
  <c r="AC16" i="14"/>
  <c r="R52" i="14"/>
  <c r="AB64" i="14"/>
  <c r="AB97" i="14"/>
  <c r="AB66" i="14"/>
  <c r="AB63" i="14"/>
  <c r="AC72" i="14"/>
  <c r="AC62" i="14"/>
  <c r="AB91" i="14"/>
  <c r="AB93" i="14"/>
  <c r="AB95" i="14"/>
  <c r="AB90" i="14"/>
  <c r="AC90" i="14" s="1"/>
  <c r="AB92" i="14"/>
  <c r="AB94" i="14"/>
  <c r="AB96" i="14"/>
  <c r="AB98" i="14"/>
  <c r="AC91" i="14" l="1"/>
  <c r="AD90" i="14"/>
  <c r="AA91" i="14"/>
  <c r="AC17" i="14"/>
  <c r="AC51" i="14"/>
  <c r="AA51" i="14"/>
  <c r="AC36" i="14"/>
  <c r="AA17" i="14"/>
  <c r="AA53" i="14"/>
  <c r="AC53" i="14"/>
  <c r="AC35" i="14"/>
  <c r="AC61" i="14"/>
  <c r="AC52" i="14"/>
  <c r="AA52" i="14"/>
  <c r="AD52" i="14"/>
  <c r="AC9" i="14"/>
  <c r="AB9" i="14"/>
  <c r="AB62" i="14"/>
  <c r="H2907" i="12"/>
  <c r="H2908" i="12"/>
  <c r="H2909" i="12"/>
  <c r="H2910" i="12"/>
  <c r="H2911" i="12"/>
  <c r="H2906" i="12"/>
  <c r="H1784" i="12"/>
  <c r="I1783" i="12" s="1"/>
  <c r="J1784" i="12"/>
  <c r="J1783" i="12" s="1"/>
  <c r="B115" i="12"/>
  <c r="H1599" i="12"/>
  <c r="I1598" i="12" s="1"/>
  <c r="B114" i="12"/>
  <c r="H2017" i="12"/>
  <c r="H2016" i="12"/>
  <c r="E1966" i="12"/>
  <c r="H1966" i="12" s="1"/>
  <c r="H417" i="12"/>
  <c r="H415" i="12"/>
  <c r="H416" i="12"/>
  <c r="AC8" i="14" l="1"/>
  <c r="AB61" i="14"/>
  <c r="H118" i="14"/>
  <c r="H115" i="14"/>
  <c r="H116" i="14"/>
  <c r="H117" i="14"/>
  <c r="K115" i="14"/>
  <c r="I2015" i="12"/>
  <c r="K118" i="14" l="1"/>
  <c r="K116" i="14"/>
  <c r="K119" i="14" s="1"/>
  <c r="H119" i="14"/>
  <c r="E2326" i="12"/>
  <c r="J2326" i="12" s="1"/>
  <c r="J2325" i="12" s="1"/>
  <c r="H302" i="12"/>
  <c r="B87" i="12"/>
  <c r="H1747" i="12"/>
  <c r="H1478" i="12"/>
  <c r="J1503" i="12"/>
  <c r="B116" i="12"/>
  <c r="B117" i="12"/>
  <c r="B118" i="12"/>
  <c r="B119" i="12"/>
  <c r="B120" i="12"/>
  <c r="B121" i="12"/>
  <c r="H1213" i="12"/>
  <c r="H1214" i="12"/>
  <c r="H1211" i="12"/>
  <c r="H1210" i="12"/>
  <c r="P116" i="14" l="1"/>
  <c r="P115" i="14"/>
  <c r="P118" i="14"/>
  <c r="AB117" i="14"/>
  <c r="R117" i="14"/>
  <c r="H2326" i="12"/>
  <c r="I2325" i="12" s="1"/>
  <c r="I1209" i="12"/>
  <c r="I1212" i="12"/>
  <c r="Y9" i="14" l="1"/>
  <c r="Y8" i="14" s="1"/>
  <c r="Y114" i="14" s="1"/>
  <c r="Y119" i="14" s="1"/>
  <c r="W9" i="14"/>
  <c r="W8" i="14" s="1"/>
  <c r="W114" i="14" s="1"/>
  <c r="W119" i="14" s="1"/>
  <c r="P119" i="14"/>
  <c r="AA117" i="14"/>
  <c r="AC117" i="14"/>
  <c r="H240" i="12"/>
  <c r="I239" i="12" s="1"/>
  <c r="B110" i="12"/>
  <c r="B66" i="12"/>
  <c r="C66" i="12" s="1"/>
  <c r="B67" i="12"/>
  <c r="C67" i="12" s="1"/>
  <c r="B68" i="12"/>
  <c r="C68" i="12" s="1"/>
  <c r="B69" i="12"/>
  <c r="C69" i="12" s="1"/>
  <c r="B71" i="12"/>
  <c r="C71" i="12" s="1"/>
  <c r="B72" i="12"/>
  <c r="C72" i="12" s="1"/>
  <c r="B73" i="12"/>
  <c r="C73" i="12" s="1"/>
  <c r="B76" i="12"/>
  <c r="B65" i="12"/>
  <c r="C65" i="12" s="1"/>
  <c r="H1605" i="12"/>
  <c r="I1604" i="12" s="1"/>
  <c r="H1602" i="12"/>
  <c r="I1601" i="12" s="1"/>
  <c r="H1300" i="12"/>
  <c r="H1302" i="12"/>
  <c r="I1301" i="12" s="1"/>
  <c r="H1315" i="12"/>
  <c r="I1314" i="12" s="1"/>
  <c r="H1310" i="12"/>
  <c r="I1309" i="12" s="1"/>
  <c r="H1313" i="12"/>
  <c r="I1312" i="12" s="1"/>
  <c r="H1306" i="12"/>
  <c r="I1305" i="12" s="1"/>
  <c r="H486" i="12"/>
  <c r="I485" i="12" s="1"/>
  <c r="H483" i="12"/>
  <c r="I482" i="12" s="1"/>
  <c r="H330" i="12"/>
  <c r="I329" i="12" s="1"/>
  <c r="H336" i="12"/>
  <c r="I335" i="12" s="1"/>
  <c r="H2283" i="12"/>
  <c r="I2282" i="12" s="1"/>
  <c r="I1746" i="12"/>
  <c r="H1567" i="12"/>
  <c r="H1568" i="12"/>
  <c r="H1482" i="12"/>
  <c r="H1279" i="12"/>
  <c r="H1750" i="12"/>
  <c r="H1185" i="12"/>
  <c r="H1184" i="12"/>
  <c r="H664" i="12"/>
  <c r="I663" i="12" s="1"/>
  <c r="H842" i="12"/>
  <c r="H679" i="12"/>
  <c r="I1183" i="12" l="1"/>
  <c r="H1817" i="12"/>
  <c r="I1816" i="12" s="1"/>
  <c r="I1299" i="12"/>
  <c r="I1566" i="12"/>
  <c r="H426" i="12" l="1"/>
  <c r="I425" i="12" s="1"/>
  <c r="H397" i="12"/>
  <c r="H384" i="12"/>
  <c r="I383" i="12" s="1"/>
  <c r="H312" i="12"/>
  <c r="H321" i="12"/>
  <c r="H322" i="12"/>
  <c r="H316" i="12"/>
  <c r="H310" i="12"/>
  <c r="I309" i="12" s="1"/>
  <c r="H308" i="12"/>
  <c r="I307" i="12" s="1"/>
  <c r="H276" i="12"/>
  <c r="J265" i="12"/>
  <c r="H259" i="12"/>
  <c r="I258" i="12" s="1"/>
  <c r="J248" i="12"/>
  <c r="H249" i="12"/>
  <c r="H231" i="12"/>
  <c r="I254" i="12" l="1"/>
  <c r="H232" i="12"/>
  <c r="I230" i="12" s="1"/>
  <c r="H216" i="12"/>
  <c r="H213" i="12"/>
  <c r="I212" i="12" s="1"/>
  <c r="H948" i="12" l="1"/>
  <c r="I947" i="12" s="1"/>
  <c r="J947" i="12"/>
  <c r="H474" i="12"/>
  <c r="I473" i="12" s="1"/>
  <c r="J473" i="12"/>
  <c r="H3025" i="12"/>
  <c r="I3024" i="12" s="1"/>
  <c r="J3024" i="12"/>
  <c r="E2948" i="12"/>
  <c r="H3028" i="12"/>
  <c r="I3027" i="12" s="1"/>
  <c r="J3027" i="12"/>
  <c r="H3033" i="12"/>
  <c r="I3032" i="12" s="1"/>
  <c r="J3032" i="12"/>
  <c r="D2793" i="12"/>
  <c r="H2794" i="12"/>
  <c r="E2750" i="12"/>
  <c r="H2750" i="12" s="1"/>
  <c r="D2392" i="12"/>
  <c r="H2187" i="12"/>
  <c r="H2188" i="12"/>
  <c r="E2142" i="12"/>
  <c r="H2142" i="12" s="1"/>
  <c r="E2141" i="12"/>
  <c r="H2141" i="12" s="1"/>
  <c r="H2180" i="12"/>
  <c r="H2191" i="12"/>
  <c r="I2190" i="12" s="1"/>
  <c r="H1838" i="12"/>
  <c r="I1837" i="12" s="1"/>
  <c r="D1588" i="12"/>
  <c r="H1588" i="12" s="1"/>
  <c r="I2140" i="12" l="1"/>
  <c r="I2749" i="12"/>
  <c r="H1528" i="12" l="1"/>
  <c r="H1595" i="12" l="1"/>
  <c r="H1591" i="12"/>
  <c r="I1590" i="12" s="1"/>
  <c r="J1521" i="12"/>
  <c r="J1520" i="12" s="1"/>
  <c r="H1521" i="12"/>
  <c r="I1520" i="12" s="1"/>
  <c r="E1527" i="12"/>
  <c r="H1527" i="12" s="1"/>
  <c r="I1526" i="12" s="1"/>
  <c r="E1225" i="12"/>
  <c r="H1225" i="12" s="1"/>
  <c r="I1224" i="12" s="1"/>
  <c r="D951" i="12"/>
  <c r="H951" i="12" s="1"/>
  <c r="J1222" i="12"/>
  <c r="J1221" i="12" s="1"/>
  <c r="H1222" i="12"/>
  <c r="I1221" i="12" s="1"/>
  <c r="H853" i="12"/>
  <c r="H953" i="12"/>
  <c r="H960" i="12"/>
  <c r="I959" i="12" s="1"/>
  <c r="E841" i="12"/>
  <c r="H841" i="12" s="1"/>
  <c r="I840" i="12" s="1"/>
  <c r="D480" i="12"/>
  <c r="E627" i="12"/>
  <c r="H627" i="12" s="1"/>
  <c r="I626" i="12" s="1"/>
  <c r="I1594" i="12" l="1"/>
  <c r="H327" i="12"/>
  <c r="H325" i="12"/>
  <c r="I324" i="12" s="1"/>
  <c r="E224" i="12"/>
  <c r="H224" i="12" s="1"/>
  <c r="E286" i="12"/>
  <c r="H286" i="12" s="1"/>
  <c r="E290" i="12"/>
  <c r="H290" i="12" s="1"/>
  <c r="E289" i="12"/>
  <c r="H289" i="12" s="1"/>
  <c r="H268" i="12"/>
  <c r="H269" i="12"/>
  <c r="H270" i="12"/>
  <c r="H2793" i="12"/>
  <c r="I2792" i="12" s="1"/>
  <c r="H2704" i="12"/>
  <c r="I2703" i="12" s="1"/>
  <c r="H2616" i="12"/>
  <c r="I2615" i="12" s="1"/>
  <c r="H2489" i="12"/>
  <c r="I2488" i="12" s="1"/>
  <c r="H2392" i="12"/>
  <c r="I2391" i="12" s="1"/>
  <c r="E2280" i="12"/>
  <c r="H2280" i="12" s="1"/>
  <c r="I2279" i="12" s="1"/>
  <c r="H2186" i="12"/>
  <c r="I2185" i="12" s="1"/>
  <c r="H2104" i="12"/>
  <c r="I2103" i="12" s="1"/>
  <c r="H2012" i="12"/>
  <c r="I2011" i="12" s="1"/>
  <c r="H1835" i="12"/>
  <c r="I1834" i="12" s="1"/>
  <c r="E1928" i="12"/>
  <c r="H1928" i="12" s="1"/>
  <c r="I1927" i="12" s="1"/>
  <c r="I1587" i="12"/>
  <c r="E1477" i="12"/>
  <c r="H1477" i="12" s="1"/>
  <c r="I1476" i="12" s="1"/>
  <c r="H1278" i="12"/>
  <c r="I1277" i="12" s="1"/>
  <c r="H1182" i="12"/>
  <c r="I1181" i="12" s="1"/>
  <c r="E801" i="12"/>
  <c r="D935" i="12" s="1"/>
  <c r="H935" i="12" s="1"/>
  <c r="H799" i="12"/>
  <c r="I798" i="12" s="1"/>
  <c r="H952" i="12"/>
  <c r="I950" i="12" s="1"/>
  <c r="H594" i="12"/>
  <c r="I593" i="12" s="1"/>
  <c r="H678" i="12"/>
  <c r="I677" i="12" s="1"/>
  <c r="J661" i="12"/>
  <c r="I396" i="12"/>
  <c r="H391" i="12"/>
  <c r="I390" i="12" s="1"/>
  <c r="J300" i="12"/>
  <c r="H480" i="12"/>
  <c r="I479" i="12" s="1"/>
  <c r="J463" i="12"/>
  <c r="H319" i="12"/>
  <c r="H320" i="12"/>
  <c r="H318" i="12"/>
  <c r="H1576" i="12"/>
  <c r="H939" i="12"/>
  <c r="I938" i="12" s="1"/>
  <c r="H670" i="12"/>
  <c r="I669" i="12" s="1"/>
  <c r="E223" i="12"/>
  <c r="E221" i="12"/>
  <c r="E304" i="12" s="1"/>
  <c r="H227" i="12"/>
  <c r="I226" i="12" s="1"/>
  <c r="H304" i="12" l="1"/>
  <c r="I303" i="12" s="1"/>
  <c r="H221" i="12"/>
  <c r="I326" i="12"/>
  <c r="H801" i="12"/>
  <c r="I800" i="12" s="1"/>
  <c r="I317" i="12"/>
  <c r="I285" i="12"/>
  <c r="I288" i="12"/>
  <c r="H934" i="12" l="1"/>
  <c r="I933" i="12" s="1"/>
  <c r="H3018" i="12"/>
  <c r="J3017" i="12"/>
  <c r="H3016" i="12"/>
  <c r="I3015" i="12" s="1"/>
  <c r="J3015" i="12"/>
  <c r="H3014" i="12"/>
  <c r="I3013" i="12" s="1"/>
  <c r="J3013" i="12"/>
  <c r="H3012" i="12"/>
  <c r="I3011" i="12" s="1"/>
  <c r="J3011" i="12"/>
  <c r="H3010" i="12"/>
  <c r="H3009" i="12"/>
  <c r="H3008" i="12"/>
  <c r="J3007" i="12"/>
  <c r="H3006" i="12"/>
  <c r="H3004" i="12"/>
  <c r="H3002" i="12"/>
  <c r="J3000" i="12"/>
  <c r="H2999" i="12"/>
  <c r="H2998" i="12"/>
  <c r="J2997" i="12"/>
  <c r="H2959" i="12"/>
  <c r="I2958" i="12" s="1"/>
  <c r="J2958" i="12"/>
  <c r="H2957" i="12"/>
  <c r="I2956" i="12" s="1"/>
  <c r="J2956" i="12"/>
  <c r="H2955" i="12"/>
  <c r="I2954" i="12" s="1"/>
  <c r="J2954" i="12"/>
  <c r="J2953" i="12"/>
  <c r="J2952" i="12" s="1"/>
  <c r="H2953" i="12"/>
  <c r="I2952" i="12" s="1"/>
  <c r="J2948" i="12"/>
  <c r="J2947" i="12" s="1"/>
  <c r="H2948" i="12"/>
  <c r="I2947" i="12" s="1"/>
  <c r="J2946" i="12"/>
  <c r="J2945" i="12" s="1"/>
  <c r="H2946" i="12"/>
  <c r="I2945" i="12" s="1"/>
  <c r="J2938" i="12"/>
  <c r="J2936" i="12" s="1"/>
  <c r="H2938" i="12"/>
  <c r="J2937" i="12"/>
  <c r="H2937" i="12"/>
  <c r="J2935" i="12"/>
  <c r="J2934" i="12" s="1"/>
  <c r="H2935" i="12"/>
  <c r="I2934" i="12" s="1"/>
  <c r="J2931" i="12"/>
  <c r="H2931" i="12"/>
  <c r="J2930" i="12"/>
  <c r="H2930" i="12"/>
  <c r="J2929" i="12"/>
  <c r="J2928" i="12" s="1"/>
  <c r="H2929" i="12"/>
  <c r="J2927" i="12"/>
  <c r="J2926" i="12" s="1"/>
  <c r="H2927" i="12"/>
  <c r="I2926" i="12" s="1"/>
  <c r="J2923" i="12"/>
  <c r="H2923" i="12"/>
  <c r="J2922" i="12"/>
  <c r="H2922" i="12"/>
  <c r="J2921" i="12"/>
  <c r="J2920" i="12" s="1"/>
  <c r="H2921" i="12"/>
  <c r="H2919" i="12"/>
  <c r="J2918" i="12"/>
  <c r="J2917" i="12" s="1"/>
  <c r="H2918" i="12"/>
  <c r="H2915" i="12"/>
  <c r="I2914" i="12" s="1"/>
  <c r="J2914" i="12"/>
  <c r="H2913" i="12"/>
  <c r="I2912" i="12" s="1"/>
  <c r="J2912" i="12"/>
  <c r="J2911" i="12"/>
  <c r="J2910" i="12"/>
  <c r="J2909" i="12"/>
  <c r="J2908" i="12"/>
  <c r="J2907" i="12"/>
  <c r="J2906" i="12"/>
  <c r="J2905" i="12"/>
  <c r="J2904" i="12" s="1"/>
  <c r="J2903" i="12"/>
  <c r="H2903" i="12"/>
  <c r="J2902" i="12"/>
  <c r="H2902" i="12"/>
  <c r="J2901" i="12"/>
  <c r="H2901" i="12"/>
  <c r="J2900" i="12"/>
  <c r="H2900" i="12"/>
  <c r="J2899" i="12"/>
  <c r="H2899" i="12"/>
  <c r="J2898" i="12"/>
  <c r="H2898" i="12"/>
  <c r="J2897" i="12"/>
  <c r="J2896" i="12" s="1"/>
  <c r="H2897" i="12"/>
  <c r="J2895" i="12"/>
  <c r="H2895" i="12"/>
  <c r="J2894" i="12"/>
  <c r="H2894" i="12"/>
  <c r="J2893" i="12"/>
  <c r="H2893" i="12"/>
  <c r="J2892" i="12"/>
  <c r="H2892" i="12"/>
  <c r="J2891" i="12"/>
  <c r="H2891" i="12"/>
  <c r="J2890" i="12"/>
  <c r="J2888" i="12" s="1"/>
  <c r="H2890" i="12"/>
  <c r="J2887" i="12"/>
  <c r="H2887" i="12"/>
  <c r="J2886" i="12"/>
  <c r="J2885" i="12" s="1"/>
  <c r="H2886" i="12"/>
  <c r="I2885" i="12" s="1"/>
  <c r="J2884" i="12"/>
  <c r="H2884" i="12"/>
  <c r="J2883" i="12"/>
  <c r="J2882" i="12" s="1"/>
  <c r="H2883" i="12"/>
  <c r="I2882" i="12" s="1"/>
  <c r="J2881" i="12"/>
  <c r="H2881" i="12"/>
  <c r="J2880" i="12"/>
  <c r="J2879" i="12" s="1"/>
  <c r="H2880" i="12"/>
  <c r="I2879" i="12" s="1"/>
  <c r="H2790" i="12"/>
  <c r="I2789" i="12" s="1"/>
  <c r="J2789" i="12"/>
  <c r="H2788" i="12"/>
  <c r="I2787" i="12" s="1"/>
  <c r="J2787" i="12"/>
  <c r="H2786" i="12"/>
  <c r="I2785" i="12" s="1"/>
  <c r="J2785" i="12"/>
  <c r="H2784" i="12"/>
  <c r="I2783" i="12" s="1"/>
  <c r="J2783" i="12"/>
  <c r="H2782" i="12"/>
  <c r="H2781" i="12"/>
  <c r="H2780" i="12"/>
  <c r="J2779" i="12"/>
  <c r="H2775" i="12"/>
  <c r="H2765" i="12"/>
  <c r="I2764" i="12" s="1"/>
  <c r="J2764" i="12"/>
  <c r="H2763" i="12"/>
  <c r="I2762" i="12" s="1"/>
  <c r="J2762" i="12"/>
  <c r="H2761" i="12"/>
  <c r="I2760" i="12" s="1"/>
  <c r="J2760" i="12"/>
  <c r="J2759" i="12"/>
  <c r="J2758" i="12" s="1"/>
  <c r="H2759" i="12"/>
  <c r="I2758" i="12" s="1"/>
  <c r="J2755" i="12"/>
  <c r="J2754" i="12" s="1"/>
  <c r="H2755" i="12"/>
  <c r="I2754" i="12" s="1"/>
  <c r="J2753" i="12"/>
  <c r="J2752" i="12" s="1"/>
  <c r="H2753" i="12"/>
  <c r="I2752" i="12" s="1"/>
  <c r="J2748" i="12"/>
  <c r="J2746" i="12" s="1"/>
  <c r="H2748" i="12"/>
  <c r="J2747" i="12"/>
  <c r="H2747" i="12"/>
  <c r="J2745" i="12"/>
  <c r="J2744" i="12" s="1"/>
  <c r="H2745" i="12"/>
  <c r="I2744" i="12" s="1"/>
  <c r="J2741" i="12"/>
  <c r="J2740" i="12"/>
  <c r="J2739" i="12"/>
  <c r="J2738" i="12" s="1"/>
  <c r="J2737" i="12"/>
  <c r="J2736" i="12" s="1"/>
  <c r="H2737" i="12"/>
  <c r="I2736" i="12" s="1"/>
  <c r="J2733" i="12"/>
  <c r="H2733" i="12"/>
  <c r="J2732" i="12"/>
  <c r="H2732" i="12"/>
  <c r="J2731" i="12"/>
  <c r="J2730" i="12" s="1"/>
  <c r="H2729" i="12"/>
  <c r="J2728" i="12"/>
  <c r="J2727" i="12" s="1"/>
  <c r="H2728" i="12"/>
  <c r="H2725" i="12"/>
  <c r="I2724" i="12" s="1"/>
  <c r="J2724" i="12"/>
  <c r="H2723" i="12"/>
  <c r="I2721" i="12" s="1"/>
  <c r="J2721" i="12"/>
  <c r="J2720" i="12"/>
  <c r="H2720" i="12"/>
  <c r="J2719" i="12"/>
  <c r="H2719" i="12"/>
  <c r="J2718" i="12"/>
  <c r="H2718" i="12"/>
  <c r="J2717" i="12"/>
  <c r="H2717" i="12"/>
  <c r="J2716" i="12"/>
  <c r="H2716" i="12"/>
  <c r="J2715" i="12"/>
  <c r="H2715" i="12"/>
  <c r="J2714" i="12"/>
  <c r="J2713" i="12" s="1"/>
  <c r="H2714" i="12"/>
  <c r="J2712" i="12"/>
  <c r="H2712" i="12"/>
  <c r="J2711" i="12"/>
  <c r="H2711" i="12"/>
  <c r="J2710" i="12"/>
  <c r="H2710" i="12"/>
  <c r="J2709" i="12"/>
  <c r="H2709" i="12"/>
  <c r="J2708" i="12"/>
  <c r="H2708" i="12"/>
  <c r="J2707" i="12"/>
  <c r="H2707" i="12"/>
  <c r="J2706" i="12"/>
  <c r="J2705" i="12" s="1"/>
  <c r="H2706" i="12"/>
  <c r="J2702" i="12"/>
  <c r="H2702" i="12"/>
  <c r="J2701" i="12"/>
  <c r="J2700" i="12" s="1"/>
  <c r="H2701" i="12"/>
  <c r="I2700" i="12" s="1"/>
  <c r="J2699" i="12"/>
  <c r="H2699" i="12"/>
  <c r="J2698" i="12"/>
  <c r="J2697" i="12" s="1"/>
  <c r="H2698" i="12"/>
  <c r="J2696" i="12"/>
  <c r="H2696" i="12"/>
  <c r="J2695" i="12"/>
  <c r="J2694" i="12" s="1"/>
  <c r="H2695" i="12"/>
  <c r="I2694" i="12" s="1"/>
  <c r="H2613" i="12"/>
  <c r="I2612" i="12" s="1"/>
  <c r="J2612" i="12"/>
  <c r="H2611" i="12"/>
  <c r="I2610" i="12" s="1"/>
  <c r="J2610" i="12"/>
  <c r="H2609" i="12"/>
  <c r="I2608" i="12" s="1"/>
  <c r="J2608" i="12"/>
  <c r="H2607" i="12"/>
  <c r="I2606" i="12" s="1"/>
  <c r="J2606" i="12"/>
  <c r="H2605" i="12"/>
  <c r="H2604" i="12"/>
  <c r="H2603" i="12"/>
  <c r="J2602" i="12"/>
  <c r="H2601" i="12"/>
  <c r="H2599" i="12"/>
  <c r="H2597" i="12"/>
  <c r="J2595" i="12"/>
  <c r="H2594" i="12"/>
  <c r="H2557" i="12"/>
  <c r="I2556" i="12" s="1"/>
  <c r="J2556" i="12"/>
  <c r="H2555" i="12"/>
  <c r="I2554" i="12" s="1"/>
  <c r="J2554" i="12"/>
  <c r="H2553" i="12"/>
  <c r="I2552" i="12" s="1"/>
  <c r="J2552" i="12"/>
  <c r="J2551" i="12"/>
  <c r="J2550" i="12" s="1"/>
  <c r="H2551" i="12"/>
  <c r="I2550" i="12" s="1"/>
  <c r="J2547" i="12"/>
  <c r="J2546" i="12" s="1"/>
  <c r="H2547" i="12"/>
  <c r="I2546" i="12" s="1"/>
  <c r="J2545" i="12"/>
  <c r="J2544" i="12" s="1"/>
  <c r="H2545" i="12"/>
  <c r="I2544" i="12" s="1"/>
  <c r="J2535" i="12"/>
  <c r="J2533" i="12" s="1"/>
  <c r="H2535" i="12"/>
  <c r="J2534" i="12"/>
  <c r="H2534" i="12"/>
  <c r="J2532" i="12"/>
  <c r="J2531" i="12" s="1"/>
  <c r="H2532" i="12"/>
  <c r="I2531" i="12" s="1"/>
  <c r="J2524" i="12"/>
  <c r="H2524" i="12"/>
  <c r="J2523" i="12"/>
  <c r="H2523" i="12"/>
  <c r="J2522" i="12"/>
  <c r="J2521" i="12" s="1"/>
  <c r="H2522" i="12"/>
  <c r="J2520" i="12"/>
  <c r="J2519" i="12" s="1"/>
  <c r="H2520" i="12"/>
  <c r="I2519" i="12" s="1"/>
  <c r="J2516" i="12"/>
  <c r="J2515" i="12"/>
  <c r="J2514" i="12" s="1"/>
  <c r="H2513" i="12"/>
  <c r="J2512" i="12"/>
  <c r="J2511" i="12" s="1"/>
  <c r="H2512" i="12"/>
  <c r="H2509" i="12"/>
  <c r="I2508" i="12" s="1"/>
  <c r="J2508" i="12"/>
  <c r="H2507" i="12"/>
  <c r="I2506" i="12" s="1"/>
  <c r="J2506" i="12"/>
  <c r="J2505" i="12"/>
  <c r="H2505" i="12"/>
  <c r="J2504" i="12"/>
  <c r="H2504" i="12"/>
  <c r="J2503" i="12"/>
  <c r="H2503" i="12"/>
  <c r="J2502" i="12"/>
  <c r="H2502" i="12"/>
  <c r="J2501" i="12"/>
  <c r="H2501" i="12"/>
  <c r="J2500" i="12"/>
  <c r="H2500" i="12"/>
  <c r="J2499" i="12"/>
  <c r="J2498" i="12" s="1"/>
  <c r="H2499" i="12"/>
  <c r="J2497" i="12"/>
  <c r="H2497" i="12"/>
  <c r="J2496" i="12"/>
  <c r="H2496" i="12"/>
  <c r="J2495" i="12"/>
  <c r="H2495" i="12"/>
  <c r="J2494" i="12"/>
  <c r="H2494" i="12"/>
  <c r="J2493" i="12"/>
  <c r="H2493" i="12"/>
  <c r="J2492" i="12"/>
  <c r="H2492" i="12"/>
  <c r="J2491" i="12"/>
  <c r="J2490" i="12" s="1"/>
  <c r="H2491" i="12"/>
  <c r="J2487" i="12"/>
  <c r="H2487" i="12"/>
  <c r="J2486" i="12"/>
  <c r="J2485" i="12" s="1"/>
  <c r="H2486" i="12"/>
  <c r="I2485" i="12" s="1"/>
  <c r="J2484" i="12"/>
  <c r="H2484" i="12"/>
  <c r="J2483" i="12"/>
  <c r="J2482" i="12" s="1"/>
  <c r="H2483" i="12"/>
  <c r="J2481" i="12"/>
  <c r="H2481" i="12"/>
  <c r="J2480" i="12"/>
  <c r="J2479" i="12" s="1"/>
  <c r="H2480" i="12"/>
  <c r="I2479" i="12" s="1"/>
  <c r="H2387" i="12"/>
  <c r="I2386" i="12" s="1"/>
  <c r="J2386" i="12"/>
  <c r="H2385" i="12"/>
  <c r="I2384" i="12" s="1"/>
  <c r="J2384" i="12"/>
  <c r="H2383" i="12"/>
  <c r="I2382" i="12" s="1"/>
  <c r="J2382" i="12"/>
  <c r="H2381" i="12"/>
  <c r="I2380" i="12" s="1"/>
  <c r="J2380" i="12"/>
  <c r="H2379" i="12"/>
  <c r="H2378" i="12"/>
  <c r="H2377" i="12"/>
  <c r="J2376" i="12"/>
  <c r="J2373" i="12"/>
  <c r="H2372" i="12"/>
  <c r="H2343" i="12"/>
  <c r="I2342" i="12" s="1"/>
  <c r="J2342" i="12"/>
  <c r="H2341" i="12"/>
  <c r="I2340" i="12" s="1"/>
  <c r="J2340" i="12"/>
  <c r="J2334" i="12"/>
  <c r="J2333" i="12" s="1"/>
  <c r="H2334" i="12"/>
  <c r="I2333" i="12" s="1"/>
  <c r="J2330" i="12"/>
  <c r="J2329" i="12" s="1"/>
  <c r="H2330" i="12"/>
  <c r="I2329" i="12" s="1"/>
  <c r="J2328" i="12"/>
  <c r="J2327" i="12" s="1"/>
  <c r="H2328" i="12"/>
  <c r="I2327" i="12" s="1"/>
  <c r="J2320" i="12"/>
  <c r="J2319" i="12" s="1"/>
  <c r="H2320" i="12"/>
  <c r="I2319" i="12" s="1"/>
  <c r="J2314" i="12"/>
  <c r="H2314" i="12"/>
  <c r="J2313" i="12"/>
  <c r="J2312" i="12" s="1"/>
  <c r="H2313" i="12"/>
  <c r="J2311" i="12"/>
  <c r="J2310" i="12" s="1"/>
  <c r="H2311" i="12"/>
  <c r="I2310" i="12" s="1"/>
  <c r="J2307" i="12"/>
  <c r="J2305" i="12"/>
  <c r="J2304" i="12" s="1"/>
  <c r="H2305" i="12"/>
  <c r="H2303" i="12"/>
  <c r="J2302" i="12"/>
  <c r="J2301" i="12" s="1"/>
  <c r="H2302" i="12"/>
  <c r="H2298" i="12"/>
  <c r="I2297" i="12" s="1"/>
  <c r="J2297" i="12"/>
  <c r="H2296" i="12"/>
  <c r="I2295" i="12" s="1"/>
  <c r="J2295" i="12"/>
  <c r="J2293" i="12"/>
  <c r="H2293" i="12"/>
  <c r="J2292" i="12"/>
  <c r="H2292" i="12"/>
  <c r="J2291" i="12"/>
  <c r="H2291" i="12"/>
  <c r="J2290" i="12"/>
  <c r="H2290" i="12"/>
  <c r="J2289" i="12"/>
  <c r="H2289" i="12"/>
  <c r="J2288" i="12"/>
  <c r="H2288" i="12"/>
  <c r="J2287" i="12"/>
  <c r="J2286" i="12" s="1"/>
  <c r="H2287" i="12"/>
  <c r="J2278" i="12"/>
  <c r="H2278" i="12"/>
  <c r="J2277" i="12"/>
  <c r="J2276" i="12" s="1"/>
  <c r="H2277" i="12"/>
  <c r="I2276" i="12" s="1"/>
  <c r="J2275" i="12"/>
  <c r="H2275" i="12"/>
  <c r="J2274" i="12"/>
  <c r="J2273" i="12" s="1"/>
  <c r="H2274" i="12"/>
  <c r="J2272" i="12"/>
  <c r="J2271" i="12"/>
  <c r="J2270" i="12" s="1"/>
  <c r="H2271" i="12"/>
  <c r="I2270" i="12" s="1"/>
  <c r="H2183" i="12"/>
  <c r="I2182" i="12" s="1"/>
  <c r="J2182" i="12"/>
  <c r="I2179" i="12"/>
  <c r="J2179" i="12"/>
  <c r="H2178" i="12"/>
  <c r="I2177" i="12" s="1"/>
  <c r="J2177" i="12"/>
  <c r="H2176" i="12"/>
  <c r="I2175" i="12" s="1"/>
  <c r="J2175" i="12"/>
  <c r="H2174" i="12"/>
  <c r="H2173" i="12"/>
  <c r="H2172" i="12"/>
  <c r="J2171" i="12"/>
  <c r="J2169" i="12"/>
  <c r="H2168" i="12"/>
  <c r="H2158" i="12"/>
  <c r="I2157" i="12" s="1"/>
  <c r="J2157" i="12"/>
  <c r="H2156" i="12"/>
  <c r="I2155" i="12" s="1"/>
  <c r="J2155" i="12"/>
  <c r="H2154" i="12"/>
  <c r="I2153" i="12" s="1"/>
  <c r="J2153" i="12"/>
  <c r="J2152" i="12"/>
  <c r="J2151" i="12" s="1"/>
  <c r="H2152" i="12"/>
  <c r="I2151" i="12" s="1"/>
  <c r="J2148" i="12"/>
  <c r="J2147" i="12" s="1"/>
  <c r="H2148" i="12"/>
  <c r="I2147" i="12" s="1"/>
  <c r="J2145" i="12"/>
  <c r="J2144" i="12" s="1"/>
  <c r="H2145" i="12"/>
  <c r="I2144" i="12" s="1"/>
  <c r="J2139" i="12"/>
  <c r="J2137" i="12" s="1"/>
  <c r="H2139" i="12"/>
  <c r="J2138" i="12"/>
  <c r="H2138" i="12"/>
  <c r="J2136" i="12"/>
  <c r="J2135" i="12" s="1"/>
  <c r="H2136" i="12"/>
  <c r="I2135" i="12" s="1"/>
  <c r="J2132" i="12"/>
  <c r="J2131" i="12" s="1"/>
  <c r="H2132" i="12"/>
  <c r="I2131" i="12" s="1"/>
  <c r="J2130" i="12"/>
  <c r="J2129" i="12" s="1"/>
  <c r="H2130" i="12"/>
  <c r="I2129" i="12" s="1"/>
  <c r="J2126" i="12"/>
  <c r="J2125" i="12" s="1"/>
  <c r="H2126" i="12"/>
  <c r="I2125" i="12" s="1"/>
  <c r="H2124" i="12"/>
  <c r="J2123" i="12"/>
  <c r="J2122" i="12" s="1"/>
  <c r="H2123" i="12"/>
  <c r="H2120" i="12"/>
  <c r="I2119" i="12" s="1"/>
  <c r="J2119" i="12"/>
  <c r="H2117" i="12"/>
  <c r="I2116" i="12" s="1"/>
  <c r="J2116" i="12"/>
  <c r="J2115" i="12"/>
  <c r="H2115" i="12"/>
  <c r="J2114" i="12"/>
  <c r="H2114" i="12"/>
  <c r="J2113" i="12"/>
  <c r="H2113" i="12"/>
  <c r="J2112" i="12"/>
  <c r="H2112" i="12"/>
  <c r="J2111" i="12"/>
  <c r="H2111" i="12"/>
  <c r="J2110" i="12"/>
  <c r="H2110" i="12"/>
  <c r="J2109" i="12"/>
  <c r="J2108" i="12" s="1"/>
  <c r="H2109" i="12"/>
  <c r="J2107" i="12"/>
  <c r="J2106" i="12" s="1"/>
  <c r="H2107" i="12"/>
  <c r="J2102" i="12"/>
  <c r="H2102" i="12"/>
  <c r="J2101" i="12"/>
  <c r="J2100" i="12" s="1"/>
  <c r="H2101" i="12"/>
  <c r="I2100" i="12" s="1"/>
  <c r="J2099" i="12"/>
  <c r="H2099" i="12"/>
  <c r="J2098" i="12"/>
  <c r="J2097" i="12" s="1"/>
  <c r="H2098" i="12"/>
  <c r="I2097" i="12" s="1"/>
  <c r="J2096" i="12"/>
  <c r="H2096" i="12"/>
  <c r="J2095" i="12"/>
  <c r="J2094" i="12" s="1"/>
  <c r="H2095" i="12"/>
  <c r="I2094" i="12" s="1"/>
  <c r="H2009" i="12"/>
  <c r="I2008" i="12" s="1"/>
  <c r="J2008" i="12"/>
  <c r="H2007" i="12"/>
  <c r="I2006" i="12" s="1"/>
  <c r="J2006" i="12"/>
  <c r="H2005" i="12"/>
  <c r="I2004" i="12" s="1"/>
  <c r="J2004" i="12"/>
  <c r="H2003" i="12"/>
  <c r="I2002" i="12" s="1"/>
  <c r="J2002" i="12"/>
  <c r="H2001" i="12"/>
  <c r="H2000" i="12"/>
  <c r="H1999" i="12"/>
  <c r="J1998" i="12"/>
  <c r="J1995" i="12"/>
  <c r="H1994" i="12"/>
  <c r="H1979" i="12"/>
  <c r="I1978" i="12" s="1"/>
  <c r="J1978" i="12"/>
  <c r="H1977" i="12"/>
  <c r="I1976" i="12" s="1"/>
  <c r="J1976" i="12"/>
  <c r="H1975" i="12"/>
  <c r="I1974" i="12" s="1"/>
  <c r="J1974" i="12"/>
  <c r="J1973" i="12"/>
  <c r="J1972" i="12" s="1"/>
  <c r="H1973" i="12"/>
  <c r="I1972" i="12" s="1"/>
  <c r="J1969" i="12"/>
  <c r="J1968" i="12" s="1"/>
  <c r="H1969" i="12"/>
  <c r="I1968" i="12" s="1"/>
  <c r="J1965" i="12"/>
  <c r="J1964" i="12" s="1"/>
  <c r="H1965" i="12"/>
  <c r="I1964" i="12" s="1"/>
  <c r="J1961" i="12"/>
  <c r="J1960" i="12"/>
  <c r="J1959" i="12" s="1"/>
  <c r="H1960" i="12"/>
  <c r="I1959" i="12" s="1"/>
  <c r="J1956" i="12"/>
  <c r="J1955" i="12" s="1"/>
  <c r="H1956" i="12"/>
  <c r="I1955" i="12" s="1"/>
  <c r="J1954" i="12"/>
  <c r="J1952" i="12" s="1"/>
  <c r="H1954" i="12"/>
  <c r="I1952" i="12" s="1"/>
  <c r="J1949" i="12"/>
  <c r="J1948" i="12" s="1"/>
  <c r="H1949" i="12"/>
  <c r="I1948" i="12" s="1"/>
  <c r="J1946" i="12"/>
  <c r="J1945" i="12" s="1"/>
  <c r="H1943" i="12"/>
  <c r="I1942" i="12" s="1"/>
  <c r="J1942" i="12"/>
  <c r="H1941" i="12"/>
  <c r="I1940" i="12" s="1"/>
  <c r="J1940" i="12"/>
  <c r="J1939" i="12"/>
  <c r="H1939" i="12"/>
  <c r="J1938" i="12"/>
  <c r="H1938" i="12"/>
  <c r="J1937" i="12"/>
  <c r="H1937" i="12"/>
  <c r="J1936" i="12"/>
  <c r="H1936" i="12"/>
  <c r="J1935" i="12"/>
  <c r="H1935" i="12"/>
  <c r="J1934" i="12"/>
  <c r="H1934" i="12"/>
  <c r="J1933" i="12"/>
  <c r="J1932" i="12" s="1"/>
  <c r="H1933" i="12"/>
  <c r="J1931" i="12"/>
  <c r="J1930" i="12" s="1"/>
  <c r="H1931" i="12"/>
  <c r="I1930" i="12" s="1"/>
  <c r="J1926" i="12"/>
  <c r="H1926" i="12"/>
  <c r="J1925" i="12"/>
  <c r="J1924" i="12" s="1"/>
  <c r="H1925" i="12"/>
  <c r="I1924" i="12" s="1"/>
  <c r="J1923" i="12"/>
  <c r="H1923" i="12"/>
  <c r="J1922" i="12"/>
  <c r="J1921" i="12" s="1"/>
  <c r="H1922" i="12"/>
  <c r="J1920" i="12"/>
  <c r="H1920" i="12"/>
  <c r="J1919" i="12"/>
  <c r="J1918" i="12" s="1"/>
  <c r="H1919" i="12"/>
  <c r="I1918" i="12" s="1"/>
  <c r="H1830" i="12"/>
  <c r="I1829" i="12" s="1"/>
  <c r="J1829" i="12"/>
  <c r="H1828" i="12"/>
  <c r="I1827" i="12" s="1"/>
  <c r="J1827" i="12"/>
  <c r="H1826" i="12"/>
  <c r="I1825" i="12" s="1"/>
  <c r="J1825" i="12"/>
  <c r="H1824" i="12"/>
  <c r="I1823" i="12" s="1"/>
  <c r="J1823" i="12"/>
  <c r="H1822" i="12"/>
  <c r="H1821" i="12"/>
  <c r="H1820" i="12"/>
  <c r="J1819" i="12"/>
  <c r="J1816" i="12"/>
  <c r="H1815" i="12"/>
  <c r="J1814" i="12"/>
  <c r="H1802" i="12"/>
  <c r="I1801" i="12" s="1"/>
  <c r="J1801" i="12"/>
  <c r="H1800" i="12"/>
  <c r="I1799" i="12" s="1"/>
  <c r="J1799" i="12"/>
  <c r="H1798" i="12"/>
  <c r="H1797" i="12"/>
  <c r="H1796" i="12"/>
  <c r="J1795" i="12"/>
  <c r="J1794" i="12"/>
  <c r="J1793" i="12" s="1"/>
  <c r="H1794" i="12"/>
  <c r="I1793" i="12" s="1"/>
  <c r="J1790" i="12"/>
  <c r="J1789" i="12" s="1"/>
  <c r="H1790" i="12"/>
  <c r="I1789" i="12" s="1"/>
  <c r="J1786" i="12"/>
  <c r="I1786" i="12"/>
  <c r="J1782" i="12"/>
  <c r="J1780" i="12" s="1"/>
  <c r="H1782" i="12"/>
  <c r="J1781" i="12"/>
  <c r="H1781" i="12"/>
  <c r="J1779" i="12"/>
  <c r="J1778" i="12" s="1"/>
  <c r="H1779" i="12"/>
  <c r="I1778" i="12" s="1"/>
  <c r="J1775" i="12"/>
  <c r="J1774" i="12" s="1"/>
  <c r="H1775" i="12"/>
  <c r="I1774" i="12" s="1"/>
  <c r="J1773" i="12"/>
  <c r="J1772" i="12" s="1"/>
  <c r="H1773" i="12"/>
  <c r="I1772" i="12" s="1"/>
  <c r="J1769" i="12"/>
  <c r="H1769" i="12"/>
  <c r="J1768" i="12"/>
  <c r="J1767" i="12" s="1"/>
  <c r="H1768" i="12"/>
  <c r="J1766" i="12"/>
  <c r="J1765" i="12" s="1"/>
  <c r="H1766" i="12"/>
  <c r="I1765" i="12" s="1"/>
  <c r="H1762" i="12"/>
  <c r="I1761" i="12" s="1"/>
  <c r="J1761" i="12"/>
  <c r="H1759" i="12"/>
  <c r="I1758" i="12" s="1"/>
  <c r="J1758" i="12"/>
  <c r="J1756" i="12"/>
  <c r="H1756" i="12"/>
  <c r="J1755" i="12"/>
  <c r="H1755" i="12"/>
  <c r="J1754" i="12"/>
  <c r="J1753" i="12" s="1"/>
  <c r="H1754" i="12"/>
  <c r="J1752" i="12"/>
  <c r="J1750" i="12"/>
  <c r="J1749" i="12" s="1"/>
  <c r="J1745" i="12"/>
  <c r="J1744" i="12" s="1"/>
  <c r="H1745" i="12"/>
  <c r="I1744" i="12" s="1"/>
  <c r="J1743" i="12"/>
  <c r="H1743" i="12"/>
  <c r="J1742" i="12"/>
  <c r="J1741" i="12" s="1"/>
  <c r="H1742" i="12"/>
  <c r="J1740" i="12"/>
  <c r="J1739" i="12"/>
  <c r="J1738" i="12" s="1"/>
  <c r="H1739" i="12"/>
  <c r="I1738" i="12" s="1"/>
  <c r="H1582" i="12"/>
  <c r="I1581" i="12" s="1"/>
  <c r="J1581" i="12"/>
  <c r="H1580" i="12"/>
  <c r="I1579" i="12" s="1"/>
  <c r="J1579" i="12"/>
  <c r="H1578" i="12"/>
  <c r="I1577" i="12" s="1"/>
  <c r="J1577" i="12"/>
  <c r="H1575" i="12"/>
  <c r="I1574" i="12" s="1"/>
  <c r="J1574" i="12"/>
  <c r="H1573" i="12"/>
  <c r="H1572" i="12"/>
  <c r="H1571" i="12"/>
  <c r="J1570" i="12"/>
  <c r="J1566" i="12"/>
  <c r="H1565" i="12"/>
  <c r="H1541" i="12"/>
  <c r="I1540" i="12" s="1"/>
  <c r="J1540" i="12"/>
  <c r="H1539" i="12"/>
  <c r="I1538" i="12" s="1"/>
  <c r="J1538" i="12"/>
  <c r="H1537" i="12"/>
  <c r="I1536" i="12" s="1"/>
  <c r="J1536" i="12"/>
  <c r="J1534" i="12"/>
  <c r="J1533" i="12" s="1"/>
  <c r="H1534" i="12"/>
  <c r="I1533" i="12" s="1"/>
  <c r="J1532" i="12"/>
  <c r="J1531" i="12" s="1"/>
  <c r="H1532" i="12"/>
  <c r="I1531" i="12" s="1"/>
  <c r="J1525" i="12"/>
  <c r="J1524" i="12" s="1"/>
  <c r="H1525" i="12"/>
  <c r="I1524" i="12" s="1"/>
  <c r="J1518" i="12"/>
  <c r="J1516" i="12" s="1"/>
  <c r="J1515" i="12"/>
  <c r="J1514" i="12" s="1"/>
  <c r="H1515" i="12"/>
  <c r="I1514" i="12" s="1"/>
  <c r="J1511" i="12"/>
  <c r="J1510" i="12"/>
  <c r="J1509" i="12" s="1"/>
  <c r="J1508" i="12"/>
  <c r="J1507" i="12" s="1"/>
  <c r="H1508" i="12"/>
  <c r="I1507" i="12" s="1"/>
  <c r="J1504" i="12"/>
  <c r="J1501" i="12"/>
  <c r="J1500" i="12" s="1"/>
  <c r="H1501" i="12"/>
  <c r="I1500" i="12" s="1"/>
  <c r="H1497" i="12"/>
  <c r="I1496" i="12" s="1"/>
  <c r="J1496" i="12"/>
  <c r="H1494" i="12"/>
  <c r="I1493" i="12" s="1"/>
  <c r="J1493" i="12"/>
  <c r="J1492" i="12"/>
  <c r="H1492" i="12"/>
  <c r="J1491" i="12"/>
  <c r="H1491" i="12"/>
  <c r="J1490" i="12"/>
  <c r="H1490" i="12"/>
  <c r="J1489" i="12"/>
  <c r="H1489" i="12"/>
  <c r="J1488" i="12"/>
  <c r="H1488" i="12"/>
  <c r="J1487" i="12"/>
  <c r="H1487" i="12"/>
  <c r="J1486" i="12"/>
  <c r="J1485" i="12" s="1"/>
  <c r="H1486" i="12"/>
  <c r="J1481" i="12"/>
  <c r="J1480" i="12" s="1"/>
  <c r="H1481" i="12"/>
  <c r="I1480" i="12" s="1"/>
  <c r="J1475" i="12"/>
  <c r="H1475" i="12"/>
  <c r="J1474" i="12"/>
  <c r="J1473" i="12" s="1"/>
  <c r="H1474" i="12"/>
  <c r="J1472" i="12"/>
  <c r="H1472" i="12"/>
  <c r="J1471" i="12"/>
  <c r="J1470" i="12" s="1"/>
  <c r="H1471" i="12"/>
  <c r="J1469" i="12"/>
  <c r="H1469" i="12"/>
  <c r="J1468" i="12"/>
  <c r="J1467" i="12" s="1"/>
  <c r="H1468" i="12"/>
  <c r="H1290" i="12"/>
  <c r="I1289" i="12" s="1"/>
  <c r="J1289" i="12"/>
  <c r="H1288" i="12"/>
  <c r="I1287" i="12" s="1"/>
  <c r="J1287" i="12"/>
  <c r="H1286" i="12"/>
  <c r="I1285" i="12" s="1"/>
  <c r="J1285" i="12"/>
  <c r="H1284" i="12"/>
  <c r="I1283" i="12" s="1"/>
  <c r="J1283" i="12"/>
  <c r="H1282" i="12"/>
  <c r="J1281" i="12"/>
  <c r="J1277" i="12"/>
  <c r="H1276" i="12"/>
  <c r="H1241" i="12"/>
  <c r="I1240" i="12" s="1"/>
  <c r="J1240" i="12"/>
  <c r="H1239" i="12"/>
  <c r="I1238" i="12" s="1"/>
  <c r="J1238" i="12"/>
  <c r="H1237" i="12"/>
  <c r="I1236" i="12" s="1"/>
  <c r="J1236" i="12"/>
  <c r="J1235" i="12"/>
  <c r="J1234" i="12" s="1"/>
  <c r="H1235" i="12"/>
  <c r="I1234" i="12" s="1"/>
  <c r="J1233" i="12"/>
  <c r="J1232" i="12" s="1"/>
  <c r="H1233" i="12"/>
  <c r="I1232" i="12" s="1"/>
  <c r="J1230" i="12"/>
  <c r="J1229" i="12" s="1"/>
  <c r="H1230" i="12"/>
  <c r="I1229" i="12" s="1"/>
  <c r="J1228" i="12"/>
  <c r="J1227" i="12" s="1"/>
  <c r="H1228" i="12"/>
  <c r="I1227" i="12" s="1"/>
  <c r="J1219" i="12"/>
  <c r="J1217" i="12" s="1"/>
  <c r="H1219" i="12"/>
  <c r="J1218" i="12"/>
  <c r="H1218" i="12"/>
  <c r="J1216" i="12"/>
  <c r="J1215" i="12" s="1"/>
  <c r="H1216" i="12"/>
  <c r="I1215" i="12" s="1"/>
  <c r="J1213" i="12"/>
  <c r="J1212" i="12" s="1"/>
  <c r="J1209" i="12"/>
  <c r="J1204" i="12" s="1"/>
  <c r="J1207" i="12"/>
  <c r="J1201" i="12"/>
  <c r="H1201" i="12"/>
  <c r="I1200" i="12" s="1"/>
  <c r="J1200" i="12"/>
  <c r="J1199" i="12"/>
  <c r="J1198" i="12" s="1"/>
  <c r="H1199" i="12"/>
  <c r="I1198" i="12" s="1"/>
  <c r="H1195" i="12"/>
  <c r="I1194" i="12" s="1"/>
  <c r="J1194" i="12"/>
  <c r="H1192" i="12"/>
  <c r="I1191" i="12" s="1"/>
  <c r="J1191" i="12"/>
  <c r="J1189" i="12"/>
  <c r="H1189" i="12"/>
  <c r="J1180" i="12"/>
  <c r="H1180" i="12"/>
  <c r="J1179" i="12"/>
  <c r="J1178" i="12" s="1"/>
  <c r="H1179" i="12"/>
  <c r="J1177" i="12"/>
  <c r="H1177" i="12"/>
  <c r="J1176" i="12"/>
  <c r="J1175" i="12" s="1"/>
  <c r="H1176" i="12"/>
  <c r="J1174" i="12"/>
  <c r="J1173" i="12"/>
  <c r="J1172" i="12" s="1"/>
  <c r="H1173" i="12"/>
  <c r="I1172" i="12" s="1"/>
  <c r="H945" i="12"/>
  <c r="I944" i="12" s="1"/>
  <c r="J944" i="12"/>
  <c r="H943" i="12"/>
  <c r="I942" i="12" s="1"/>
  <c r="J942" i="12"/>
  <c r="H941" i="12"/>
  <c r="I940" i="12" s="1"/>
  <c r="J940" i="12"/>
  <c r="J938" i="12"/>
  <c r="H937" i="12"/>
  <c r="J936" i="12"/>
  <c r="J933" i="12"/>
  <c r="H860" i="12"/>
  <c r="I859" i="12" s="1"/>
  <c r="J859" i="12"/>
  <c r="H858" i="12"/>
  <c r="J857" i="12"/>
  <c r="H856" i="12"/>
  <c r="J855" i="12"/>
  <c r="J852" i="12"/>
  <c r="J851" i="12" s="1"/>
  <c r="H852" i="12"/>
  <c r="I851" i="12" s="1"/>
  <c r="J847" i="12"/>
  <c r="J846" i="12" s="1"/>
  <c r="H847" i="12"/>
  <c r="I846" i="12" s="1"/>
  <c r="J845" i="12"/>
  <c r="J844" i="12" s="1"/>
  <c r="H845" i="12"/>
  <c r="I844" i="12" s="1"/>
  <c r="J839" i="12"/>
  <c r="J837" i="12" s="1"/>
  <c r="H839" i="12"/>
  <c r="J838" i="12"/>
  <c r="H838" i="12"/>
  <c r="J836" i="12"/>
  <c r="J835" i="12" s="1"/>
  <c r="H836" i="12"/>
  <c r="I835" i="12" s="1"/>
  <c r="J827" i="12"/>
  <c r="J826" i="12" s="1"/>
  <c r="H827" i="12"/>
  <c r="I826" i="12" s="1"/>
  <c r="J825" i="12"/>
  <c r="J824" i="12" s="1"/>
  <c r="H825" i="12"/>
  <c r="I824" i="12" s="1"/>
  <c r="J819" i="12"/>
  <c r="H819" i="12"/>
  <c r="J818" i="12"/>
  <c r="J817" i="12" s="1"/>
  <c r="H818" i="12"/>
  <c r="J816" i="12"/>
  <c r="J815" i="12" s="1"/>
  <c r="H816" i="12"/>
  <c r="I815" i="12" s="1"/>
  <c r="H812" i="12"/>
  <c r="I811" i="12" s="1"/>
  <c r="J811" i="12"/>
  <c r="H809" i="12"/>
  <c r="I808" i="12" s="1"/>
  <c r="J808" i="12"/>
  <c r="J806" i="12"/>
  <c r="J805" i="12" s="1"/>
  <c r="H806" i="12"/>
  <c r="J797" i="12"/>
  <c r="J796" i="12" s="1"/>
  <c r="H797" i="12"/>
  <c r="I796" i="12" s="1"/>
  <c r="J795" i="12"/>
  <c r="H795" i="12"/>
  <c r="J794" i="12"/>
  <c r="J793" i="12" s="1"/>
  <c r="H794" i="12"/>
  <c r="J792" i="12"/>
  <c r="J791" i="12"/>
  <c r="J790" i="12" s="1"/>
  <c r="H791" i="12"/>
  <c r="I790" i="12" s="1"/>
  <c r="H676" i="12"/>
  <c r="I675" i="12" s="1"/>
  <c r="J675" i="12"/>
  <c r="H674" i="12"/>
  <c r="I673" i="12" s="1"/>
  <c r="J673" i="12"/>
  <c r="H672" i="12"/>
  <c r="I671" i="12" s="1"/>
  <c r="J671" i="12"/>
  <c r="H668" i="12"/>
  <c r="J667" i="12"/>
  <c r="J663" i="12"/>
  <c r="H662" i="12"/>
  <c r="H645" i="12"/>
  <c r="I644" i="12" s="1"/>
  <c r="J644" i="12"/>
  <c r="H643" i="12"/>
  <c r="I642" i="12" s="1"/>
  <c r="J642" i="12"/>
  <c r="H641" i="12"/>
  <c r="H640" i="12"/>
  <c r="H639" i="12"/>
  <c r="J638" i="12"/>
  <c r="J637" i="12"/>
  <c r="J636" i="12" s="1"/>
  <c r="H637" i="12"/>
  <c r="I636" i="12" s="1"/>
  <c r="J633" i="12"/>
  <c r="J632" i="12" s="1"/>
  <c r="H633" i="12"/>
  <c r="I632" i="12" s="1"/>
  <c r="J630" i="12"/>
  <c r="J629" i="12" s="1"/>
  <c r="H630" i="12"/>
  <c r="I629" i="12" s="1"/>
  <c r="J625" i="12"/>
  <c r="J623" i="12" s="1"/>
  <c r="H625" i="12"/>
  <c r="J624" i="12"/>
  <c r="H624" i="12"/>
  <c r="J622" i="12"/>
  <c r="J621" i="12" s="1"/>
  <c r="H622" i="12"/>
  <c r="I621" i="12" s="1"/>
  <c r="J618" i="12"/>
  <c r="J617" i="12" s="1"/>
  <c r="H618" i="12"/>
  <c r="I617" i="12" s="1"/>
  <c r="J616" i="12"/>
  <c r="J615" i="12" s="1"/>
  <c r="H616" i="12"/>
  <c r="I615" i="12" s="1"/>
  <c r="J612" i="12"/>
  <c r="H612" i="12"/>
  <c r="J611" i="12"/>
  <c r="J610" i="12" s="1"/>
  <c r="H611" i="12"/>
  <c r="J609" i="12"/>
  <c r="J608" i="12" s="1"/>
  <c r="H609" i="12"/>
  <c r="I608" i="12" s="1"/>
  <c r="H605" i="12"/>
  <c r="I604" i="12" s="1"/>
  <c r="J604" i="12"/>
  <c r="H602" i="12"/>
  <c r="I601" i="12" s="1"/>
  <c r="J601" i="12"/>
  <c r="J599" i="12"/>
  <c r="J592" i="12"/>
  <c r="J591" i="12" s="1"/>
  <c r="H592" i="12"/>
  <c r="I591" i="12" s="1"/>
  <c r="J590" i="12"/>
  <c r="H590" i="12"/>
  <c r="J589" i="12"/>
  <c r="J588" i="12" s="1"/>
  <c r="H589" i="12"/>
  <c r="J587" i="12"/>
  <c r="J586" i="12" s="1"/>
  <c r="H587" i="12"/>
  <c r="I586" i="12" s="1"/>
  <c r="H478" i="12"/>
  <c r="I477" i="12" s="1"/>
  <c r="J477" i="12"/>
  <c r="H476" i="12"/>
  <c r="I475" i="12" s="1"/>
  <c r="J475" i="12"/>
  <c r="H472" i="12"/>
  <c r="I471" i="12" s="1"/>
  <c r="J471" i="12"/>
  <c r="H470" i="12"/>
  <c r="I469" i="12" s="1"/>
  <c r="J469" i="12"/>
  <c r="H468" i="12"/>
  <c r="I467" i="12" s="1"/>
  <c r="J467" i="12"/>
  <c r="J465" i="12"/>
  <c r="H437" i="12"/>
  <c r="I436" i="12" s="1"/>
  <c r="J436" i="12"/>
  <c r="H435" i="12"/>
  <c r="J432" i="12"/>
  <c r="J431" i="12" s="1"/>
  <c r="H432" i="12"/>
  <c r="I431" i="12" s="1"/>
  <c r="J425" i="12"/>
  <c r="J428" i="12"/>
  <c r="J427" i="12" s="1"/>
  <c r="H428" i="12"/>
  <c r="I427" i="12" s="1"/>
  <c r="J414" i="12"/>
  <c r="J413" i="12" s="1"/>
  <c r="H414" i="12"/>
  <c r="I413" i="12" s="1"/>
  <c r="J410" i="12"/>
  <c r="J409" i="12" s="1"/>
  <c r="H410" i="12"/>
  <c r="I409" i="12" s="1"/>
  <c r="J408" i="12"/>
  <c r="J407" i="12" s="1"/>
  <c r="H408" i="12"/>
  <c r="I407" i="12" s="1"/>
  <c r="J404" i="12"/>
  <c r="J403" i="12" s="1"/>
  <c r="H404" i="12"/>
  <c r="J402" i="12"/>
  <c r="J401" i="12" s="1"/>
  <c r="I401" i="12"/>
  <c r="J398" i="12"/>
  <c r="J395" i="12"/>
  <c r="J394" i="12" s="1"/>
  <c r="H395" i="12"/>
  <c r="J393" i="12"/>
  <c r="J392" i="12" s="1"/>
  <c r="H393" i="12"/>
  <c r="I392" i="12" s="1"/>
  <c r="J389" i="12"/>
  <c r="J388" i="12" s="1"/>
  <c r="H389" i="12"/>
  <c r="I388" i="12" s="1"/>
  <c r="J387" i="12"/>
  <c r="H387" i="12"/>
  <c r="J386" i="12"/>
  <c r="J385" i="12" s="1"/>
  <c r="H386" i="12"/>
  <c r="I315" i="12"/>
  <c r="J315" i="12"/>
  <c r="H314" i="12"/>
  <c r="I313" i="12" s="1"/>
  <c r="J313" i="12"/>
  <c r="I311" i="12"/>
  <c r="J311" i="12"/>
  <c r="H301" i="12"/>
  <c r="H278" i="12"/>
  <c r="I277" i="12" s="1"/>
  <c r="J277" i="12"/>
  <c r="H275" i="12"/>
  <c r="H267" i="12"/>
  <c r="J264" i="12"/>
  <c r="H265" i="12"/>
  <c r="I264" i="12" s="1"/>
  <c r="J263" i="12"/>
  <c r="H263" i="12"/>
  <c r="J261" i="12"/>
  <c r="J260" i="12" s="1"/>
  <c r="H261" i="12"/>
  <c r="I260" i="12" s="1"/>
  <c r="J253" i="12"/>
  <c r="J252" i="12" s="1"/>
  <c r="H253" i="12"/>
  <c r="I252" i="12" s="1"/>
  <c r="J251" i="12"/>
  <c r="J250" i="12" s="1"/>
  <c r="H251" i="12"/>
  <c r="I250" i="12" s="1"/>
  <c r="I248" i="12"/>
  <c r="J246" i="12"/>
  <c r="J245" i="12" s="1"/>
  <c r="H246" i="12"/>
  <c r="I245" i="12" s="1"/>
  <c r="J238" i="12"/>
  <c r="J237" i="12" s="1"/>
  <c r="H238" i="12"/>
  <c r="I237" i="12" s="1"/>
  <c r="H235" i="12"/>
  <c r="I234" i="12" s="1"/>
  <c r="J234" i="12"/>
  <c r="J228" i="12"/>
  <c r="H223" i="12"/>
  <c r="H222" i="12"/>
  <c r="H219" i="12"/>
  <c r="I218" i="12" s="1"/>
  <c r="H215" i="12"/>
  <c r="I214" i="12" s="1"/>
  <c r="B107" i="12"/>
  <c r="C107" i="12" s="1"/>
  <c r="B106" i="12"/>
  <c r="B105" i="12"/>
  <c r="B104" i="12"/>
  <c r="C104" i="12" s="1"/>
  <c r="B103" i="12"/>
  <c r="B102" i="12"/>
  <c r="B101" i="12"/>
  <c r="B100" i="12"/>
  <c r="C100" i="12" s="1"/>
  <c r="B64" i="12"/>
  <c r="C64" i="12" s="1"/>
  <c r="B63" i="12"/>
  <c r="C63" i="12" s="1"/>
  <c r="B62" i="12"/>
  <c r="C62" i="12" s="1"/>
  <c r="B61" i="12"/>
  <c r="B59" i="12"/>
  <c r="B58" i="12"/>
  <c r="B57" i="12"/>
  <c r="B56" i="12"/>
  <c r="B55" i="12"/>
  <c r="B54" i="12"/>
  <c r="B53" i="12"/>
  <c r="B52" i="12"/>
  <c r="B18" i="12"/>
  <c r="C18" i="12" s="1"/>
  <c r="I3017" i="12" l="1"/>
  <c r="I300" i="12"/>
  <c r="J92" i="12"/>
  <c r="J94" i="12"/>
  <c r="J93" i="12"/>
  <c r="I2312" i="12"/>
  <c r="J1208" i="12"/>
  <c r="C105" i="12"/>
  <c r="I266" i="12"/>
  <c r="I274" i="12"/>
  <c r="D464" i="12"/>
  <c r="J89" i="12"/>
  <c r="J88" i="12"/>
  <c r="J87" i="12"/>
  <c r="I2697" i="12"/>
  <c r="I2482" i="12"/>
  <c r="I2273" i="12"/>
  <c r="I1921" i="12"/>
  <c r="I1470" i="12"/>
  <c r="I1473" i="12"/>
  <c r="I1175" i="12"/>
  <c r="I1741" i="12"/>
  <c r="I1178" i="12"/>
  <c r="I793" i="12"/>
  <c r="I588" i="12"/>
  <c r="I385" i="12"/>
  <c r="I220" i="12"/>
  <c r="J262" i="12"/>
  <c r="J72" i="12" s="1"/>
  <c r="J258" i="12"/>
  <c r="J70" i="12" s="1"/>
  <c r="I262" i="12"/>
  <c r="I1467" i="12"/>
  <c r="J58" i="12"/>
  <c r="I2896" i="12"/>
  <c r="J53" i="12"/>
  <c r="I2997" i="12"/>
  <c r="I2511" i="12"/>
  <c r="I2106" i="12"/>
  <c r="I2108" i="12"/>
  <c r="I2286" i="12"/>
  <c r="J103" i="12"/>
  <c r="I1795" i="12"/>
  <c r="I2593" i="12"/>
  <c r="I3007" i="12"/>
  <c r="I1961" i="12"/>
  <c r="I1993" i="12"/>
  <c r="I2171" i="12"/>
  <c r="I2304" i="12"/>
  <c r="I2904" i="12"/>
  <c r="I2713" i="12"/>
  <c r="I465" i="12"/>
  <c r="I1217" i="12"/>
  <c r="I1509" i="12"/>
  <c r="I2301" i="12"/>
  <c r="J102" i="12"/>
  <c r="I2167" i="12"/>
  <c r="I1753" i="12"/>
  <c r="I1780" i="12"/>
  <c r="I2498" i="12"/>
  <c r="I2774" i="12"/>
  <c r="I2888" i="12"/>
  <c r="I403" i="12"/>
  <c r="I610" i="12"/>
  <c r="I805" i="12"/>
  <c r="I1749" i="12"/>
  <c r="I1767" i="12"/>
  <c r="I2371" i="12"/>
  <c r="I2490" i="12"/>
  <c r="I2514" i="12"/>
  <c r="I2705" i="12"/>
  <c r="J66" i="12"/>
  <c r="J55" i="12"/>
  <c r="I394" i="12"/>
  <c r="I434" i="12"/>
  <c r="I855" i="12"/>
  <c r="I936" i="12"/>
  <c r="I1485" i="12"/>
  <c r="I2137" i="12"/>
  <c r="I2917" i="12"/>
  <c r="I2920" i="12"/>
  <c r="J68" i="12"/>
  <c r="I228" i="12"/>
  <c r="I817" i="12"/>
  <c r="I837" i="12"/>
  <c r="I1188" i="12"/>
  <c r="I1281" i="12"/>
  <c r="I1932" i="12"/>
  <c r="I1998" i="12"/>
  <c r="I2727" i="12"/>
  <c r="I2730" i="12"/>
  <c r="C76" i="12"/>
  <c r="J59" i="12"/>
  <c r="J63" i="12"/>
  <c r="C106" i="12"/>
  <c r="I1564" i="12"/>
  <c r="J65" i="12"/>
  <c r="J71" i="12"/>
  <c r="J73" i="12"/>
  <c r="I638" i="12"/>
  <c r="I667" i="12"/>
  <c r="I1516" i="12"/>
  <c r="I1819" i="12"/>
  <c r="I2122" i="12"/>
  <c r="I2521" i="12"/>
  <c r="I2738" i="12"/>
  <c r="I2928" i="12"/>
  <c r="J52" i="12"/>
  <c r="J54" i="12"/>
  <c r="J62" i="12"/>
  <c r="H399" i="12"/>
  <c r="I398" i="12" s="1"/>
  <c r="I623" i="12"/>
  <c r="I661" i="12"/>
  <c r="I1275" i="12"/>
  <c r="I1570" i="12"/>
  <c r="I1814" i="12"/>
  <c r="I1945" i="12"/>
  <c r="I2376" i="12"/>
  <c r="I2533" i="12"/>
  <c r="I2602" i="12"/>
  <c r="I2746" i="12"/>
  <c r="I2779" i="12"/>
  <c r="I2936" i="12"/>
  <c r="I3000" i="12"/>
  <c r="I857" i="12"/>
  <c r="C101" i="12"/>
  <c r="C102" i="12"/>
  <c r="C103" i="12"/>
  <c r="J105" i="12"/>
  <c r="J104" i="12"/>
  <c r="I1995" i="12"/>
  <c r="I2169" i="12"/>
  <c r="I2595" i="12"/>
  <c r="H745" i="8"/>
  <c r="H2445" i="8"/>
  <c r="H2444" i="8"/>
  <c r="H2443" i="8"/>
  <c r="H2381" i="8"/>
  <c r="H2379" i="8"/>
  <c r="H2453" i="8"/>
  <c r="I2452" i="8" s="1"/>
  <c r="J2452" i="8"/>
  <c r="H2451" i="8"/>
  <c r="I2450" i="8" s="1"/>
  <c r="J2450" i="8"/>
  <c r="H2449" i="8"/>
  <c r="I2448" i="8" s="1"/>
  <c r="J2448" i="8"/>
  <c r="H2447" i="8"/>
  <c r="I2446" i="8" s="1"/>
  <c r="J2446" i="8"/>
  <c r="J2442" i="8"/>
  <c r="H2441" i="8"/>
  <c r="H2439" i="8"/>
  <c r="H2437" i="8"/>
  <c r="J2435" i="8"/>
  <c r="H2434" i="8"/>
  <c r="H2433" i="8"/>
  <c r="J2432" i="8"/>
  <c r="H2430" i="8"/>
  <c r="I2429" i="8" s="1"/>
  <c r="J2429" i="8"/>
  <c r="H2428" i="8"/>
  <c r="I2427" i="8" s="1"/>
  <c r="J2427" i="8"/>
  <c r="H2426" i="8"/>
  <c r="I2425" i="8" s="1"/>
  <c r="J2425" i="8"/>
  <c r="J2424" i="8"/>
  <c r="J2423" i="8" s="1"/>
  <c r="H2424" i="8"/>
  <c r="I2423" i="8" s="1"/>
  <c r="J2422" i="8"/>
  <c r="J2421" i="8" s="1"/>
  <c r="H2422" i="8"/>
  <c r="I2421" i="8" s="1"/>
  <c r="J2420" i="8"/>
  <c r="J2419" i="8" s="1"/>
  <c r="H2420" i="8"/>
  <c r="I2419" i="8" s="1"/>
  <c r="J2418" i="8"/>
  <c r="J2417" i="8" s="1"/>
  <c r="H2418" i="8"/>
  <c r="I2417" i="8" s="1"/>
  <c r="J2416" i="8"/>
  <c r="J2414" i="8" s="1"/>
  <c r="H2416" i="8"/>
  <c r="J2415" i="8"/>
  <c r="H2415" i="8"/>
  <c r="J2413" i="8"/>
  <c r="J2412" i="8" s="1"/>
  <c r="H2413" i="8"/>
  <c r="I2412" i="8" s="1"/>
  <c r="J2411" i="8"/>
  <c r="J2410" i="8" s="1"/>
  <c r="H2411" i="8"/>
  <c r="I2410" i="8" s="1"/>
  <c r="J2409" i="8"/>
  <c r="H2409" i="8"/>
  <c r="J2408" i="8"/>
  <c r="H2408" i="8"/>
  <c r="J2407" i="8"/>
  <c r="J2406" i="8" s="1"/>
  <c r="H2407" i="8"/>
  <c r="J2405" i="8"/>
  <c r="J2404" i="8" s="1"/>
  <c r="H2405" i="8"/>
  <c r="I2404" i="8" s="1"/>
  <c r="J2403" i="8"/>
  <c r="J2402" i="8" s="1"/>
  <c r="H2403" i="8"/>
  <c r="I2402" i="8" s="1"/>
  <c r="J2401" i="8"/>
  <c r="H2401" i="8"/>
  <c r="J2400" i="8"/>
  <c r="H2400" i="8"/>
  <c r="J2399" i="8"/>
  <c r="J2398" i="8" s="1"/>
  <c r="H2399" i="8"/>
  <c r="H2397" i="8"/>
  <c r="J2396" i="8"/>
  <c r="J2395" i="8" s="1"/>
  <c r="H2396" i="8"/>
  <c r="H2393" i="8"/>
  <c r="I2392" i="8" s="1"/>
  <c r="J2392" i="8"/>
  <c r="H2391" i="8"/>
  <c r="I2390" i="8" s="1"/>
  <c r="J2390" i="8"/>
  <c r="J2389" i="8"/>
  <c r="H2389" i="8"/>
  <c r="J2388" i="8"/>
  <c r="H2388" i="8"/>
  <c r="J2387" i="8"/>
  <c r="H2387" i="8"/>
  <c r="J2386" i="8"/>
  <c r="H2386" i="8"/>
  <c r="J2385" i="8"/>
  <c r="H2385" i="8"/>
  <c r="J2384" i="8"/>
  <c r="H2384" i="8"/>
  <c r="J2383" i="8"/>
  <c r="J2382" i="8" s="1"/>
  <c r="H2383" i="8"/>
  <c r="J2381" i="8"/>
  <c r="J2380" i="8"/>
  <c r="H2380" i="8"/>
  <c r="J2379" i="8"/>
  <c r="J2378" i="8"/>
  <c r="H2378" i="8"/>
  <c r="J2377" i="8"/>
  <c r="H2377" i="8"/>
  <c r="J2376" i="8"/>
  <c r="H2376" i="8"/>
  <c r="J2375" i="8"/>
  <c r="J2374" i="8" s="1"/>
  <c r="H2375" i="8"/>
  <c r="J2373" i="8"/>
  <c r="H2373" i="8"/>
  <c r="J2372" i="8"/>
  <c r="H2372" i="8"/>
  <c r="J2371" i="8"/>
  <c r="H2371" i="8"/>
  <c r="J2370" i="8"/>
  <c r="H2370" i="8"/>
  <c r="J2369" i="8"/>
  <c r="H2369" i="8"/>
  <c r="J2368" i="8"/>
  <c r="J2366" i="8" s="1"/>
  <c r="H2368" i="8"/>
  <c r="J2365" i="8"/>
  <c r="H2365" i="8"/>
  <c r="J2364" i="8"/>
  <c r="J2363" i="8" s="1"/>
  <c r="H2364" i="8"/>
  <c r="I2363" i="8" s="1"/>
  <c r="J2362" i="8"/>
  <c r="H2362" i="8"/>
  <c r="J2361" i="8"/>
  <c r="J2360" i="8" s="1"/>
  <c r="H2361" i="8"/>
  <c r="I2360" i="8" s="1"/>
  <c r="J2359" i="8"/>
  <c r="H2359" i="8"/>
  <c r="J2358" i="8"/>
  <c r="J2357" i="8" s="1"/>
  <c r="H2358" i="8"/>
  <c r="I2357" i="8" s="1"/>
  <c r="H2262" i="8"/>
  <c r="I2261" i="8" s="1"/>
  <c r="J2261" i="8"/>
  <c r="H2260" i="8"/>
  <c r="I2259" i="8" s="1"/>
  <c r="J2259" i="8"/>
  <c r="H2258" i="8"/>
  <c r="I2257" i="8" s="1"/>
  <c r="J2257" i="8"/>
  <c r="H2256" i="8"/>
  <c r="I2255" i="8" s="1"/>
  <c r="J2255" i="8"/>
  <c r="H2254" i="8"/>
  <c r="H2253" i="8"/>
  <c r="H2252" i="8"/>
  <c r="J2251" i="8"/>
  <c r="H2250" i="8"/>
  <c r="H2248" i="8"/>
  <c r="H2246" i="8"/>
  <c r="J2244" i="8"/>
  <c r="H2243" i="8"/>
  <c r="H2242" i="8"/>
  <c r="J2241" i="8"/>
  <c r="H2239" i="8"/>
  <c r="I2238" i="8" s="1"/>
  <c r="J2238" i="8"/>
  <c r="H2237" i="8"/>
  <c r="I2236" i="8" s="1"/>
  <c r="J2236" i="8"/>
  <c r="H2235" i="8"/>
  <c r="I2234" i="8" s="1"/>
  <c r="J2234" i="8"/>
  <c r="J2233" i="8"/>
  <c r="J2232" i="8" s="1"/>
  <c r="H2233" i="8"/>
  <c r="I2232" i="8" s="1"/>
  <c r="J2231" i="8"/>
  <c r="J2230" i="8" s="1"/>
  <c r="H2231" i="8"/>
  <c r="I2230" i="8" s="1"/>
  <c r="J2229" i="8"/>
  <c r="J2228" i="8" s="1"/>
  <c r="H2229" i="8"/>
  <c r="I2228" i="8" s="1"/>
  <c r="J2227" i="8"/>
  <c r="J2226" i="8" s="1"/>
  <c r="H2227" i="8"/>
  <c r="I2226" i="8" s="1"/>
  <c r="J2225" i="8"/>
  <c r="J2223" i="8" s="1"/>
  <c r="H2225" i="8"/>
  <c r="J2224" i="8"/>
  <c r="H2224" i="8"/>
  <c r="J2222" i="8"/>
  <c r="J2221" i="8" s="1"/>
  <c r="H2222" i="8"/>
  <c r="I2221" i="8" s="1"/>
  <c r="J2220" i="8"/>
  <c r="J2219" i="8" s="1"/>
  <c r="H2220" i="8"/>
  <c r="I2219" i="8" s="1"/>
  <c r="J2218" i="8"/>
  <c r="H2218" i="8"/>
  <c r="J2217" i="8"/>
  <c r="H2217" i="8"/>
  <c r="J2216" i="8"/>
  <c r="J2215" i="8" s="1"/>
  <c r="H2216" i="8"/>
  <c r="J2214" i="8"/>
  <c r="J2213" i="8" s="1"/>
  <c r="H2214" i="8"/>
  <c r="I2213" i="8" s="1"/>
  <c r="J2212" i="8"/>
  <c r="J2211" i="8" s="1"/>
  <c r="H2212" i="8"/>
  <c r="I2211" i="8" s="1"/>
  <c r="J2210" i="8"/>
  <c r="H2210" i="8"/>
  <c r="J2209" i="8"/>
  <c r="H2209" i="8"/>
  <c r="J2208" i="8"/>
  <c r="J2207" i="8" s="1"/>
  <c r="H2208" i="8"/>
  <c r="H2206" i="8"/>
  <c r="J2205" i="8"/>
  <c r="J2204" i="8" s="1"/>
  <c r="H2205" i="8"/>
  <c r="I2204" i="8" s="1"/>
  <c r="H2202" i="8"/>
  <c r="I2201" i="8" s="1"/>
  <c r="J2201" i="8"/>
  <c r="H2200" i="8"/>
  <c r="I2199" i="8" s="1"/>
  <c r="J2199" i="8"/>
  <c r="J2198" i="8"/>
  <c r="H2198" i="8"/>
  <c r="J2197" i="8"/>
  <c r="H2197" i="8"/>
  <c r="J2196" i="8"/>
  <c r="H2196" i="8"/>
  <c r="J2195" i="8"/>
  <c r="H2195" i="8"/>
  <c r="J2194" i="8"/>
  <c r="H2194" i="8"/>
  <c r="J2193" i="8"/>
  <c r="H2193" i="8"/>
  <c r="J2192" i="8"/>
  <c r="J2191" i="8" s="1"/>
  <c r="H2192" i="8"/>
  <c r="J2190" i="8"/>
  <c r="H2190" i="8"/>
  <c r="J2189" i="8"/>
  <c r="H2189" i="8"/>
  <c r="J2188" i="8"/>
  <c r="H2188" i="8"/>
  <c r="J2187" i="8"/>
  <c r="H2187" i="8"/>
  <c r="J2186" i="8"/>
  <c r="H2186" i="8"/>
  <c r="J2185" i="8"/>
  <c r="H2185" i="8"/>
  <c r="J2184" i="8"/>
  <c r="J2183" i="8" s="1"/>
  <c r="H2184" i="8"/>
  <c r="J2182" i="8"/>
  <c r="H2182" i="8"/>
  <c r="J2181" i="8"/>
  <c r="H2181" i="8"/>
  <c r="J2180" i="8"/>
  <c r="H2180" i="8"/>
  <c r="J2179" i="8"/>
  <c r="H2179" i="8"/>
  <c r="J2178" i="8"/>
  <c r="H2178" i="8"/>
  <c r="J2177" i="8"/>
  <c r="J2175" i="8" s="1"/>
  <c r="H2177" i="8"/>
  <c r="J2174" i="8"/>
  <c r="H2174" i="8"/>
  <c r="J2173" i="8"/>
  <c r="J2172" i="8" s="1"/>
  <c r="H2173" i="8"/>
  <c r="I2172" i="8" s="1"/>
  <c r="J2171" i="8"/>
  <c r="H2171" i="8"/>
  <c r="J2170" i="8"/>
  <c r="J2169" i="8" s="1"/>
  <c r="H2170" i="8"/>
  <c r="I2169" i="8" s="1"/>
  <c r="J2168" i="8"/>
  <c r="H2168" i="8"/>
  <c r="J2167" i="8"/>
  <c r="J2166" i="8" s="1"/>
  <c r="H2167" i="8"/>
  <c r="I2166" i="8" s="1"/>
  <c r="H2071" i="8"/>
  <c r="I2070" i="8" s="1"/>
  <c r="J2070" i="8"/>
  <c r="H2069" i="8"/>
  <c r="I2068" i="8" s="1"/>
  <c r="J2068" i="8"/>
  <c r="H2067" i="8"/>
  <c r="I2066" i="8" s="1"/>
  <c r="J2066" i="8"/>
  <c r="H2065" i="8"/>
  <c r="I2064" i="8" s="1"/>
  <c r="J2064" i="8"/>
  <c r="H2063" i="8"/>
  <c r="H2062" i="8"/>
  <c r="H2061" i="8"/>
  <c r="J2060" i="8"/>
  <c r="H2059" i="8"/>
  <c r="H2057" i="8"/>
  <c r="H2055" i="8"/>
  <c r="J2053" i="8"/>
  <c r="H2052" i="8"/>
  <c r="H2051" i="8"/>
  <c r="J2050" i="8"/>
  <c r="H2048" i="8"/>
  <c r="I2047" i="8" s="1"/>
  <c r="J2047" i="8"/>
  <c r="H2046" i="8"/>
  <c r="I2045" i="8" s="1"/>
  <c r="J2045" i="8"/>
  <c r="H2044" i="8"/>
  <c r="I2043" i="8" s="1"/>
  <c r="J2043" i="8"/>
  <c r="J2042" i="8"/>
  <c r="J2041" i="8" s="1"/>
  <c r="H2042" i="8"/>
  <c r="I2041" i="8" s="1"/>
  <c r="J2040" i="8"/>
  <c r="J2039" i="8" s="1"/>
  <c r="H2040" i="8"/>
  <c r="I2039" i="8" s="1"/>
  <c r="J2038" i="8"/>
  <c r="J2037" i="8" s="1"/>
  <c r="H2038" i="8"/>
  <c r="I2037" i="8" s="1"/>
  <c r="J2036" i="8"/>
  <c r="J2035" i="8" s="1"/>
  <c r="H2036" i="8"/>
  <c r="I2035" i="8" s="1"/>
  <c r="J2034" i="8"/>
  <c r="J2032" i="8" s="1"/>
  <c r="H2034" i="8"/>
  <c r="J2033" i="8"/>
  <c r="H2033" i="8"/>
  <c r="J2031" i="8"/>
  <c r="J2030" i="8" s="1"/>
  <c r="H2031" i="8"/>
  <c r="I2030" i="8" s="1"/>
  <c r="J2029" i="8"/>
  <c r="J2028" i="8" s="1"/>
  <c r="H2029" i="8"/>
  <c r="I2028" i="8" s="1"/>
  <c r="J2027" i="8"/>
  <c r="H2027" i="8"/>
  <c r="J2026" i="8"/>
  <c r="H2026" i="8"/>
  <c r="J2025" i="8"/>
  <c r="J2024" i="8" s="1"/>
  <c r="H2025" i="8"/>
  <c r="J2023" i="8"/>
  <c r="J2022" i="8" s="1"/>
  <c r="H2023" i="8"/>
  <c r="I2022" i="8" s="1"/>
  <c r="J2021" i="8"/>
  <c r="J2020" i="8" s="1"/>
  <c r="H2021" i="8"/>
  <c r="I2020" i="8" s="1"/>
  <c r="J2019" i="8"/>
  <c r="H2019" i="8"/>
  <c r="J2018" i="8"/>
  <c r="H2018" i="8"/>
  <c r="J2017" i="8"/>
  <c r="J2016" i="8" s="1"/>
  <c r="H2017" i="8"/>
  <c r="H2015" i="8"/>
  <c r="J2014" i="8"/>
  <c r="J2013" i="8" s="1"/>
  <c r="H2014" i="8"/>
  <c r="H2011" i="8"/>
  <c r="I2010" i="8" s="1"/>
  <c r="J2010" i="8"/>
  <c r="H2009" i="8"/>
  <c r="I2008" i="8" s="1"/>
  <c r="J2008" i="8"/>
  <c r="J2007" i="8"/>
  <c r="H2007" i="8"/>
  <c r="J2006" i="8"/>
  <c r="H2006" i="8"/>
  <c r="J2005" i="8"/>
  <c r="H2005" i="8"/>
  <c r="J2004" i="8"/>
  <c r="H2004" i="8"/>
  <c r="J2003" i="8"/>
  <c r="H2003" i="8"/>
  <c r="J2002" i="8"/>
  <c r="H2002" i="8"/>
  <c r="J2001" i="8"/>
  <c r="J2000" i="8" s="1"/>
  <c r="H2001" i="8"/>
  <c r="J1999" i="8"/>
  <c r="H1999" i="8"/>
  <c r="J1998" i="8"/>
  <c r="H1998" i="8"/>
  <c r="J1997" i="8"/>
  <c r="H1997" i="8"/>
  <c r="J1996" i="8"/>
  <c r="H1996" i="8"/>
  <c r="J1995" i="8"/>
  <c r="H1995" i="8"/>
  <c r="J1994" i="8"/>
  <c r="H1994" i="8"/>
  <c r="J1993" i="8"/>
  <c r="J1992" i="8" s="1"/>
  <c r="H1993" i="8"/>
  <c r="J1991" i="8"/>
  <c r="H1991" i="8"/>
  <c r="J1990" i="8"/>
  <c r="H1990" i="8"/>
  <c r="J1989" i="8"/>
  <c r="H1989" i="8"/>
  <c r="J1988" i="8"/>
  <c r="H1988" i="8"/>
  <c r="J1987" i="8"/>
  <c r="H1987" i="8"/>
  <c r="J1986" i="8"/>
  <c r="J1984" i="8" s="1"/>
  <c r="H1986" i="8"/>
  <c r="J1983" i="8"/>
  <c r="H1983" i="8"/>
  <c r="J1982" i="8"/>
  <c r="J1981" i="8" s="1"/>
  <c r="H1982" i="8"/>
  <c r="I1981" i="8" s="1"/>
  <c r="J1980" i="8"/>
  <c r="H1980" i="8"/>
  <c r="J1979" i="8"/>
  <c r="J1978" i="8" s="1"/>
  <c r="H1979" i="8"/>
  <c r="I1978" i="8" s="1"/>
  <c r="J1977" i="8"/>
  <c r="H1977" i="8"/>
  <c r="J1976" i="8"/>
  <c r="J1975" i="8" s="1"/>
  <c r="H1976" i="8"/>
  <c r="I1975" i="8" s="1"/>
  <c r="J1837" i="8"/>
  <c r="H1837" i="8"/>
  <c r="J1836" i="8"/>
  <c r="H1836" i="8"/>
  <c r="J1835" i="8"/>
  <c r="J1834" i="8" s="1"/>
  <c r="H1835" i="8"/>
  <c r="H1828" i="8"/>
  <c r="J1828" i="8"/>
  <c r="H1829" i="8"/>
  <c r="J1829" i="8"/>
  <c r="H1881" i="8"/>
  <c r="I1880" i="8" s="1"/>
  <c r="J1880" i="8"/>
  <c r="H1879" i="8"/>
  <c r="I1878" i="8" s="1"/>
  <c r="J1878" i="8"/>
  <c r="H1877" i="8"/>
  <c r="I1876" i="8" s="1"/>
  <c r="J1876" i="8"/>
  <c r="H1875" i="8"/>
  <c r="I1874" i="8" s="1"/>
  <c r="J1874" i="8"/>
  <c r="H1873" i="8"/>
  <c r="H1872" i="8"/>
  <c r="H1871" i="8"/>
  <c r="J1870" i="8"/>
  <c r="H1869" i="8"/>
  <c r="H1867" i="8"/>
  <c r="H1865" i="8"/>
  <c r="J1863" i="8"/>
  <c r="H1862" i="8"/>
  <c r="H1861" i="8"/>
  <c r="J1860" i="8"/>
  <c r="H1858" i="8"/>
  <c r="I1857" i="8" s="1"/>
  <c r="J1857" i="8"/>
  <c r="H1856" i="8"/>
  <c r="I1855" i="8" s="1"/>
  <c r="J1855" i="8"/>
  <c r="H1854" i="8"/>
  <c r="I1853" i="8" s="1"/>
  <c r="J1853" i="8"/>
  <c r="J1852" i="8"/>
  <c r="J1851" i="8" s="1"/>
  <c r="H1852" i="8"/>
  <c r="I1851" i="8" s="1"/>
  <c r="J1850" i="8"/>
  <c r="J1849" i="8" s="1"/>
  <c r="H1850" i="8"/>
  <c r="I1849" i="8" s="1"/>
  <c r="J1848" i="8"/>
  <c r="J1847" i="8" s="1"/>
  <c r="H1848" i="8"/>
  <c r="I1847" i="8" s="1"/>
  <c r="J1846" i="8"/>
  <c r="J1845" i="8" s="1"/>
  <c r="H1846" i="8"/>
  <c r="I1845" i="8" s="1"/>
  <c r="J1844" i="8"/>
  <c r="J1842" i="8" s="1"/>
  <c r="H1844" i="8"/>
  <c r="J1843" i="8"/>
  <c r="H1843" i="8"/>
  <c r="J1841" i="8"/>
  <c r="J1840" i="8" s="1"/>
  <c r="H1841" i="8"/>
  <c r="I1840" i="8" s="1"/>
  <c r="J1839" i="8"/>
  <c r="J1838" i="8" s="1"/>
  <c r="H1839" i="8"/>
  <c r="I1838" i="8" s="1"/>
  <c r="J1833" i="8"/>
  <c r="J1832" i="8" s="1"/>
  <c r="H1833" i="8"/>
  <c r="I1832" i="8" s="1"/>
  <c r="J1831" i="8"/>
  <c r="J1830" i="8" s="1"/>
  <c r="H1831" i="8"/>
  <c r="I1830" i="8" s="1"/>
  <c r="J1827" i="8"/>
  <c r="J1826" i="8" s="1"/>
  <c r="H1827" i="8"/>
  <c r="H1825" i="8"/>
  <c r="J1824" i="8"/>
  <c r="J1823" i="8" s="1"/>
  <c r="H1824" i="8"/>
  <c r="H1821" i="8"/>
  <c r="I1820" i="8" s="1"/>
  <c r="J1820" i="8"/>
  <c r="H1819" i="8"/>
  <c r="I1818" i="8" s="1"/>
  <c r="J1818" i="8"/>
  <c r="J1817" i="8"/>
  <c r="H1817" i="8"/>
  <c r="J1816" i="8"/>
  <c r="H1816" i="8"/>
  <c r="J1815" i="8"/>
  <c r="H1815" i="8"/>
  <c r="J1814" i="8"/>
  <c r="H1814" i="8"/>
  <c r="J1813" i="8"/>
  <c r="H1813" i="8"/>
  <c r="J1812" i="8"/>
  <c r="H1812" i="8"/>
  <c r="J1811" i="8"/>
  <c r="J1810" i="8" s="1"/>
  <c r="H1811" i="8"/>
  <c r="J1809" i="8"/>
  <c r="H1809" i="8"/>
  <c r="J1808" i="8"/>
  <c r="H1808" i="8"/>
  <c r="J1807" i="8"/>
  <c r="H1807" i="8"/>
  <c r="J1806" i="8"/>
  <c r="H1806" i="8"/>
  <c r="J1805" i="8"/>
  <c r="H1805" i="8"/>
  <c r="J1804" i="8"/>
  <c r="H1804" i="8"/>
  <c r="J1803" i="8"/>
  <c r="J1802" i="8" s="1"/>
  <c r="H1803" i="8"/>
  <c r="J1801" i="8"/>
  <c r="H1801" i="8"/>
  <c r="J1800" i="8"/>
  <c r="H1800" i="8"/>
  <c r="J1799" i="8"/>
  <c r="H1799" i="8"/>
  <c r="J1798" i="8"/>
  <c r="H1798" i="8"/>
  <c r="J1797" i="8"/>
  <c r="H1797" i="8"/>
  <c r="J1796" i="8"/>
  <c r="J1794" i="8" s="1"/>
  <c r="H1796" i="8"/>
  <c r="J1793" i="8"/>
  <c r="H1793" i="8"/>
  <c r="J1792" i="8"/>
  <c r="J1791" i="8" s="1"/>
  <c r="H1792" i="8"/>
  <c r="I1791" i="8" s="1"/>
  <c r="J1790" i="8"/>
  <c r="H1790" i="8"/>
  <c r="J1789" i="8"/>
  <c r="J1788" i="8" s="1"/>
  <c r="H1789" i="8"/>
  <c r="I1788" i="8" s="1"/>
  <c r="J1787" i="8"/>
  <c r="H1787" i="8"/>
  <c r="J1786" i="8"/>
  <c r="J1785" i="8" s="1"/>
  <c r="H1786" i="8"/>
  <c r="I1785" i="8" s="1"/>
  <c r="J117" i="8"/>
  <c r="H117" i="8"/>
  <c r="J116" i="8"/>
  <c r="H116" i="8"/>
  <c r="J313" i="8"/>
  <c r="J311" i="8" s="1"/>
  <c r="H313" i="8"/>
  <c r="J312" i="8"/>
  <c r="H312" i="8"/>
  <c r="J504" i="8"/>
  <c r="J502" i="8" s="1"/>
  <c r="H504" i="8"/>
  <c r="J503" i="8"/>
  <c r="H503" i="8"/>
  <c r="J698" i="8"/>
  <c r="H698" i="8"/>
  <c r="J697" i="8"/>
  <c r="H697" i="8"/>
  <c r="J889" i="8"/>
  <c r="H889" i="8"/>
  <c r="J888" i="8"/>
  <c r="H888" i="8"/>
  <c r="J1080" i="8"/>
  <c r="J1078" i="8" s="1"/>
  <c r="H1080" i="8"/>
  <c r="J1079" i="8"/>
  <c r="H1079" i="8"/>
  <c r="J1264" i="8"/>
  <c r="J1262" i="8" s="1"/>
  <c r="H1264" i="8"/>
  <c r="J1263" i="8"/>
  <c r="H1263" i="8"/>
  <c r="J1460" i="8"/>
  <c r="J1458" i="8" s="1"/>
  <c r="H1460" i="8"/>
  <c r="J1459" i="8"/>
  <c r="H1459" i="8"/>
  <c r="I1458" i="8" s="1"/>
  <c r="H1485" i="8"/>
  <c r="H1483" i="8"/>
  <c r="H1481" i="8"/>
  <c r="H1675" i="8"/>
  <c r="H1673" i="8"/>
  <c r="H1671" i="8"/>
  <c r="J1650" i="8"/>
  <c r="J1648" i="8" s="1"/>
  <c r="J1649" i="8"/>
  <c r="H1649" i="8"/>
  <c r="H1687" i="8"/>
  <c r="I1686" i="8" s="1"/>
  <c r="J1686" i="8"/>
  <c r="H1685" i="8"/>
  <c r="I1684" i="8" s="1"/>
  <c r="J1684" i="8"/>
  <c r="H1683" i="8"/>
  <c r="I1682" i="8" s="1"/>
  <c r="J1682" i="8"/>
  <c r="H1681" i="8"/>
  <c r="I1680" i="8" s="1"/>
  <c r="J1680" i="8"/>
  <c r="H1679" i="8"/>
  <c r="H1678" i="8"/>
  <c r="H1677" i="8"/>
  <c r="J1676" i="8"/>
  <c r="J1669" i="8"/>
  <c r="H1668" i="8"/>
  <c r="H1667" i="8"/>
  <c r="J1666" i="8"/>
  <c r="H1664" i="8"/>
  <c r="I1663" i="8" s="1"/>
  <c r="J1663" i="8"/>
  <c r="H1662" i="8"/>
  <c r="I1661" i="8" s="1"/>
  <c r="J1661" i="8"/>
  <c r="H1660" i="8"/>
  <c r="I1659" i="8" s="1"/>
  <c r="J1659" i="8"/>
  <c r="J1658" i="8"/>
  <c r="J1657" i="8" s="1"/>
  <c r="H1658" i="8"/>
  <c r="I1657" i="8" s="1"/>
  <c r="J1656" i="8"/>
  <c r="J1655" i="8" s="1"/>
  <c r="H1656" i="8"/>
  <c r="I1655" i="8" s="1"/>
  <c r="J1654" i="8"/>
  <c r="J1653" i="8" s="1"/>
  <c r="H1654" i="8"/>
  <c r="I1653" i="8" s="1"/>
  <c r="J1652" i="8"/>
  <c r="J1651" i="8" s="1"/>
  <c r="H1652" i="8"/>
  <c r="I1651" i="8" s="1"/>
  <c r="H1650" i="8"/>
  <c r="J1647" i="8"/>
  <c r="J1646" i="8" s="1"/>
  <c r="H1647" i="8"/>
  <c r="I1646" i="8" s="1"/>
  <c r="J1645" i="8"/>
  <c r="J1644" i="8" s="1"/>
  <c r="H1645" i="8"/>
  <c r="I1644" i="8" s="1"/>
  <c r="J1643" i="8"/>
  <c r="J1642" i="8" s="1"/>
  <c r="H1643" i="8"/>
  <c r="I1642" i="8" s="1"/>
  <c r="J1641" i="8"/>
  <c r="J1640" i="8" s="1"/>
  <c r="H1641" i="8"/>
  <c r="I1640" i="8" s="1"/>
  <c r="J1639" i="8"/>
  <c r="J1638" i="8" s="1"/>
  <c r="H1639" i="8"/>
  <c r="I1638" i="8" s="1"/>
  <c r="J1637" i="8"/>
  <c r="J1636" i="8" s="1"/>
  <c r="H1637" i="8"/>
  <c r="I1636" i="8" s="1"/>
  <c r="H1635" i="8"/>
  <c r="J1634" i="8"/>
  <c r="J1633" i="8" s="1"/>
  <c r="H1634" i="8"/>
  <c r="H1631" i="8"/>
  <c r="I1630" i="8" s="1"/>
  <c r="J1630" i="8"/>
  <c r="H1629" i="8"/>
  <c r="I1628" i="8" s="1"/>
  <c r="J1628" i="8"/>
  <c r="J1627" i="8"/>
  <c r="H1627" i="8"/>
  <c r="J1626" i="8"/>
  <c r="H1626" i="8"/>
  <c r="J1625" i="8"/>
  <c r="H1625" i="8"/>
  <c r="J1624" i="8"/>
  <c r="H1624" i="8"/>
  <c r="J1623" i="8"/>
  <c r="H1623" i="8"/>
  <c r="J1622" i="8"/>
  <c r="H1622" i="8"/>
  <c r="J1621" i="8"/>
  <c r="J1620" i="8" s="1"/>
  <c r="H1621" i="8"/>
  <c r="J1619" i="8"/>
  <c r="H1619" i="8"/>
  <c r="J1618" i="8"/>
  <c r="H1618" i="8"/>
  <c r="J1617" i="8"/>
  <c r="H1617" i="8"/>
  <c r="J1616" i="8"/>
  <c r="H1616" i="8"/>
  <c r="J1615" i="8"/>
  <c r="H1615" i="8"/>
  <c r="J1614" i="8"/>
  <c r="H1614" i="8"/>
  <c r="J1613" i="8"/>
  <c r="J1612" i="8" s="1"/>
  <c r="H1613" i="8"/>
  <c r="J1611" i="8"/>
  <c r="H1611" i="8"/>
  <c r="J1610" i="8"/>
  <c r="H1610" i="8"/>
  <c r="J1609" i="8"/>
  <c r="H1609" i="8"/>
  <c r="J1608" i="8"/>
  <c r="H1608" i="8"/>
  <c r="J1607" i="8"/>
  <c r="H1607" i="8"/>
  <c r="J1606" i="8"/>
  <c r="J1604" i="8" s="1"/>
  <c r="H1606" i="8"/>
  <c r="J1603" i="8"/>
  <c r="H1603" i="8"/>
  <c r="J1602" i="8"/>
  <c r="J1601" i="8" s="1"/>
  <c r="H1602" i="8"/>
  <c r="I1601" i="8" s="1"/>
  <c r="J1600" i="8"/>
  <c r="H1600" i="8"/>
  <c r="J1599" i="8"/>
  <c r="J1598" i="8" s="1"/>
  <c r="H1599" i="8"/>
  <c r="I1598" i="8" s="1"/>
  <c r="J1597" i="8"/>
  <c r="H1597" i="8"/>
  <c r="J1596" i="8"/>
  <c r="J1595" i="8" s="1"/>
  <c r="H1596" i="8"/>
  <c r="I1595" i="8" s="1"/>
  <c r="H1445" i="8"/>
  <c r="H1497" i="8"/>
  <c r="I1496" i="8" s="1"/>
  <c r="J1496" i="8"/>
  <c r="H1495" i="8"/>
  <c r="I1494" i="8" s="1"/>
  <c r="J1494" i="8"/>
  <c r="H1493" i="8"/>
  <c r="I1492" i="8" s="1"/>
  <c r="J1492" i="8"/>
  <c r="H1491" i="8"/>
  <c r="I1490" i="8" s="1"/>
  <c r="J1490" i="8"/>
  <c r="H1489" i="8"/>
  <c r="H1488" i="8"/>
  <c r="H1487" i="8"/>
  <c r="J1486" i="8"/>
  <c r="J1479" i="8"/>
  <c r="H1478" i="8"/>
  <c r="H1477" i="8"/>
  <c r="J1476" i="8"/>
  <c r="H1474" i="8"/>
  <c r="I1473" i="8" s="1"/>
  <c r="J1473" i="8"/>
  <c r="H1472" i="8"/>
  <c r="I1471" i="8" s="1"/>
  <c r="J1471" i="8"/>
  <c r="H1470" i="8"/>
  <c r="I1469" i="8" s="1"/>
  <c r="J1469" i="8"/>
  <c r="J1468" i="8"/>
  <c r="J1467" i="8" s="1"/>
  <c r="H1468" i="8"/>
  <c r="I1467" i="8" s="1"/>
  <c r="J1466" i="8"/>
  <c r="J1465" i="8" s="1"/>
  <c r="H1466" i="8"/>
  <c r="I1465" i="8" s="1"/>
  <c r="J1464" i="8"/>
  <c r="J1463" i="8" s="1"/>
  <c r="H1464" i="8"/>
  <c r="I1463" i="8" s="1"/>
  <c r="J1462" i="8"/>
  <c r="J1461" i="8" s="1"/>
  <c r="H1462" i="8"/>
  <c r="I1461" i="8" s="1"/>
  <c r="J1457" i="8"/>
  <c r="J1456" i="8" s="1"/>
  <c r="H1457" i="8"/>
  <c r="I1456" i="8" s="1"/>
  <c r="J1455" i="8"/>
  <c r="J1454" i="8" s="1"/>
  <c r="H1455" i="8"/>
  <c r="I1454" i="8" s="1"/>
  <c r="J1453" i="8"/>
  <c r="J1452" i="8" s="1"/>
  <c r="H1453" i="8"/>
  <c r="J1451" i="8"/>
  <c r="J1450" i="8" s="1"/>
  <c r="H1451" i="8"/>
  <c r="I1450" i="8" s="1"/>
  <c r="J1449" i="8"/>
  <c r="J1448" i="8" s="1"/>
  <c r="H1449" i="8"/>
  <c r="I1448" i="8" s="1"/>
  <c r="J1447" i="8"/>
  <c r="J1446" i="8" s="1"/>
  <c r="H1447" i="8"/>
  <c r="I1446" i="8" s="1"/>
  <c r="J1444" i="8"/>
  <c r="J1443" i="8" s="1"/>
  <c r="H1444" i="8"/>
  <c r="H1441" i="8"/>
  <c r="I1440" i="8" s="1"/>
  <c r="J1440" i="8"/>
  <c r="H1439" i="8"/>
  <c r="I1438" i="8" s="1"/>
  <c r="J1438" i="8"/>
  <c r="J1437" i="8"/>
  <c r="H1437" i="8"/>
  <c r="J1436" i="8"/>
  <c r="H1436" i="8"/>
  <c r="J1435" i="8"/>
  <c r="H1435" i="8"/>
  <c r="J1434" i="8"/>
  <c r="H1434" i="8"/>
  <c r="J1433" i="8"/>
  <c r="H1433" i="8"/>
  <c r="J1432" i="8"/>
  <c r="H1432" i="8"/>
  <c r="J1431" i="8"/>
  <c r="J1430" i="8" s="1"/>
  <c r="H1431" i="8"/>
  <c r="J1429" i="8"/>
  <c r="H1429" i="8"/>
  <c r="J1428" i="8"/>
  <c r="H1428" i="8"/>
  <c r="J1427" i="8"/>
  <c r="H1427" i="8"/>
  <c r="J1426" i="8"/>
  <c r="H1426" i="8"/>
  <c r="J1425" i="8"/>
  <c r="H1425" i="8"/>
  <c r="J1424" i="8"/>
  <c r="H1424" i="8"/>
  <c r="J1423" i="8"/>
  <c r="J1422" i="8" s="1"/>
  <c r="H1423" i="8"/>
  <c r="J1421" i="8"/>
  <c r="H1421" i="8"/>
  <c r="J1420" i="8"/>
  <c r="H1420" i="8"/>
  <c r="J1419" i="8"/>
  <c r="H1419" i="8"/>
  <c r="J1418" i="8"/>
  <c r="H1418" i="8"/>
  <c r="J1417" i="8"/>
  <c r="H1417" i="8"/>
  <c r="J1416" i="8"/>
  <c r="J1414" i="8" s="1"/>
  <c r="H1416" i="8"/>
  <c r="J1413" i="8"/>
  <c r="H1413" i="8"/>
  <c r="J1412" i="8"/>
  <c r="J1411" i="8" s="1"/>
  <c r="H1412" i="8"/>
  <c r="I1411" i="8" s="1"/>
  <c r="J1410" i="8"/>
  <c r="H1410" i="8"/>
  <c r="J1409" i="8"/>
  <c r="J1408" i="8" s="1"/>
  <c r="H1409" i="8"/>
  <c r="I1408" i="8" s="1"/>
  <c r="J1407" i="8"/>
  <c r="H1407" i="8"/>
  <c r="J1406" i="8"/>
  <c r="J1405" i="8" s="1"/>
  <c r="H1406" i="8"/>
  <c r="I1405" i="8" s="1"/>
  <c r="H1303" i="8"/>
  <c r="I1302" i="8" s="1"/>
  <c r="J1302" i="8"/>
  <c r="H1301" i="8"/>
  <c r="I1300" i="8" s="1"/>
  <c r="J1300" i="8"/>
  <c r="H1299" i="8"/>
  <c r="I1298" i="8" s="1"/>
  <c r="J1298" i="8"/>
  <c r="H1297" i="8"/>
  <c r="I1296" i="8" s="1"/>
  <c r="J1296" i="8"/>
  <c r="H1295" i="8"/>
  <c r="H1294" i="8"/>
  <c r="H1293" i="8"/>
  <c r="J1292" i="8"/>
  <c r="H1291" i="8"/>
  <c r="H1289" i="8"/>
  <c r="H1287" i="8"/>
  <c r="J1285" i="8"/>
  <c r="H1284" i="8"/>
  <c r="H1283" i="8"/>
  <c r="J1282" i="8"/>
  <c r="H1280" i="8"/>
  <c r="I1279" i="8" s="1"/>
  <c r="J1279" i="8"/>
  <c r="H1278" i="8"/>
  <c r="I1277" i="8" s="1"/>
  <c r="J1277" i="8"/>
  <c r="H1276" i="8"/>
  <c r="H1275" i="8"/>
  <c r="H1274" i="8"/>
  <c r="J1273" i="8"/>
  <c r="J1272" i="8"/>
  <c r="J1271" i="8" s="1"/>
  <c r="H1272" i="8"/>
  <c r="I1271" i="8" s="1"/>
  <c r="J1270" i="8"/>
  <c r="J1269" i="8" s="1"/>
  <c r="H1270" i="8"/>
  <c r="I1269" i="8" s="1"/>
  <c r="J1268" i="8"/>
  <c r="J1267" i="8" s="1"/>
  <c r="H1268" i="8"/>
  <c r="I1267" i="8" s="1"/>
  <c r="J1266" i="8"/>
  <c r="J1265" i="8" s="1"/>
  <c r="H1266" i="8"/>
  <c r="I1265" i="8" s="1"/>
  <c r="J1261" i="8"/>
  <c r="J1260" i="8" s="1"/>
  <c r="H1261" i="8"/>
  <c r="I1260" i="8" s="1"/>
  <c r="J1259" i="8"/>
  <c r="J1258" i="8" s="1"/>
  <c r="H1259" i="8"/>
  <c r="I1258" i="8" s="1"/>
  <c r="J1257" i="8"/>
  <c r="J1256" i="8" s="1"/>
  <c r="H1257" i="8"/>
  <c r="I1256" i="8" s="1"/>
  <c r="J1255" i="8"/>
  <c r="J1254" i="8" s="1"/>
  <c r="H1255" i="8"/>
  <c r="I1254" i="8" s="1"/>
  <c r="J1253" i="8"/>
  <c r="J1252" i="8" s="1"/>
  <c r="H1253" i="8"/>
  <c r="I1252" i="8" s="1"/>
  <c r="J1251" i="8"/>
  <c r="H1251" i="8"/>
  <c r="J1250" i="8"/>
  <c r="J1249" i="8" s="1"/>
  <c r="H1250" i="8"/>
  <c r="J1248" i="8"/>
  <c r="J1247" i="8" s="1"/>
  <c r="H1248" i="8"/>
  <c r="I1247" i="8" s="1"/>
  <c r="D1245" i="8"/>
  <c r="H1245" i="8" s="1"/>
  <c r="I1244" i="8" s="1"/>
  <c r="J1244" i="8"/>
  <c r="H1243" i="8"/>
  <c r="I1242" i="8" s="1"/>
  <c r="J1242" i="8"/>
  <c r="J1241" i="8"/>
  <c r="H1241" i="8"/>
  <c r="J1240" i="8"/>
  <c r="H1240" i="8"/>
  <c r="J1239" i="8"/>
  <c r="J1238" i="8" s="1"/>
  <c r="H1239" i="8"/>
  <c r="J1237" i="8"/>
  <c r="H1237" i="8"/>
  <c r="J1236" i="8"/>
  <c r="H1236" i="8"/>
  <c r="J1235" i="8"/>
  <c r="H1235" i="8"/>
  <c r="J1234" i="8"/>
  <c r="H1234" i="8"/>
  <c r="J1233" i="8"/>
  <c r="H1233" i="8"/>
  <c r="J1232" i="8"/>
  <c r="H1232" i="8"/>
  <c r="J1231" i="8"/>
  <c r="J1230" i="8" s="1"/>
  <c r="H1231" i="8"/>
  <c r="J1229" i="8"/>
  <c r="J1228" i="8"/>
  <c r="H1228" i="8"/>
  <c r="J1227" i="8"/>
  <c r="J1226" i="8"/>
  <c r="H1226" i="8"/>
  <c r="J1225" i="8"/>
  <c r="J1224" i="8"/>
  <c r="J1222" i="8" s="1"/>
  <c r="D1224" i="8"/>
  <c r="D1229" i="8" s="1"/>
  <c r="H1229" i="8" s="1"/>
  <c r="J1221" i="8"/>
  <c r="J1220" i="8" s="1"/>
  <c r="H1221" i="8"/>
  <c r="I1220" i="8" s="1"/>
  <c r="J1219" i="8"/>
  <c r="H1219" i="8"/>
  <c r="J1218" i="8"/>
  <c r="J1217" i="8" s="1"/>
  <c r="H1218" i="8"/>
  <c r="I1217" i="8" s="1"/>
  <c r="J1216" i="8"/>
  <c r="H1216" i="8"/>
  <c r="J1215" i="8"/>
  <c r="J1214" i="8" s="1"/>
  <c r="H1215" i="8"/>
  <c r="I1214" i="8" s="1"/>
  <c r="J1073" i="8"/>
  <c r="H1073" i="8"/>
  <c r="J1072" i="8"/>
  <c r="J1071" i="8" s="1"/>
  <c r="H1072" i="8"/>
  <c r="H1066" i="8"/>
  <c r="J1066" i="8"/>
  <c r="H1117" i="8"/>
  <c r="I1116" i="8" s="1"/>
  <c r="J1116" i="8"/>
  <c r="H1115" i="8"/>
  <c r="I1114" i="8" s="1"/>
  <c r="J1114" i="8"/>
  <c r="H1113" i="8"/>
  <c r="I1112" i="8" s="1"/>
  <c r="J1112" i="8"/>
  <c r="H1111" i="8"/>
  <c r="I1110" i="8" s="1"/>
  <c r="J1110" i="8"/>
  <c r="H1109" i="8"/>
  <c r="H1108" i="8"/>
  <c r="H1107" i="8"/>
  <c r="J1106" i="8"/>
  <c r="H1105" i="8"/>
  <c r="H1103" i="8"/>
  <c r="H1101" i="8"/>
  <c r="J1099" i="8"/>
  <c r="H1098" i="8"/>
  <c r="H1097" i="8"/>
  <c r="J1096" i="8"/>
  <c r="H1094" i="8"/>
  <c r="I1093" i="8" s="1"/>
  <c r="J1093" i="8"/>
  <c r="H1092" i="8"/>
  <c r="I1091" i="8" s="1"/>
  <c r="J1091" i="8"/>
  <c r="H1090" i="8"/>
  <c r="I1089" i="8" s="1"/>
  <c r="J1089" i="8"/>
  <c r="J1088" i="8"/>
  <c r="J1087" i="8" s="1"/>
  <c r="H1088" i="8"/>
  <c r="I1087" i="8" s="1"/>
  <c r="J1086" i="8"/>
  <c r="J1085" i="8" s="1"/>
  <c r="H1086" i="8"/>
  <c r="I1085" i="8" s="1"/>
  <c r="J1084" i="8"/>
  <c r="J1083" i="8" s="1"/>
  <c r="H1084" i="8"/>
  <c r="I1083" i="8" s="1"/>
  <c r="J1082" i="8"/>
  <c r="J1081" i="8" s="1"/>
  <c r="H1082" i="8"/>
  <c r="I1081" i="8" s="1"/>
  <c r="J1077" i="8"/>
  <c r="J1076" i="8" s="1"/>
  <c r="H1077" i="8"/>
  <c r="I1076" i="8" s="1"/>
  <c r="J1075" i="8"/>
  <c r="J1074" i="8" s="1"/>
  <c r="H1075" i="8"/>
  <c r="I1074" i="8" s="1"/>
  <c r="J1070" i="8"/>
  <c r="J1069" i="8" s="1"/>
  <c r="H1070" i="8"/>
  <c r="I1069" i="8" s="1"/>
  <c r="J1068" i="8"/>
  <c r="J1067" i="8" s="1"/>
  <c r="H1068" i="8"/>
  <c r="I1067" i="8" s="1"/>
  <c r="J1065" i="8"/>
  <c r="J1064" i="8" s="1"/>
  <c r="H1065" i="8"/>
  <c r="J1063" i="8"/>
  <c r="J1062" i="8" s="1"/>
  <c r="H1063" i="8"/>
  <c r="I1062" i="8" s="1"/>
  <c r="H1060" i="8"/>
  <c r="I1059" i="8" s="1"/>
  <c r="J1059" i="8"/>
  <c r="H1058" i="8"/>
  <c r="I1057" i="8" s="1"/>
  <c r="J1057" i="8"/>
  <c r="J1056" i="8"/>
  <c r="H1056" i="8"/>
  <c r="J1055" i="8"/>
  <c r="H1055" i="8"/>
  <c r="J1054" i="8"/>
  <c r="H1054" i="8"/>
  <c r="J1053" i="8"/>
  <c r="H1053" i="8"/>
  <c r="J1052" i="8"/>
  <c r="H1052" i="8"/>
  <c r="J1051" i="8"/>
  <c r="H1051" i="8"/>
  <c r="J1050" i="8"/>
  <c r="J1049" i="8" s="1"/>
  <c r="H1050" i="8"/>
  <c r="J1048" i="8"/>
  <c r="H1048" i="8"/>
  <c r="J1047" i="8"/>
  <c r="H1047" i="8"/>
  <c r="J1046" i="8"/>
  <c r="H1046" i="8"/>
  <c r="J1045" i="8"/>
  <c r="H1045" i="8"/>
  <c r="J1044" i="8"/>
  <c r="H1044" i="8"/>
  <c r="J1043" i="8"/>
  <c r="H1043" i="8"/>
  <c r="J1042" i="8"/>
  <c r="J1041" i="8" s="1"/>
  <c r="H1042" i="8"/>
  <c r="J1040" i="8"/>
  <c r="H1040" i="8"/>
  <c r="J1039" i="8"/>
  <c r="H1039" i="8"/>
  <c r="J1038" i="8"/>
  <c r="H1038" i="8"/>
  <c r="J1037" i="8"/>
  <c r="H1037" i="8"/>
  <c r="J1036" i="8"/>
  <c r="H1036" i="8"/>
  <c r="J1035" i="8"/>
  <c r="J1033" i="8" s="1"/>
  <c r="H1035" i="8"/>
  <c r="J1032" i="8"/>
  <c r="H1032" i="8"/>
  <c r="J1031" i="8"/>
  <c r="J1030" i="8" s="1"/>
  <c r="H1031" i="8"/>
  <c r="I1030" i="8" s="1"/>
  <c r="J1029" i="8"/>
  <c r="H1029" i="8"/>
  <c r="J1028" i="8"/>
  <c r="J1027" i="8" s="1"/>
  <c r="H1028" i="8"/>
  <c r="I1027" i="8" s="1"/>
  <c r="J1026" i="8"/>
  <c r="H1026" i="8"/>
  <c r="J1025" i="8"/>
  <c r="J1024" i="8" s="1"/>
  <c r="H1025" i="8"/>
  <c r="I1024" i="8" s="1"/>
  <c r="H726" i="8"/>
  <c r="H727" i="8"/>
  <c r="H728" i="8"/>
  <c r="H729" i="8"/>
  <c r="H730" i="8"/>
  <c r="H722" i="8"/>
  <c r="H723" i="8"/>
  <c r="H724" i="8"/>
  <c r="H725" i="8"/>
  <c r="H713" i="8"/>
  <c r="J713" i="8"/>
  <c r="H714" i="8"/>
  <c r="J714" i="8"/>
  <c r="H715" i="8"/>
  <c r="J715" i="8"/>
  <c r="H707" i="8"/>
  <c r="J707" i="8"/>
  <c r="H708" i="8"/>
  <c r="J708" i="8"/>
  <c r="H709" i="8"/>
  <c r="J709" i="8"/>
  <c r="H710" i="8"/>
  <c r="J710" i="8"/>
  <c r="H711" i="8"/>
  <c r="J711" i="8"/>
  <c r="H712" i="8"/>
  <c r="J712" i="8"/>
  <c r="H721" i="8"/>
  <c r="J842" i="8"/>
  <c r="H842" i="8"/>
  <c r="J841" i="8"/>
  <c r="J840" i="8" s="1"/>
  <c r="H841" i="8"/>
  <c r="I840" i="8" s="1"/>
  <c r="H926" i="8"/>
  <c r="I925" i="8" s="1"/>
  <c r="J925" i="8"/>
  <c r="H924" i="8"/>
  <c r="I923" i="8" s="1"/>
  <c r="J923" i="8"/>
  <c r="H922" i="8"/>
  <c r="I921" i="8" s="1"/>
  <c r="J921" i="8"/>
  <c r="H920" i="8"/>
  <c r="I919" i="8" s="1"/>
  <c r="J919" i="8"/>
  <c r="H918" i="8"/>
  <c r="H917" i="8"/>
  <c r="H916" i="8"/>
  <c r="J915" i="8"/>
  <c r="H914" i="8"/>
  <c r="H912" i="8"/>
  <c r="H910" i="8"/>
  <c r="J908" i="8"/>
  <c r="H907" i="8"/>
  <c r="H906" i="8"/>
  <c r="J905" i="8"/>
  <c r="H903" i="8"/>
  <c r="I902" i="8" s="1"/>
  <c r="J902" i="8"/>
  <c r="H901" i="8"/>
  <c r="I900" i="8" s="1"/>
  <c r="J900" i="8"/>
  <c r="H899" i="8"/>
  <c r="I898" i="8" s="1"/>
  <c r="J898" i="8"/>
  <c r="J897" i="8"/>
  <c r="J896" i="8" s="1"/>
  <c r="H897" i="8"/>
  <c r="I896" i="8" s="1"/>
  <c r="J895" i="8"/>
  <c r="J894" i="8" s="1"/>
  <c r="H895" i="8"/>
  <c r="I894" i="8" s="1"/>
  <c r="J893" i="8"/>
  <c r="J892" i="8" s="1"/>
  <c r="H893" i="8"/>
  <c r="I892" i="8" s="1"/>
  <c r="J891" i="8"/>
  <c r="J890" i="8" s="1"/>
  <c r="H891" i="8"/>
  <c r="I890" i="8" s="1"/>
  <c r="J887" i="8"/>
  <c r="J886" i="8"/>
  <c r="J885" i="8" s="1"/>
  <c r="H886" i="8"/>
  <c r="I885" i="8" s="1"/>
  <c r="J884" i="8"/>
  <c r="J883" i="8" s="1"/>
  <c r="H884" i="8"/>
  <c r="I883" i="8" s="1"/>
  <c r="J882" i="8"/>
  <c r="J881" i="8" s="1"/>
  <c r="H882" i="8"/>
  <c r="I881" i="8" s="1"/>
  <c r="J880" i="8"/>
  <c r="J879" i="8" s="1"/>
  <c r="H880" i="8"/>
  <c r="I879" i="8" s="1"/>
  <c r="J878" i="8"/>
  <c r="J877" i="8" s="1"/>
  <c r="H878" i="8"/>
  <c r="I877" i="8" s="1"/>
  <c r="J876" i="8"/>
  <c r="H876" i="8"/>
  <c r="J875" i="8"/>
  <c r="J874" i="8" s="1"/>
  <c r="H875" i="8"/>
  <c r="J873" i="8"/>
  <c r="J872" i="8" s="1"/>
  <c r="H873" i="8"/>
  <c r="I872" i="8" s="1"/>
  <c r="H870" i="8"/>
  <c r="I869" i="8" s="1"/>
  <c r="J869" i="8"/>
  <c r="H868" i="8"/>
  <c r="I867" i="8" s="1"/>
  <c r="J867" i="8"/>
  <c r="J866" i="8"/>
  <c r="H866" i="8"/>
  <c r="J865" i="8"/>
  <c r="H865" i="8"/>
  <c r="J864" i="8"/>
  <c r="H864" i="8"/>
  <c r="J863" i="8"/>
  <c r="H863" i="8"/>
  <c r="J862" i="8"/>
  <c r="H862" i="8"/>
  <c r="J861" i="8"/>
  <c r="H861" i="8"/>
  <c r="J860" i="8"/>
  <c r="J859" i="8" s="1"/>
  <c r="H860" i="8"/>
  <c r="J858" i="8"/>
  <c r="H858" i="8"/>
  <c r="J857" i="8"/>
  <c r="H857" i="8"/>
  <c r="J856" i="8"/>
  <c r="H856" i="8"/>
  <c r="J855" i="8"/>
  <c r="H855" i="8"/>
  <c r="J854" i="8"/>
  <c r="H854" i="8"/>
  <c r="J853" i="8"/>
  <c r="H853" i="8"/>
  <c r="J852" i="8"/>
  <c r="J851" i="8" s="1"/>
  <c r="H852" i="8"/>
  <c r="J850" i="8"/>
  <c r="H850" i="8"/>
  <c r="J849" i="8"/>
  <c r="H849" i="8"/>
  <c r="J848" i="8"/>
  <c r="H848" i="8"/>
  <c r="J847" i="8"/>
  <c r="H847" i="8"/>
  <c r="J846" i="8"/>
  <c r="H846" i="8"/>
  <c r="J845" i="8"/>
  <c r="J843" i="8" s="1"/>
  <c r="H845" i="8"/>
  <c r="J839" i="8"/>
  <c r="H839" i="8"/>
  <c r="J838" i="8"/>
  <c r="J837" i="8" s="1"/>
  <c r="H838" i="8"/>
  <c r="I837" i="8" s="1"/>
  <c r="J836" i="8"/>
  <c r="H836" i="8"/>
  <c r="J835" i="8"/>
  <c r="J834" i="8" s="1"/>
  <c r="H835" i="8"/>
  <c r="I834" i="8" s="1"/>
  <c r="H706" i="8"/>
  <c r="H719" i="8"/>
  <c r="J716" i="8"/>
  <c r="J675" i="8"/>
  <c r="H675" i="8"/>
  <c r="J674" i="8"/>
  <c r="H674" i="8"/>
  <c r="J673" i="8"/>
  <c r="H673" i="8"/>
  <c r="J672" i="8"/>
  <c r="H672" i="8"/>
  <c r="J671" i="8"/>
  <c r="H671" i="8"/>
  <c r="J670" i="8"/>
  <c r="H670" i="8"/>
  <c r="J669" i="8"/>
  <c r="J668" i="8" s="1"/>
  <c r="H669" i="8"/>
  <c r="H755" i="8"/>
  <c r="I754" i="8" s="1"/>
  <c r="J754" i="8"/>
  <c r="H753" i="8"/>
  <c r="I752" i="8" s="1"/>
  <c r="J752" i="8"/>
  <c r="H751" i="8"/>
  <c r="I750" i="8" s="1"/>
  <c r="J750" i="8"/>
  <c r="H749" i="8"/>
  <c r="I748" i="8" s="1"/>
  <c r="J748" i="8"/>
  <c r="H747" i="8"/>
  <c r="H746" i="8"/>
  <c r="J744" i="8"/>
  <c r="H743" i="8"/>
  <c r="H741" i="8"/>
  <c r="H739" i="8"/>
  <c r="J737" i="8"/>
  <c r="H736" i="8"/>
  <c r="H735" i="8"/>
  <c r="J734" i="8"/>
  <c r="H732" i="8"/>
  <c r="I731" i="8" s="1"/>
  <c r="J731" i="8"/>
  <c r="J720" i="8"/>
  <c r="H718" i="8"/>
  <c r="H717" i="8"/>
  <c r="J706" i="8"/>
  <c r="J705" i="8" s="1"/>
  <c r="J704" i="8"/>
  <c r="J703" i="8" s="1"/>
  <c r="H704" i="8"/>
  <c r="I703" i="8" s="1"/>
  <c r="J702" i="8"/>
  <c r="J701" i="8" s="1"/>
  <c r="H702" i="8"/>
  <c r="I701" i="8" s="1"/>
  <c r="J700" i="8"/>
  <c r="J699" i="8" s="1"/>
  <c r="H700" i="8"/>
  <c r="I699" i="8" s="1"/>
  <c r="J696" i="8"/>
  <c r="J695" i="8"/>
  <c r="J694" i="8" s="1"/>
  <c r="H695" i="8"/>
  <c r="I694" i="8" s="1"/>
  <c r="J693" i="8"/>
  <c r="J692" i="8" s="1"/>
  <c r="H693" i="8"/>
  <c r="I692" i="8" s="1"/>
  <c r="J691" i="8"/>
  <c r="J690" i="8" s="1"/>
  <c r="H691" i="8"/>
  <c r="I690" i="8" s="1"/>
  <c r="J689" i="8"/>
  <c r="J688" i="8" s="1"/>
  <c r="H689" i="8"/>
  <c r="I688" i="8" s="1"/>
  <c r="J687" i="8"/>
  <c r="J686" i="8" s="1"/>
  <c r="H687" i="8"/>
  <c r="I686" i="8" s="1"/>
  <c r="J685" i="8"/>
  <c r="H685" i="8"/>
  <c r="J684" i="8"/>
  <c r="J683" i="8" s="1"/>
  <c r="H684" i="8"/>
  <c r="J682" i="8"/>
  <c r="J681" i="8" s="1"/>
  <c r="H682" i="8"/>
  <c r="I681" i="8" s="1"/>
  <c r="H679" i="8"/>
  <c r="I678" i="8" s="1"/>
  <c r="J678" i="8"/>
  <c r="H677" i="8"/>
  <c r="I676" i="8" s="1"/>
  <c r="J676" i="8"/>
  <c r="J667" i="8"/>
  <c r="H667" i="8"/>
  <c r="J666" i="8"/>
  <c r="H666" i="8"/>
  <c r="J665" i="8"/>
  <c r="H665" i="8"/>
  <c r="J664" i="8"/>
  <c r="H664" i="8"/>
  <c r="J663" i="8"/>
  <c r="H663" i="8"/>
  <c r="J662" i="8"/>
  <c r="H662" i="8"/>
  <c r="J661" i="8"/>
  <c r="J660" i="8" s="1"/>
  <c r="H661" i="8"/>
  <c r="J659" i="8"/>
  <c r="J658" i="8"/>
  <c r="H658" i="8"/>
  <c r="J657" i="8"/>
  <c r="J656" i="8"/>
  <c r="H656" i="8"/>
  <c r="J655" i="8"/>
  <c r="J654" i="8"/>
  <c r="J652" i="8" s="1"/>
  <c r="H659" i="8"/>
  <c r="J651" i="8"/>
  <c r="J650" i="8" s="1"/>
  <c r="H651" i="8"/>
  <c r="I650" i="8" s="1"/>
  <c r="J649" i="8"/>
  <c r="H649" i="8"/>
  <c r="J648" i="8"/>
  <c r="J647" i="8" s="1"/>
  <c r="H648" i="8"/>
  <c r="I647" i="8" s="1"/>
  <c r="J646" i="8"/>
  <c r="H646" i="8"/>
  <c r="J645" i="8"/>
  <c r="J644" i="8" s="1"/>
  <c r="H645" i="8"/>
  <c r="I644" i="8" s="1"/>
  <c r="H524" i="8"/>
  <c r="J536" i="8"/>
  <c r="H527" i="8"/>
  <c r="H529" i="8"/>
  <c r="H531" i="8"/>
  <c r="H537" i="8"/>
  <c r="H539" i="8"/>
  <c r="I538" i="8" s="1"/>
  <c r="H535" i="8"/>
  <c r="H534" i="8"/>
  <c r="H533" i="8"/>
  <c r="J477" i="8"/>
  <c r="H477" i="8"/>
  <c r="J475" i="8"/>
  <c r="H475" i="8"/>
  <c r="H456" i="8"/>
  <c r="J456" i="8"/>
  <c r="H543" i="8"/>
  <c r="I542" i="8" s="1"/>
  <c r="J542" i="8"/>
  <c r="H541" i="8"/>
  <c r="I540" i="8" s="1"/>
  <c r="J540" i="8"/>
  <c r="J538" i="8"/>
  <c r="J532" i="8"/>
  <c r="J525" i="8"/>
  <c r="H523" i="8"/>
  <c r="J522" i="8"/>
  <c r="H520" i="8"/>
  <c r="I519" i="8" s="1"/>
  <c r="J519" i="8"/>
  <c r="H518" i="8"/>
  <c r="I517" i="8" s="1"/>
  <c r="J517" i="8"/>
  <c r="H516" i="8"/>
  <c r="H515" i="8"/>
  <c r="H514" i="8"/>
  <c r="J513" i="8"/>
  <c r="J512" i="8"/>
  <c r="J511" i="8" s="1"/>
  <c r="H512" i="8"/>
  <c r="I511" i="8" s="1"/>
  <c r="J510" i="8"/>
  <c r="J509" i="8" s="1"/>
  <c r="H510" i="8"/>
  <c r="I509" i="8" s="1"/>
  <c r="J508" i="8"/>
  <c r="J507" i="8" s="1"/>
  <c r="H508" i="8"/>
  <c r="I507" i="8" s="1"/>
  <c r="J506" i="8"/>
  <c r="J505" i="8" s="1"/>
  <c r="H506" i="8"/>
  <c r="I505" i="8" s="1"/>
  <c r="J501" i="8"/>
  <c r="J500" i="8" s="1"/>
  <c r="H501" i="8"/>
  <c r="I500" i="8" s="1"/>
  <c r="J499" i="8"/>
  <c r="J498" i="8" s="1"/>
  <c r="H499" i="8"/>
  <c r="I498" i="8" s="1"/>
  <c r="J497" i="8"/>
  <c r="J496" i="8" s="1"/>
  <c r="H497" i="8"/>
  <c r="I496" i="8" s="1"/>
  <c r="J495" i="8"/>
  <c r="J494" i="8" s="1"/>
  <c r="H495" i="8"/>
  <c r="I494" i="8" s="1"/>
  <c r="J493" i="8"/>
  <c r="J492" i="8" s="1"/>
  <c r="H493" i="8"/>
  <c r="I492" i="8" s="1"/>
  <c r="J491" i="8"/>
  <c r="H491" i="8"/>
  <c r="J490" i="8"/>
  <c r="J489" i="8" s="1"/>
  <c r="H490" i="8"/>
  <c r="J488" i="8"/>
  <c r="J487" i="8" s="1"/>
  <c r="H488" i="8"/>
  <c r="I487" i="8" s="1"/>
  <c r="D485" i="8"/>
  <c r="J484" i="8"/>
  <c r="H483" i="8"/>
  <c r="I482" i="8" s="1"/>
  <c r="J482" i="8"/>
  <c r="J481" i="8"/>
  <c r="H481" i="8"/>
  <c r="J480" i="8"/>
  <c r="H480" i="8"/>
  <c r="J479" i="8"/>
  <c r="J478" i="8" s="1"/>
  <c r="H479" i="8"/>
  <c r="J476" i="8"/>
  <c r="H476" i="8"/>
  <c r="J474" i="8"/>
  <c r="H474" i="8"/>
  <c r="J473" i="8"/>
  <c r="H473" i="8"/>
  <c r="J472" i="8"/>
  <c r="H472" i="8"/>
  <c r="J471" i="8"/>
  <c r="J470" i="8" s="1"/>
  <c r="H471" i="8"/>
  <c r="J469" i="8"/>
  <c r="J468" i="8"/>
  <c r="H468" i="8"/>
  <c r="J467" i="8"/>
  <c r="J466" i="8"/>
  <c r="H466" i="8"/>
  <c r="J465" i="8"/>
  <c r="J464" i="8"/>
  <c r="J462" i="8" s="1"/>
  <c r="D464" i="8"/>
  <c r="D465" i="8" s="1"/>
  <c r="H465" i="8" s="1"/>
  <c r="J461" i="8"/>
  <c r="J460" i="8" s="1"/>
  <c r="H461" i="8"/>
  <c r="I460" i="8" s="1"/>
  <c r="J459" i="8"/>
  <c r="H459" i="8"/>
  <c r="J458" i="8"/>
  <c r="J457" i="8" s="1"/>
  <c r="H458" i="8"/>
  <c r="I457" i="8" s="1"/>
  <c r="J455" i="8"/>
  <c r="J454" i="8" s="1"/>
  <c r="H455" i="8"/>
  <c r="I454" i="8" s="1"/>
  <c r="H323" i="8"/>
  <c r="H324" i="8"/>
  <c r="D294" i="8"/>
  <c r="D333" i="8" s="1"/>
  <c r="H333" i="8" s="1"/>
  <c r="J280" i="8"/>
  <c r="J279" i="8"/>
  <c r="H279" i="8"/>
  <c r="J278" i="8"/>
  <c r="J277" i="8"/>
  <c r="H277" i="8"/>
  <c r="D275" i="8"/>
  <c r="D276" i="8" s="1"/>
  <c r="H276" i="8" s="1"/>
  <c r="H270" i="8"/>
  <c r="J270" i="8"/>
  <c r="H350" i="8"/>
  <c r="I349" i="8" s="1"/>
  <c r="J349" i="8"/>
  <c r="H348" i="8"/>
  <c r="I347" i="8" s="1"/>
  <c r="J347" i="8"/>
  <c r="H346" i="8"/>
  <c r="I345" i="8" s="1"/>
  <c r="J345" i="8"/>
  <c r="H344" i="8"/>
  <c r="I343" i="8" s="1"/>
  <c r="J343" i="8"/>
  <c r="H342" i="8"/>
  <c r="H341" i="8"/>
  <c r="H340" i="8"/>
  <c r="J339" i="8"/>
  <c r="H338" i="8"/>
  <c r="H337" i="8"/>
  <c r="H336" i="8"/>
  <c r="J334" i="8"/>
  <c r="H332" i="8"/>
  <c r="J331" i="8"/>
  <c r="H329" i="8"/>
  <c r="I328" i="8" s="1"/>
  <c r="J328" i="8"/>
  <c r="H327" i="8"/>
  <c r="I326" i="8" s="1"/>
  <c r="J326" i="8"/>
  <c r="H325" i="8"/>
  <c r="J322" i="8"/>
  <c r="J321" i="8"/>
  <c r="J320" i="8" s="1"/>
  <c r="H321" i="8"/>
  <c r="I320" i="8" s="1"/>
  <c r="J319" i="8"/>
  <c r="J318" i="8" s="1"/>
  <c r="H319" i="8"/>
  <c r="I318" i="8" s="1"/>
  <c r="J317" i="8"/>
  <c r="J316" i="8" s="1"/>
  <c r="H317" i="8"/>
  <c r="I316" i="8" s="1"/>
  <c r="J315" i="8"/>
  <c r="J314" i="8" s="1"/>
  <c r="H315" i="8"/>
  <c r="I314" i="8" s="1"/>
  <c r="J310" i="8"/>
  <c r="J309" i="8" s="1"/>
  <c r="H310" i="8"/>
  <c r="I309" i="8" s="1"/>
  <c r="J308" i="8"/>
  <c r="J307" i="8" s="1"/>
  <c r="H308" i="8"/>
  <c r="I307" i="8" s="1"/>
  <c r="J306" i="8"/>
  <c r="J305" i="8" s="1"/>
  <c r="H306" i="8"/>
  <c r="I305" i="8" s="1"/>
  <c r="J304" i="8"/>
  <c r="J303" i="8" s="1"/>
  <c r="H304" i="8"/>
  <c r="I303" i="8" s="1"/>
  <c r="J302" i="8"/>
  <c r="J301" i="8" s="1"/>
  <c r="H302" i="8"/>
  <c r="I301" i="8" s="1"/>
  <c r="J300" i="8"/>
  <c r="H300" i="8"/>
  <c r="J299" i="8"/>
  <c r="J298" i="8" s="1"/>
  <c r="H299" i="8"/>
  <c r="J297" i="8"/>
  <c r="J296" i="8" s="1"/>
  <c r="H297" i="8"/>
  <c r="I296" i="8" s="1"/>
  <c r="J293" i="8"/>
  <c r="H292" i="8"/>
  <c r="I291" i="8" s="1"/>
  <c r="J291" i="8"/>
  <c r="J290" i="8"/>
  <c r="H290" i="8"/>
  <c r="J289" i="8"/>
  <c r="H289" i="8"/>
  <c r="J288" i="8"/>
  <c r="J287" i="8" s="1"/>
  <c r="H288" i="8"/>
  <c r="J286" i="8"/>
  <c r="H286" i="8"/>
  <c r="J285" i="8"/>
  <c r="H285" i="8"/>
  <c r="J284" i="8"/>
  <c r="H284" i="8"/>
  <c r="J283" i="8"/>
  <c r="H283" i="8"/>
  <c r="J282" i="8"/>
  <c r="J281" i="8" s="1"/>
  <c r="H282" i="8"/>
  <c r="J276" i="8"/>
  <c r="J275" i="8"/>
  <c r="J273" i="8" s="1"/>
  <c r="J272" i="8"/>
  <c r="J271" i="8" s="1"/>
  <c r="H272" i="8"/>
  <c r="I271" i="8" s="1"/>
  <c r="J269" i="8"/>
  <c r="J268" i="8" s="1"/>
  <c r="H269" i="8"/>
  <c r="I268" i="8" s="1"/>
  <c r="J266" i="8"/>
  <c r="J265" i="8" s="1"/>
  <c r="H266" i="8"/>
  <c r="I265" i="8" s="1"/>
  <c r="H136" i="8"/>
  <c r="H153" i="8"/>
  <c r="H149" i="8"/>
  <c r="I148" i="8" s="1"/>
  <c r="H143" i="8"/>
  <c r="H147" i="8"/>
  <c r="I146" i="8" s="1"/>
  <c r="H139" i="8"/>
  <c r="H128" i="8"/>
  <c r="H127" i="8"/>
  <c r="H104" i="8"/>
  <c r="J104" i="8"/>
  <c r="J84" i="8"/>
  <c r="H84" i="8"/>
  <c r="J83" i="8"/>
  <c r="J81" i="8" s="1"/>
  <c r="H83" i="8"/>
  <c r="H96" i="8"/>
  <c r="H88" i="8"/>
  <c r="J88" i="8"/>
  <c r="J87" i="8"/>
  <c r="H87" i="8"/>
  <c r="H464" i="12" l="1"/>
  <c r="I1842" i="8"/>
  <c r="I2244" i="8"/>
  <c r="I2366" i="8"/>
  <c r="I1834" i="8"/>
  <c r="I2395" i="8"/>
  <c r="I2050" i="8"/>
  <c r="I2241" i="8"/>
  <c r="I2414" i="8"/>
  <c r="I2435" i="8"/>
  <c r="I2013" i="8"/>
  <c r="I2024" i="8"/>
  <c r="I2032" i="8"/>
  <c r="I1863" i="8"/>
  <c r="I2183" i="8"/>
  <c r="I2207" i="8"/>
  <c r="I2251" i="8"/>
  <c r="I522" i="8"/>
  <c r="I1826" i="8"/>
  <c r="I2442" i="8"/>
  <c r="I1823" i="8"/>
  <c r="I2191" i="8"/>
  <c r="I2223" i="8"/>
  <c r="I2398" i="8"/>
  <c r="I2000" i="8"/>
  <c r="I2432" i="8"/>
  <c r="I1071" i="8"/>
  <c r="I2060" i="8"/>
  <c r="I1633" i="8"/>
  <c r="I1860" i="8"/>
  <c r="I2215" i="8"/>
  <c r="I2406" i="8"/>
  <c r="I1648" i="8"/>
  <c r="I2175" i="8"/>
  <c r="I2382" i="8"/>
  <c r="I2374" i="8"/>
  <c r="I2053" i="8"/>
  <c r="I2016" i="8"/>
  <c r="I1992" i="8"/>
  <c r="I1984" i="8"/>
  <c r="I1870" i="8"/>
  <c r="I1604" i="8"/>
  <c r="I1620" i="8"/>
  <c r="I1666" i="8"/>
  <c r="I1810" i="8"/>
  <c r="I1443" i="8"/>
  <c r="I1612" i="8"/>
  <c r="I1802" i="8"/>
  <c r="I1676" i="8"/>
  <c r="I1794" i="8"/>
  <c r="I1669" i="8"/>
  <c r="I1041" i="8"/>
  <c r="D1225" i="8"/>
  <c r="H1225" i="8" s="1"/>
  <c r="I1282" i="8"/>
  <c r="I1078" i="8"/>
  <c r="I1486" i="8"/>
  <c r="I1430" i="8"/>
  <c r="I1476" i="8"/>
  <c r="I1262" i="8"/>
  <c r="I1106" i="8"/>
  <c r="I1096" i="8"/>
  <c r="I1238" i="8"/>
  <c r="I1422" i="8"/>
  <c r="I1099" i="8"/>
  <c r="I1249" i="8"/>
  <c r="I1273" i="8"/>
  <c r="I1292" i="8"/>
  <c r="I1479" i="8"/>
  <c r="I1049" i="8"/>
  <c r="I1414" i="8"/>
  <c r="I1452" i="8"/>
  <c r="I1285" i="8"/>
  <c r="I1230" i="8"/>
  <c r="D1227" i="8"/>
  <c r="H1227" i="8" s="1"/>
  <c r="H1224" i="8"/>
  <c r="I1064" i="8"/>
  <c r="I1033" i="8"/>
  <c r="I915" i="8"/>
  <c r="I720" i="8"/>
  <c r="I908" i="8"/>
  <c r="I683" i="8"/>
  <c r="I705" i="8"/>
  <c r="I905" i="8"/>
  <c r="I470" i="8"/>
  <c r="I696" i="8"/>
  <c r="I716" i="8"/>
  <c r="I281" i="8"/>
  <c r="I887" i="8"/>
  <c r="I874" i="8"/>
  <c r="I859" i="8"/>
  <c r="I851" i="8"/>
  <c r="I843" i="8"/>
  <c r="I734" i="8"/>
  <c r="I668" i="8"/>
  <c r="I660" i="8"/>
  <c r="I115" i="8"/>
  <c r="I737" i="8"/>
  <c r="I744" i="8"/>
  <c r="I532" i="8"/>
  <c r="H657" i="8"/>
  <c r="H654" i="8"/>
  <c r="H655" i="8"/>
  <c r="I525" i="8"/>
  <c r="I322" i="8"/>
  <c r="I126" i="8"/>
  <c r="I513" i="8"/>
  <c r="H294" i="8"/>
  <c r="I293" i="8" s="1"/>
  <c r="I478" i="8"/>
  <c r="I489" i="8"/>
  <c r="I502" i="8"/>
  <c r="I536" i="8"/>
  <c r="H485" i="8"/>
  <c r="I484" i="8" s="1"/>
  <c r="D469" i="8"/>
  <c r="H469" i="8" s="1"/>
  <c r="D467" i="8"/>
  <c r="H467" i="8" s="1"/>
  <c r="H464" i="8"/>
  <c r="I311" i="8"/>
  <c r="I298" i="8"/>
  <c r="H275" i="8"/>
  <c r="D278" i="8"/>
  <c r="H278" i="8" s="1"/>
  <c r="D280" i="8"/>
  <c r="H280" i="8" s="1"/>
  <c r="I334" i="8"/>
  <c r="I339" i="8"/>
  <c r="I331" i="8"/>
  <c r="I287" i="8"/>
  <c r="I463" i="12" l="1"/>
  <c r="I42" i="12" s="1"/>
  <c r="I1222" i="8"/>
  <c r="I652" i="8"/>
  <c r="I462" i="8"/>
  <c r="I273" i="8"/>
  <c r="I44" i="12" l="1"/>
  <c r="L35" i="14" s="1"/>
  <c r="N35" i="14" s="1"/>
  <c r="I45" i="12"/>
  <c r="I24" i="12"/>
  <c r="L15" i="14" s="1"/>
  <c r="N15" i="14" s="1"/>
  <c r="I36" i="12"/>
  <c r="I37" i="12"/>
  <c r="L28" i="14" s="1"/>
  <c r="N28" i="14" s="1"/>
  <c r="I38" i="12"/>
  <c r="L29" i="14" s="1"/>
  <c r="N29" i="14" s="1"/>
  <c r="I29" i="12"/>
  <c r="N20" i="14" s="1"/>
  <c r="I39" i="12"/>
  <c r="N30" i="14" s="1"/>
  <c r="I40" i="12"/>
  <c r="N31" i="14" s="1"/>
  <c r="I43" i="12"/>
  <c r="L34" i="14" s="1"/>
  <c r="N34" i="14" s="1"/>
  <c r="I20" i="12"/>
  <c r="N11" i="14" s="1"/>
  <c r="I72" i="12"/>
  <c r="I74" i="12"/>
  <c r="I75" i="12"/>
  <c r="I98" i="12"/>
  <c r="L89" i="14" s="1"/>
  <c r="N89" i="14" s="1"/>
  <c r="I25" i="12"/>
  <c r="AB20" i="14" l="1"/>
  <c r="AB15" i="14"/>
  <c r="AB11" i="14"/>
  <c r="Q89" i="14"/>
  <c r="R89" i="14" s="1"/>
  <c r="AB89" i="14"/>
  <c r="Q66" i="14"/>
  <c r="Q65" i="14"/>
  <c r="R65" i="14" s="1"/>
  <c r="Q63" i="14"/>
  <c r="R63" i="14" s="1"/>
  <c r="I28" i="12"/>
  <c r="N19" i="14" s="1"/>
  <c r="N16" i="14"/>
  <c r="L75" i="12"/>
  <c r="O75" i="12" s="1"/>
  <c r="L74" i="12"/>
  <c r="O74" i="12" s="1"/>
  <c r="AB16" i="14" l="1"/>
  <c r="AB19" i="14"/>
  <c r="Z89" i="14"/>
  <c r="Z63" i="14"/>
  <c r="AD65" i="14"/>
  <c r="AC65" i="14"/>
  <c r="Z66" i="14"/>
  <c r="R66" i="14"/>
  <c r="AC66" i="14" s="1"/>
  <c r="AD89" i="14"/>
  <c r="AC89" i="14"/>
  <c r="AA89" i="14"/>
  <c r="AA63" i="14"/>
  <c r="AC63" i="14"/>
  <c r="AD63" i="14"/>
  <c r="H145" i="8"/>
  <c r="H144" i="8"/>
  <c r="H132" i="8"/>
  <c r="I131" i="8" s="1"/>
  <c r="H130" i="8"/>
  <c r="H98" i="8"/>
  <c r="AA66" i="14" l="1"/>
  <c r="AD66" i="14"/>
  <c r="I142" i="8"/>
  <c r="J17" i="10"/>
  <c r="I17" i="10"/>
  <c r="B48" i="8"/>
  <c r="I48" i="8" s="1"/>
  <c r="J148" i="8"/>
  <c r="B47" i="8"/>
  <c r="C47" i="8" s="1"/>
  <c r="J146" i="8"/>
  <c r="J47" i="8" l="1"/>
  <c r="I47" i="8"/>
  <c r="C48" i="8"/>
  <c r="J48" i="8"/>
  <c r="B28" i="8"/>
  <c r="C28" i="8" s="1"/>
  <c r="B26" i="8"/>
  <c r="C26" i="8" s="1"/>
  <c r="B25" i="8"/>
  <c r="B24" i="8"/>
  <c r="B23" i="8"/>
  <c r="B22" i="8"/>
  <c r="B21" i="8"/>
  <c r="B20" i="8"/>
  <c r="B19" i="8"/>
  <c r="J97" i="8"/>
  <c r="I97" i="8"/>
  <c r="J94" i="8"/>
  <c r="H94" i="8"/>
  <c r="J93" i="8"/>
  <c r="H93" i="8"/>
  <c r="J92" i="8"/>
  <c r="J91" i="8" s="1"/>
  <c r="H92" i="8"/>
  <c r="H75" i="8"/>
  <c r="J75" i="8"/>
  <c r="I91" i="8" l="1"/>
  <c r="J26" i="8"/>
  <c r="I26" i="8"/>
  <c r="C25" i="8"/>
  <c r="J101" i="8" l="1"/>
  <c r="J100" i="8" s="1"/>
  <c r="J28" i="8" s="1"/>
  <c r="H101" i="8"/>
  <c r="I100" i="8" s="1"/>
  <c r="I28" i="8" l="1"/>
  <c r="B50" i="8" l="1"/>
  <c r="B49" i="8"/>
  <c r="B46" i="8"/>
  <c r="C46" i="8" s="1"/>
  <c r="B45" i="8"/>
  <c r="B44" i="8"/>
  <c r="C44" i="8" s="1"/>
  <c r="B43" i="8"/>
  <c r="C43" i="8" s="1"/>
  <c r="B42" i="8"/>
  <c r="C42" i="8" s="1"/>
  <c r="B41" i="8"/>
  <c r="C41" i="8" s="1"/>
  <c r="B40" i="8"/>
  <c r="C40" i="8" s="1"/>
  <c r="B39" i="8"/>
  <c r="C39" i="8" s="1"/>
  <c r="B38" i="8"/>
  <c r="C38" i="8" s="1"/>
  <c r="B37" i="8"/>
  <c r="C37" i="8" s="1"/>
  <c r="B36" i="8"/>
  <c r="C36" i="8" s="1"/>
  <c r="B35" i="8"/>
  <c r="B34" i="8"/>
  <c r="C34" i="8" s="1"/>
  <c r="B33" i="8"/>
  <c r="B32" i="8"/>
  <c r="C32" i="8" s="1"/>
  <c r="B31" i="8"/>
  <c r="B30" i="8"/>
  <c r="C30" i="8" s="1"/>
  <c r="B29" i="8"/>
  <c r="B27" i="8"/>
  <c r="C27" i="8" s="1"/>
  <c r="C24" i="8"/>
  <c r="C23" i="8"/>
  <c r="C21" i="8"/>
  <c r="B18" i="8"/>
  <c r="C18" i="8" s="1"/>
  <c r="B17" i="8"/>
  <c r="C17" i="8" s="1"/>
  <c r="J152" i="8"/>
  <c r="J150" i="8"/>
  <c r="I152" i="8"/>
  <c r="H151" i="8"/>
  <c r="I150" i="8" s="1"/>
  <c r="J142" i="8"/>
  <c r="J137" i="8"/>
  <c r="H141" i="8"/>
  <c r="H140" i="8"/>
  <c r="J134" i="8"/>
  <c r="H135" i="8"/>
  <c r="I134" i="8" s="1"/>
  <c r="J95" i="8"/>
  <c r="J25" i="8" s="1"/>
  <c r="I95" i="8"/>
  <c r="I25" i="8" s="1"/>
  <c r="J90" i="8"/>
  <c r="H90" i="8"/>
  <c r="J89" i="8"/>
  <c r="H89" i="8"/>
  <c r="J86" i="8"/>
  <c r="J85" i="8" s="1"/>
  <c r="H86" i="8"/>
  <c r="J131" i="8"/>
  <c r="J129" i="8"/>
  <c r="J126" i="8"/>
  <c r="J125" i="8"/>
  <c r="J124" i="8" s="1"/>
  <c r="H125" i="8"/>
  <c r="J123" i="8"/>
  <c r="J122" i="8" s="1"/>
  <c r="H123" i="8"/>
  <c r="J121" i="8"/>
  <c r="J120" i="8" s="1"/>
  <c r="H121" i="8"/>
  <c r="I120" i="8" s="1"/>
  <c r="J119" i="8"/>
  <c r="J118" i="8" s="1"/>
  <c r="H119" i="8"/>
  <c r="J115" i="8"/>
  <c r="J114" i="8"/>
  <c r="J113" i="8" s="1"/>
  <c r="H114" i="8"/>
  <c r="I113" i="8" s="1"/>
  <c r="J112" i="8"/>
  <c r="J111" i="8" s="1"/>
  <c r="H112" i="8"/>
  <c r="I111" i="8" s="1"/>
  <c r="J110" i="8"/>
  <c r="J109" i="8" s="1"/>
  <c r="H110" i="8"/>
  <c r="I109" i="8" s="1"/>
  <c r="J108" i="8"/>
  <c r="J107" i="8" s="1"/>
  <c r="H108" i="8"/>
  <c r="I107" i="8" s="1"/>
  <c r="J106" i="8"/>
  <c r="J105" i="8" s="1"/>
  <c r="H106" i="8"/>
  <c r="I105" i="8" s="1"/>
  <c r="J103" i="8"/>
  <c r="J102" i="8" s="1"/>
  <c r="H103" i="8"/>
  <c r="I102" i="8" s="1"/>
  <c r="J80" i="8"/>
  <c r="J79" i="8" s="1"/>
  <c r="H80" i="8"/>
  <c r="I79" i="8" s="1"/>
  <c r="J78" i="8"/>
  <c r="J77" i="8" s="1"/>
  <c r="H78" i="8"/>
  <c r="I77" i="8" s="1"/>
  <c r="J74" i="8"/>
  <c r="I74" i="8"/>
  <c r="I19" i="8" s="1"/>
  <c r="B17" i="10"/>
  <c r="I137" i="8" l="1"/>
  <c r="I85" i="8"/>
  <c r="I23" i="8" s="1"/>
  <c r="I50" i="8"/>
  <c r="I45" i="8"/>
  <c r="C49" i="8"/>
  <c r="J49" i="8"/>
  <c r="I49" i="8"/>
  <c r="C19" i="8"/>
  <c r="I33" i="8"/>
  <c r="J20" i="8"/>
  <c r="I81" i="8"/>
  <c r="I20" i="8" s="1"/>
  <c r="I35" i="8"/>
  <c r="J44" i="8"/>
  <c r="J45" i="8"/>
  <c r="J46" i="8"/>
  <c r="J50" i="8"/>
  <c r="I44" i="8"/>
  <c r="I42" i="8"/>
  <c r="I29" i="8"/>
  <c r="I46" i="8"/>
  <c r="C33" i="8"/>
  <c r="I31" i="8"/>
  <c r="I24" i="8"/>
  <c r="C31" i="8"/>
  <c r="C35" i="8"/>
  <c r="C29" i="8"/>
  <c r="C22" i="8"/>
  <c r="J41" i="8"/>
  <c r="J39" i="8"/>
  <c r="J37" i="8"/>
  <c r="J35" i="8"/>
  <c r="J33" i="8"/>
  <c r="J31" i="8"/>
  <c r="J29" i="8"/>
  <c r="J24" i="8"/>
  <c r="J22" i="8"/>
  <c r="J42" i="8"/>
  <c r="J40" i="8"/>
  <c r="J38" i="8"/>
  <c r="J36" i="8"/>
  <c r="J34" i="8"/>
  <c r="J32" i="8"/>
  <c r="J30" i="8"/>
  <c r="J23" i="8"/>
  <c r="J21" i="8"/>
  <c r="I34" i="8"/>
  <c r="I32" i="8"/>
  <c r="I30" i="8"/>
  <c r="I118" i="8"/>
  <c r="I36" i="8" s="1"/>
  <c r="I124" i="8"/>
  <c r="I39" i="8" s="1"/>
  <c r="I129" i="8"/>
  <c r="I41" i="8" s="1"/>
  <c r="I21" i="8"/>
  <c r="I37" i="8"/>
  <c r="I122" i="8"/>
  <c r="I38" i="8" s="1"/>
  <c r="I40" i="8"/>
  <c r="J19" i="8"/>
  <c r="C20" i="8"/>
  <c r="C45" i="8"/>
  <c r="C50" i="8"/>
  <c r="I22" i="8" l="1"/>
  <c r="C17" i="10" l="1"/>
  <c r="Q31" i="14" l="1"/>
  <c r="R31" i="14" s="1"/>
  <c r="AD31" i="14" s="1"/>
  <c r="Q30" i="14"/>
  <c r="R30" i="14" s="1"/>
  <c r="AD30" i="14" s="1"/>
  <c r="B111" i="12"/>
  <c r="Q18" i="14" l="1"/>
  <c r="R18" i="14" s="1"/>
  <c r="L62" i="12"/>
  <c r="O62" i="12" s="1"/>
  <c r="Z18" i="14" l="1"/>
  <c r="AA18" i="14"/>
  <c r="AD18" i="14"/>
  <c r="AC18" i="14"/>
  <c r="R16" i="14"/>
  <c r="AA16" i="14" l="1"/>
  <c r="AD16" i="14"/>
  <c r="I57" i="12" l="1"/>
  <c r="I81" i="12"/>
  <c r="L72" i="14" s="1"/>
  <c r="N72" i="14" s="1"/>
  <c r="I59" i="12"/>
  <c r="Q50" i="14" s="1"/>
  <c r="I97" i="12"/>
  <c r="L88" i="14" s="1"/>
  <c r="N88" i="14" s="1"/>
  <c r="I89" i="12"/>
  <c r="I63" i="12"/>
  <c r="I65" i="12"/>
  <c r="I70" i="12"/>
  <c r="I101" i="12"/>
  <c r="Q92" i="14" s="1"/>
  <c r="I87" i="12"/>
  <c r="Q28" i="14"/>
  <c r="R28" i="14" s="1"/>
  <c r="I69" i="12"/>
  <c r="I67" i="12"/>
  <c r="I68" i="12"/>
  <c r="I54" i="12"/>
  <c r="I85" i="12"/>
  <c r="I73" i="12"/>
  <c r="I53" i="12"/>
  <c r="I58" i="12"/>
  <c r="Q49" i="14" s="1"/>
  <c r="I88" i="12"/>
  <c r="I117" i="12"/>
  <c r="I121" i="12"/>
  <c r="I112" i="12"/>
  <c r="I64" i="12"/>
  <c r="I55" i="12"/>
  <c r="I90" i="12"/>
  <c r="I91" i="12"/>
  <c r="I86" i="12"/>
  <c r="I66" i="12"/>
  <c r="I106" i="12"/>
  <c r="Q97" i="14" s="1"/>
  <c r="I56" i="12"/>
  <c r="Q47" i="14" s="1"/>
  <c r="I52" i="12"/>
  <c r="I96" i="12"/>
  <c r="I105" i="12"/>
  <c r="Q96" i="14" s="1"/>
  <c r="I103" i="12"/>
  <c r="Q94" i="14" s="1"/>
  <c r="I77" i="12"/>
  <c r="I84" i="12"/>
  <c r="I93" i="12"/>
  <c r="I110" i="12"/>
  <c r="I79" i="12"/>
  <c r="L70" i="14" s="1"/>
  <c r="N70" i="14" s="1"/>
  <c r="I82" i="12"/>
  <c r="L73" i="14" s="1"/>
  <c r="N73" i="14" s="1"/>
  <c r="I83" i="12"/>
  <c r="L74" i="14" s="1"/>
  <c r="N74" i="14" s="1"/>
  <c r="I71" i="12"/>
  <c r="I76" i="12"/>
  <c r="I94" i="12"/>
  <c r="I120" i="12"/>
  <c r="I108" i="12"/>
  <c r="I78" i="12"/>
  <c r="L69" i="14" s="1"/>
  <c r="N69" i="14" s="1"/>
  <c r="I114" i="12"/>
  <c r="I119" i="12"/>
  <c r="I95" i="12"/>
  <c r="L86" i="14" s="1"/>
  <c r="N86" i="14" s="1"/>
  <c r="I109" i="12"/>
  <c r="I107" i="12"/>
  <c r="Q98" i="14" s="1"/>
  <c r="I115" i="12"/>
  <c r="I113" i="12"/>
  <c r="I41" i="12"/>
  <c r="I21" i="12"/>
  <c r="I116" i="12"/>
  <c r="I118" i="12"/>
  <c r="I104" i="12"/>
  <c r="Q95" i="14" s="1"/>
  <c r="R95" i="14" s="1"/>
  <c r="AA95" i="14" s="1"/>
  <c r="I92" i="12"/>
  <c r="I80" i="12"/>
  <c r="L71" i="14" s="1"/>
  <c r="N71" i="14" s="1"/>
  <c r="I102" i="12"/>
  <c r="Q93" i="14" s="1"/>
  <c r="I111" i="12"/>
  <c r="AB12" i="14" l="1"/>
  <c r="Q88" i="14"/>
  <c r="Z88" i="14" s="1"/>
  <c r="AB88" i="14"/>
  <c r="Q86" i="14"/>
  <c r="Z86" i="14" s="1"/>
  <c r="AB86" i="14"/>
  <c r="Q73" i="14"/>
  <c r="R73" i="14" s="1"/>
  <c r="AB73" i="14"/>
  <c r="Q70" i="14"/>
  <c r="Z70" i="14" s="1"/>
  <c r="AB70" i="14"/>
  <c r="Q69" i="14"/>
  <c r="Z69" i="14" s="1"/>
  <c r="AB69" i="14"/>
  <c r="Q71" i="14"/>
  <c r="R71" i="14" s="1"/>
  <c r="AB71" i="14"/>
  <c r="Q74" i="14"/>
  <c r="Z74" i="14" s="1"/>
  <c r="AB74" i="14"/>
  <c r="Q72" i="14"/>
  <c r="Z72" i="14" s="1"/>
  <c r="AB72" i="14"/>
  <c r="L121" i="12"/>
  <c r="L113" i="14"/>
  <c r="N113" i="14" s="1"/>
  <c r="L68" i="14"/>
  <c r="N68" i="14" s="1"/>
  <c r="Q55" i="14"/>
  <c r="Q61" i="14"/>
  <c r="Z61" i="14" s="1"/>
  <c r="Q62" i="14"/>
  <c r="Z62" i="14" s="1"/>
  <c r="Q56" i="14"/>
  <c r="Q54" i="14"/>
  <c r="Q57" i="14"/>
  <c r="Q64" i="14"/>
  <c r="R64" i="14" s="1"/>
  <c r="Q58" i="14"/>
  <c r="Z98" i="14"/>
  <c r="R98" i="14"/>
  <c r="L114" i="12"/>
  <c r="L106" i="14"/>
  <c r="N106" i="14" s="1"/>
  <c r="L111" i="12"/>
  <c r="L103" i="14"/>
  <c r="N103" i="14" s="1"/>
  <c r="AD95" i="14"/>
  <c r="AC95" i="14"/>
  <c r="L109" i="12"/>
  <c r="L100" i="14"/>
  <c r="N100" i="14" s="1"/>
  <c r="L117" i="12"/>
  <c r="L109" i="14"/>
  <c r="N109" i="14" s="1"/>
  <c r="Z93" i="14"/>
  <c r="R93" i="14"/>
  <c r="L118" i="12"/>
  <c r="L110" i="14"/>
  <c r="N110" i="14" s="1"/>
  <c r="L113" i="12"/>
  <c r="L105" i="14"/>
  <c r="N105" i="14" s="1"/>
  <c r="L108" i="12"/>
  <c r="L110" i="12"/>
  <c r="L102" i="14"/>
  <c r="N102" i="14" s="1"/>
  <c r="Z94" i="14"/>
  <c r="R94" i="14"/>
  <c r="L112" i="12"/>
  <c r="L104" i="14"/>
  <c r="N104" i="14" s="1"/>
  <c r="L116" i="12"/>
  <c r="L108" i="14"/>
  <c r="N108" i="14" s="1"/>
  <c r="L115" i="12"/>
  <c r="L107" i="14"/>
  <c r="N107" i="14" s="1"/>
  <c r="L119" i="12"/>
  <c r="L111" i="14"/>
  <c r="N111" i="14" s="1"/>
  <c r="L120" i="12"/>
  <c r="L112" i="14"/>
  <c r="N112" i="14" s="1"/>
  <c r="R96" i="14"/>
  <c r="Z96" i="14"/>
  <c r="Z97" i="14"/>
  <c r="R97" i="14"/>
  <c r="R92" i="14"/>
  <c r="Z92" i="14"/>
  <c r="L96" i="12"/>
  <c r="N87" i="14"/>
  <c r="Q41" i="14"/>
  <c r="R41" i="14" s="1"/>
  <c r="L77" i="14"/>
  <c r="N77" i="14" s="1"/>
  <c r="Q88" i="12"/>
  <c r="S88" i="12" s="1"/>
  <c r="L79" i="14"/>
  <c r="N79" i="14" s="1"/>
  <c r="L85" i="12"/>
  <c r="L76" i="14"/>
  <c r="N76" i="14" s="1"/>
  <c r="Q36" i="14"/>
  <c r="L82" i="14"/>
  <c r="N82" i="14" s="1"/>
  <c r="L93" i="12"/>
  <c r="L84" i="14"/>
  <c r="N84" i="14" s="1"/>
  <c r="L90" i="12"/>
  <c r="L81" i="14"/>
  <c r="N81" i="14" s="1"/>
  <c r="L87" i="12"/>
  <c r="L78" i="14"/>
  <c r="N78" i="14" s="1"/>
  <c r="L92" i="12"/>
  <c r="L83" i="14"/>
  <c r="N83" i="14" s="1"/>
  <c r="L94" i="12"/>
  <c r="L85" i="14"/>
  <c r="N85" i="14" s="1"/>
  <c r="L84" i="12"/>
  <c r="L89" i="12"/>
  <c r="L80" i="14"/>
  <c r="N80" i="14" s="1"/>
  <c r="L76" i="12"/>
  <c r="O76" i="12" s="1"/>
  <c r="Q60" i="14"/>
  <c r="R60" i="14" s="1"/>
  <c r="AA60" i="14" s="1"/>
  <c r="Q59" i="14"/>
  <c r="R59" i="14" s="1"/>
  <c r="AA59" i="14" s="1"/>
  <c r="Q46" i="14"/>
  <c r="Z46" i="14" s="1"/>
  <c r="Z47" i="14"/>
  <c r="R47" i="14"/>
  <c r="Z49" i="14"/>
  <c r="R49" i="14"/>
  <c r="Z50" i="14"/>
  <c r="R50" i="14"/>
  <c r="L103" i="12"/>
  <c r="O103" i="12" s="1"/>
  <c r="L105" i="12"/>
  <c r="O105" i="12" s="1"/>
  <c r="L101" i="12"/>
  <c r="O101" i="12" s="1"/>
  <c r="L102" i="12"/>
  <c r="L106" i="12"/>
  <c r="O106" i="12" s="1"/>
  <c r="L104" i="12"/>
  <c r="L107" i="12"/>
  <c r="O107" i="12" s="1"/>
  <c r="Q34" i="14"/>
  <c r="R34" i="14" s="1"/>
  <c r="AD34" i="14" s="1"/>
  <c r="Q33" i="14"/>
  <c r="R33" i="14" s="1"/>
  <c r="Q20" i="14"/>
  <c r="R20" i="14" s="1"/>
  <c r="AD20" i="14" s="1"/>
  <c r="Q25" i="14"/>
  <c r="R25" i="14" s="1"/>
  <c r="Q70" i="12"/>
  <c r="S70" i="12" s="1"/>
  <c r="L71" i="12"/>
  <c r="O71" i="12" s="1"/>
  <c r="Q13" i="14"/>
  <c r="R13" i="14" s="1"/>
  <c r="Q15" i="14"/>
  <c r="R15" i="14" s="1"/>
  <c r="AC15" i="14" s="1"/>
  <c r="Q21" i="14"/>
  <c r="Z21" i="14" s="1"/>
  <c r="L53" i="12"/>
  <c r="Q19" i="14"/>
  <c r="Z19" i="14" s="1"/>
  <c r="Q38" i="14"/>
  <c r="Z38" i="14" s="1"/>
  <c r="L66" i="12"/>
  <c r="O66" i="12" s="1"/>
  <c r="Q73" i="12"/>
  <c r="S73" i="12" s="1"/>
  <c r="L79" i="12"/>
  <c r="Q11" i="14"/>
  <c r="R11" i="14" s="1"/>
  <c r="Q16" i="14"/>
  <c r="Z16" i="14" s="1"/>
  <c r="L80" i="12"/>
  <c r="L68" i="12"/>
  <c r="O68" i="12" s="1"/>
  <c r="L81" i="12"/>
  <c r="Q12" i="14"/>
  <c r="Z12" i="14" s="1"/>
  <c r="L67" i="12"/>
  <c r="Q14" i="14"/>
  <c r="R14" i="14" s="1"/>
  <c r="L69" i="12"/>
  <c r="O69" i="12" s="1"/>
  <c r="Q71" i="12"/>
  <c r="S71" i="12" s="1"/>
  <c r="Q10" i="14"/>
  <c r="R10" i="14" s="1"/>
  <c r="AD10" i="14" s="1"/>
  <c r="L59" i="12"/>
  <c r="O59" i="12" s="1"/>
  <c r="L91" i="12"/>
  <c r="L64" i="12"/>
  <c r="L82" i="12"/>
  <c r="L58" i="12"/>
  <c r="L65" i="12"/>
  <c r="O65" i="12" s="1"/>
  <c r="Q27" i="14"/>
  <c r="L73" i="12"/>
  <c r="O73" i="12" s="1"/>
  <c r="Q24" i="14"/>
  <c r="Z24" i="14" s="1"/>
  <c r="Q23" i="14"/>
  <c r="L72" i="12"/>
  <c r="Q48" i="14"/>
  <c r="Z48" i="14" s="1"/>
  <c r="Q22" i="14"/>
  <c r="R22" i="14" s="1"/>
  <c r="L57" i="12"/>
  <c r="O57" i="12" s="1"/>
  <c r="Q72" i="12"/>
  <c r="S72" i="12" s="1"/>
  <c r="I48" i="12"/>
  <c r="Q35" i="14"/>
  <c r="AD28" i="14"/>
  <c r="Q32" i="14"/>
  <c r="L83" i="12"/>
  <c r="L77" i="12"/>
  <c r="L56" i="12"/>
  <c r="L86" i="12"/>
  <c r="Q90" i="12"/>
  <c r="S90" i="12" s="1"/>
  <c r="L55" i="12"/>
  <c r="Q43" i="14"/>
  <c r="L70" i="12"/>
  <c r="O70" i="12" s="1"/>
  <c r="Q89" i="12"/>
  <c r="S89" i="12" s="1"/>
  <c r="Q44" i="14"/>
  <c r="Q29" i="14"/>
  <c r="R29" i="14" s="1"/>
  <c r="AD29" i="14" s="1"/>
  <c r="L88" i="12"/>
  <c r="Q87" i="12"/>
  <c r="S87" i="12" s="1"/>
  <c r="Q42" i="14"/>
  <c r="L52" i="12"/>
  <c r="I49" i="12"/>
  <c r="Q26" i="14"/>
  <c r="L54" i="12"/>
  <c r="Q37" i="14"/>
  <c r="L78" i="12"/>
  <c r="L63" i="12"/>
  <c r="O63" i="12" s="1"/>
  <c r="R69" i="14" l="1"/>
  <c r="AA69" i="14" s="1"/>
  <c r="Z73" i="14"/>
  <c r="R74" i="14"/>
  <c r="AC74" i="14" s="1"/>
  <c r="R70" i="14"/>
  <c r="AC70" i="14" s="1"/>
  <c r="R86" i="14"/>
  <c r="AC86" i="14" s="1"/>
  <c r="Z71" i="14"/>
  <c r="Q111" i="14"/>
  <c r="R111" i="14" s="1"/>
  <c r="AB111" i="14"/>
  <c r="Q108" i="14"/>
  <c r="R108" i="14" s="1"/>
  <c r="AB108" i="14"/>
  <c r="Q99" i="14"/>
  <c r="Z99" i="14" s="1"/>
  <c r="AB99" i="14"/>
  <c r="Q110" i="14"/>
  <c r="R110" i="14" s="1"/>
  <c r="AB110" i="14"/>
  <c r="Q109" i="14"/>
  <c r="R109" i="14" s="1"/>
  <c r="AB109" i="14"/>
  <c r="Q106" i="14"/>
  <c r="Z106" i="14" s="1"/>
  <c r="AB106" i="14"/>
  <c r="Q113" i="14"/>
  <c r="R113" i="14" s="1"/>
  <c r="AB113" i="14"/>
  <c r="Q112" i="14"/>
  <c r="Z112" i="14" s="1"/>
  <c r="AB112" i="14"/>
  <c r="Q107" i="14"/>
  <c r="Z107" i="14" s="1"/>
  <c r="AB107" i="14"/>
  <c r="Q104" i="14"/>
  <c r="Z104" i="14" s="1"/>
  <c r="AB104" i="14"/>
  <c r="Q102" i="14"/>
  <c r="Z102" i="14" s="1"/>
  <c r="AB102" i="14"/>
  <c r="Q105" i="14"/>
  <c r="R105" i="14" s="1"/>
  <c r="AB105" i="14"/>
  <c r="Q100" i="14"/>
  <c r="Z100" i="14" s="1"/>
  <c r="AB100" i="14"/>
  <c r="Q103" i="14"/>
  <c r="Z103" i="14" s="1"/>
  <c r="AB103" i="14"/>
  <c r="Q75" i="14"/>
  <c r="R75" i="14" s="1"/>
  <c r="AB75" i="14"/>
  <c r="Q85" i="14"/>
  <c r="R85" i="14" s="1"/>
  <c r="AB85" i="14"/>
  <c r="Q81" i="14"/>
  <c r="R81" i="14" s="1"/>
  <c r="AB81" i="14"/>
  <c r="Q79" i="14"/>
  <c r="R79" i="14" s="1"/>
  <c r="AB79" i="14"/>
  <c r="Q80" i="14"/>
  <c r="Z80" i="14" s="1"/>
  <c r="AB80" i="14"/>
  <c r="Q83" i="14"/>
  <c r="R83" i="14" s="1"/>
  <c r="AB83" i="14"/>
  <c r="Q78" i="14"/>
  <c r="Z78" i="14" s="1"/>
  <c r="AB78" i="14"/>
  <c r="Q84" i="14"/>
  <c r="Z84" i="14" s="1"/>
  <c r="AB84" i="14"/>
  <c r="Q82" i="14"/>
  <c r="R82" i="14" s="1"/>
  <c r="AB82" i="14"/>
  <c r="Q76" i="14"/>
  <c r="Z76" i="14" s="1"/>
  <c r="AB76" i="14"/>
  <c r="Q77" i="14"/>
  <c r="R77" i="14" s="1"/>
  <c r="AB77" i="14"/>
  <c r="Q87" i="14"/>
  <c r="Z87" i="14" s="1"/>
  <c r="AB87" i="14"/>
  <c r="Q68" i="14"/>
  <c r="Z68" i="14" s="1"/>
  <c r="AB68" i="14"/>
  <c r="Z41" i="14"/>
  <c r="R46" i="14"/>
  <c r="AD46" i="14" s="1"/>
  <c r="AD64" i="14"/>
  <c r="AC64" i="14"/>
  <c r="Z57" i="14"/>
  <c r="R57" i="14"/>
  <c r="AA57" i="14" s="1"/>
  <c r="Z54" i="14"/>
  <c r="R54" i="14"/>
  <c r="AD54" i="14" s="1"/>
  <c r="Z55" i="14"/>
  <c r="R55" i="14"/>
  <c r="AA55" i="14" s="1"/>
  <c r="Z58" i="14"/>
  <c r="R58" i="14"/>
  <c r="AD58" i="14" s="1"/>
  <c r="Z56" i="14"/>
  <c r="R56" i="14"/>
  <c r="AA56" i="14" s="1"/>
  <c r="AD94" i="14"/>
  <c r="AA94" i="14"/>
  <c r="AC94" i="14"/>
  <c r="AA92" i="14"/>
  <c r="AD92" i="14"/>
  <c r="AC92" i="14"/>
  <c r="AA96" i="14"/>
  <c r="AC96" i="14"/>
  <c r="AD96" i="14"/>
  <c r="AA97" i="14"/>
  <c r="AD97" i="14"/>
  <c r="AC97" i="14"/>
  <c r="AA93" i="14"/>
  <c r="AD93" i="14"/>
  <c r="AC93" i="14"/>
  <c r="AA98" i="14"/>
  <c r="AC98" i="14"/>
  <c r="AD98" i="14"/>
  <c r="AD73" i="14"/>
  <c r="AC73" i="14"/>
  <c r="AA73" i="14"/>
  <c r="AD71" i="14"/>
  <c r="AC71" i="14"/>
  <c r="AA71" i="14"/>
  <c r="AA58" i="14"/>
  <c r="AA50" i="14"/>
  <c r="AD50" i="14"/>
  <c r="AC50" i="14"/>
  <c r="AD47" i="14"/>
  <c r="AA47" i="14"/>
  <c r="AC47" i="14"/>
  <c r="AD49" i="14"/>
  <c r="AA49" i="14"/>
  <c r="AC49" i="14"/>
  <c r="L49" i="12"/>
  <c r="N40" i="14"/>
  <c r="Q45" i="14"/>
  <c r="Z45" i="14" s="1"/>
  <c r="N39" i="14"/>
  <c r="Z25" i="14"/>
  <c r="AD15" i="14"/>
  <c r="AC20" i="14"/>
  <c r="R21" i="14"/>
  <c r="AA21" i="14" s="1"/>
  <c r="Z11" i="14"/>
  <c r="R32" i="14"/>
  <c r="AD32" i="14" s="1"/>
  <c r="Z13" i="14"/>
  <c r="AD33" i="14"/>
  <c r="R38" i="14"/>
  <c r="AC38" i="14" s="1"/>
  <c r="Z14" i="14"/>
  <c r="AC10" i="14"/>
  <c r="Z10" i="14"/>
  <c r="L48" i="12"/>
  <c r="R48" i="14"/>
  <c r="AC48" i="14" s="1"/>
  <c r="Z22" i="14"/>
  <c r="R24" i="14"/>
  <c r="AC24" i="14" s="1"/>
  <c r="AA10" i="14"/>
  <c r="R23" i="14"/>
  <c r="Z23" i="14"/>
  <c r="R37" i="14"/>
  <c r="Z37" i="14"/>
  <c r="Z44" i="14"/>
  <c r="R44" i="14"/>
  <c r="AD25" i="14"/>
  <c r="AA25" i="14"/>
  <c r="AC25" i="14"/>
  <c r="Z43" i="14"/>
  <c r="R43" i="14"/>
  <c r="AD22" i="14"/>
  <c r="AA22" i="14"/>
  <c r="AC22" i="14"/>
  <c r="AC41" i="14"/>
  <c r="AD41" i="14"/>
  <c r="AA41" i="14"/>
  <c r="R27" i="14"/>
  <c r="AA13" i="14"/>
  <c r="AC13" i="14"/>
  <c r="R12" i="14"/>
  <c r="AD13" i="14"/>
  <c r="AA14" i="14"/>
  <c r="AD14" i="14"/>
  <c r="AC14" i="14"/>
  <c r="R45" i="14"/>
  <c r="AD11" i="14"/>
  <c r="AC11" i="14"/>
  <c r="AA11" i="14"/>
  <c r="Z42" i="14"/>
  <c r="R42" i="14"/>
  <c r="AD70" i="14" l="1"/>
  <c r="AD69" i="14"/>
  <c r="AC69" i="14"/>
  <c r="AA54" i="14"/>
  <c r="AC54" i="14"/>
  <c r="AC58" i="14"/>
  <c r="AA74" i="14"/>
  <c r="AD55" i="14"/>
  <c r="AA70" i="14"/>
  <c r="R84" i="14"/>
  <c r="AD84" i="14" s="1"/>
  <c r="R87" i="14"/>
  <c r="AA87" i="14" s="1"/>
  <c r="R103" i="14"/>
  <c r="AA103" i="14" s="1"/>
  <c r="R112" i="14"/>
  <c r="AC112" i="14" s="1"/>
  <c r="AD86" i="14"/>
  <c r="Z110" i="14"/>
  <c r="R76" i="14"/>
  <c r="AC76" i="14" s="1"/>
  <c r="AA86" i="14"/>
  <c r="Z83" i="14"/>
  <c r="R104" i="14"/>
  <c r="AA104" i="14" s="1"/>
  <c r="Z108" i="14"/>
  <c r="Z79" i="14"/>
  <c r="R106" i="14"/>
  <c r="AC106" i="14" s="1"/>
  <c r="AC75" i="14"/>
  <c r="AD74" i="14"/>
  <c r="R100" i="14"/>
  <c r="AC100" i="14" s="1"/>
  <c r="AD75" i="14"/>
  <c r="Z113" i="14"/>
  <c r="R102" i="14"/>
  <c r="AC102" i="14" s="1"/>
  <c r="Z111" i="14"/>
  <c r="AC85" i="14"/>
  <c r="AC105" i="14"/>
  <c r="Z77" i="14"/>
  <c r="Z109" i="14"/>
  <c r="R99" i="14"/>
  <c r="AC99" i="14" s="1"/>
  <c r="R80" i="14"/>
  <c r="AC80" i="14" s="1"/>
  <c r="AB39" i="14"/>
  <c r="Z81" i="14"/>
  <c r="R78" i="14"/>
  <c r="AD78" i="14" s="1"/>
  <c r="Z82" i="14"/>
  <c r="R68" i="14"/>
  <c r="AC68" i="14" s="1"/>
  <c r="AD105" i="14"/>
  <c r="AD85" i="14"/>
  <c r="Q40" i="14"/>
  <c r="AB40" i="14"/>
  <c r="Q39" i="14"/>
  <c r="Z39" i="14" s="1"/>
  <c r="AC46" i="14"/>
  <c r="AD57" i="14"/>
  <c r="AA46" i="14"/>
  <c r="AC56" i="14"/>
  <c r="AC57" i="14"/>
  <c r="AC55" i="14"/>
  <c r="AD56" i="14"/>
  <c r="AA113" i="14"/>
  <c r="AC113" i="14"/>
  <c r="AD113" i="14"/>
  <c r="AB36" i="14"/>
  <c r="AC109" i="14"/>
  <c r="AA109" i="14"/>
  <c r="AD109" i="14"/>
  <c r="AC108" i="14"/>
  <c r="AA108" i="14"/>
  <c r="AD108" i="14"/>
  <c r="AA110" i="14"/>
  <c r="AC110" i="14"/>
  <c r="AD110" i="14"/>
  <c r="AA111" i="14"/>
  <c r="AC111" i="14"/>
  <c r="AD111" i="14"/>
  <c r="AA77" i="14"/>
  <c r="AD77" i="14"/>
  <c r="AC77" i="14"/>
  <c r="AD79" i="14"/>
  <c r="AC79" i="14"/>
  <c r="AA79" i="14"/>
  <c r="AA81" i="14"/>
  <c r="AD81" i="14"/>
  <c r="AC81" i="14"/>
  <c r="AD82" i="14"/>
  <c r="AA82" i="14"/>
  <c r="AC82" i="14"/>
  <c r="AD83" i="14"/>
  <c r="AA83" i="14"/>
  <c r="AC83" i="14"/>
  <c r="AB35" i="14"/>
  <c r="AA38" i="14"/>
  <c r="AD21" i="14"/>
  <c r="AC21" i="14"/>
  <c r="AD38" i="14"/>
  <c r="AA48" i="14"/>
  <c r="AD24" i="14"/>
  <c r="AD48" i="14"/>
  <c r="AA24" i="14"/>
  <c r="AA23" i="14"/>
  <c r="AC23" i="14"/>
  <c r="AD23" i="14"/>
  <c r="R19" i="14"/>
  <c r="AD27" i="14"/>
  <c r="R26" i="14"/>
  <c r="AD26" i="14" s="1"/>
  <c r="R9" i="14"/>
  <c r="AD42" i="14"/>
  <c r="AA42" i="14"/>
  <c r="AC42" i="14"/>
  <c r="AC45" i="14"/>
  <c r="AD45" i="14"/>
  <c r="AA45" i="14"/>
  <c r="AD43" i="14"/>
  <c r="AA43" i="14"/>
  <c r="AC43" i="14"/>
  <c r="AA37" i="14"/>
  <c r="AD37" i="14"/>
  <c r="AC37" i="14"/>
  <c r="AD12" i="14"/>
  <c r="AA12" i="14"/>
  <c r="AA9" i="14" s="1"/>
  <c r="AC44" i="14"/>
  <c r="AA44" i="14"/>
  <c r="AD44" i="14"/>
  <c r="AD102" i="14" l="1"/>
  <c r="AD87" i="14"/>
  <c r="AD106" i="14"/>
  <c r="AA78" i="14"/>
  <c r="AA76" i="14"/>
  <c r="AC84" i="14"/>
  <c r="AC87" i="14"/>
  <c r="AA99" i="14"/>
  <c r="AA106" i="14"/>
  <c r="AA84" i="14"/>
  <c r="AC78" i="14"/>
  <c r="AD76" i="14"/>
  <c r="AA102" i="14"/>
  <c r="AC103" i="14"/>
  <c r="AD103" i="14"/>
  <c r="AD112" i="14"/>
  <c r="R39" i="14"/>
  <c r="AA39" i="14" s="1"/>
  <c r="AA112" i="14"/>
  <c r="R107" i="14"/>
  <c r="AA107" i="14" s="1"/>
  <c r="AD99" i="14"/>
  <c r="R72" i="14"/>
  <c r="AA72" i="14" s="1"/>
  <c r="AD104" i="14"/>
  <c r="AC104" i="14"/>
  <c r="R88" i="14"/>
  <c r="AA88" i="14" s="1"/>
  <c r="AD80" i="14"/>
  <c r="AD100" i="14"/>
  <c r="AA100" i="14"/>
  <c r="AA80" i="14"/>
  <c r="N114" i="14"/>
  <c r="N126" i="14" s="1"/>
  <c r="AA68" i="14"/>
  <c r="AD68" i="14"/>
  <c r="R62" i="14"/>
  <c r="AD62" i="14" s="1"/>
  <c r="Z40" i="14"/>
  <c r="R40" i="14"/>
  <c r="AB8" i="14"/>
  <c r="AA20" i="14"/>
  <c r="AD19" i="14"/>
  <c r="AA19" i="14"/>
  <c r="AD9" i="14"/>
  <c r="AD107" i="14" l="1"/>
  <c r="AD72" i="14"/>
  <c r="AC39" i="14"/>
  <c r="AD39" i="14"/>
  <c r="AD88" i="14"/>
  <c r="AC107" i="14"/>
  <c r="AC88" i="14"/>
  <c r="R61" i="14"/>
  <c r="AA61" i="14" s="1"/>
  <c r="AA62" i="14"/>
  <c r="AA40" i="14"/>
  <c r="AD40" i="14"/>
  <c r="AC40" i="14"/>
  <c r="R36" i="14"/>
  <c r="AD36" i="14" s="1"/>
  <c r="AA64" i="14"/>
  <c r="K122" i="14"/>
  <c r="AB114" i="14"/>
  <c r="N115" i="14"/>
  <c r="M121" i="14"/>
  <c r="N116" i="14"/>
  <c r="N118" i="14"/>
  <c r="K124" i="14"/>
  <c r="M122" i="14"/>
  <c r="AA35" i="14" l="1"/>
  <c r="AA8" i="14" s="1"/>
  <c r="AA114" i="14" s="1"/>
  <c r="Z117" i="14" s="1"/>
  <c r="AD61" i="14"/>
  <c r="N119" i="14"/>
  <c r="AB119" i="14" s="1"/>
  <c r="R35" i="14"/>
  <c r="M124" i="14"/>
  <c r="R116" i="14"/>
  <c r="AA116" i="14" s="1"/>
  <c r="AB116" i="14"/>
  <c r="R118" i="14"/>
  <c r="AA118" i="14" s="1"/>
  <c r="AB118" i="14"/>
  <c r="AB115" i="14"/>
  <c r="R115" i="14"/>
  <c r="AA115" i="14" s="1"/>
  <c r="AD35" i="14" l="1"/>
  <c r="R8" i="14"/>
  <c r="AA119" i="14"/>
  <c r="Z115" i="14"/>
  <c r="Z118" i="14"/>
  <c r="AC116" i="14"/>
  <c r="AD115" i="14"/>
  <c r="Z116" i="14"/>
  <c r="AC118" i="14"/>
  <c r="AC115" i="14"/>
  <c r="AD8" i="14" l="1"/>
  <c r="R114" i="14"/>
  <c r="AD114" i="14" l="1"/>
  <c r="Q115" i="14"/>
  <c r="Q118" i="14"/>
  <c r="Q116" i="14"/>
  <c r="AA121" i="14"/>
  <c r="Q117" i="14"/>
  <c r="R119" i="14"/>
  <c r="AC119" i="14" s="1"/>
  <c r="AC114" i="14"/>
  <c r="L82" i="34"/>
  <c r="L76" i="34"/>
  <c r="L85" i="34" l="1"/>
  <c r="L49" i="34"/>
  <c r="L69" i="34"/>
  <c r="L55" i="34"/>
  <c r="L77" i="34"/>
  <c r="L67" i="34"/>
  <c r="L48" i="34"/>
  <c r="L89" i="34"/>
  <c r="Q62" i="34"/>
  <c r="S62" i="34" s="1"/>
  <c r="L56" i="34"/>
  <c r="L90" i="34"/>
  <c r="L84" i="34"/>
  <c r="L58" i="34"/>
  <c r="L60" i="34"/>
  <c r="L57" i="34"/>
  <c r="L71" i="34"/>
  <c r="L80" i="34"/>
  <c r="L63" i="34"/>
  <c r="Q64" i="34"/>
  <c r="S64" i="34" s="1"/>
  <c r="L53" i="34"/>
  <c r="L87" i="34"/>
  <c r="L54" i="34"/>
  <c r="L68" i="34"/>
  <c r="L66" i="34"/>
  <c r="Q63" i="34"/>
  <c r="S63" i="34" s="1"/>
  <c r="L61" i="34"/>
  <c r="L88" i="34"/>
  <c r="Q65" i="34"/>
  <c r="S65" i="34" s="1"/>
  <c r="L83" i="34"/>
  <c r="L62" i="34"/>
  <c r="L52" i="34"/>
  <c r="L65" i="34"/>
  <c r="L64" i="34"/>
  <c r="L59" i="34"/>
  <c r="L81" i="34"/>
  <c r="L79" i="34"/>
  <c r="L86" i="34"/>
  <c r="L88" i="30"/>
  <c r="L84" i="30"/>
  <c r="L82" i="30"/>
  <c r="L87" i="30"/>
  <c r="L83" i="30"/>
  <c r="L86" i="30"/>
  <c r="L85" i="30"/>
  <c r="L90" i="30"/>
  <c r="L89" i="30"/>
  <c r="L52" i="30"/>
  <c r="L62" i="30"/>
  <c r="L53" i="30"/>
  <c r="L54" i="30"/>
  <c r="Q65" i="30"/>
  <c r="S65" i="30" s="1"/>
  <c r="L66" i="30"/>
  <c r="L61" i="30"/>
  <c r="L49" i="30"/>
  <c r="Q62" i="30"/>
  <c r="S62" i="30" s="1"/>
  <c r="L48" i="30"/>
  <c r="L59" i="30"/>
  <c r="L58" i="30"/>
  <c r="L60" i="30"/>
  <c r="L63" i="30"/>
  <c r="Q64" i="30"/>
  <c r="S64" i="30" s="1"/>
  <c r="L65" i="30"/>
  <c r="L56" i="30"/>
  <c r="Q63" i="30"/>
  <c r="S63" i="30" s="1"/>
  <c r="L64" i="30"/>
  <c r="L55" i="30"/>
  <c r="L57" i="30"/>
  <c r="L77" i="30"/>
  <c r="L81" i="30"/>
  <c r="L69" i="30"/>
  <c r="L76" i="30"/>
  <c r="L79" i="30"/>
  <c r="L71" i="30"/>
  <c r="L67" i="30"/>
  <c r="L80" i="30"/>
  <c r="L68" i="30"/>
</calcChain>
</file>

<file path=xl/sharedStrings.xml><?xml version="1.0" encoding="utf-8"?>
<sst xmlns="http://schemas.openxmlformats.org/spreadsheetml/2006/main" count="12545" uniqueCount="940">
  <si>
    <t>DESCRIPCION</t>
  </si>
  <si>
    <t>ANCHO</t>
  </si>
  <si>
    <t>ALTURA</t>
  </si>
  <si>
    <t>GBL</t>
  </si>
  <si>
    <t>m3</t>
  </si>
  <si>
    <t>PARTIDA</t>
  </si>
  <si>
    <t>TOTAL</t>
  </si>
  <si>
    <t>UNID.</t>
  </si>
  <si>
    <t>Fecha        :</t>
  </si>
  <si>
    <t>VECES</t>
  </si>
  <si>
    <t>LONG.</t>
  </si>
  <si>
    <t>SUB-TOTAL</t>
  </si>
  <si>
    <t>kg</t>
  </si>
  <si>
    <t>und</t>
  </si>
  <si>
    <t>04.03.01</t>
  </si>
  <si>
    <t>04.03.01.01</t>
  </si>
  <si>
    <t>04.03.02</t>
  </si>
  <si>
    <t>04.03.02.01</t>
  </si>
  <si>
    <t>04.03.03</t>
  </si>
  <si>
    <t>04.03.03.01</t>
  </si>
  <si>
    <t>04.03.03.02</t>
  </si>
  <si>
    <t>04.03.03.03</t>
  </si>
  <si>
    <t>04.03.04</t>
  </si>
  <si>
    <t>04.03.04.01</t>
  </si>
  <si>
    <t>04.03.04.02</t>
  </si>
  <si>
    <t>04.03.05</t>
  </si>
  <si>
    <t>04.03.05.01</t>
  </si>
  <si>
    <t>PROYECTO: “Mejoramiento del Servicio Educativo en la I.E.P. N° 54002 Santa Rosa e I.E.S. Santa Rosa del Distrito de Abancay, Provincia de Abancay-Región Apurímac”</t>
  </si>
  <si>
    <t>METRADO DE INSTALACIONES SANITARIAS</t>
  </si>
  <si>
    <t>ABANCAY</t>
  </si>
  <si>
    <t xml:space="preserve">Departamento :  </t>
  </si>
  <si>
    <t>APURIMAC</t>
  </si>
  <si>
    <t xml:space="preserve">Distrito                 : </t>
  </si>
  <si>
    <t xml:space="preserve">Localidad          : </t>
  </si>
  <si>
    <t xml:space="preserve">Provincia           :  </t>
  </si>
  <si>
    <t>Propietario        :</t>
  </si>
  <si>
    <t>GOBIERNO REGIONAL DE APURÍMAC</t>
  </si>
  <si>
    <t>Gobierno Regional de Apurímac</t>
  </si>
  <si>
    <t>Gerencia Regional de Infraestructura</t>
  </si>
  <si>
    <t>Sub Gerencia de Estudios Definitivos</t>
  </si>
  <si>
    <t>“Año del Buen Servicio al Ciudadano”</t>
  </si>
  <si>
    <t>Revisado            :</t>
  </si>
  <si>
    <t>SGDE</t>
  </si>
  <si>
    <t xml:space="preserve">Elaborado           :  </t>
  </si>
  <si>
    <t>ING. SUMAQ CHASKA PILLACA FARFAN</t>
  </si>
  <si>
    <t>m2</t>
  </si>
  <si>
    <t>04.04.01</t>
  </si>
  <si>
    <t>04.04.01.01</t>
  </si>
  <si>
    <t>04.04.02</t>
  </si>
  <si>
    <t>04.04.02.01</t>
  </si>
  <si>
    <t>04.04.03</t>
  </si>
  <si>
    <t>04.04.03.01</t>
  </si>
  <si>
    <t>04.04.04</t>
  </si>
  <si>
    <t>04.04.04.01</t>
  </si>
  <si>
    <t>04.04.04.02</t>
  </si>
  <si>
    <t>04.04.04.03</t>
  </si>
  <si>
    <t>04.04.05</t>
  </si>
  <si>
    <t>04.04.05.01</t>
  </si>
  <si>
    <t>04.04.05.02</t>
  </si>
  <si>
    <t>04.04.06.01</t>
  </si>
  <si>
    <t>04.04.06</t>
  </si>
  <si>
    <t>04.04.07.01</t>
  </si>
  <si>
    <t>04.04.07</t>
  </si>
  <si>
    <t>04.04.02.02</t>
  </si>
  <si>
    <t>04.04.02.03</t>
  </si>
  <si>
    <t>HOJA DE METRADOS INSTALACIONES SANITARIAS</t>
  </si>
  <si>
    <t>INSTALACIONES SANITARIAS</t>
  </si>
  <si>
    <t>APARATOS SANITARIOS Y ACCESORIOS</t>
  </si>
  <si>
    <t>04.01</t>
  </si>
  <si>
    <t>04.01.01</t>
  </si>
  <si>
    <t>04.01.01.01</t>
  </si>
  <si>
    <t>1er nivel</t>
  </si>
  <si>
    <t>2do nivel</t>
  </si>
  <si>
    <t>3er nivel</t>
  </si>
  <si>
    <t>04.01.01.02</t>
  </si>
  <si>
    <t>04.01.01.03</t>
  </si>
  <si>
    <t>04.01.01.04</t>
  </si>
  <si>
    <t>LAVADERO DE ACERO INOXIDABLE 1 POZA SIN ESCURRIDOR</t>
  </si>
  <si>
    <t>LLAVE DE LAVATORIO TEMPORIZADA, CROMADA</t>
  </si>
  <si>
    <t>LLAVE DE LAVADERO PARA COCINA MONOCOMANDO, CROMADA</t>
  </si>
  <si>
    <t>04.01.01.05</t>
  </si>
  <si>
    <t>04.01.01.06</t>
  </si>
  <si>
    <t>04.01.01.07</t>
  </si>
  <si>
    <t>URINARIO DE LOSA VITRIFICADA BLANCO</t>
  </si>
  <si>
    <t>04.01.02.01</t>
  </si>
  <si>
    <t>SOPORTE PORTA PAPEL HIGIENICO CROMADO</t>
  </si>
  <si>
    <t>04.01.02.02</t>
  </si>
  <si>
    <t>TACHO DE ACERO INOXIDABLE DE 7 L, CON TAPA Y SISTEMA PEDAL</t>
  </si>
  <si>
    <t>04.01.02.03</t>
  </si>
  <si>
    <t>04.01.02.04</t>
  </si>
  <si>
    <t>04.01.02.05</t>
  </si>
  <si>
    <t>SECADOR DE MANOS AUTOMATICO DE PARED DE ACERO INOXIDABLE</t>
  </si>
  <si>
    <t>04.01.02.06</t>
  </si>
  <si>
    <t xml:space="preserve">ESPEJO BISELADO DE 0.45 x 0.75 m, e = 4 mm </t>
  </si>
  <si>
    <t>04.01.02.07</t>
  </si>
  <si>
    <t>BARRA DE SEGURIDAD DE ACERO INOXIDABLE L = 0.90m</t>
  </si>
  <si>
    <t>04.01.02.08</t>
  </si>
  <si>
    <t>PERCHA SIMPLE CROMADA, ADOSADA</t>
  </si>
  <si>
    <t>04.01.02.10</t>
  </si>
  <si>
    <t>PORTA JABÓN CROMADO, ADOSADO</t>
  </si>
  <si>
    <t>04.01.02.09</t>
  </si>
  <si>
    <t>PERCHERO DE ALUMINIO CON 4 GANCHOS</t>
  </si>
  <si>
    <t>04.01.02.11</t>
  </si>
  <si>
    <t>SILLA REBATIBLE PARA DUCHA</t>
  </si>
  <si>
    <t>LAVADERO DE ACERO INOXIDABLE 1 POZA CON  02 ESCURRIDERO</t>
  </si>
  <si>
    <t>LLAVE DE LAVADERO PARA COCINA MONOCOMANDO CON RESORTE, CROMADA</t>
  </si>
  <si>
    <t>04.01.02.12</t>
  </si>
  <si>
    <t>SUMINISTRO DE APARATOS SANITARIOS</t>
  </si>
  <si>
    <t>SUMINISTRO  ACCESORIOS SANITARIOS</t>
  </si>
  <si>
    <t>04.01.02</t>
  </si>
  <si>
    <t>04.01.03.01</t>
  </si>
  <si>
    <t>INSTALACIONES DE APARATOS SANITARIOS</t>
  </si>
  <si>
    <t>04.01.03</t>
  </si>
  <si>
    <t>INSTALACION DE APARATOS SANITARIOS</t>
  </si>
  <si>
    <t>04.01.04</t>
  </si>
  <si>
    <t>INSTALACIONES DE ACCESORIOS SANITARIOS</t>
  </si>
  <si>
    <t>INSTALACION DE ACCESORIOS SANITARIOS</t>
  </si>
  <si>
    <t>04.02</t>
  </si>
  <si>
    <t>SISTEMA DE AGUA FRIA</t>
  </si>
  <si>
    <t>04.02.01</t>
  </si>
  <si>
    <t>Pto</t>
  </si>
  <si>
    <t>04.02.02</t>
  </si>
  <si>
    <t>SALIDA DE AGUA FRÍA</t>
  </si>
  <si>
    <t>04.02.01.01</t>
  </si>
  <si>
    <t>04.02.01.02</t>
  </si>
  <si>
    <t>RED DE DISTRIBUCION</t>
  </si>
  <si>
    <t>04.02.02.01</t>
  </si>
  <si>
    <t>04.02.02.02</t>
  </si>
  <si>
    <t>04.02.02.03</t>
  </si>
  <si>
    <t>04.02.02.04</t>
  </si>
  <si>
    <t>04.02.02.05</t>
  </si>
  <si>
    <t>TUBERÍA DE PVC C-10 Ø 2" SP</t>
  </si>
  <si>
    <t>04.02.02.06</t>
  </si>
  <si>
    <t xml:space="preserve">TUBERÍA DE F°G° C/R  Ø 2" </t>
  </si>
  <si>
    <t>04.02.03</t>
  </si>
  <si>
    <t>REDES DE ALIMENTACIÓN</t>
  </si>
  <si>
    <t>04.02.03.01</t>
  </si>
  <si>
    <t>04.02.04</t>
  </si>
  <si>
    <t>ACCESORIOS DE REDES DE AGUA</t>
  </si>
  <si>
    <t>04.02.04.01</t>
  </si>
  <si>
    <t>CODO DE PVC Ø 1/2" x 90° SP</t>
  </si>
  <si>
    <t>04.02.04.02</t>
  </si>
  <si>
    <t>CODO DE PVC Ø 3/4" x 90° SP</t>
  </si>
  <si>
    <t>04.02.04.03</t>
  </si>
  <si>
    <t>CODO DE PVC Ø 1" x 90° SP</t>
  </si>
  <si>
    <t>04.02.04.04</t>
  </si>
  <si>
    <t>CODO DE PVC Ø 1 1/2" x 90° SP</t>
  </si>
  <si>
    <t>04.02.04.05</t>
  </si>
  <si>
    <t>CODO DE PVC Ø 2" x 90° SP</t>
  </si>
  <si>
    <t>TEE DE PVC Ø 3/4" SP</t>
  </si>
  <si>
    <t>04.02.04.06</t>
  </si>
  <si>
    <t>TEE DE PVC Ø 1/2" SP</t>
  </si>
  <si>
    <t>TEE DE PVC Ø 1" SP</t>
  </si>
  <si>
    <t>TEE DE PVC Ø 1 1/2" SP</t>
  </si>
  <si>
    <t>TEE DE PVC Ø 2" SP</t>
  </si>
  <si>
    <t>04.02.04.07</t>
  </si>
  <si>
    <t>04.02.04.08</t>
  </si>
  <si>
    <t>04.02.04.09</t>
  </si>
  <si>
    <t>04.02.04.10</t>
  </si>
  <si>
    <t>04.02.04.11</t>
  </si>
  <si>
    <t>REDUCCIÓN DE PVC Ø 1" A 1/2" SP</t>
  </si>
  <si>
    <t>REDUCCIÓN DE PVC Ø 1" A 3/4" SP</t>
  </si>
  <si>
    <t>REDUCCIÓN DE PVC Ø 1 1/2" A 3/4" SP</t>
  </si>
  <si>
    <t>REDUCCIÓN DE PVC Ø 1 1/2" A 1" SP</t>
  </si>
  <si>
    <t>04.02.04.12</t>
  </si>
  <si>
    <t>04.02.04.13</t>
  </si>
  <si>
    <t>04.02.04.14</t>
  </si>
  <si>
    <t>04.02.04.15</t>
  </si>
  <si>
    <t>REDUCCIÓN DE PVC Ø 3/4" A 1/2" SP</t>
  </si>
  <si>
    <t>INODORO TANQUE BAJO DE CERÁMICA VITRIFICADA BLANCO</t>
  </si>
  <si>
    <t>SALIDA DE AGUA FRIA  CON TUBERÍA DE PVC SAP C-10 Ø 1/2"</t>
  </si>
  <si>
    <t>SALIDA DE AGUA FRIA CON TUBERÍA DE PVC SAP C-10  Ø 1"</t>
  </si>
  <si>
    <t>TUBERÍA DE PVC SAP C-10 Ø 1/2" SP</t>
  </si>
  <si>
    <t>TUBERÍA DE PVC SAP C-10 Ø 3/4" SP</t>
  </si>
  <si>
    <t>TUBERÍA DE PVC SAP C-10 Ø 1" SP</t>
  </si>
  <si>
    <t>TUBERÍA DE PVC SAP C-10 Ø 1 1/2" SP</t>
  </si>
  <si>
    <t>TUBERÍA DE PVC SAP C-10 Ø 2" SP</t>
  </si>
  <si>
    <t>UNION DE PVC SAP  Ø 1/2"</t>
  </si>
  <si>
    <t>04.02.04.16</t>
  </si>
  <si>
    <t>BLOQUE 01</t>
  </si>
  <si>
    <t>LAVADERO DE ACERO INOXIDABLE 1 POZA CON 01 ESCURRIDERO</t>
  </si>
  <si>
    <t>GRIFOS ESFERICOS DOBLE MANGUERA</t>
  </si>
  <si>
    <t>DIFUSOR DE DUCHA CROMADA DE 1 LLAVE</t>
  </si>
  <si>
    <t>DIFUSOR DE DUCHA TELEFONO CON SOPORTE BARRA REGULABLE</t>
  </si>
  <si>
    <t>DIFUSOR DE DUCHA   Y LAVAOJOS DE EMERGENCIAS</t>
  </si>
  <si>
    <t>DISPENSADOR DE JABON LIQUIDO DE 1000ml, ADOSADO</t>
  </si>
  <si>
    <t>DOSIFICADOR DE JABON AUTOMATICO CROMADO-EMPOTRADO</t>
  </si>
  <si>
    <t>04.01.02.13</t>
  </si>
  <si>
    <t>04.01.02.14</t>
  </si>
  <si>
    <t>04.01.02.15</t>
  </si>
  <si>
    <t>04.01.02.16</t>
  </si>
  <si>
    <t>04.01.02.17</t>
  </si>
  <si>
    <t>04.01.02.18</t>
  </si>
  <si>
    <t>UNION DE PVC SAP  Ø 3/4"</t>
  </si>
  <si>
    <t>UNION DE PVC SAP  Ø 1"</t>
  </si>
  <si>
    <t>UNION DE PVC SAP  Ø 1 1/2"</t>
  </si>
  <si>
    <t>UNION DE PVC SAP  Ø 2"</t>
  </si>
  <si>
    <t>CODO DE F°G°   Ø 2" X 90°</t>
  </si>
  <si>
    <t>04.02.04.17</t>
  </si>
  <si>
    <t>04.02.04.18</t>
  </si>
  <si>
    <t>04.02.04.19</t>
  </si>
  <si>
    <t>04.02.04.20</t>
  </si>
  <si>
    <t>04.02.04.21</t>
  </si>
  <si>
    <t>04.02.05</t>
  </si>
  <si>
    <t>VÁLVULAS</t>
  </si>
  <si>
    <t>04.02.05.01</t>
  </si>
  <si>
    <t>VÁLVULA COMPUERTA DE BRONCE Ø 3/4"</t>
  </si>
  <si>
    <t>VÁLVULA COMPUERTA DE BRONCE Ø 1/2"</t>
  </si>
  <si>
    <t>04.02.05.02</t>
  </si>
  <si>
    <t>VÁLVULA COMPUERTA DE BRONCE Ø 1 "</t>
  </si>
  <si>
    <t>04.02.06</t>
  </si>
  <si>
    <t>ALMACENAMIENTO DE AGUA</t>
  </si>
  <si>
    <t>04.02.06.01</t>
  </si>
  <si>
    <t>ACCESORIOS TANQUE ELEVADO</t>
  </si>
  <si>
    <t>Glb</t>
  </si>
  <si>
    <t>ACCESORIOS TANQUE CISTERNA</t>
  </si>
  <si>
    <t>04.02.07</t>
  </si>
  <si>
    <t>EQUIPOS Y OTRAS INSTALACIONES</t>
  </si>
  <si>
    <t>INSTALACIÓN DE ELECTROBOMBAS</t>
  </si>
  <si>
    <t>04.02.07.01</t>
  </si>
  <si>
    <t>04.02.07.02</t>
  </si>
  <si>
    <t>INSTALACIÓN DE ACCESORIOS DEL SISTEMA DE BOMBEO</t>
  </si>
  <si>
    <t>SISTEMA DE DRENAJE PLUVIAL</t>
  </si>
  <si>
    <t>ACCESORIOS</t>
  </si>
  <si>
    <t xml:space="preserve">RED DE RECOLECCION </t>
  </si>
  <si>
    <t>RED DE RAMALES DE COLECTORES</t>
  </si>
  <si>
    <t>TAPA DE CONCRETO 70x50x5cm f'c=175kg/cm2</t>
  </si>
  <si>
    <t>CANALETA DE EVACUACION PLUVIAL</t>
  </si>
  <si>
    <t>RED RECOLECTORA TUBERÍA PVC UF Ø DE 8"</t>
  </si>
  <si>
    <t>04.02.05.03</t>
  </si>
  <si>
    <t>04.02.06.02</t>
  </si>
  <si>
    <t>Techo</t>
  </si>
  <si>
    <t>04.03.01.02</t>
  </si>
  <si>
    <t>04.03.01.03</t>
  </si>
  <si>
    <t>04.03.01.04</t>
  </si>
  <si>
    <t>CANAL DE CONCRETO EN TECHO A=25cm, H=10 cm, E=5cm</t>
  </si>
  <si>
    <t>CANAL DE CONCRETO DRAMIX EN TECHO 30X30CM, E=10cm</t>
  </si>
  <si>
    <t>CANAL DE CONCRETO EN PISO A=20 CM H=VARIABLE, E=10cm</t>
  </si>
  <si>
    <t>Tramos</t>
  </si>
  <si>
    <t>CANAL DE CONCRETO EN PISO A=30 CM H=VARIABLE, E=10cm</t>
  </si>
  <si>
    <t>04.03.02.02</t>
  </si>
  <si>
    <t>04.03.02.03</t>
  </si>
  <si>
    <t>CANAL DE CONCRETO EN PISO A=50 CM H=VARIABLE, E=15cm</t>
  </si>
  <si>
    <t>04.03.02.04</t>
  </si>
  <si>
    <t>04.03.02.05</t>
  </si>
  <si>
    <t>REJILLA METALICA TIPO I A=30cm</t>
  </si>
  <si>
    <t>REJILLA METALICA TIPO II A=40cm</t>
  </si>
  <si>
    <t>REJILLA METALICA TIPO III A=70cm</t>
  </si>
  <si>
    <t>04.03.02.06</t>
  </si>
  <si>
    <t>04.03.02.07</t>
  </si>
  <si>
    <t>RED RECOLECTORA TUBERÍA PVC UF Ø DE 10"</t>
  </si>
  <si>
    <t>RED RECOLECTORA TUBERÍA PVC UF Ø DE 12"</t>
  </si>
  <si>
    <t>RED RECOLECTORA TUBERÍA PVC UF Ø DE 14"</t>
  </si>
  <si>
    <t>CAJAS DE INSPECCIÓN TIPO I A=1.00M L=1.00M H=VARIABLE</t>
  </si>
  <si>
    <t>CAJAS DE INSPECCIÓN TIPO II A=0.60M L=1.00M H=VARIABLE</t>
  </si>
  <si>
    <t>CAJAS DE INSPECCIÓN TIPO III A=1.45M L=4.50M H=VARIABLE</t>
  </si>
  <si>
    <t>04.03.02.08</t>
  </si>
  <si>
    <t>04.03.02.09</t>
  </si>
  <si>
    <t>04.03.02.10</t>
  </si>
  <si>
    <t>04.03.02.11</t>
  </si>
  <si>
    <t>04.03.02.12</t>
  </si>
  <si>
    <t>04.03.02.13</t>
  </si>
  <si>
    <t>04.03.02.14</t>
  </si>
  <si>
    <t>CONEXIONES A LA RED RECOLECTORA TUBERÍA PVC UF Ø DE 8"</t>
  </si>
  <si>
    <t>CONEXIONES A LA RED RECOLECTORA TUBERÍA PVC UF Ø DE 10"</t>
  </si>
  <si>
    <t>SUMIDEROS SIFONICO INOXIDABLE 200X200 CON DIAMETRO DE SALIDA DE 3"</t>
  </si>
  <si>
    <t>ABRAZADERA DE FIJACION DE MONTANTE TUBO DE 4"</t>
  </si>
  <si>
    <t>MONTANTE DE TUB. PVC SAP C-10 Ø 3" EMBEBIDA EN TABIQUERIA</t>
  </si>
  <si>
    <t>04.03.01.05</t>
  </si>
  <si>
    <t>MONTANTE DE TUB. PVC SAP C-10 Ø 4" ADOSADA</t>
  </si>
  <si>
    <t>04.03.01.06</t>
  </si>
  <si>
    <t>COLUMNETAS DE CONCRETO F´C=175 KG/CM2 PARA  BAJANTES</t>
  </si>
  <si>
    <t>ABRAZADERA DE FIJACION DE MONTANTE TUBO DE 3"</t>
  </si>
  <si>
    <t>04.03.03.04</t>
  </si>
  <si>
    <t>04.03.03.05</t>
  </si>
  <si>
    <t>RESUMEN DE HOJA DE METRADOS DE SISTEMA DE DRENAJE PLUVIAL</t>
  </si>
  <si>
    <t>SISTEMA DE DESAGUE Y VENTILACIÓN</t>
  </si>
  <si>
    <t>SALIDAS DE DESAGÜE Ø 2"</t>
  </si>
  <si>
    <t>SALIDAS DE DESAGUE</t>
  </si>
  <si>
    <t>04.04.01.02</t>
  </si>
  <si>
    <t>SALIDAS DE DESAGÜE Ø 3"</t>
  </si>
  <si>
    <t>SALIDAS DE DESAGÜE Ø 4"</t>
  </si>
  <si>
    <t>SALIDAS DE VENTILACIÓN Ø 2"</t>
  </si>
  <si>
    <t>04.04.01.03</t>
  </si>
  <si>
    <t>04.04.01.04</t>
  </si>
  <si>
    <t>REDES DE DERIVACIÓN</t>
  </si>
  <si>
    <t>TUBERÍA PVC SAL Ø 2"</t>
  </si>
  <si>
    <t>TUBERÍA PVC SAL Ø 3"</t>
  </si>
  <si>
    <t>MONTANTE PVC SAL Ø 2"</t>
  </si>
  <si>
    <t>TUBERÍA PVC SAL Ø 4"</t>
  </si>
  <si>
    <t>MONTANTE PVC SAL Ø 4"</t>
  </si>
  <si>
    <t>REDES COLECTORAS</t>
  </si>
  <si>
    <t>TUBERÍA PVC UF  Ø 6"</t>
  </si>
  <si>
    <t xml:space="preserve">ACCESORIOS DE REDES DE DESAGÜE </t>
  </si>
  <si>
    <t>04.01.04.01</t>
  </si>
  <si>
    <t xml:space="preserve">CODO DE PVC Ø 2" x 45° </t>
  </si>
  <si>
    <t xml:space="preserve">CODO DE PVC Ø 3" x 45° </t>
  </si>
  <si>
    <t xml:space="preserve">CODO DE PVC Ø 4" x 45° </t>
  </si>
  <si>
    <t xml:space="preserve">YEE DE PVC Ø 2" </t>
  </si>
  <si>
    <t xml:space="preserve">YEE DE PVC Ø 3" </t>
  </si>
  <si>
    <t>04.04.04.04</t>
  </si>
  <si>
    <t>04.04.04.05</t>
  </si>
  <si>
    <t>04.04.04.06</t>
  </si>
  <si>
    <t xml:space="preserve">YEE DE PVC Ø 4" </t>
  </si>
  <si>
    <t xml:space="preserve">YEE CON REDUCCIÓN DE PVC Ø 3" A 2" </t>
  </si>
  <si>
    <t xml:space="preserve">YEE CON REDUCCIÓN DE PVC Ø 4" A 2" </t>
  </si>
  <si>
    <t xml:space="preserve">YEE CON REDUCCIÓN DE PVC Ø 4" A 3" </t>
  </si>
  <si>
    <t xml:space="preserve">REDUCCIÓN DE PVC Ø 3" A 2" </t>
  </si>
  <si>
    <t xml:space="preserve">REDUCCIÓN DE PVC Ø 4" A 2" </t>
  </si>
  <si>
    <t xml:space="preserve">SUMIDERO Ø 2" </t>
  </si>
  <si>
    <t xml:space="preserve">SUMIDERO Ø 3" </t>
  </si>
  <si>
    <t>SUMIDERO SIFONICO DE ACERO INOXIDABLE</t>
  </si>
  <si>
    <t xml:space="preserve">REGISTRO ROSCADO Ø 4" </t>
  </si>
  <si>
    <t>CAJAS DE INSPECCIÓN</t>
  </si>
  <si>
    <t>CAJA DE REGISTRO DE 12" x 24"</t>
  </si>
  <si>
    <t>BUZONETAS DE D=0.60M E=0.15M H=VARIABLE</t>
  </si>
  <si>
    <t xml:space="preserve">BUZON  TIPO I DE D=1.20M E=0.15M H=1.20 </t>
  </si>
  <si>
    <t>BUZON  TIPO II DE D=1.20M E=0.15M H&gt;3.00M</t>
  </si>
  <si>
    <t>04.04.02.04</t>
  </si>
  <si>
    <t>04.04.02.05</t>
  </si>
  <si>
    <t>04.04.03.02</t>
  </si>
  <si>
    <t>04.04.04.07</t>
  </si>
  <si>
    <t>04.04.04.08</t>
  </si>
  <si>
    <t>04.04.04.09</t>
  </si>
  <si>
    <t>04.04.04.10</t>
  </si>
  <si>
    <t>04.04.04.11</t>
  </si>
  <si>
    <t>04.04.04.12</t>
  </si>
  <si>
    <t>04.04.04.13</t>
  </si>
  <si>
    <t>04.04.04.14</t>
  </si>
  <si>
    <t>04.04.04.15</t>
  </si>
  <si>
    <t>04.04.05.03</t>
  </si>
  <si>
    <t>04.04.05.04</t>
  </si>
  <si>
    <t>INSTALACIONES ESPECIALES</t>
  </si>
  <si>
    <t>VARIOS</t>
  </si>
  <si>
    <t>PRUEBA HIDRAULICA TUBERIA DE AGUA FRIA</t>
  </si>
  <si>
    <t>04.04.07.02</t>
  </si>
  <si>
    <t>PRUEBA HIDRAULICA TUBERIA DE DESAGUE</t>
  </si>
  <si>
    <t>LAVATORIO OVALIN DE CERAMICA VITRIFICADA BLANCO EMPOTRADO</t>
  </si>
  <si>
    <t>LAVATORIO DE PARED DE CERAMICA VITRIFICADA BLANCO -ADOSADO</t>
  </si>
  <si>
    <t>RESUMEN DE HOJA DE METRADOS INSTALACIONES SANITARIAS</t>
  </si>
  <si>
    <t xml:space="preserve">SOMBRERO DE VENTILACIÓN DE  Ø 4" </t>
  </si>
  <si>
    <t>TRAMPA DE GRASAS 0.30X0.60m H=0.6M</t>
  </si>
  <si>
    <t>04.03.01.07</t>
  </si>
  <si>
    <t>CANAL RANURADO MODULAR</t>
  </si>
  <si>
    <t>Losa primaria</t>
  </si>
  <si>
    <t>ml</t>
  </si>
  <si>
    <t>04.03.01.08</t>
  </si>
  <si>
    <t>MONTANTE DE TUB. PVC SAP C-10 Ø 3" ADOSADA</t>
  </si>
  <si>
    <t>DADO DE CONCRETO F´C=175 KG/CM2 PARA  BAJANTES</t>
  </si>
  <si>
    <t>Montante</t>
  </si>
  <si>
    <t>04.03.02.15</t>
  </si>
  <si>
    <t>04.04.04.16</t>
  </si>
  <si>
    <t>04.04.04.17</t>
  </si>
  <si>
    <t xml:space="preserve">SOMBRERO DE VENTILACIÓN DE  Ø 2" </t>
  </si>
  <si>
    <t>SOPORTE METALICO DE CANALETAS DE 15 cm</t>
  </si>
  <si>
    <t>04.03.03.06</t>
  </si>
  <si>
    <t>04.03.03.07</t>
  </si>
  <si>
    <t>EMBUDO DE CONEXIÓN DE CANALETA Y MONTANTE</t>
  </si>
  <si>
    <t>AREA</t>
  </si>
  <si>
    <t>CANALETA  METALICA DE EVACUACION DE AGUAS PLUVIALES</t>
  </si>
  <si>
    <t>BLOQUE 02</t>
  </si>
  <si>
    <t>Patio</t>
  </si>
  <si>
    <t>BLOQUE 03</t>
  </si>
  <si>
    <t>BLOQUE 04</t>
  </si>
  <si>
    <t>BLOQUE 05</t>
  </si>
  <si>
    <t>BLOQUE 07</t>
  </si>
  <si>
    <t>BLOQUE 09</t>
  </si>
  <si>
    <t>BLOQUE 10</t>
  </si>
  <si>
    <t>Techo- rampas</t>
  </si>
  <si>
    <t>Derivación hacia canales</t>
  </si>
  <si>
    <t>Columnetas</t>
  </si>
  <si>
    <t>Tramos-Gradas</t>
  </si>
  <si>
    <t>Tramos 11</t>
  </si>
  <si>
    <t>Caja 4</t>
  </si>
  <si>
    <t>Caja 5</t>
  </si>
  <si>
    <t>Canaleta metalica</t>
  </si>
  <si>
    <t>tramo 11</t>
  </si>
  <si>
    <t>Desarenador</t>
  </si>
  <si>
    <t>Techo transversal</t>
  </si>
  <si>
    <t>Techo longitudinal</t>
  </si>
  <si>
    <t>Tramos 14</t>
  </si>
  <si>
    <t>Caja 14</t>
  </si>
  <si>
    <t>Caja 15</t>
  </si>
  <si>
    <t>Caja 3</t>
  </si>
  <si>
    <t>tramo 12</t>
  </si>
  <si>
    <t>tramo 14</t>
  </si>
  <si>
    <t>Tramos 12</t>
  </si>
  <si>
    <t>Techo- escaleras</t>
  </si>
  <si>
    <t>Tramos 6</t>
  </si>
  <si>
    <t>Tramos 13</t>
  </si>
  <si>
    <t>Caja 6</t>
  </si>
  <si>
    <t>Caja 7</t>
  </si>
  <si>
    <t>Caja 2</t>
  </si>
  <si>
    <t>Caja 8</t>
  </si>
  <si>
    <t>Caja 10</t>
  </si>
  <si>
    <t>Desarenador-CAJA  9</t>
  </si>
  <si>
    <t>Tramos 15</t>
  </si>
  <si>
    <t>Tramos 16</t>
  </si>
  <si>
    <t>Tramos--SOTANO</t>
  </si>
  <si>
    <t>Tramos 4</t>
  </si>
  <si>
    <t>Tramo 4</t>
  </si>
  <si>
    <t xml:space="preserve">Tramos </t>
  </si>
  <si>
    <t>Caja 1</t>
  </si>
  <si>
    <t>Tramos 17</t>
  </si>
  <si>
    <t>Tramos 18</t>
  </si>
  <si>
    <t>Tramos 19</t>
  </si>
  <si>
    <t>Tramos 20</t>
  </si>
  <si>
    <t>Tramos 21</t>
  </si>
  <si>
    <t>Tramos 22</t>
  </si>
  <si>
    <t>Tramos 23</t>
  </si>
  <si>
    <t>Tramos 24</t>
  </si>
  <si>
    <t>Tramos 25</t>
  </si>
  <si>
    <t>Caja 11</t>
  </si>
  <si>
    <t>Caja 12</t>
  </si>
  <si>
    <t>Caja 13</t>
  </si>
  <si>
    <t>Caja 16</t>
  </si>
  <si>
    <t>Caja 17</t>
  </si>
  <si>
    <t>Caja 18</t>
  </si>
  <si>
    <t>Caja 19</t>
  </si>
  <si>
    <t>Caja 20</t>
  </si>
  <si>
    <t>tramo 4</t>
  </si>
  <si>
    <t>BLOQUE 06</t>
  </si>
  <si>
    <t>Tramos-2</t>
  </si>
  <si>
    <t>Tramos-3</t>
  </si>
  <si>
    <t>BLOQUE 08</t>
  </si>
  <si>
    <t>Losa Secundaria</t>
  </si>
  <si>
    <t>Tramos-1</t>
  </si>
  <si>
    <t>Tramos-8</t>
  </si>
  <si>
    <t>Tramos-9</t>
  </si>
  <si>
    <t>Tramos-10</t>
  </si>
  <si>
    <t>BLOQUE 11 INGRESO SECUNADRIA</t>
  </si>
  <si>
    <t>BLOQUE 12 INGRESO PRIMARIA</t>
  </si>
  <si>
    <t>BLOQUE CANCHAS DEPORTIVAS</t>
  </si>
  <si>
    <t>Detrás bloque 10</t>
  </si>
  <si>
    <t>Inicio de rampa bloque 9</t>
  </si>
  <si>
    <t>Sotano</t>
  </si>
  <si>
    <t>Detrás bloque 7 y 8</t>
  </si>
  <si>
    <t>Acero longitudinal</t>
  </si>
  <si>
    <t>Acero transversal</t>
  </si>
  <si>
    <t>Patio  al lado de bloque 2</t>
  </si>
  <si>
    <t>CANAL DE CONCRETO ARMADO EN PISO A=30 CM H=VARIABLE, E=15cm</t>
  </si>
  <si>
    <r>
      <t xml:space="preserve">Acero en Canal de concreto en piso A=30cm H=Variable, E= 15cm, </t>
    </r>
    <r>
      <rPr>
        <sz val="10"/>
        <color rgb="FF0070C0"/>
        <rFont val="Calibri"/>
        <family val="2"/>
      </rPr>
      <t>φ</t>
    </r>
    <r>
      <rPr>
        <sz val="8.5"/>
        <color rgb="FF0070C0"/>
        <rFont val="Arial"/>
        <family val="2"/>
      </rPr>
      <t>=1/4"</t>
    </r>
  </si>
  <si>
    <t>Canal entre bloque 3 y 4</t>
  </si>
  <si>
    <t>Canal entre losa secundaria y bloque 5</t>
  </si>
  <si>
    <t>Canal entre bloque 4 y desarenador</t>
  </si>
  <si>
    <t>canal ingreso de rampa e ingreso de sótano</t>
  </si>
  <si>
    <t>Canal en rampa vehicular</t>
  </si>
  <si>
    <t>Caja 9</t>
  </si>
  <si>
    <t>Caja rejilla 2</t>
  </si>
  <si>
    <t>Caja rejilla 3</t>
  </si>
  <si>
    <t>Caja rejilla 1</t>
  </si>
  <si>
    <t>Escalera Bloque 5</t>
  </si>
  <si>
    <t>Entre bloque1 y 11</t>
  </si>
  <si>
    <t>Entre bloque 1 y av. Garcilazo</t>
  </si>
  <si>
    <t>Montante Entre bloque1 y 11</t>
  </si>
  <si>
    <t>Montante Entre bloque 1 y av. Garcilazo</t>
  </si>
  <si>
    <t>Montante Derivación hacia canales</t>
  </si>
  <si>
    <t>Techo-Escalera entre bloque 3 y 4</t>
  </si>
  <si>
    <t>Techo-Escalera Bloque 4</t>
  </si>
  <si>
    <t>Techo-Escalera Bloque 5</t>
  </si>
  <si>
    <t>Techo escalera/Entre bloque 5 y 6</t>
  </si>
  <si>
    <t>Techo escalera sobre rampa</t>
  </si>
  <si>
    <t>Techo escalera Sobre ingreso de sòtano</t>
  </si>
  <si>
    <t>Techo-Escalera entre bloque 9 y 10</t>
  </si>
  <si>
    <t>Montante con derivacion hacia tubería</t>
  </si>
  <si>
    <t>Montane con erivación hacia canales</t>
  </si>
  <si>
    <t xml:space="preserve">Montante </t>
  </si>
  <si>
    <t>Montante  quiesco primaria</t>
  </si>
  <si>
    <t>RED RECOLECTORA TUBERÍA PVC UF Ø DE 6"</t>
  </si>
  <si>
    <t>Detrás del bloque 1</t>
  </si>
  <si>
    <t>Entre bloque patio y bloque 1,2, 3</t>
  </si>
  <si>
    <t>Detrás del bloque 2</t>
  </si>
  <si>
    <t>RED RECOLECTORA TUBERÍA PVC UF Ø DE 3"</t>
  </si>
  <si>
    <t>Entre bloque 1 y Av. Garcilazo</t>
  </si>
  <si>
    <t>Detrás bloque 1, de 2do a 1er nivel</t>
  </si>
  <si>
    <t>Montante 2do nivel a 1er nivel, detrás bloque 1</t>
  </si>
  <si>
    <t>2do nivel, entre bloque 1 y av. Garcilazo</t>
  </si>
  <si>
    <t xml:space="preserve">         CODO DE PVC SAL Ø 6" x 45°</t>
  </si>
  <si>
    <t>Detrás bloque 1</t>
  </si>
  <si>
    <t xml:space="preserve">         YEE DE PVC Ø 3"</t>
  </si>
  <si>
    <t>2do  nivel, entre bloque 1 y av. Garcilazo</t>
  </si>
  <si>
    <t>Tuberia entre  bloque 1 y 11</t>
  </si>
  <si>
    <t>1er nivel, bloque 3</t>
  </si>
  <si>
    <t>Tuberia 1er nivel</t>
  </si>
  <si>
    <t>Tuberia bloque 3 hacia bloque 4</t>
  </si>
  <si>
    <t>Entre bloque 4 y patio primaria</t>
  </si>
  <si>
    <t>Bloque 4 y muro  perimetral</t>
  </si>
  <si>
    <t>Bloque 4 , deba de escalera metálica</t>
  </si>
  <si>
    <t>Llegada a desarenador</t>
  </si>
  <si>
    <t>Tubería salida de colegio</t>
  </si>
  <si>
    <t>RED RECOLECTORA TUBERÍA PVC UF Ø DE 4"</t>
  </si>
  <si>
    <t>Sótano, bloque 5</t>
  </si>
  <si>
    <t>Montantes bloque 4</t>
  </si>
  <si>
    <t>Conexión canal -caja</t>
  </si>
  <si>
    <t>Tuberia enterrada con llega a  sotáno bloque 5</t>
  </si>
  <si>
    <t>Tuberia enterrada en sótano</t>
  </si>
  <si>
    <t>Caja sotano y salida de colegio</t>
  </si>
  <si>
    <t xml:space="preserve">         CODO DE PVC SAL Ø 4" x 45°</t>
  </si>
  <si>
    <t>Tubería profunda enterrada detrás bloque 6</t>
  </si>
  <si>
    <t>Recepción montantes bloque 6</t>
  </si>
  <si>
    <t xml:space="preserve">         CODO DE PVC SAL Ø 10" x 45°</t>
  </si>
  <si>
    <t>Detràs del bloque 6, montante en muro perimetral</t>
  </si>
  <si>
    <t>Montante en muro perimetral</t>
  </si>
  <si>
    <t>Conexiones montante t uberìa detrás de bloque 6</t>
  </si>
  <si>
    <t>Tuberìa por debajo de rampa</t>
  </si>
  <si>
    <t xml:space="preserve">         CODO DE PVC SAL Ø 8" x 45°</t>
  </si>
  <si>
    <t>Tuberìa entre bloque 8 y 9</t>
  </si>
  <si>
    <t>Canal rampa hacia tuberìa</t>
  </si>
  <si>
    <t>Tuberia montante 1 hacia canal</t>
  </si>
  <si>
    <t>Tuberia montante 2 hacia canal</t>
  </si>
  <si>
    <t>Canal ingreso principal hacia la calle</t>
  </si>
  <si>
    <t>Nivel 3, rejilla hacia la calle</t>
  </si>
  <si>
    <t>Canal ingreso vehicular  hacia la calle</t>
  </si>
  <si>
    <t>Tuberia hacia calle</t>
  </si>
  <si>
    <t>Quiesco primara caja</t>
  </si>
  <si>
    <t>Montante Derivación hacia ctuberìa</t>
  </si>
  <si>
    <t>Tuberìa en quiesco</t>
  </si>
  <si>
    <t xml:space="preserve">         YEE DE PVC Ø 4"</t>
  </si>
  <si>
    <t>Canal base escalera hacia tuberìa</t>
  </si>
  <si>
    <t>CAnal base escalera hacia canal</t>
  </si>
  <si>
    <t>Canal tuberìa en patio</t>
  </si>
  <si>
    <t>Canal hacia caja en patio</t>
  </si>
  <si>
    <t>CONEXIONES A LA RED RECOLECTORA TUBERÍA PVC UF Ø DE 6"</t>
  </si>
  <si>
    <t>CONEXIONES A LA RED RECOLECTORA TUBERÍA PVC UF Ø DE 12"</t>
  </si>
  <si>
    <t>Entre bloque 4 y 5, deba de escalera metálica</t>
  </si>
  <si>
    <t>Sòtano</t>
  </si>
  <si>
    <t>Canal de concreto en piso A:30cm: Patio, entre losas deportivas</t>
  </si>
  <si>
    <t>SUMIDEROS SIFÓNICO INOXIDABLE 200X200 CON DIAMETRO DE SALIDA DE 3"</t>
  </si>
  <si>
    <t>Escalera metálica entre bloque 3 y 4</t>
  </si>
  <si>
    <t xml:space="preserve">ABRAZADERA DE FIJACION DE MONTANTE TUBO HDPE DE 3" </t>
  </si>
  <si>
    <t>Bloque 4 , debajode escalera metálica</t>
  </si>
  <si>
    <t>Montante en escalera</t>
  </si>
  <si>
    <t>ABRAZADERA DE FIJACION DE MONTANTE TUBO HDPE DE 3"</t>
  </si>
  <si>
    <t>Entre bloque 4 y 5, debajo de escalera metálica</t>
  </si>
  <si>
    <t xml:space="preserve">         YEE DE PVC Ø 6"</t>
  </si>
  <si>
    <t xml:space="preserve">         REDUCCIÓN DE PVC Ø 6" A 4"</t>
  </si>
  <si>
    <t xml:space="preserve">         REDUCCIÓN DE PVC Ø 6" A 3"</t>
  </si>
  <si>
    <t xml:space="preserve">         REDUCCIÓN DE PVC Ø 4" A 3"</t>
  </si>
  <si>
    <t>04.03.02.16</t>
  </si>
  <si>
    <t xml:space="preserve">         CODO DE PVC UF Ø 4" x 45°</t>
  </si>
  <si>
    <t xml:space="preserve">         CODO DE PVC UF Ø 6" x 45°</t>
  </si>
  <si>
    <t xml:space="preserve">         CODO DE PVC UF Ø 8" x 45°</t>
  </si>
  <si>
    <t xml:space="preserve">         YEE DE PVC UF Ø 3"</t>
  </si>
  <si>
    <t xml:space="preserve">         YEE DE PVC UF Ø 4"</t>
  </si>
  <si>
    <t xml:space="preserve">         YEE DE PVC UF Ø 6"</t>
  </si>
  <si>
    <t xml:space="preserve">         REDUCCIÓN DE PVC UF Ø 4" A 3"</t>
  </si>
  <si>
    <t xml:space="preserve">         REDUCCIÓN DE PVC UF Ø 6" A 3"</t>
  </si>
  <si>
    <t xml:space="preserve">         REDUCCIÓN DE PVC  UFØ 6" A 4"</t>
  </si>
  <si>
    <t>04.03.02.17</t>
  </si>
  <si>
    <t>Canal entre bloque 6 y muro perimetral</t>
  </si>
  <si>
    <t>Llegada de gradería de ingreso principal</t>
  </si>
  <si>
    <t xml:space="preserve">         CODO DE PVC UF Ø 10" x 45°</t>
  </si>
  <si>
    <t>MET. E XP.</t>
  </si>
  <si>
    <t>Tuberia hacia calle av. Garcilazo</t>
  </si>
  <si>
    <t>Caja rejilla base de muro curvo</t>
  </si>
  <si>
    <t>Canal hacia canal en patio</t>
  </si>
  <si>
    <t xml:space="preserve">       REDUCCIÓN DE PVC Ø 6" A 4"</t>
  </si>
  <si>
    <t>En rampa, conexión  canal 2 hacia canal detrás bloque 7 y 8</t>
  </si>
  <si>
    <t>En rampa, conexión  canal 1 hacia canal detrás bloque 7 y 8</t>
  </si>
  <si>
    <t xml:space="preserve">         CODO DE PVC UF Ø 6" x 90°</t>
  </si>
  <si>
    <t xml:space="preserve">         CODO DE PVC UF Ø 10" x 90°</t>
  </si>
  <si>
    <t>TAPA DE CONCRETO 100x70x5cm f'c=175kg/cm2</t>
  </si>
  <si>
    <t>TAPA DE REJILLA  70x50cm</t>
  </si>
  <si>
    <t>Caja rejilla desarenador</t>
  </si>
  <si>
    <t>TAPA DE REJILLA  30x30cm</t>
  </si>
  <si>
    <t>CAJAS DE INSPECCIÓN TIPO I A=0.20M L=0.20M</t>
  </si>
  <si>
    <t>CANAL DE CONCRETO ARMADO EN PISO A=34 CM H=VARIABLE, E=15cm</t>
  </si>
  <si>
    <t>ITEM</t>
  </si>
  <si>
    <t>PIP VIABLE (A)</t>
  </si>
  <si>
    <t>PIP Aprobado (D) ExpTecnico Reformulado N° 01</t>
  </si>
  <si>
    <t>MODIFICACIONES N° 02</t>
  </si>
  <si>
    <t>Cantidad</t>
  </si>
  <si>
    <t>Monto de Inversion (S/.)</t>
  </si>
  <si>
    <t>MAYOR METRADO</t>
  </si>
  <si>
    <t>PARTIDA NUEVA</t>
  </si>
  <si>
    <t>DEDUCTIVO</t>
  </si>
  <si>
    <t>Metrado 
Reform.</t>
  </si>
  <si>
    <t>Monto de Inversion (S/.) REFORMULADO</t>
  </si>
  <si>
    <t>MET</t>
  </si>
  <si>
    <t>MONTO S/.</t>
  </si>
  <si>
    <t>P/U</t>
  </si>
  <si>
    <t>poner en el cuaderno de obra, que hubo un derrumbe.</t>
  </si>
  <si>
    <t xml:space="preserve">en la limpieza y trazo </t>
  </si>
  <si>
    <t>+</t>
  </si>
  <si>
    <t>COSTO DIRECTO</t>
  </si>
  <si>
    <t/>
  </si>
  <si>
    <t>GASTOS GENERALES</t>
  </si>
  <si>
    <t>GASTOS DE SUPERVISIÒN</t>
  </si>
  <si>
    <t>COSTO DE ELABORACIÒN DE EXPEDIENTE TECNICO</t>
  </si>
  <si>
    <t>GASTOS DE LIQUIDACION</t>
  </si>
  <si>
    <t>PRESUPUESTO TOTAL DE OBRA</t>
  </si>
  <si>
    <t>04.03.02.19</t>
  </si>
  <si>
    <t>04.03.02.20</t>
  </si>
  <si>
    <t>04.03.02.21</t>
  </si>
  <si>
    <t>04.03.02.23</t>
  </si>
  <si>
    <t>04.03.02.24</t>
  </si>
  <si>
    <t>04.03.02.25</t>
  </si>
  <si>
    <t>04.03.02.26</t>
  </si>
  <si>
    <t>04.03.02.27</t>
  </si>
  <si>
    <t>04.03.02.29</t>
  </si>
  <si>
    <t>04.03.03.09</t>
  </si>
  <si>
    <t>04.03.03.10</t>
  </si>
  <si>
    <t>04.03.03.11</t>
  </si>
  <si>
    <t>04.03.03.12</t>
  </si>
  <si>
    <t>04.03.03.13</t>
  </si>
  <si>
    <t>04.03.03.14</t>
  </si>
  <si>
    <t>04.03.03.15</t>
  </si>
  <si>
    <t>04.03.03.16</t>
  </si>
  <si>
    <t>04.03.03.17</t>
  </si>
  <si>
    <t>04.03.03.18</t>
  </si>
  <si>
    <t>04.03.03.19</t>
  </si>
  <si>
    <t>04.03.03.20</t>
  </si>
  <si>
    <t>CUADRO COMPARATIVO DE MODIFICACIONES</t>
  </si>
  <si>
    <t>Expediente técnico contractual</t>
  </si>
  <si>
    <t>MOVIMIENTO DE TIERRAS</t>
  </si>
  <si>
    <t>TRABAJOS PRELIMINARES</t>
  </si>
  <si>
    <t>LIMPIEZA DE TERRENO MANUAL</t>
  </si>
  <si>
    <t>TRAZO Y REPLANTEO PRELIMINAR</t>
  </si>
  <si>
    <t>REMOCIONES</t>
  </si>
  <si>
    <t>DEMOLICIÓN DE CANAL EXISTENTE</t>
  </si>
  <si>
    <t>ELIMINACIÓN DE MATERIAL PROVENIENTE DE DEMOLICIÓN</t>
  </si>
  <si>
    <t>ELIMINACIÓN DE DESMONTE PROVENIENTE DE DEMOLICIÓN C/EQUIPO</t>
  </si>
  <si>
    <t>EXCAVACIÓN MANUAL EN TERRENO NORMAL PARA CANALES</t>
  </si>
  <si>
    <t>EXCAVACIÓN MANUAL EN TERRENO NORMAL PARA CAJAS DE INSPECCIÓN</t>
  </si>
  <si>
    <t>ELIMINACIÓN DE MATERIAL EXCEDENTE</t>
  </si>
  <si>
    <t>ACARREO DE CONCRETO MEZCLADO EN TROMPO PARA CAJAS Y CANALES</t>
  </si>
  <si>
    <t>CONCRETO SIMPLE</t>
  </si>
  <si>
    <t>SOLADO EN CANAL DE CONCRETO EN PISO f'c= 80 kg/cm2 E=10CM</t>
  </si>
  <si>
    <t>TAPA DE REJILLA  70x110cm</t>
  </si>
  <si>
    <t>TAPA DE REJILLA  140x570cm</t>
  </si>
  <si>
    <t>04.03.04.03</t>
  </si>
  <si>
    <t>04.03.04.04</t>
  </si>
  <si>
    <t>04.03.04.08</t>
  </si>
  <si>
    <t>04.03.04.09</t>
  </si>
  <si>
    <t>04.03.04.10</t>
  </si>
  <si>
    <t xml:space="preserve">DEMOLICIÒN DE PISO DE CONCRETO </t>
  </si>
  <si>
    <t>REPOSICION DE PISO CON CERÀMICO ANTIDESLIZANTE 0.45X0.45m</t>
  </si>
  <si>
    <t>M2</t>
  </si>
  <si>
    <t>CANAL EXISTENTE BLOQUE 4</t>
  </si>
  <si>
    <t>Piso salida de colegio</t>
  </si>
  <si>
    <t>Montante de canaleta</t>
  </si>
  <si>
    <t>Montante escalera metàlica</t>
  </si>
  <si>
    <t>Montante Escalera metàlica</t>
  </si>
  <si>
    <t>Montante escalera metalica</t>
  </si>
  <si>
    <t>Montante escaleta metalica</t>
  </si>
  <si>
    <t>Canal ingreso de escalera principal</t>
  </si>
  <si>
    <t>SALIDA DE COLEGIO</t>
  </si>
  <si>
    <t>TAPA DE CONCRETO 70x70x5cm f'c=175kg/cm2</t>
  </si>
  <si>
    <t>Cajas salida de  colegio Av. Seona</t>
  </si>
  <si>
    <t>04.03.02.20'</t>
  </si>
  <si>
    <t>PERIMETRO</t>
  </si>
  <si>
    <t>B=20</t>
  </si>
  <si>
    <t>B=30</t>
  </si>
  <si>
    <t>B=34</t>
  </si>
  <si>
    <t>04.03.05.02</t>
  </si>
  <si>
    <t>CAJAS DE INSPECCIÓN TIPO III A=0.60M L=0.60M H=VARIABLE</t>
  </si>
  <si>
    <t>Tuberìa hacia caja</t>
  </si>
  <si>
    <t>CODO PVC SAP C-10 Ø 3" x 45°</t>
  </si>
  <si>
    <t>Escalera metalica hacia caja</t>
  </si>
  <si>
    <t>04.03.03.08'</t>
  </si>
  <si>
    <t>Montante escalera hacia canal</t>
  </si>
  <si>
    <t>Escalera metalica hacia canal</t>
  </si>
  <si>
    <t>Tuberìa montante de canaleta hacia caja</t>
  </si>
  <si>
    <t>Montante de canaleta hacia canal</t>
  </si>
  <si>
    <t>Tubería detrás bloque 6</t>
  </si>
  <si>
    <t>Montantes losa secundaria</t>
  </si>
  <si>
    <t>Montantes losa primaria</t>
  </si>
  <si>
    <t>Montantes losa secundaria en piso</t>
  </si>
  <si>
    <t>Montantes losa primaria en piso</t>
  </si>
  <si>
    <t>04.03.03.09'</t>
  </si>
  <si>
    <t>CODO PVC SAP C-10 Ø 4" x 45°</t>
  </si>
  <si>
    <t>Salida de canal de escalera principal</t>
  </si>
  <si>
    <t>Bloque 4 , debajo de escalera metálica</t>
  </si>
  <si>
    <t>Montante hacia canal</t>
  </si>
  <si>
    <t>Losa primaaria</t>
  </si>
  <si>
    <t>Losa secundaria</t>
  </si>
  <si>
    <t>Montante bloque 6 en muro perimetral</t>
  </si>
  <si>
    <t>Montante hacia caja</t>
  </si>
  <si>
    <t>SALIDA DE COLEGIO HACIA AV. APURIMAC</t>
  </si>
  <si>
    <t>REPOSICIONES</t>
  </si>
  <si>
    <t>SOLADO PARA CAJAS DE INSPECCIÒN  f'c= 80 kg/cm2 E=10CM</t>
  </si>
  <si>
    <t>Peso φ=1/4"</t>
  </si>
  <si>
    <t>kg/m</t>
  </si>
  <si>
    <r>
      <t xml:space="preserve">Acero en Canal de concreto en piso A=34cm H=Variable, E= 15cm, </t>
    </r>
    <r>
      <rPr>
        <sz val="10"/>
        <color rgb="FF0070C0"/>
        <rFont val="Calibri"/>
        <family val="2"/>
      </rPr>
      <t>φ</t>
    </r>
    <r>
      <rPr>
        <sz val="8.5"/>
        <color rgb="FF0070C0"/>
        <rFont val="Arial"/>
        <family val="2"/>
      </rPr>
      <t>=1/2"</t>
    </r>
  </si>
  <si>
    <t>Canal llegada camino curvo</t>
  </si>
  <si>
    <t>Peso φ=3/8"</t>
  </si>
  <si>
    <t>Sotano bloque 5  tramo 1</t>
  </si>
  <si>
    <t>Sotano bloque 5  tramo 2</t>
  </si>
  <si>
    <t>Inicio de rampa bloque 11</t>
  </si>
  <si>
    <t>04.03.02.06'</t>
  </si>
  <si>
    <t>REJILLA METALICA TIPO IV A=50cm</t>
  </si>
  <si>
    <t>Cajas salida de  colegio Av. Apurimac</t>
  </si>
  <si>
    <t>04.03.02.22'</t>
  </si>
  <si>
    <t>Cajas bajo muro perimetral curvo</t>
  </si>
  <si>
    <t>04.03.02.30</t>
  </si>
  <si>
    <t>CAJAS DE INSPECCIÓN TIPO II A=0.60M L=0.40M H=VARIABLE</t>
  </si>
  <si>
    <t>CAJAS DE INSPECCIÓN TIPO I A=0.60M L=0.60M H=VARIABLE</t>
  </si>
  <si>
    <t>04.03.02.31</t>
  </si>
  <si>
    <t>CAJAS DE INSPECCIÓN TIPO III A=0.60M L=0.90M H=VARIABLE</t>
  </si>
  <si>
    <t>04.03.02.32</t>
  </si>
  <si>
    <t>CAJAS DE INSPECCIÓN TIPO III A=1.30M L=5.50M H=VARIABLE</t>
  </si>
  <si>
    <t>04.03.02.33</t>
  </si>
  <si>
    <t>04.03.02.34</t>
  </si>
  <si>
    <t>04.03.02.21'</t>
  </si>
  <si>
    <t>TAPA DE REJILLA  70x70cm</t>
  </si>
  <si>
    <t>RED RECOLECTORA TUBERÍA PVC UF Ø DE 8" INC/EXCAVACIÓN Y RELLENO</t>
  </si>
  <si>
    <t>RED COLECTORA TUBERÌA PVC UF Ø DE 16" INC/EXCAVACIÓN Y RELLENO</t>
  </si>
  <si>
    <t>04.03.02.18'</t>
  </si>
  <si>
    <t>Tubería salida de colegio hacia av, Seoane</t>
  </si>
  <si>
    <t>04.03.04.05</t>
  </si>
  <si>
    <t>Montante canal rampa hacia canal detrás bloque 7 y 8</t>
  </si>
  <si>
    <t>Montante bloque 11</t>
  </si>
  <si>
    <t>Montante quiesco primaria</t>
  </si>
  <si>
    <t>Caja rejilla 4</t>
  </si>
  <si>
    <t>Caja rejilla 1 exterior</t>
  </si>
  <si>
    <t>Caja rejilla 1 EXTERIOR</t>
  </si>
  <si>
    <t>CAJAS DE INSPECCIÓN TIPO II A=0.60M L=1.20M H=VARIABLE</t>
  </si>
  <si>
    <t>04.03.02.35</t>
  </si>
  <si>
    <t>REFINE Y NIVELACION DE ZANJA EN TERRENO NORMAL PARA TUBERÍAS</t>
  </si>
  <si>
    <t>REFINE Y NIVELACION DE ZANJA EN TERRENO NORMAL PARA CANALES</t>
  </si>
  <si>
    <t>Canal Patio  al lado de bloque 2</t>
  </si>
  <si>
    <t xml:space="preserve"> Canal Sotano bloque 5  tramo 1</t>
  </si>
  <si>
    <t>Canal Sotano bloque 5  tramo 2</t>
  </si>
  <si>
    <t xml:space="preserve"> Canal Sotano</t>
  </si>
  <si>
    <t xml:space="preserve"> Canal Detrás bloque 7 y 8</t>
  </si>
  <si>
    <t xml:space="preserve"> Canal Inicio de rampa bloque 9</t>
  </si>
  <si>
    <t xml:space="preserve"> Canal Detrás bloque 10</t>
  </si>
  <si>
    <t xml:space="preserve"> Canal Llegada de gradería de ingreso principal</t>
  </si>
  <si>
    <t>Canal ingreso de rampa e ingreso de sótano</t>
  </si>
  <si>
    <t xml:space="preserve"> Canal Sotano bloque 5  tramo 2</t>
  </si>
  <si>
    <t>Canal Detrás bloque 7 y 8</t>
  </si>
  <si>
    <t>Canal Inicio de rampa bloque 9</t>
  </si>
  <si>
    <t>Canal Detrás bloque 10</t>
  </si>
  <si>
    <t>Canal Inicio de rampa bloque 11</t>
  </si>
  <si>
    <t>04.03.02.36</t>
  </si>
  <si>
    <t>TARRAJEO EN CAJAS INCL. ARISTAS</t>
  </si>
  <si>
    <t>TARRAJEO EN CANALES INCL. ARISTAS</t>
  </si>
  <si>
    <t>REPOSICIÓN DE PISO DE CONCRETO SIN ACABADO</t>
  </si>
  <si>
    <t>EXCAVACION CON MAQUINARIA EN TERRENO NORMAL &gt;4M</t>
  </si>
  <si>
    <t>CAJAS DE INSPECCIÓN TIPO IA A=0.20M L=0.20M</t>
  </si>
  <si>
    <t>CAJAS DE INSPECCIÓN TIPO IV A=0.60M L=0.90M H=VARIABLE</t>
  </si>
  <si>
    <t>CAJAS DE INSPECCIÓN TIPO V A=0.60M L=1.20M H=VARIABLE</t>
  </si>
  <si>
    <t>CLAVOS</t>
  </si>
  <si>
    <t>ACERO</t>
  </si>
  <si>
    <t>PIEDRA</t>
  </si>
  <si>
    <t>AGUA</t>
  </si>
  <si>
    <t>ARENA</t>
  </si>
  <si>
    <t>CEMENTO</t>
  </si>
  <si>
    <t>MADERA</t>
  </si>
  <si>
    <t>HERR. MAN.</t>
  </si>
  <si>
    <t>MEZCLADORA</t>
  </si>
  <si>
    <t>VIBRADDORA</t>
  </si>
  <si>
    <t>1*1</t>
  </si>
  <si>
    <t>0.6*1</t>
  </si>
  <si>
    <t>1.45*4.5</t>
  </si>
  <si>
    <t>ALAMBRE</t>
  </si>
  <si>
    <t>SOLDADURA</t>
  </si>
  <si>
    <t>PLATINA</t>
  </si>
  <si>
    <t>ANGULA</t>
  </si>
  <si>
    <t>CAJAS DE INSPECCIÓN TIPO VIIA DESARENADOR A=1.30 L=5.50M H=VARIABLE</t>
  </si>
  <si>
    <t>0.4*0.4</t>
  </si>
  <si>
    <t>0.6*0.4</t>
  </si>
  <si>
    <t>0.6*0.6</t>
  </si>
  <si>
    <t>0.6*0.9</t>
  </si>
  <si>
    <t>0.6*1.20</t>
  </si>
  <si>
    <t>1.3*5.5</t>
  </si>
  <si>
    <t>04.03.01.01'</t>
  </si>
  <si>
    <t>04.03.01.02'</t>
  </si>
  <si>
    <t>04.03.02.01'</t>
  </si>
  <si>
    <t>04.03.02.02'</t>
  </si>
  <si>
    <t>04.03.03.02'</t>
  </si>
  <si>
    <t>04.03.03.01'</t>
  </si>
  <si>
    <t>Montantes bloque 5</t>
  </si>
  <si>
    <t>ACUMULADO</t>
  </si>
  <si>
    <t>SALDO</t>
  </si>
  <si>
    <t>Deductivo para valorizar</t>
  </si>
  <si>
    <t>RELLENO Y COMPACTADO CON MATERIAL PROPIO CERNIDO</t>
  </si>
  <si>
    <t>04.03.04.03'</t>
  </si>
  <si>
    <t>04.03.04.03''</t>
  </si>
  <si>
    <t xml:space="preserve">COMPACTADO DE SUBRASANTE DE CAJAS Y CANALES </t>
  </si>
  <si>
    <t xml:space="preserve">RED RECOLECTORA TUBERÍA PVC SAL Ø DE 3" </t>
  </si>
  <si>
    <t xml:space="preserve">RED RECOLECTORA TUBERÍA PVC UF Ø DE 4" </t>
  </si>
  <si>
    <t xml:space="preserve">RED RECOLECTORA TUBERÍA PVC UF Ø DE 6" </t>
  </si>
  <si>
    <t>RED COLECTORA TUBERÌA PVC UF Ø DE 16"</t>
  </si>
  <si>
    <t>Volumen de tuberìa</t>
  </si>
  <si>
    <t>Àrea=</t>
  </si>
  <si>
    <t>D(")=</t>
  </si>
  <si>
    <t>Canal Sotano bloque 5  tramo 1</t>
  </si>
  <si>
    <t>Canal Sotano</t>
  </si>
  <si>
    <t>ACARREO DE MATERIAL EXCEDENTE</t>
  </si>
  <si>
    <t>04.03.04.09'</t>
  </si>
  <si>
    <t>FACTOR</t>
  </si>
  <si>
    <t xml:space="preserve">REPOSICIÓN DE PISO CON PORCELANATO 60 X60 CM CELIMA </t>
  </si>
  <si>
    <t>AREA SECCION</t>
  </si>
  <si>
    <t>ACARREO DE TUBERÌAS(D=60m)</t>
  </si>
  <si>
    <t>Kg/m</t>
  </si>
  <si>
    <t>ACERO 1/2" DESARENADOR</t>
  </si>
  <si>
    <t>CONCRETO 210 kg/cm2 DESARENADOR</t>
  </si>
  <si>
    <t>Long</t>
  </si>
  <si>
    <t>Ancho</t>
  </si>
  <si>
    <t>Altura</t>
  </si>
  <si>
    <t>N° veces</t>
  </si>
  <si>
    <t>LONGITUDINAL</t>
  </si>
  <si>
    <t>TRANSVERSAL</t>
  </si>
  <si>
    <t>M3</t>
  </si>
  <si>
    <t xml:space="preserve">BASE </t>
  </si>
  <si>
    <t>KG</t>
  </si>
  <si>
    <t>ANGULAR</t>
  </si>
  <si>
    <t>0.3*1</t>
  </si>
  <si>
    <t>0.4*1</t>
  </si>
  <si>
    <t>0.7*1</t>
  </si>
  <si>
    <t>0.3*0.3</t>
  </si>
  <si>
    <t>0.5*0.7</t>
  </si>
  <si>
    <t>0.7*1.1</t>
  </si>
  <si>
    <t>1.4*5.7</t>
  </si>
  <si>
    <t>BLS</t>
  </si>
  <si>
    <t>TAPA</t>
  </si>
  <si>
    <t>RESUMEN DE HOJA DE METRADOS DE SISTEMA DE DRENAJE PLUVIAL_MAYORES METRADOS</t>
  </si>
  <si>
    <r>
      <t xml:space="preserve">Acero en Canal de concreto en piso A=30cm H=Variable, E= 15cm, </t>
    </r>
    <r>
      <rPr>
        <sz val="10"/>
        <rFont val="Calibri"/>
        <family val="2"/>
      </rPr>
      <t>φ</t>
    </r>
    <r>
      <rPr>
        <sz val="8.5"/>
        <rFont val="Arial"/>
        <family val="2"/>
      </rPr>
      <t>=1/4"</t>
    </r>
  </si>
  <si>
    <r>
      <t xml:space="preserve">Acero en Canal de concreto en piso A=34cm H=Variable, E= 15cm, </t>
    </r>
    <r>
      <rPr>
        <sz val="10"/>
        <rFont val="Calibri"/>
        <family val="2"/>
      </rPr>
      <t>φ</t>
    </r>
    <r>
      <rPr>
        <sz val="8.5"/>
        <rFont val="Arial"/>
        <family val="2"/>
      </rPr>
      <t>=1/2"</t>
    </r>
  </si>
  <si>
    <t>04.03.05.04</t>
  </si>
  <si>
    <t>04.03.05.05</t>
  </si>
  <si>
    <t>04.03.05.03</t>
  </si>
  <si>
    <t>04.03.05.06</t>
  </si>
  <si>
    <t>04.03.05.07</t>
  </si>
  <si>
    <t>04.03.05.08</t>
  </si>
  <si>
    <t>04.03.04.06</t>
  </si>
  <si>
    <t>04.03.04.07</t>
  </si>
  <si>
    <t>04.03.04.11</t>
  </si>
  <si>
    <t>04.03.06</t>
  </si>
  <si>
    <t>04.03.06.01</t>
  </si>
  <si>
    <t>04.03.06.02</t>
  </si>
  <si>
    <t>04.03.06.03</t>
  </si>
  <si>
    <t>04.03.06.04</t>
  </si>
  <si>
    <t>04.03.06.05</t>
  </si>
  <si>
    <t>04.03.06.06</t>
  </si>
  <si>
    <t>04.03.06.07</t>
  </si>
  <si>
    <t>04.03.06.08</t>
  </si>
  <si>
    <t>04.03.07</t>
  </si>
  <si>
    <t>04.03.07.01</t>
  </si>
  <si>
    <t>04.03.07.02</t>
  </si>
  <si>
    <t>04.03.07.03</t>
  </si>
  <si>
    <t>04.03.07.04</t>
  </si>
  <si>
    <t>04.03.07.05</t>
  </si>
  <si>
    <t>04.03.07.06</t>
  </si>
  <si>
    <t>04.03.07.07</t>
  </si>
  <si>
    <t>04.03.07.08</t>
  </si>
  <si>
    <t>04.03.07.09</t>
  </si>
  <si>
    <t>04.03.07.10</t>
  </si>
  <si>
    <t>04.03.07.11</t>
  </si>
  <si>
    <t>04.03.07.12</t>
  </si>
  <si>
    <t>04.03.07.13</t>
  </si>
  <si>
    <t>04.03.07.14</t>
  </si>
  <si>
    <t>04.03.07.15</t>
  </si>
  <si>
    <t>04.03.07.16</t>
  </si>
  <si>
    <t>04.03.07.17</t>
  </si>
  <si>
    <t>04.03.07.18</t>
  </si>
  <si>
    <t>04.03.07.19</t>
  </si>
  <si>
    <t>04.03.07.20</t>
  </si>
  <si>
    <t>04.03.07.21</t>
  </si>
  <si>
    <t>04.03.07.22</t>
  </si>
  <si>
    <t>04.03.07.23</t>
  </si>
  <si>
    <t>04.03.07.24</t>
  </si>
  <si>
    <t>04.03.07.25</t>
  </si>
  <si>
    <t>04.03.07.26</t>
  </si>
  <si>
    <t>04.03.07.27</t>
  </si>
  <si>
    <t>04.03.07.28</t>
  </si>
  <si>
    <t>04.03.07.29</t>
  </si>
  <si>
    <t>04.03.07.30</t>
  </si>
  <si>
    <t>04.03.07.31</t>
  </si>
  <si>
    <t>04.03.07.32</t>
  </si>
  <si>
    <t>04.03.07.33</t>
  </si>
  <si>
    <t>04.03.07.34</t>
  </si>
  <si>
    <t>04.03.07.35</t>
  </si>
  <si>
    <t>04.03.07.36</t>
  </si>
  <si>
    <t>04.03.07.37</t>
  </si>
  <si>
    <t>04.03.08</t>
  </si>
  <si>
    <t>04.03.08.01</t>
  </si>
  <si>
    <t>04.03.08.02</t>
  </si>
  <si>
    <t>04.03.08.03</t>
  </si>
  <si>
    <t>04.03.08.04</t>
  </si>
  <si>
    <t>04.03.08.05</t>
  </si>
  <si>
    <t>04.03.08.06</t>
  </si>
  <si>
    <t>04.03.08.07</t>
  </si>
  <si>
    <t>04.03.08.08</t>
  </si>
  <si>
    <t>04.03.08.09</t>
  </si>
  <si>
    <t>04.03.08.10</t>
  </si>
  <si>
    <t>04.03.08.11</t>
  </si>
  <si>
    <t>04.03.08.12</t>
  </si>
  <si>
    <t>04.03.08.13</t>
  </si>
  <si>
    <t>04.03.08.14</t>
  </si>
  <si>
    <t>04.03.08.15</t>
  </si>
  <si>
    <t>04.03.08.16</t>
  </si>
  <si>
    <t>04.03.08.17</t>
  </si>
  <si>
    <t>04.03.08.18</t>
  </si>
  <si>
    <t>04.03.08.19</t>
  </si>
  <si>
    <t>04.03.08.20</t>
  </si>
  <si>
    <t>04.03.08.21</t>
  </si>
  <si>
    <t>AMPLIACIÓN PRESUPUESTAL N°7</t>
  </si>
  <si>
    <t>04.03.05.09</t>
  </si>
  <si>
    <t>04.03.05.10</t>
  </si>
  <si>
    <t>04.03.05.11</t>
  </si>
  <si>
    <t>RED COLECTORA TUBERÍA PVC SAP C-10 Ø DE 3"</t>
  </si>
  <si>
    <t>CODO PVC SAP C-10 Ø 3" x 90°</t>
  </si>
  <si>
    <t>04.03.08.22</t>
  </si>
  <si>
    <t>MAYORES METRADOS</t>
  </si>
  <si>
    <t>MET. EXP. TÉCNICO</t>
  </si>
  <si>
    <t>METRADO ACTUAL</t>
  </si>
  <si>
    <t>04.03.03.0</t>
  </si>
  <si>
    <t>METRADO DEDUCTIVO</t>
  </si>
  <si>
    <t>CODO DE PVC UF Ø 6" x 45°</t>
  </si>
  <si>
    <t>CODO DE PVC UF Ø 4" x 45°</t>
  </si>
  <si>
    <t>CODO DE PVC UF Ø 8" x 45°</t>
  </si>
  <si>
    <t>CODO DE PVC UF Ø 10" x 45°</t>
  </si>
  <si>
    <t>CODO DE PVC UF Ø 6" x 90°</t>
  </si>
  <si>
    <t>CODO DE PVC UF Ø 10" x 90°</t>
  </si>
  <si>
    <t>YEE DE PVC SAP C-10 Ø 3"</t>
  </si>
  <si>
    <t>YEE DE PVC UF Ø 6"</t>
  </si>
  <si>
    <t>REDUCCIÓN DE PVC UF Ø 4" A 3"</t>
  </si>
  <si>
    <t>REDUCCIÓN DE PVC UF Ø 6" A 3"</t>
  </si>
  <si>
    <t>REDUCCIÓN DE PVC  UFØ 6" A 4"</t>
  </si>
  <si>
    <t>YEE DE PVC UF Ø 4"</t>
  </si>
  <si>
    <t>Val. Actual</t>
  </si>
  <si>
    <t>P/U INCL. Mano obra actualizada</t>
  </si>
  <si>
    <t>METRADO TOTAL ACTUAL</t>
  </si>
  <si>
    <t>REPOSICIÓN DE PISO DE CONCRETO ACABADO FROTACHADO</t>
  </si>
  <si>
    <t>ELIMINACIÓN DE MATERIAL PROVENIENTE DE DEMOLICIÓN C/EQUIPO</t>
  </si>
  <si>
    <t>EXCAVACION CON MAQUINARIA EN TERRENO NORMAL H&gt;4M</t>
  </si>
  <si>
    <r>
      <t>ACARREO MANUAL DE TUBERÌAS(D</t>
    </r>
    <r>
      <rPr>
        <sz val="10"/>
        <rFont val="Calibri"/>
        <family val="2"/>
      </rPr>
      <t>≥</t>
    </r>
    <r>
      <rPr>
        <sz val="10"/>
        <rFont val="Arial"/>
        <family val="2"/>
      </rPr>
      <t>60m)</t>
    </r>
  </si>
  <si>
    <t>ACARREO DE MEZCLA DE CONCRETO PARA CAJAS Y CANALES</t>
  </si>
  <si>
    <t>ACARREO MANUAL INTERNO DE MATERIAL EXCEDENTE PROVENIENTE DE EXCAVACIONES</t>
  </si>
  <si>
    <t>TARRAJEO Y FROTACHADO EN SECCIÓN DE CAJAS INCL. ARISTAS</t>
  </si>
  <si>
    <t>TARRAJEO Y FROTACHADO EN SECCIÓN DE CANALES INCL. ARISTAS</t>
  </si>
  <si>
    <t>RELLENO Y COMPACTADO CON MATERIAL SELECCIONADO PARA INSTALACIÓN DE RED COLECTORA</t>
  </si>
  <si>
    <t>Pisolosa secundaria</t>
  </si>
  <si>
    <t>Piso losa primaria</t>
  </si>
  <si>
    <t>Montante Quiesco primaria</t>
  </si>
  <si>
    <t>Quiesco primaria enterrada</t>
  </si>
  <si>
    <r>
      <t>SUMIDEROS SIFONICO INOXIDABLE 200X200 CON DIAMETRO DE SALIDA DE 3"</t>
    </r>
    <r>
      <rPr>
        <sz val="10"/>
        <color rgb="FFFF0000"/>
        <rFont val="Arial"/>
        <family val="2"/>
      </rPr>
      <t>(MAYORES METRADOS)</t>
    </r>
  </si>
  <si>
    <t>24 TUBOS COMPRADOS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</si>
</sst>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3" formatCode="_-* #,##0.00_-;\-* #,##0.00_-;_-* &quot;-&quot;??_-;_-@_-"/>
    <numFmt numFmtId="164" formatCode="_ &quot;S/.&quot;\ * #,##0.00_ ;_ &quot;S/.&quot;\ * \-#,##0.00_ ;_ &quot;S/.&quot;\ * &quot;-&quot;??_ ;_ @_ "/>
    <numFmt numFmtId="165" formatCode="_ * #,##0.00_ ;_ * \-#,##0.00_ ;_ * &quot;-&quot;??_ ;_ @_ "/>
    <numFmt numFmtId="166" formatCode="0.00_)"/>
    <numFmt numFmtId="167" formatCode="[$-80A]d&quot; de &quot;mmmm&quot; de &quot;yyyy;@"/>
    <numFmt numFmtId="168" formatCode="_-* #,##0.000_-;\-* #,##0.000_-;_-* &quot;-&quot;??_-;_-@_-"/>
    <numFmt numFmtId="169" formatCode="#,##0.00_ ;\-#,##0.00\ "/>
    <numFmt numFmtId="170" formatCode="0.0"/>
    <numFmt numFmtId="171" formatCode="#,##0.000_ ;\-#,##0.000\ "/>
    <numFmt numFmtId="172" formatCode="_ * #,##0.0000_ ;_ * \-#,##0.0000_ ;_ * &quot;-&quot;??_ ;_ @_ "/>
    <numFmt numFmtId="173" formatCode="_-* #,##0.0000_-;\-* #,##0.0000_-;_-* &quot;-&quot;??_-;_-@_-"/>
    <numFmt numFmtId="174" formatCode="#,##0.0000"/>
    <numFmt numFmtId="175" formatCode="#,##0.000"/>
    <numFmt numFmtId="176" formatCode="* #,##0.00;* \-#,##0.00;* &quot;-&quot;??;@"/>
    <numFmt numFmtId="177" formatCode="#,##0.0000_ ;\-#,##0.0000\ "/>
    <numFmt numFmtId="178" formatCode="0.000"/>
    <numFmt numFmtId="179" formatCode="&quot;S/.&quot;\ #,##0.00"/>
  </numFmts>
  <fonts count="5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u/>
      <sz val="10"/>
      <name val="Arial"/>
      <family val="2"/>
    </font>
    <font>
      <i/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7030A0"/>
      <name val="Arial"/>
      <family val="2"/>
    </font>
    <font>
      <b/>
      <sz val="10"/>
      <color rgb="FF0070C0"/>
      <name val="Arial"/>
      <family val="2"/>
    </font>
    <font>
      <b/>
      <u/>
      <sz val="12"/>
      <name val="Arial"/>
      <family val="2"/>
    </font>
    <font>
      <b/>
      <u/>
      <sz val="16"/>
      <name val="Arial"/>
      <family val="2"/>
    </font>
    <font>
      <i/>
      <sz val="10"/>
      <name val="Arial"/>
      <family val="2"/>
    </font>
    <font>
      <sz val="10"/>
      <color rgb="FF0070C0"/>
      <name val="Arial"/>
      <family val="2"/>
    </font>
    <font>
      <sz val="10"/>
      <color rgb="FF0070C0"/>
      <name val="Calibri"/>
      <family val="2"/>
    </font>
    <font>
      <sz val="8.5"/>
      <color rgb="FF0070C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26"/>
      <color theme="1"/>
      <name val="Arial Black"/>
      <family val="2"/>
    </font>
    <font>
      <b/>
      <sz val="16"/>
      <color theme="1"/>
      <name val="Algerian"/>
      <family val="5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indexed="57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48"/>
      <name val="Calibri"/>
      <family val="2"/>
      <scheme val="minor"/>
    </font>
    <font>
      <sz val="10"/>
      <color indexed="72"/>
      <name val="Calibri"/>
      <family val="2"/>
      <scheme val="minor"/>
    </font>
    <font>
      <b/>
      <sz val="10"/>
      <color rgb="FF00CC00"/>
      <name val="Calibri"/>
      <family val="2"/>
      <scheme val="minor"/>
    </font>
    <font>
      <b/>
      <sz val="11"/>
      <color rgb="FF00CC00"/>
      <name val="Calibri"/>
      <family val="2"/>
      <scheme val="minor"/>
    </font>
    <font>
      <sz val="10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CC00"/>
      <name val="Calibri"/>
      <family val="2"/>
      <scheme val="minor"/>
    </font>
    <font>
      <b/>
      <sz val="11"/>
      <color rgb="FFCC3300"/>
      <name val="Calibri"/>
      <family val="2"/>
      <scheme val="minor"/>
    </font>
    <font>
      <sz val="10"/>
      <name val="Franklin Gothic Book"/>
      <family val="2"/>
    </font>
    <font>
      <b/>
      <sz val="10"/>
      <color rgb="FFC0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8.5"/>
      <name val="Arial"/>
      <family val="2"/>
    </font>
    <font>
      <b/>
      <sz val="12"/>
      <color theme="1"/>
      <name val="Calibri"/>
      <family val="2"/>
      <scheme val="minor"/>
    </font>
    <font>
      <sz val="10"/>
      <color rgb="FFFF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10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</borders>
  <cellStyleXfs count="10">
    <xf numFmtId="0" fontId="0" fillId="0" borderId="0"/>
    <xf numFmtId="0" fontId="5" fillId="0" borderId="0"/>
    <xf numFmtId="0" fontId="6" fillId="0" borderId="0"/>
    <xf numFmtId="0" fontId="3" fillId="0" borderId="0"/>
    <xf numFmtId="0" fontId="3" fillId="0" borderId="0"/>
    <xf numFmtId="16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</cellStyleXfs>
  <cellXfs count="556">
    <xf numFmtId="0" fontId="0" fillId="0" borderId="0" xfId="0"/>
    <xf numFmtId="0" fontId="2" fillId="0" borderId="0" xfId="0" applyFont="1"/>
    <xf numFmtId="166" fontId="3" fillId="0" borderId="17" xfId="0" applyNumberFormat="1" applyFont="1" applyFill="1" applyBorder="1" applyAlignment="1" applyProtection="1">
      <alignment horizontal="left" vertical="center"/>
    </xf>
    <xf numFmtId="0" fontId="2" fillId="0" borderId="0" xfId="0" applyFont="1" applyFill="1" applyBorder="1" applyAlignment="1">
      <alignment vertical="center"/>
    </xf>
    <xf numFmtId="166" fontId="3" fillId="0" borderId="0" xfId="0" applyNumberFormat="1" applyFont="1" applyFill="1" applyBorder="1" applyAlignment="1" applyProtection="1">
      <alignment vertical="center"/>
    </xf>
    <xf numFmtId="166" fontId="4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horizontal="right" vertical="center"/>
    </xf>
    <xf numFmtId="167" fontId="2" fillId="0" borderId="18" xfId="0" applyNumberFormat="1" applyFont="1" applyFill="1" applyBorder="1" applyAlignment="1">
      <alignment horizontal="center" vertical="center"/>
    </xf>
    <xf numFmtId="0" fontId="2" fillId="0" borderId="0" xfId="0" applyFont="1" applyBorder="1"/>
    <xf numFmtId="166" fontId="3" fillId="0" borderId="0" xfId="0" applyNumberFormat="1" applyFont="1" applyFill="1" applyBorder="1" applyAlignment="1" applyProtection="1">
      <alignment horizontal="left" vertical="center"/>
    </xf>
    <xf numFmtId="167" fontId="4" fillId="0" borderId="0" xfId="2" applyNumberFormat="1" applyFont="1" applyFill="1" applyBorder="1" applyAlignment="1" applyProtection="1">
      <alignment horizontal="left" vertical="center"/>
    </xf>
    <xf numFmtId="167" fontId="4" fillId="0" borderId="18" xfId="2" applyNumberFormat="1" applyFont="1" applyFill="1" applyBorder="1" applyAlignment="1" applyProtection="1">
      <alignment horizontal="center" vertical="center"/>
    </xf>
    <xf numFmtId="166" fontId="3" fillId="0" borderId="19" xfId="0" applyNumberFormat="1" applyFont="1" applyFill="1" applyBorder="1" applyAlignment="1" applyProtection="1">
      <alignment horizontal="left" vertical="center"/>
    </xf>
    <xf numFmtId="0" fontId="2" fillId="0" borderId="20" xfId="0" applyFont="1" applyFill="1" applyBorder="1" applyAlignment="1">
      <alignment vertical="center"/>
    </xf>
    <xf numFmtId="0" fontId="2" fillId="0" borderId="20" xfId="0" applyFont="1" applyBorder="1"/>
    <xf numFmtId="166" fontId="3" fillId="0" borderId="20" xfId="0" applyNumberFormat="1" applyFont="1" applyFill="1" applyBorder="1" applyAlignment="1" applyProtection="1">
      <alignment horizontal="left" vertical="center"/>
    </xf>
    <xf numFmtId="166" fontId="3" fillId="0" borderId="20" xfId="0" applyNumberFormat="1" applyFont="1" applyFill="1" applyBorder="1" applyAlignment="1" applyProtection="1">
      <alignment vertical="center"/>
    </xf>
    <xf numFmtId="167" fontId="4" fillId="0" borderId="20" xfId="2" applyNumberFormat="1" applyFont="1" applyFill="1" applyBorder="1" applyAlignment="1" applyProtection="1">
      <alignment horizontal="left" vertical="center"/>
    </xf>
    <xf numFmtId="167" fontId="4" fillId="0" borderId="21" xfId="2" applyNumberFormat="1" applyFont="1" applyFill="1" applyBorder="1" applyAlignment="1" applyProtection="1">
      <alignment horizontal="center" vertical="center"/>
    </xf>
    <xf numFmtId="166" fontId="3" fillId="0" borderId="7" xfId="0" applyNumberFormat="1" applyFont="1" applyFill="1" applyBorder="1" applyAlignment="1" applyProtection="1">
      <alignment horizontal="left" vertical="center"/>
    </xf>
    <xf numFmtId="167" fontId="4" fillId="0" borderId="8" xfId="2" applyNumberFormat="1" applyFont="1" applyFill="1" applyBorder="1" applyAlignment="1" applyProtection="1">
      <alignment horizontal="center" vertical="center"/>
    </xf>
    <xf numFmtId="4" fontId="4" fillId="3" borderId="5" xfId="1" applyNumberFormat="1" applyFont="1" applyFill="1" applyBorder="1" applyAlignment="1" applyProtection="1">
      <alignment horizontal="center" vertical="center"/>
    </xf>
    <xf numFmtId="0" fontId="4" fillId="3" borderId="5" xfId="1" applyFont="1" applyFill="1" applyBorder="1" applyAlignment="1" applyProtection="1">
      <alignment horizontal="center" vertical="center"/>
    </xf>
    <xf numFmtId="4" fontId="3" fillId="0" borderId="0" xfId="2" applyNumberFormat="1" applyFont="1" applyFill="1" applyBorder="1" applyAlignment="1" applyProtection="1">
      <alignment vertical="center"/>
    </xf>
    <xf numFmtId="4" fontId="3" fillId="0" borderId="8" xfId="2" applyNumberFormat="1" applyFont="1" applyFill="1" applyBorder="1" applyAlignment="1" applyProtection="1">
      <alignment vertical="center"/>
    </xf>
    <xf numFmtId="4" fontId="3" fillId="0" borderId="6" xfId="2" applyNumberFormat="1" applyFont="1" applyFill="1" applyBorder="1" applyAlignment="1" applyProtection="1">
      <alignment vertical="center"/>
    </xf>
    <xf numFmtId="4" fontId="3" fillId="0" borderId="6" xfId="2" applyNumberFormat="1" applyFont="1" applyFill="1" applyBorder="1" applyAlignment="1" applyProtection="1">
      <alignment horizontal="center" vertical="center"/>
    </xf>
    <xf numFmtId="4" fontId="4" fillId="0" borderId="6" xfId="2" applyNumberFormat="1" applyFont="1" applyFill="1" applyBorder="1" applyAlignment="1" applyProtection="1">
      <alignment vertical="center"/>
    </xf>
    <xf numFmtId="4" fontId="3" fillId="0" borderId="7" xfId="2" applyNumberFormat="1" applyFont="1" applyFill="1" applyBorder="1" applyAlignment="1" applyProtection="1">
      <alignment horizontal="left" vertical="center"/>
    </xf>
    <xf numFmtId="4" fontId="4" fillId="0" borderId="0" xfId="2" applyNumberFormat="1" applyFont="1" applyFill="1" applyBorder="1" applyAlignment="1" applyProtection="1">
      <alignment vertical="center"/>
    </xf>
    <xf numFmtId="4" fontId="4" fillId="0" borderId="8" xfId="2" applyNumberFormat="1" applyFont="1" applyFill="1" applyBorder="1" applyAlignment="1" applyProtection="1">
      <alignment vertical="center"/>
    </xf>
    <xf numFmtId="4" fontId="4" fillId="0" borderId="6" xfId="2" applyNumberFormat="1" applyFont="1" applyFill="1" applyBorder="1" applyAlignment="1" applyProtection="1">
      <alignment horizontal="center" vertical="center"/>
    </xf>
    <xf numFmtId="4" fontId="3" fillId="0" borderId="10" xfId="2" applyNumberFormat="1" applyFont="1" applyFill="1" applyBorder="1" applyAlignment="1" applyProtection="1">
      <alignment vertical="center"/>
    </xf>
    <xf numFmtId="4" fontId="3" fillId="0" borderId="11" xfId="2" applyNumberFormat="1" applyFont="1" applyFill="1" applyBorder="1" applyAlignment="1" applyProtection="1">
      <alignment horizontal="left" vertical="center"/>
    </xf>
    <xf numFmtId="4" fontId="3" fillId="0" borderId="12" xfId="2" applyNumberFormat="1" applyFont="1" applyFill="1" applyBorder="1" applyAlignment="1" applyProtection="1">
      <alignment vertical="center"/>
    </xf>
    <xf numFmtId="4" fontId="3" fillId="0" borderId="13" xfId="2" applyNumberFormat="1" applyFont="1" applyFill="1" applyBorder="1" applyAlignment="1" applyProtection="1">
      <alignment vertical="center"/>
    </xf>
    <xf numFmtId="4" fontId="3" fillId="0" borderId="10" xfId="2" applyNumberFormat="1" applyFont="1" applyFill="1" applyBorder="1" applyAlignment="1" applyProtection="1">
      <alignment horizontal="center" vertical="center"/>
    </xf>
    <xf numFmtId="4" fontId="3" fillId="0" borderId="0" xfId="1" applyNumberFormat="1" applyFont="1" applyAlignment="1" applyProtection="1">
      <alignment horizontal="center" vertical="center"/>
    </xf>
    <xf numFmtId="0" fontId="3" fillId="0" borderId="0" xfId="1" applyFont="1" applyAlignment="1" applyProtection="1">
      <alignment vertical="center"/>
    </xf>
    <xf numFmtId="4" fontId="3" fillId="0" borderId="15" xfId="2" applyNumberFormat="1" applyFont="1" applyFill="1" applyBorder="1" applyAlignment="1" applyProtection="1">
      <alignment horizontal="right" vertical="center"/>
    </xf>
    <xf numFmtId="4" fontId="3" fillId="0" borderId="15" xfId="2" applyNumberFormat="1" applyFont="1" applyFill="1" applyBorder="1" applyAlignment="1" applyProtection="1">
      <alignment vertical="center"/>
    </xf>
    <xf numFmtId="4" fontId="3" fillId="0" borderId="15" xfId="2" applyNumberFormat="1" applyFont="1" applyFill="1" applyBorder="1" applyAlignment="1" applyProtection="1">
      <alignment horizontal="center" vertical="center"/>
    </xf>
    <xf numFmtId="4" fontId="3" fillId="0" borderId="15" xfId="1" applyNumberFormat="1" applyFont="1" applyFill="1" applyBorder="1" applyAlignment="1" applyProtection="1">
      <alignment horizontal="right" vertical="center"/>
    </xf>
    <xf numFmtId="4" fontId="3" fillId="0" borderId="15" xfId="1" applyNumberFormat="1" applyFont="1" applyFill="1" applyBorder="1" applyAlignment="1" applyProtection="1">
      <alignment vertical="center"/>
    </xf>
    <xf numFmtId="4" fontId="4" fillId="0" borderId="15" xfId="1" applyNumberFormat="1" applyFont="1" applyFill="1" applyBorder="1" applyAlignment="1" applyProtection="1">
      <alignment vertical="center"/>
    </xf>
    <xf numFmtId="4" fontId="4" fillId="0" borderId="15" xfId="2" applyNumberFormat="1" applyFont="1" applyFill="1" applyBorder="1" applyAlignment="1" applyProtection="1">
      <alignment horizontal="center" vertical="center"/>
    </xf>
    <xf numFmtId="4" fontId="3" fillId="0" borderId="15" xfId="2" applyNumberFormat="1" applyFont="1" applyFill="1" applyBorder="1" applyAlignment="1" applyProtection="1">
      <alignment horizontal="left" vertical="center"/>
    </xf>
    <xf numFmtId="4" fontId="4" fillId="2" borderId="5" xfId="1" applyNumberFormat="1" applyFont="1" applyFill="1" applyBorder="1" applyAlignment="1" applyProtection="1">
      <alignment horizontal="center" vertical="center"/>
    </xf>
    <xf numFmtId="0" fontId="4" fillId="2" borderId="2" xfId="1" applyFont="1" applyFill="1" applyBorder="1" applyAlignment="1" applyProtection="1">
      <alignment horizontal="center" vertical="center"/>
    </xf>
    <xf numFmtId="0" fontId="4" fillId="2" borderId="3" xfId="1" applyFont="1" applyFill="1" applyBorder="1" applyAlignment="1" applyProtection="1">
      <alignment horizontal="center" vertical="center"/>
    </xf>
    <xf numFmtId="0" fontId="4" fillId="2" borderId="4" xfId="1" applyFont="1" applyFill="1" applyBorder="1" applyAlignment="1" applyProtection="1">
      <alignment horizontal="center" vertical="center"/>
    </xf>
    <xf numFmtId="0" fontId="4" fillId="2" borderId="5" xfId="1" applyFont="1" applyFill="1" applyBorder="1" applyAlignment="1" applyProtection="1">
      <alignment horizontal="center" vertical="center"/>
    </xf>
    <xf numFmtId="4" fontId="0" fillId="0" borderId="0" xfId="0" applyNumberFormat="1"/>
    <xf numFmtId="0" fontId="8" fillId="0" borderId="0" xfId="0" applyFont="1" applyAlignment="1">
      <alignment horizontal="center" vertical="center"/>
    </xf>
    <xf numFmtId="0" fontId="7" fillId="0" borderId="0" xfId="2" applyFont="1" applyFill="1" applyAlignment="1" applyProtection="1">
      <alignment horizontal="center" vertical="center"/>
    </xf>
    <xf numFmtId="4" fontId="9" fillId="0" borderId="15" xfId="1" applyNumberFormat="1" applyFont="1" applyBorder="1" applyAlignment="1" applyProtection="1">
      <alignment horizontal="left" vertical="center"/>
    </xf>
    <xf numFmtId="4" fontId="9" fillId="0" borderId="15" xfId="1" applyNumberFormat="1" applyFont="1" applyFill="1" applyBorder="1" applyAlignment="1" applyProtection="1">
      <alignment vertical="center"/>
    </xf>
    <xf numFmtId="4" fontId="11" fillId="0" borderId="15" xfId="1" applyNumberFormat="1" applyFont="1" applyBorder="1" applyAlignment="1" applyProtection="1">
      <alignment horizontal="left" vertical="center"/>
    </xf>
    <xf numFmtId="4" fontId="11" fillId="0" borderId="15" xfId="1" applyNumberFormat="1" applyFont="1" applyFill="1" applyBorder="1" applyAlignment="1" applyProtection="1">
      <alignment vertical="center"/>
    </xf>
    <xf numFmtId="4" fontId="3" fillId="0" borderId="9" xfId="2" applyNumberFormat="1" applyFont="1" applyFill="1" applyBorder="1" applyAlignment="1" applyProtection="1">
      <alignment horizontal="right" vertical="center"/>
    </xf>
    <xf numFmtId="4" fontId="3" fillId="0" borderId="9" xfId="2" applyNumberFormat="1" applyFont="1" applyFill="1" applyBorder="1" applyAlignment="1" applyProtection="1">
      <alignment vertical="center"/>
    </xf>
    <xf numFmtId="4" fontId="10" fillId="0" borderId="0" xfId="1" applyNumberFormat="1" applyFont="1" applyFill="1" applyBorder="1" applyAlignment="1" applyProtection="1">
      <alignment vertical="center"/>
    </xf>
    <xf numFmtId="4" fontId="9" fillId="0" borderId="0" xfId="1" applyNumberFormat="1" applyFont="1" applyFill="1" applyBorder="1" applyAlignment="1" applyProtection="1">
      <alignment vertical="center"/>
    </xf>
    <xf numFmtId="4" fontId="11" fillId="0" borderId="0" xfId="1" applyNumberFormat="1" applyFont="1" applyFill="1" applyBorder="1" applyAlignment="1" applyProtection="1">
      <alignment vertical="center"/>
    </xf>
    <xf numFmtId="4" fontId="4" fillId="2" borderId="1" xfId="1" applyNumberFormat="1" applyFont="1" applyFill="1" applyBorder="1" applyAlignment="1" applyProtection="1">
      <alignment horizontal="center" vertical="center"/>
    </xf>
    <xf numFmtId="4" fontId="3" fillId="0" borderId="0" xfId="2" applyNumberFormat="1" applyFont="1" applyFill="1" applyBorder="1" applyAlignment="1" applyProtection="1">
      <alignment horizontal="left" vertical="center"/>
    </xf>
    <xf numFmtId="4" fontId="3" fillId="0" borderId="7" xfId="1" applyNumberFormat="1" applyFont="1" applyFill="1" applyBorder="1" applyAlignment="1" applyProtection="1">
      <alignment vertical="center"/>
    </xf>
    <xf numFmtId="4" fontId="3" fillId="0" borderId="0" xfId="2" applyNumberFormat="1" applyFont="1" applyFill="1" applyBorder="1" applyAlignment="1" applyProtection="1">
      <alignment horizontal="center" vertical="center"/>
    </xf>
    <xf numFmtId="4" fontId="10" fillId="0" borderId="6" xfId="1" applyNumberFormat="1" applyFont="1" applyBorder="1" applyAlignment="1" applyProtection="1">
      <alignment horizontal="left" vertical="center"/>
    </xf>
    <xf numFmtId="4" fontId="9" fillId="0" borderId="6" xfId="1" applyNumberFormat="1" applyFont="1" applyBorder="1" applyAlignment="1" applyProtection="1">
      <alignment horizontal="left" vertical="center"/>
    </xf>
    <xf numFmtId="4" fontId="11" fillId="0" borderId="6" xfId="1" applyNumberFormat="1" applyFont="1" applyBorder="1" applyAlignment="1" applyProtection="1">
      <alignment horizontal="left" vertical="center"/>
    </xf>
    <xf numFmtId="4" fontId="9" fillId="0" borderId="6" xfId="2" applyNumberFormat="1" applyFont="1" applyFill="1" applyBorder="1" applyAlignment="1" applyProtection="1">
      <alignment horizontal="left" vertical="center"/>
    </xf>
    <xf numFmtId="4" fontId="9" fillId="0" borderId="7" xfId="2" applyNumberFormat="1" applyFont="1" applyFill="1" applyBorder="1" applyAlignment="1" applyProtection="1">
      <alignment horizontal="left" vertical="center"/>
    </xf>
    <xf numFmtId="4" fontId="11" fillId="0" borderId="6" xfId="2" applyNumberFormat="1" applyFont="1" applyFill="1" applyBorder="1" applyAlignment="1" applyProtection="1">
      <alignment vertical="center"/>
    </xf>
    <xf numFmtId="4" fontId="11" fillId="0" borderId="7" xfId="2" applyNumberFormat="1" applyFont="1" applyFill="1" applyBorder="1" applyAlignment="1" applyProtection="1">
      <alignment horizontal="left" vertical="center"/>
    </xf>
    <xf numFmtId="0" fontId="8" fillId="0" borderId="0" xfId="0" applyFont="1" applyAlignment="1">
      <alignment horizontal="center" vertical="center"/>
    </xf>
    <xf numFmtId="0" fontId="7" fillId="0" borderId="0" xfId="2" applyFont="1" applyFill="1" applyAlignment="1" applyProtection="1">
      <alignment horizontal="center" vertical="center"/>
    </xf>
    <xf numFmtId="4" fontId="14" fillId="0" borderId="15" xfId="2" applyNumberFormat="1" applyFont="1" applyFill="1" applyBorder="1" applyAlignment="1" applyProtection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2" applyFont="1" applyFill="1" applyAlignment="1" applyProtection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2" applyFont="1" applyFill="1" applyAlignment="1" applyProtection="1">
      <alignment horizontal="center" vertical="center"/>
    </xf>
    <xf numFmtId="4" fontId="3" fillId="0" borderId="24" xfId="2" applyNumberFormat="1" applyFont="1" applyFill="1" applyBorder="1" applyAlignment="1" applyProtection="1">
      <alignment horizontal="right" vertical="center"/>
    </xf>
    <xf numFmtId="4" fontId="3" fillId="0" borderId="25" xfId="2" applyNumberFormat="1" applyFont="1" applyFill="1" applyBorder="1" applyAlignment="1" applyProtection="1">
      <alignment vertical="center"/>
    </xf>
    <xf numFmtId="4" fontId="3" fillId="0" borderId="24" xfId="2" applyNumberFormat="1" applyFont="1" applyFill="1" applyBorder="1" applyAlignment="1" applyProtection="1">
      <alignment vertical="center"/>
    </xf>
    <xf numFmtId="0" fontId="2" fillId="0" borderId="7" xfId="0" applyFont="1" applyBorder="1"/>
    <xf numFmtId="0" fontId="2" fillId="0" borderId="8" xfId="0" applyFont="1" applyBorder="1"/>
    <xf numFmtId="0" fontId="2" fillId="0" borderId="12" xfId="0" applyFont="1" applyBorder="1"/>
    <xf numFmtId="0" fontId="2" fillId="0" borderId="13" xfId="0" applyFont="1" applyBorder="1"/>
    <xf numFmtId="4" fontId="3" fillId="4" borderId="15" xfId="2" applyNumberFormat="1" applyFont="1" applyFill="1" applyBorder="1" applyAlignment="1" applyProtection="1">
      <alignment vertical="center"/>
    </xf>
    <xf numFmtId="4" fontId="3" fillId="0" borderId="8" xfId="2" applyNumberFormat="1" applyFont="1" applyFill="1" applyBorder="1" applyAlignment="1" applyProtection="1">
      <alignment horizontal="left" vertical="center"/>
    </xf>
    <xf numFmtId="4" fontId="3" fillId="0" borderId="6" xfId="2" applyNumberFormat="1" applyFont="1" applyFill="1" applyBorder="1" applyAlignment="1" applyProtection="1">
      <alignment horizontal="right" vertical="center"/>
    </xf>
    <xf numFmtId="4" fontId="15" fillId="0" borderId="15" xfId="2" applyNumberFormat="1" applyFont="1" applyFill="1" applyBorder="1" applyAlignment="1" applyProtection="1">
      <alignment horizontal="left" vertical="center"/>
    </xf>
    <xf numFmtId="4" fontId="15" fillId="0" borderId="15" xfId="1" applyNumberFormat="1" applyFont="1" applyFill="1" applyBorder="1" applyAlignment="1" applyProtection="1">
      <alignment vertical="center"/>
    </xf>
    <xf numFmtId="166" fontId="7" fillId="0" borderId="22" xfId="0" applyNumberFormat="1" applyFont="1" applyFill="1" applyBorder="1" applyAlignment="1" applyProtection="1">
      <alignment horizontal="left" vertical="center" wrapText="1"/>
    </xf>
    <xf numFmtId="166" fontId="7" fillId="0" borderId="16" xfId="0" applyNumberFormat="1" applyFont="1" applyFill="1" applyBorder="1" applyAlignment="1" applyProtection="1">
      <alignment horizontal="left" vertical="center" wrapText="1"/>
    </xf>
    <xf numFmtId="166" fontId="7" fillId="0" borderId="23" xfId="0" applyNumberFormat="1" applyFont="1" applyFill="1" applyBorder="1" applyAlignment="1" applyProtection="1">
      <alignment horizontal="left" vertical="center" wrapText="1"/>
    </xf>
    <xf numFmtId="167" fontId="2" fillId="0" borderId="0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2" fillId="5" borderId="2" xfId="2" applyFont="1" applyFill="1" applyBorder="1" applyAlignment="1" applyProtection="1">
      <alignment horizontal="center" vertical="center"/>
    </xf>
    <xf numFmtId="0" fontId="12" fillId="5" borderId="3" xfId="2" applyFont="1" applyFill="1" applyBorder="1" applyAlignment="1" applyProtection="1">
      <alignment horizontal="center" vertical="center"/>
    </xf>
    <xf numFmtId="0" fontId="12" fillId="5" borderId="4" xfId="2" applyFont="1" applyFill="1" applyBorder="1" applyAlignment="1" applyProtection="1">
      <alignment horizontal="center" vertical="center"/>
    </xf>
    <xf numFmtId="0" fontId="7" fillId="0" borderId="0" xfId="2" applyFont="1" applyFill="1" applyAlignment="1" applyProtection="1">
      <alignment horizontal="center" vertical="center"/>
    </xf>
    <xf numFmtId="0" fontId="13" fillId="5" borderId="2" xfId="2" applyFont="1" applyFill="1" applyBorder="1" applyAlignment="1" applyProtection="1">
      <alignment horizontal="center" vertical="center"/>
    </xf>
    <xf numFmtId="0" fontId="13" fillId="5" borderId="3" xfId="2" applyFont="1" applyFill="1" applyBorder="1" applyAlignment="1" applyProtection="1">
      <alignment horizontal="center" vertical="center"/>
    </xf>
    <xf numFmtId="0" fontId="13" fillId="5" borderId="4" xfId="2" applyFont="1" applyFill="1" applyBorder="1" applyAlignment="1" applyProtection="1">
      <alignment horizontal="center" vertical="center"/>
    </xf>
    <xf numFmtId="4" fontId="15" fillId="0" borderId="6" xfId="2" applyNumberFormat="1" applyFont="1" applyFill="1" applyBorder="1" applyAlignment="1" applyProtection="1">
      <alignment vertical="center"/>
    </xf>
    <xf numFmtId="4" fontId="15" fillId="0" borderId="7" xfId="2" applyNumberFormat="1" applyFont="1" applyFill="1" applyBorder="1" applyAlignment="1" applyProtection="1">
      <alignment vertical="center"/>
    </xf>
    <xf numFmtId="4" fontId="15" fillId="0" borderId="12" xfId="2" applyNumberFormat="1" applyFont="1" applyFill="1" applyBorder="1" applyAlignment="1" applyProtection="1">
      <alignment vertical="center"/>
    </xf>
    <xf numFmtId="4" fontId="2" fillId="0" borderId="15" xfId="2" applyNumberFormat="1" applyFont="1" applyFill="1" applyBorder="1" applyAlignment="1" applyProtection="1">
      <alignment horizontal="left" vertical="center"/>
    </xf>
    <xf numFmtId="4" fontId="3" fillId="0" borderId="0" xfId="2" applyNumberFormat="1" applyFont="1" applyFill="1" applyBorder="1" applyAlignment="1" applyProtection="1">
      <alignment horizontal="right" vertical="center"/>
    </xf>
    <xf numFmtId="4" fontId="3" fillId="4" borderId="6" xfId="2" applyNumberFormat="1" applyFont="1" applyFill="1" applyBorder="1" applyAlignment="1" applyProtection="1">
      <alignment vertical="center"/>
    </xf>
    <xf numFmtId="4" fontId="3" fillId="0" borderId="15" xfId="2" applyNumberFormat="1" applyFont="1" applyBorder="1" applyAlignment="1">
      <alignment vertical="center"/>
    </xf>
    <xf numFmtId="4" fontId="4" fillId="0" borderId="15" xfId="1" applyNumberFormat="1" applyFont="1" applyBorder="1" applyAlignment="1">
      <alignment vertical="center"/>
    </xf>
    <xf numFmtId="4" fontId="3" fillId="0" borderId="15" xfId="2" applyNumberFormat="1" applyFont="1" applyBorder="1" applyAlignment="1">
      <alignment horizontal="right" vertical="center"/>
    </xf>
    <xf numFmtId="43" fontId="0" fillId="0" borderId="0" xfId="7" applyFont="1"/>
    <xf numFmtId="168" fontId="0" fillId="0" borderId="0" xfId="7" applyNumberFormat="1" applyFont="1"/>
    <xf numFmtId="0" fontId="21" fillId="0" borderId="0" xfId="0" applyFont="1"/>
    <xf numFmtId="0" fontId="22" fillId="0" borderId="0" xfId="0" applyFont="1"/>
    <xf numFmtId="43" fontId="22" fillId="0" borderId="0" xfId="7" applyFont="1" applyAlignment="1"/>
    <xf numFmtId="168" fontId="22" fillId="0" borderId="0" xfId="7" applyNumberFormat="1" applyFont="1" applyAlignment="1"/>
    <xf numFmtId="43" fontId="0" fillId="0" borderId="0" xfId="0" applyNumberFormat="1"/>
    <xf numFmtId="0" fontId="25" fillId="7" borderId="39" xfId="0" applyFont="1" applyFill="1" applyBorder="1" applyAlignment="1">
      <alignment horizontal="center" vertical="center"/>
    </xf>
    <xf numFmtId="0" fontId="25" fillId="7" borderId="38" xfId="0" applyFont="1" applyFill="1" applyBorder="1" applyAlignment="1">
      <alignment horizontal="center" vertical="center"/>
    </xf>
    <xf numFmtId="0" fontId="25" fillId="7" borderId="38" xfId="0" applyFont="1" applyFill="1" applyBorder="1" applyAlignment="1">
      <alignment horizontal="center" vertical="center" wrapText="1"/>
    </xf>
    <xf numFmtId="168" fontId="25" fillId="7" borderId="38" xfId="7" applyNumberFormat="1" applyFont="1" applyFill="1" applyBorder="1" applyAlignment="1">
      <alignment horizontal="center" vertical="center"/>
    </xf>
    <xf numFmtId="168" fontId="25" fillId="7" borderId="38" xfId="7" applyNumberFormat="1" applyFont="1" applyFill="1" applyBorder="1" applyAlignment="1">
      <alignment horizontal="center" vertical="center" wrapText="1"/>
    </xf>
    <xf numFmtId="43" fontId="25" fillId="7" borderId="38" xfId="7" applyFont="1" applyFill="1" applyBorder="1" applyAlignment="1">
      <alignment horizontal="center" vertical="center" wrapText="1"/>
    </xf>
    <xf numFmtId="2" fontId="0" fillId="0" borderId="0" xfId="0" applyNumberFormat="1"/>
    <xf numFmtId="0" fontId="27" fillId="11" borderId="41" xfId="0" applyFont="1" applyFill="1" applyBorder="1" applyAlignment="1">
      <alignment horizontal="center" vertical="center"/>
    </xf>
    <xf numFmtId="0" fontId="27" fillId="11" borderId="42" xfId="0" applyFont="1" applyFill="1" applyBorder="1" applyAlignment="1">
      <alignment vertical="center"/>
    </xf>
    <xf numFmtId="0" fontId="28" fillId="11" borderId="43" xfId="0" applyFont="1" applyFill="1" applyBorder="1" applyAlignment="1">
      <alignment horizontal="center" vertical="center"/>
    </xf>
    <xf numFmtId="0" fontId="27" fillId="11" borderId="44" xfId="0" applyFont="1" applyFill="1" applyBorder="1" applyAlignment="1">
      <alignment vertical="center"/>
    </xf>
    <xf numFmtId="0" fontId="27" fillId="11" borderId="45" xfId="0" applyFont="1" applyFill="1" applyBorder="1" applyAlignment="1">
      <alignment vertical="center"/>
    </xf>
    <xf numFmtId="43" fontId="28" fillId="11" borderId="46" xfId="7" applyFont="1" applyFill="1" applyBorder="1" applyAlignment="1">
      <alignment horizontal="center" vertical="center"/>
    </xf>
    <xf numFmtId="4" fontId="28" fillId="11" borderId="42" xfId="0" applyNumberFormat="1" applyFont="1" applyFill="1" applyBorder="1" applyAlignment="1">
      <alignment horizontal="center" vertical="center" wrapText="1"/>
    </xf>
    <xf numFmtId="0" fontId="28" fillId="11" borderId="47" xfId="0" applyFont="1" applyFill="1" applyBorder="1" applyAlignment="1">
      <alignment horizontal="center"/>
    </xf>
    <xf numFmtId="0" fontId="28" fillId="11" borderId="48" xfId="0" applyFont="1" applyFill="1" applyBorder="1" applyAlignment="1">
      <alignment horizontal="center" wrapText="1"/>
    </xf>
    <xf numFmtId="0" fontId="28" fillId="11" borderId="49" xfId="0" applyFont="1" applyFill="1" applyBorder="1" applyAlignment="1">
      <alignment horizontal="center"/>
    </xf>
    <xf numFmtId="0" fontId="28" fillId="11" borderId="45" xfId="0" applyFont="1" applyFill="1" applyBorder="1" applyAlignment="1">
      <alignment horizontal="center"/>
    </xf>
    <xf numFmtId="4" fontId="28" fillId="11" borderId="42" xfId="0" applyNumberFormat="1" applyFont="1" applyFill="1" applyBorder="1" applyAlignment="1">
      <alignment horizontal="center" wrapText="1"/>
    </xf>
    <xf numFmtId="43" fontId="28" fillId="11" borderId="48" xfId="7" applyFont="1" applyFill="1" applyBorder="1" applyAlignment="1">
      <alignment horizontal="center" wrapText="1"/>
    </xf>
    <xf numFmtId="43" fontId="28" fillId="11" borderId="44" xfId="7" applyFont="1" applyFill="1" applyBorder="1" applyAlignment="1">
      <alignment horizontal="center" vertical="center"/>
    </xf>
    <xf numFmtId="0" fontId="28" fillId="11" borderId="42" xfId="0" applyFont="1" applyFill="1" applyBorder="1" applyAlignment="1">
      <alignment horizontal="center" vertical="center" wrapText="1"/>
    </xf>
    <xf numFmtId="0" fontId="28" fillId="11" borderId="44" xfId="0" applyFont="1" applyFill="1" applyBorder="1" applyAlignment="1">
      <alignment horizontal="center"/>
    </xf>
    <xf numFmtId="4" fontId="28" fillId="11" borderId="50" xfId="0" applyNumberFormat="1" applyFont="1" applyFill="1" applyBorder="1" applyAlignment="1">
      <alignment horizontal="center" wrapText="1"/>
    </xf>
    <xf numFmtId="168" fontId="28" fillId="11" borderId="47" xfId="7" applyNumberFormat="1" applyFont="1" applyFill="1" applyBorder="1" applyAlignment="1">
      <alignment horizontal="center"/>
    </xf>
    <xf numFmtId="168" fontId="28" fillId="11" borderId="51" xfId="7" applyNumberFormat="1" applyFont="1" applyFill="1" applyBorder="1" applyAlignment="1">
      <alignment horizontal="center" wrapText="1"/>
    </xf>
    <xf numFmtId="43" fontId="28" fillId="11" borderId="51" xfId="7" applyFont="1" applyFill="1" applyBorder="1" applyAlignment="1">
      <alignment horizontal="center" wrapText="1"/>
    </xf>
    <xf numFmtId="168" fontId="28" fillId="11" borderId="44" xfId="7" applyNumberFormat="1" applyFont="1" applyFill="1" applyBorder="1" applyAlignment="1">
      <alignment horizontal="center" vertical="center"/>
    </xf>
    <xf numFmtId="0" fontId="28" fillId="11" borderId="52" xfId="0" applyFont="1" applyFill="1" applyBorder="1" applyAlignment="1">
      <alignment horizontal="center" vertical="center" wrapText="1"/>
    </xf>
    <xf numFmtId="0" fontId="21" fillId="11" borderId="0" xfId="0" applyFont="1" applyFill="1"/>
    <xf numFmtId="0" fontId="0" fillId="11" borderId="0" xfId="0" applyFill="1"/>
    <xf numFmtId="2" fontId="0" fillId="11" borderId="0" xfId="0" applyNumberFormat="1" applyFill="1"/>
    <xf numFmtId="0" fontId="29" fillId="0" borderId="53" xfId="0" applyFont="1" applyBorder="1" applyAlignment="1" applyProtection="1">
      <alignment vertical="center"/>
      <protection locked="0"/>
    </xf>
    <xf numFmtId="0" fontId="29" fillId="0" borderId="27" xfId="0" applyFont="1" applyBorder="1" applyAlignment="1" applyProtection="1">
      <alignment vertical="center"/>
      <protection locked="0"/>
    </xf>
    <xf numFmtId="165" fontId="30" fillId="0" borderId="54" xfId="0" applyNumberFormat="1" applyFont="1" applyBorder="1" applyAlignment="1">
      <alignment vertical="center"/>
    </xf>
    <xf numFmtId="165" fontId="30" fillId="12" borderId="55" xfId="0" applyNumberFormat="1" applyFont="1" applyFill="1" applyBorder="1" applyAlignment="1">
      <alignment vertical="center"/>
    </xf>
    <xf numFmtId="43" fontId="32" fillId="14" borderId="31" xfId="7" applyFont="1" applyFill="1" applyBorder="1"/>
    <xf numFmtId="4" fontId="30" fillId="15" borderId="14" xfId="0" applyNumberFormat="1" applyFont="1" applyFill="1" applyBorder="1" applyAlignment="1">
      <alignment vertical="center"/>
    </xf>
    <xf numFmtId="0" fontId="31" fillId="6" borderId="54" xfId="0" applyFont="1" applyFill="1" applyBorder="1"/>
    <xf numFmtId="0" fontId="31" fillId="6" borderId="56" xfId="0" applyFont="1" applyFill="1" applyBorder="1"/>
    <xf numFmtId="4" fontId="30" fillId="6" borderId="55" xfId="0" applyNumberFormat="1" applyFont="1" applyFill="1" applyBorder="1" applyAlignment="1">
      <alignment vertical="center"/>
    </xf>
    <xf numFmtId="168" fontId="31" fillId="6" borderId="57" xfId="7" applyNumberFormat="1" applyFont="1" applyFill="1" applyBorder="1"/>
    <xf numFmtId="168" fontId="30" fillId="6" borderId="58" xfId="7" applyNumberFormat="1" applyFont="1" applyFill="1" applyBorder="1" applyAlignment="1">
      <alignment vertical="center"/>
    </xf>
    <xf numFmtId="0" fontId="31" fillId="6" borderId="57" xfId="0" applyFont="1" applyFill="1" applyBorder="1"/>
    <xf numFmtId="43" fontId="30" fillId="6" borderId="58" xfId="7" applyFont="1" applyFill="1" applyBorder="1" applyAlignment="1">
      <alignment vertical="center"/>
    </xf>
    <xf numFmtId="168" fontId="32" fillId="14" borderId="54" xfId="7" applyNumberFormat="1" applyFont="1" applyFill="1" applyBorder="1"/>
    <xf numFmtId="4" fontId="30" fillId="15" borderId="59" xfId="0" applyNumberFormat="1" applyFont="1" applyFill="1" applyBorder="1" applyAlignment="1">
      <alignment vertical="center"/>
    </xf>
    <xf numFmtId="4" fontId="21" fillId="0" borderId="0" xfId="0" applyNumberFormat="1" applyFont="1"/>
    <xf numFmtId="43" fontId="20" fillId="0" borderId="0" xfId="0" applyNumberFormat="1" applyFont="1"/>
    <xf numFmtId="0" fontId="20" fillId="0" borderId="0" xfId="0" applyFont="1"/>
    <xf numFmtId="0" fontId="33" fillId="0" borderId="15" xfId="0" applyFont="1" applyBorder="1" applyAlignment="1" applyProtection="1">
      <alignment vertical="center"/>
      <protection locked="0"/>
    </xf>
    <xf numFmtId="165" fontId="33" fillId="0" borderId="60" xfId="0" applyNumberFormat="1" applyFont="1" applyBorder="1" applyAlignment="1">
      <alignment vertical="center"/>
    </xf>
    <xf numFmtId="165" fontId="33" fillId="12" borderId="61" xfId="0" applyNumberFormat="1" applyFont="1" applyFill="1" applyBorder="1" applyAlignment="1">
      <alignment vertical="center"/>
    </xf>
    <xf numFmtId="43" fontId="28" fillId="14" borderId="9" xfId="7" applyFont="1" applyFill="1" applyBorder="1" applyAlignment="1">
      <alignment vertical="center"/>
    </xf>
    <xf numFmtId="4" fontId="35" fillId="15" borderId="15" xfId="5" applyNumberFormat="1" applyFont="1" applyFill="1" applyBorder="1" applyAlignment="1">
      <alignment vertical="center"/>
    </xf>
    <xf numFmtId="2" fontId="33" fillId="6" borderId="60" xfId="0" applyNumberFormat="1" applyFont="1" applyFill="1" applyBorder="1"/>
    <xf numFmtId="2" fontId="33" fillId="6" borderId="62" xfId="0" applyNumberFormat="1" applyFont="1" applyFill="1" applyBorder="1"/>
    <xf numFmtId="4" fontId="33" fillId="6" borderId="61" xfId="5" applyNumberFormat="1" applyFont="1" applyFill="1" applyBorder="1" applyAlignment="1">
      <alignment vertical="center"/>
    </xf>
    <xf numFmtId="168" fontId="33" fillId="6" borderId="63" xfId="7" applyNumberFormat="1" applyFont="1" applyFill="1" applyBorder="1"/>
    <xf numFmtId="168" fontId="33" fillId="6" borderId="64" xfId="7" applyNumberFormat="1" applyFont="1" applyFill="1" applyBorder="1" applyAlignment="1">
      <alignment vertical="center"/>
    </xf>
    <xf numFmtId="2" fontId="33" fillId="6" borderId="63" xfId="0" applyNumberFormat="1" applyFont="1" applyFill="1" applyBorder="1"/>
    <xf numFmtId="43" fontId="33" fillId="6" borderId="64" xfId="7" applyFont="1" applyFill="1" applyBorder="1" applyAlignment="1">
      <alignment vertical="center"/>
    </xf>
    <xf numFmtId="168" fontId="28" fillId="14" borderId="60" xfId="7" applyNumberFormat="1" applyFont="1" applyFill="1" applyBorder="1" applyAlignment="1">
      <alignment vertical="center"/>
    </xf>
    <xf numFmtId="4" fontId="33" fillId="15" borderId="65" xfId="5" applyNumberFormat="1" applyFont="1" applyFill="1" applyBorder="1" applyAlignment="1">
      <alignment vertical="center"/>
    </xf>
    <xf numFmtId="0" fontId="36" fillId="0" borderId="0" xfId="0" applyFont="1"/>
    <xf numFmtId="165" fontId="37" fillId="0" borderId="60" xfId="0" applyNumberFormat="1" applyFont="1" applyBorder="1" applyAlignment="1">
      <alignment vertical="center"/>
    </xf>
    <xf numFmtId="165" fontId="37" fillId="12" borderId="61" xfId="0" applyNumberFormat="1" applyFont="1" applyFill="1" applyBorder="1" applyAlignment="1">
      <alignment vertical="center"/>
    </xf>
    <xf numFmtId="43" fontId="32" fillId="14" borderId="9" xfId="7" applyFont="1" applyFill="1" applyBorder="1" applyAlignment="1">
      <alignment vertical="center"/>
    </xf>
    <xf numFmtId="4" fontId="33" fillId="15" borderId="15" xfId="0" applyNumberFormat="1" applyFont="1" applyFill="1" applyBorder="1"/>
    <xf numFmtId="2" fontId="37" fillId="6" borderId="60" xfId="0" applyNumberFormat="1" applyFont="1" applyFill="1" applyBorder="1"/>
    <xf numFmtId="2" fontId="37" fillId="6" borderId="62" xfId="0" applyNumberFormat="1" applyFont="1" applyFill="1" applyBorder="1"/>
    <xf numFmtId="4" fontId="37" fillId="6" borderId="61" xfId="0" applyNumberFormat="1" applyFont="1" applyFill="1" applyBorder="1"/>
    <xf numFmtId="168" fontId="37" fillId="6" borderId="63" xfId="7" applyNumberFormat="1" applyFont="1" applyFill="1" applyBorder="1"/>
    <xf numFmtId="168" fontId="37" fillId="6" borderId="64" xfId="7" applyNumberFormat="1" applyFont="1" applyFill="1" applyBorder="1"/>
    <xf numFmtId="2" fontId="37" fillId="6" borderId="63" xfId="0" applyNumberFormat="1" applyFont="1" applyFill="1" applyBorder="1"/>
    <xf numFmtId="43" fontId="37" fillId="6" borderId="64" xfId="7" applyFont="1" applyFill="1" applyBorder="1"/>
    <xf numFmtId="168" fontId="32" fillId="14" borderId="60" xfId="7" applyNumberFormat="1" applyFont="1" applyFill="1" applyBorder="1" applyAlignment="1">
      <alignment vertical="center"/>
    </xf>
    <xf numFmtId="4" fontId="37" fillId="15" borderId="65" xfId="5" applyNumberFormat="1" applyFont="1" applyFill="1" applyBorder="1" applyAlignment="1">
      <alignment vertical="center"/>
    </xf>
    <xf numFmtId="0" fontId="39" fillId="0" borderId="15" xfId="0" applyFont="1" applyBorder="1" applyAlignment="1" applyProtection="1">
      <alignment vertical="center"/>
      <protection locked="0"/>
    </xf>
    <xf numFmtId="0" fontId="32" fillId="0" borderId="15" xfId="0" applyFont="1" applyBorder="1" applyAlignment="1" applyProtection="1">
      <alignment horizontal="center" vertical="center"/>
      <protection locked="0"/>
    </xf>
    <xf numFmtId="4" fontId="37" fillId="15" borderId="15" xfId="0" applyNumberFormat="1" applyFont="1" applyFill="1" applyBorder="1"/>
    <xf numFmtId="170" fontId="0" fillId="0" borderId="0" xfId="0" applyNumberFormat="1"/>
    <xf numFmtId="4" fontId="40" fillId="6" borderId="60" xfId="5" applyNumberFormat="1" applyFont="1" applyFill="1" applyBorder="1" applyAlignment="1">
      <alignment vertical="center"/>
    </xf>
    <xf numFmtId="4" fontId="40" fillId="6" borderId="62" xfId="5" applyNumberFormat="1" applyFont="1" applyFill="1" applyBorder="1" applyAlignment="1">
      <alignment vertical="center"/>
    </xf>
    <xf numFmtId="4" fontId="40" fillId="6" borderId="61" xfId="5" applyNumberFormat="1" applyFont="1" applyFill="1" applyBorder="1" applyAlignment="1">
      <alignment vertical="center"/>
    </xf>
    <xf numFmtId="168" fontId="40" fillId="6" borderId="63" xfId="7" applyNumberFormat="1" applyFont="1" applyFill="1" applyBorder="1" applyAlignment="1">
      <alignment vertical="center"/>
    </xf>
    <xf numFmtId="4" fontId="40" fillId="6" borderId="63" xfId="5" applyNumberFormat="1" applyFont="1" applyFill="1" applyBorder="1" applyAlignment="1">
      <alignment vertical="center"/>
    </xf>
    <xf numFmtId="0" fontId="41" fillId="0" borderId="0" xfId="0" applyFont="1"/>
    <xf numFmtId="2" fontId="42" fillId="6" borderId="60" xfId="0" applyNumberFormat="1" applyFont="1" applyFill="1" applyBorder="1"/>
    <xf numFmtId="2" fontId="42" fillId="6" borderId="62" xfId="0" applyNumberFormat="1" applyFont="1" applyFill="1" applyBorder="1"/>
    <xf numFmtId="168" fontId="42" fillId="6" borderId="63" xfId="7" applyNumberFormat="1" applyFont="1" applyFill="1" applyBorder="1"/>
    <xf numFmtId="2" fontId="42" fillId="6" borderId="63" xfId="0" applyNumberFormat="1" applyFont="1" applyFill="1" applyBorder="1"/>
    <xf numFmtId="0" fontId="43" fillId="0" borderId="0" xfId="0" applyFont="1"/>
    <xf numFmtId="4" fontId="34" fillId="15" borderId="15" xfId="0" applyNumberFormat="1" applyFont="1" applyFill="1" applyBorder="1" applyAlignment="1" applyProtection="1">
      <alignment vertical="center"/>
      <protection locked="0"/>
    </xf>
    <xf numFmtId="2" fontId="40" fillId="6" borderId="60" xfId="0" applyNumberFormat="1" applyFont="1" applyFill="1" applyBorder="1"/>
    <xf numFmtId="2" fontId="40" fillId="6" borderId="62" xfId="0" applyNumberFormat="1" applyFont="1" applyFill="1" applyBorder="1"/>
    <xf numFmtId="168" fontId="40" fillId="6" borderId="63" xfId="7" applyNumberFormat="1" applyFont="1" applyFill="1" applyBorder="1"/>
    <xf numFmtId="2" fontId="40" fillId="6" borderId="63" xfId="0" applyNumberFormat="1" applyFont="1" applyFill="1" applyBorder="1"/>
    <xf numFmtId="165" fontId="42" fillId="0" borderId="60" xfId="0" applyNumberFormat="1" applyFont="1" applyBorder="1" applyAlignment="1">
      <alignment vertical="center"/>
    </xf>
    <xf numFmtId="168" fontId="42" fillId="14" borderId="60" xfId="7" applyNumberFormat="1" applyFont="1" applyFill="1" applyBorder="1" applyAlignment="1">
      <alignment vertical="center"/>
    </xf>
    <xf numFmtId="4" fontId="38" fillId="15" borderId="15" xfId="0" applyNumberFormat="1" applyFont="1" applyFill="1" applyBorder="1" applyAlignment="1" applyProtection="1">
      <alignment vertical="center"/>
      <protection locked="0"/>
    </xf>
    <xf numFmtId="0" fontId="44" fillId="0" borderId="0" xfId="0" applyFont="1"/>
    <xf numFmtId="168" fontId="32" fillId="6" borderId="63" xfId="7" applyNumberFormat="1" applyFont="1" applyFill="1" applyBorder="1"/>
    <xf numFmtId="2" fontId="32" fillId="6" borderId="63" xfId="0" applyNumberFormat="1" applyFont="1" applyFill="1" applyBorder="1"/>
    <xf numFmtId="172" fontId="37" fillId="0" borderId="60" xfId="0" applyNumberFormat="1" applyFont="1" applyBorder="1" applyAlignment="1">
      <alignment vertical="center"/>
    </xf>
    <xf numFmtId="0" fontId="45" fillId="0" borderId="0" xfId="0" applyFont="1"/>
    <xf numFmtId="0" fontId="43" fillId="0" borderId="0" xfId="0" applyFont="1" applyAlignment="1">
      <alignment horizontal="right"/>
    </xf>
    <xf numFmtId="43" fontId="37" fillId="15" borderId="65" xfId="7" applyFont="1" applyFill="1" applyBorder="1" applyAlignment="1">
      <alignment vertical="center"/>
    </xf>
    <xf numFmtId="165" fontId="0" fillId="0" borderId="0" xfId="0" applyNumberFormat="1"/>
    <xf numFmtId="43" fontId="32" fillId="14" borderId="71" xfId="7" applyFont="1" applyFill="1" applyBorder="1"/>
    <xf numFmtId="177" fontId="27" fillId="15" borderId="67" xfId="5" applyNumberFormat="1" applyFont="1" applyFill="1" applyBorder="1" applyAlignment="1">
      <alignment vertical="center"/>
    </xf>
    <xf numFmtId="0" fontId="37" fillId="6" borderId="68" xfId="0" applyFont="1" applyFill="1" applyBorder="1"/>
    <xf numFmtId="0" fontId="37" fillId="6" borderId="69" xfId="0" applyFont="1" applyFill="1" applyBorder="1"/>
    <xf numFmtId="169" fontId="27" fillId="6" borderId="72" xfId="5" applyNumberFormat="1" applyFont="1" applyFill="1" applyBorder="1" applyAlignment="1">
      <alignment vertical="center"/>
    </xf>
    <xf numFmtId="168" fontId="37" fillId="6" borderId="73" xfId="7" applyNumberFormat="1" applyFont="1" applyFill="1" applyBorder="1"/>
    <xf numFmtId="43" fontId="27" fillId="6" borderId="72" xfId="7" applyFont="1" applyFill="1" applyBorder="1" applyAlignment="1">
      <alignment vertical="center"/>
    </xf>
    <xf numFmtId="0" fontId="37" fillId="6" borderId="73" xfId="0" applyFont="1" applyFill="1" applyBorder="1"/>
    <xf numFmtId="168" fontId="32" fillId="14" borderId="68" xfId="7" applyNumberFormat="1" applyFont="1" applyFill="1" applyBorder="1"/>
    <xf numFmtId="169" fontId="27" fillId="15" borderId="74" xfId="5" applyNumberFormat="1" applyFont="1" applyFill="1" applyBorder="1" applyAlignment="1">
      <alignment vertical="center"/>
    </xf>
    <xf numFmtId="176" fontId="37" fillId="0" borderId="24" xfId="0" applyNumberFormat="1" applyFont="1" applyBorder="1" applyAlignment="1">
      <alignment vertical="center"/>
    </xf>
    <xf numFmtId="176" fontId="37" fillId="0" borderId="75" xfId="0" applyNumberFormat="1" applyFont="1" applyBorder="1" applyAlignment="1">
      <alignment vertical="center"/>
    </xf>
    <xf numFmtId="176" fontId="37" fillId="0" borderId="76" xfId="0" applyNumberFormat="1" applyFont="1" applyBorder="1" applyAlignment="1">
      <alignment vertical="center"/>
    </xf>
    <xf numFmtId="43" fontId="37" fillId="12" borderId="76" xfId="7" applyFont="1" applyFill="1" applyBorder="1" applyAlignment="1">
      <alignment vertical="center"/>
    </xf>
    <xf numFmtId="10" fontId="37" fillId="0" borderId="76" xfId="6" quotePrefix="1" applyNumberFormat="1" applyFont="1" applyBorder="1" applyAlignment="1">
      <alignment horizontal="right" vertical="center"/>
    </xf>
    <xf numFmtId="169" fontId="37" fillId="13" borderId="76" xfId="5" applyNumberFormat="1" applyFont="1" applyFill="1" applyBorder="1" applyAlignment="1">
      <alignment vertical="center"/>
    </xf>
    <xf numFmtId="0" fontId="37" fillId="8" borderId="77" xfId="0" applyFont="1" applyFill="1" applyBorder="1"/>
    <xf numFmtId="169" fontId="37" fillId="8" borderId="24" xfId="5" applyNumberFormat="1" applyFont="1" applyFill="1" applyBorder="1" applyAlignment="1">
      <alignment vertical="center"/>
    </xf>
    <xf numFmtId="0" fontId="37" fillId="9" borderId="24" xfId="0" applyFont="1" applyFill="1" applyBorder="1"/>
    <xf numFmtId="10" fontId="37" fillId="9" borderId="25" xfId="6" applyNumberFormat="1" applyFont="1" applyFill="1" applyBorder="1"/>
    <xf numFmtId="169" fontId="37" fillId="9" borderId="24" xfId="5" applyNumberFormat="1" applyFont="1" applyFill="1" applyBorder="1" applyAlignment="1">
      <alignment vertical="center"/>
    </xf>
    <xf numFmtId="0" fontId="37" fillId="10" borderId="25" xfId="0" applyFont="1" applyFill="1" applyBorder="1"/>
    <xf numFmtId="43" fontId="37" fillId="10" borderId="24" xfId="7" applyFont="1" applyFill="1" applyBorder="1" applyAlignment="1">
      <alignment vertical="center"/>
    </xf>
    <xf numFmtId="10" fontId="37" fillId="0" borderId="25" xfId="6" quotePrefix="1" applyNumberFormat="1" applyFont="1" applyBorder="1" applyAlignment="1">
      <alignment horizontal="right" vertical="center"/>
    </xf>
    <xf numFmtId="4" fontId="32" fillId="15" borderId="24" xfId="5" applyNumberFormat="1" applyFont="1" applyFill="1" applyBorder="1" applyAlignment="1">
      <alignment vertical="center"/>
    </xf>
    <xf numFmtId="0" fontId="37" fillId="0" borderId="75" xfId="0" applyFont="1" applyBorder="1"/>
    <xf numFmtId="10" fontId="37" fillId="0" borderId="76" xfId="6" applyNumberFormat="1" applyFont="1" applyFill="1" applyBorder="1"/>
    <xf numFmtId="43" fontId="37" fillId="6" borderId="78" xfId="7" applyFont="1" applyFill="1" applyBorder="1"/>
    <xf numFmtId="168" fontId="37" fillId="0" borderId="76" xfId="7" applyNumberFormat="1" applyFont="1" applyFill="1" applyBorder="1"/>
    <xf numFmtId="168" fontId="37" fillId="6" borderId="78" xfId="7" applyNumberFormat="1" applyFont="1" applyFill="1" applyBorder="1"/>
    <xf numFmtId="0" fontId="37" fillId="0" borderId="76" xfId="0" applyFont="1" applyBorder="1"/>
    <xf numFmtId="168" fontId="37" fillId="0" borderId="76" xfId="6" quotePrefix="1" applyNumberFormat="1" applyFont="1" applyBorder="1" applyAlignment="1">
      <alignment horizontal="right" vertical="center"/>
    </xf>
    <xf numFmtId="4" fontId="37" fillId="15" borderId="79" xfId="5" applyNumberFormat="1" applyFont="1" applyFill="1" applyBorder="1" applyAlignment="1">
      <alignment vertical="center"/>
    </xf>
    <xf numFmtId="176" fontId="37" fillId="0" borderId="15" xfId="0" applyNumberFormat="1" applyFont="1" applyBorder="1" applyAlignment="1">
      <alignment vertical="center"/>
    </xf>
    <xf numFmtId="176" fontId="37" fillId="0" borderId="60" xfId="0" applyNumberFormat="1" applyFont="1" applyBorder="1" applyAlignment="1">
      <alignment vertical="center"/>
    </xf>
    <xf numFmtId="176" fontId="37" fillId="0" borderId="62" xfId="0" applyNumberFormat="1" applyFont="1" applyBorder="1" applyAlignment="1">
      <alignment vertical="center"/>
    </xf>
    <xf numFmtId="43" fontId="37" fillId="12" borderId="62" xfId="7" applyFont="1" applyFill="1" applyBorder="1" applyAlignment="1">
      <alignment vertical="center"/>
    </xf>
    <xf numFmtId="10" fontId="46" fillId="0" borderId="62" xfId="8" applyNumberFormat="1" applyFont="1" applyFill="1" applyBorder="1" applyAlignment="1">
      <alignment vertical="center"/>
    </xf>
    <xf numFmtId="10" fontId="37" fillId="0" borderId="62" xfId="6" quotePrefix="1" applyNumberFormat="1" applyFont="1" applyBorder="1" applyAlignment="1">
      <alignment horizontal="right" vertical="center"/>
    </xf>
    <xf numFmtId="0" fontId="37" fillId="8" borderId="61" xfId="0" applyFont="1" applyFill="1" applyBorder="1"/>
    <xf numFmtId="0" fontId="37" fillId="9" borderId="15" xfId="0" applyFont="1" applyFill="1" applyBorder="1"/>
    <xf numFmtId="10" fontId="37" fillId="9" borderId="9" xfId="6" applyNumberFormat="1" applyFont="1" applyFill="1" applyBorder="1"/>
    <xf numFmtId="0" fontId="37" fillId="10" borderId="9" xfId="0" applyFont="1" applyFill="1" applyBorder="1"/>
    <xf numFmtId="43" fontId="37" fillId="10" borderId="15" xfId="7" applyFont="1" applyFill="1" applyBorder="1" applyAlignment="1">
      <alignment vertical="center"/>
    </xf>
    <xf numFmtId="0" fontId="37" fillId="0" borderId="60" xfId="0" applyFont="1" applyBorder="1"/>
    <xf numFmtId="10" fontId="37" fillId="0" borderId="62" xfId="6" applyNumberFormat="1" applyFont="1" applyFill="1" applyBorder="1"/>
    <xf numFmtId="168" fontId="37" fillId="0" borderId="62" xfId="7" applyNumberFormat="1" applyFont="1" applyFill="1" applyBorder="1"/>
    <xf numFmtId="43" fontId="37" fillId="0" borderId="62" xfId="7" applyFont="1" applyFill="1" applyBorder="1"/>
    <xf numFmtId="168" fontId="46" fillId="0" borderId="62" xfId="6" applyNumberFormat="1" applyFont="1" applyFill="1" applyBorder="1" applyAlignment="1">
      <alignment vertical="center"/>
    </xf>
    <xf numFmtId="176" fontId="37" fillId="0" borderId="80" xfId="0" applyNumberFormat="1" applyFont="1" applyBorder="1" applyAlignment="1">
      <alignment vertical="center"/>
    </xf>
    <xf numFmtId="169" fontId="37" fillId="8" borderId="15" xfId="5" applyNumberFormat="1" applyFont="1" applyFill="1" applyBorder="1" applyAlignment="1">
      <alignment vertical="center"/>
    </xf>
    <xf numFmtId="0" fontId="37" fillId="9" borderId="9" xfId="0" applyFont="1" applyFill="1" applyBorder="1"/>
    <xf numFmtId="169" fontId="37" fillId="9" borderId="15" xfId="5" applyNumberFormat="1" applyFont="1" applyFill="1" applyBorder="1" applyAlignment="1">
      <alignment vertical="center"/>
    </xf>
    <xf numFmtId="0" fontId="37" fillId="0" borderId="62" xfId="0" applyFont="1" applyBorder="1"/>
    <xf numFmtId="168" fontId="37" fillId="0" borderId="62" xfId="6" quotePrefix="1" applyNumberFormat="1" applyFont="1" applyBorder="1" applyAlignment="1">
      <alignment horizontal="right" vertical="center"/>
    </xf>
    <xf numFmtId="176" fontId="37" fillId="0" borderId="66" xfId="0" applyNumberFormat="1" applyFont="1" applyBorder="1" applyAlignment="1">
      <alignment vertical="center"/>
    </xf>
    <xf numFmtId="176" fontId="37" fillId="0" borderId="81" xfId="0" applyNumberFormat="1" applyFont="1" applyBorder="1" applyAlignment="1">
      <alignment vertical="center"/>
    </xf>
    <xf numFmtId="43" fontId="37" fillId="12" borderId="81" xfId="7" applyFont="1" applyFill="1" applyBorder="1" applyAlignment="1">
      <alignment vertical="center"/>
    </xf>
    <xf numFmtId="10" fontId="37" fillId="0" borderId="81" xfId="6" quotePrefix="1" applyNumberFormat="1" applyFont="1" applyBorder="1" applyAlignment="1">
      <alignment horizontal="right" vertical="center"/>
    </xf>
    <xf numFmtId="0" fontId="37" fillId="8" borderId="82" xfId="0" applyFont="1" applyFill="1" applyBorder="1"/>
    <xf numFmtId="0" fontId="37" fillId="9" borderId="66" xfId="0" applyFont="1" applyFill="1" applyBorder="1"/>
    <xf numFmtId="0" fontId="37" fillId="9" borderId="83" xfId="0" applyFont="1" applyFill="1" applyBorder="1"/>
    <xf numFmtId="169" fontId="37" fillId="9" borderId="66" xfId="5" applyNumberFormat="1" applyFont="1" applyFill="1" applyBorder="1" applyAlignment="1">
      <alignment vertical="center"/>
    </xf>
    <xf numFmtId="0" fontId="37" fillId="10" borderId="83" xfId="0" applyFont="1" applyFill="1" applyBorder="1"/>
    <xf numFmtId="43" fontId="37" fillId="10" borderId="66" xfId="7" applyFont="1" applyFill="1" applyBorder="1" applyAlignment="1">
      <alignment vertical="center"/>
    </xf>
    <xf numFmtId="0" fontId="37" fillId="0" borderId="80" xfId="0" applyFont="1" applyBorder="1"/>
    <xf numFmtId="0" fontId="37" fillId="0" borderId="81" xfId="0" applyFont="1" applyBorder="1"/>
    <xf numFmtId="43" fontId="37" fillId="6" borderId="84" xfId="7" applyFont="1" applyFill="1" applyBorder="1"/>
    <xf numFmtId="168" fontId="37" fillId="0" borderId="81" xfId="7" applyNumberFormat="1" applyFont="1" applyFill="1" applyBorder="1"/>
    <xf numFmtId="168" fontId="37" fillId="6" borderId="84" xfId="7" applyNumberFormat="1" applyFont="1" applyFill="1" applyBorder="1"/>
    <xf numFmtId="168" fontId="37" fillId="0" borderId="81" xfId="6" quotePrefix="1" applyNumberFormat="1" applyFont="1" applyBorder="1" applyAlignment="1">
      <alignment horizontal="right" vertical="center"/>
    </xf>
    <xf numFmtId="4" fontId="37" fillId="15" borderId="85" xfId="5" applyNumberFormat="1" applyFont="1" applyFill="1" applyBorder="1" applyAlignment="1">
      <alignment vertical="center"/>
    </xf>
    <xf numFmtId="176" fontId="27" fillId="0" borderId="86" xfId="0" applyNumberFormat="1" applyFont="1" applyBorder="1" applyAlignment="1">
      <alignment vertical="center"/>
    </xf>
    <xf numFmtId="176" fontId="27" fillId="0" borderId="87" xfId="0" applyNumberFormat="1" applyFont="1" applyBorder="1" applyAlignment="1">
      <alignment vertical="center"/>
    </xf>
    <xf numFmtId="176" fontId="37" fillId="0" borderId="88" xfId="0" applyNumberFormat="1" applyFont="1" applyBorder="1" applyAlignment="1">
      <alignment vertical="center"/>
    </xf>
    <xf numFmtId="176" fontId="27" fillId="0" borderId="88" xfId="0" applyNumberFormat="1" applyFont="1" applyBorder="1" applyAlignment="1">
      <alignment vertical="center"/>
    </xf>
    <xf numFmtId="43" fontId="27" fillId="12" borderId="88" xfId="7" applyFont="1" applyFill="1" applyBorder="1" applyAlignment="1">
      <alignment vertical="center"/>
    </xf>
    <xf numFmtId="176" fontId="27" fillId="0" borderId="88" xfId="0" quotePrefix="1" applyNumberFormat="1" applyFont="1" applyBorder="1" applyAlignment="1">
      <alignment horizontal="right" vertical="center"/>
    </xf>
    <xf numFmtId="169" fontId="37" fillId="0" borderId="88" xfId="5" applyNumberFormat="1" applyFont="1" applyBorder="1" applyAlignment="1">
      <alignment vertical="center"/>
    </xf>
    <xf numFmtId="169" fontId="27" fillId="13" borderId="88" xfId="5" applyNumberFormat="1" applyFont="1" applyFill="1" applyBorder="1" applyAlignment="1">
      <alignment vertical="center"/>
    </xf>
    <xf numFmtId="0" fontId="27" fillId="8" borderId="89" xfId="0" applyFont="1" applyFill="1" applyBorder="1"/>
    <xf numFmtId="169" fontId="27" fillId="8" borderId="86" xfId="5" applyNumberFormat="1" applyFont="1" applyFill="1" applyBorder="1" applyAlignment="1">
      <alignment vertical="center"/>
    </xf>
    <xf numFmtId="0" fontId="37" fillId="9" borderId="86" xfId="0" applyFont="1" applyFill="1" applyBorder="1"/>
    <xf numFmtId="0" fontId="37" fillId="9" borderId="90" xfId="0" applyFont="1" applyFill="1" applyBorder="1"/>
    <xf numFmtId="169" fontId="27" fillId="9" borderId="86" xfId="5" applyNumberFormat="1" applyFont="1" applyFill="1" applyBorder="1" applyAlignment="1">
      <alignment vertical="center"/>
    </xf>
    <xf numFmtId="0" fontId="37" fillId="10" borderId="90" xfId="0" applyFont="1" applyFill="1" applyBorder="1"/>
    <xf numFmtId="43" fontId="27" fillId="10" borderId="86" xfId="7" applyFont="1" applyFill="1" applyBorder="1" applyAlignment="1">
      <alignment vertical="center"/>
    </xf>
    <xf numFmtId="43" fontId="37" fillId="0" borderId="90" xfId="7" applyFont="1" applyBorder="1"/>
    <xf numFmtId="169" fontId="27" fillId="15" borderId="86" xfId="5" applyNumberFormat="1" applyFont="1" applyFill="1" applyBorder="1" applyAlignment="1">
      <alignment vertical="center"/>
    </xf>
    <xf numFmtId="0" fontId="37" fillId="0" borderId="87" xfId="0" applyFont="1" applyBorder="1"/>
    <xf numFmtId="0" fontId="37" fillId="0" borderId="88" xfId="0" applyFont="1" applyBorder="1"/>
    <xf numFmtId="169" fontId="27" fillId="0" borderId="88" xfId="5" applyNumberFormat="1" applyFont="1" applyBorder="1" applyAlignment="1">
      <alignment vertical="center"/>
    </xf>
    <xf numFmtId="168" fontId="37" fillId="0" borderId="88" xfId="7" applyNumberFormat="1" applyFont="1" applyBorder="1"/>
    <xf numFmtId="168" fontId="27" fillId="0" borderId="88" xfId="7" applyNumberFormat="1" applyFont="1" applyBorder="1" applyAlignment="1">
      <alignment vertical="center"/>
    </xf>
    <xf numFmtId="43" fontId="27" fillId="0" borderId="88" xfId="7" applyFont="1" applyBorder="1" applyAlignment="1">
      <alignment vertical="center"/>
    </xf>
    <xf numFmtId="169" fontId="27" fillId="15" borderId="91" xfId="5" applyNumberFormat="1" applyFont="1" applyFill="1" applyBorder="1" applyAlignment="1">
      <alignment vertical="center"/>
    </xf>
    <xf numFmtId="0" fontId="37" fillId="0" borderId="0" xfId="0" applyFont="1"/>
    <xf numFmtId="4" fontId="47" fillId="0" borderId="0" xfId="0" applyNumberFormat="1" applyFont="1" applyAlignment="1">
      <alignment vertical="center"/>
    </xf>
    <xf numFmtId="43" fontId="47" fillId="0" borderId="0" xfId="7" applyFont="1" applyBorder="1" applyAlignment="1">
      <alignment vertical="center"/>
    </xf>
    <xf numFmtId="43" fontId="37" fillId="0" borderId="0" xfId="7" applyFont="1" applyBorder="1"/>
    <xf numFmtId="168" fontId="37" fillId="0" borderId="0" xfId="7" applyNumberFormat="1" applyFont="1" applyBorder="1"/>
    <xf numFmtId="168" fontId="47" fillId="0" borderId="0" xfId="7" applyNumberFormat="1" applyFont="1" applyBorder="1" applyAlignment="1">
      <alignment vertical="center"/>
    </xf>
    <xf numFmtId="43" fontId="21" fillId="0" borderId="0" xfId="7" applyFont="1"/>
    <xf numFmtId="43" fontId="48" fillId="0" borderId="0" xfId="7" applyFont="1"/>
    <xf numFmtId="165" fontId="48" fillId="0" borderId="0" xfId="0" applyNumberFormat="1" applyFont="1"/>
    <xf numFmtId="169" fontId="0" fillId="0" borderId="0" xfId="0" applyNumberFormat="1"/>
    <xf numFmtId="165" fontId="49" fillId="0" borderId="0" xfId="0" applyNumberFormat="1" applyFont="1"/>
    <xf numFmtId="168" fontId="0" fillId="0" borderId="0" xfId="0" applyNumberFormat="1"/>
    <xf numFmtId="171" fontId="0" fillId="0" borderId="0" xfId="0" applyNumberFormat="1"/>
    <xf numFmtId="177" fontId="0" fillId="0" borderId="0" xfId="0" applyNumberFormat="1"/>
    <xf numFmtId="178" fontId="0" fillId="0" borderId="0" xfId="0" applyNumberFormat="1"/>
    <xf numFmtId="4" fontId="15" fillId="0" borderId="7" xfId="2" applyNumberFormat="1" applyFont="1" applyFill="1" applyBorder="1" applyAlignment="1" applyProtection="1">
      <alignment horizontal="left" vertical="center"/>
    </xf>
    <xf numFmtId="0" fontId="30" fillId="0" borderId="15" xfId="0" applyNumberFormat="1" applyFont="1" applyBorder="1" applyAlignment="1" applyProtection="1">
      <alignment horizontal="left" vertical="center"/>
      <protection locked="0"/>
    </xf>
    <xf numFmtId="166" fontId="7" fillId="0" borderId="22" xfId="0" applyNumberFormat="1" applyFont="1" applyFill="1" applyBorder="1" applyAlignment="1" applyProtection="1">
      <alignment horizontal="left" vertical="center" wrapText="1"/>
    </xf>
    <xf numFmtId="166" fontId="7" fillId="0" borderId="16" xfId="0" applyNumberFormat="1" applyFont="1" applyFill="1" applyBorder="1" applyAlignment="1" applyProtection="1">
      <alignment horizontal="left" vertical="center" wrapText="1"/>
    </xf>
    <xf numFmtId="166" fontId="7" fillId="0" borderId="23" xfId="0" applyNumberFormat="1" applyFont="1" applyFill="1" applyBorder="1" applyAlignment="1" applyProtection="1">
      <alignment horizontal="left" vertical="center" wrapText="1"/>
    </xf>
    <xf numFmtId="0" fontId="0" fillId="16" borderId="0" xfId="0" applyFill="1"/>
    <xf numFmtId="4" fontId="3" fillId="0" borderId="6" xfId="1" applyNumberFormat="1" applyFont="1" applyFill="1" applyBorder="1" applyAlignment="1" applyProtection="1">
      <alignment vertical="center"/>
    </xf>
    <xf numFmtId="166" fontId="7" fillId="0" borderId="22" xfId="0" applyNumberFormat="1" applyFont="1" applyFill="1" applyBorder="1" applyAlignment="1" applyProtection="1">
      <alignment horizontal="left" vertical="center" wrapText="1"/>
    </xf>
    <xf numFmtId="166" fontId="7" fillId="0" borderId="16" xfId="0" applyNumberFormat="1" applyFont="1" applyFill="1" applyBorder="1" applyAlignment="1" applyProtection="1">
      <alignment horizontal="left" vertical="center" wrapText="1"/>
    </xf>
    <xf numFmtId="166" fontId="7" fillId="0" borderId="23" xfId="0" applyNumberFormat="1" applyFont="1" applyFill="1" applyBorder="1" applyAlignment="1" applyProtection="1">
      <alignment horizontal="left" vertical="center" wrapText="1"/>
    </xf>
    <xf numFmtId="167" fontId="2" fillId="0" borderId="0" xfId="0" applyNumberFormat="1" applyFont="1" applyFill="1" applyBorder="1" applyAlignment="1">
      <alignment horizontal="left" vertical="center"/>
    </xf>
    <xf numFmtId="0" fontId="12" fillId="5" borderId="2" xfId="2" applyFont="1" applyFill="1" applyBorder="1" applyAlignment="1" applyProtection="1">
      <alignment horizontal="center" vertical="center"/>
    </xf>
    <xf numFmtId="0" fontId="12" fillId="5" borderId="3" xfId="2" applyFont="1" applyFill="1" applyBorder="1" applyAlignment="1" applyProtection="1">
      <alignment horizontal="center" vertical="center"/>
    </xf>
    <xf numFmtId="0" fontId="12" fillId="5" borderId="4" xfId="2" applyFont="1" applyFill="1" applyBorder="1" applyAlignment="1" applyProtection="1">
      <alignment horizontal="center" vertical="center"/>
    </xf>
    <xf numFmtId="0" fontId="13" fillId="5" borderId="2" xfId="2" applyFont="1" applyFill="1" applyBorder="1" applyAlignment="1" applyProtection="1">
      <alignment horizontal="center" vertical="center"/>
    </xf>
    <xf numFmtId="0" fontId="13" fillId="5" borderId="3" xfId="2" applyFont="1" applyFill="1" applyBorder="1" applyAlignment="1" applyProtection="1">
      <alignment horizontal="center" vertical="center"/>
    </xf>
    <xf numFmtId="0" fontId="13" fillId="5" borderId="4" xfId="2" applyFont="1" applyFill="1" applyBorder="1" applyAlignment="1" applyProtection="1">
      <alignment horizontal="center" vertical="center"/>
    </xf>
    <xf numFmtId="166" fontId="7" fillId="0" borderId="92" xfId="0" applyNumberFormat="1" applyFont="1" applyFill="1" applyBorder="1" applyAlignment="1" applyProtection="1">
      <alignment horizontal="left" vertical="center" wrapText="1"/>
    </xf>
    <xf numFmtId="166" fontId="7" fillId="0" borderId="71" xfId="0" applyNumberFormat="1" applyFont="1" applyFill="1" applyBorder="1" applyAlignment="1" applyProtection="1">
      <alignment horizontal="left" vertical="center" wrapText="1"/>
    </xf>
    <xf numFmtId="166" fontId="7" fillId="0" borderId="93" xfId="0" applyNumberFormat="1" applyFont="1" applyFill="1" applyBorder="1" applyAlignment="1" applyProtection="1">
      <alignment horizontal="left" vertical="center" wrapText="1"/>
    </xf>
    <xf numFmtId="0" fontId="13" fillId="5" borderId="94" xfId="2" applyFont="1" applyFill="1" applyBorder="1" applyAlignment="1" applyProtection="1">
      <alignment horizontal="center" vertical="center"/>
    </xf>
    <xf numFmtId="0" fontId="13" fillId="5" borderId="95" xfId="2" applyFont="1" applyFill="1" applyBorder="1" applyAlignment="1" applyProtection="1">
      <alignment horizontal="center" vertical="center"/>
    </xf>
    <xf numFmtId="0" fontId="13" fillId="5" borderId="96" xfId="2" applyFont="1" applyFill="1" applyBorder="1" applyAlignment="1" applyProtection="1">
      <alignment horizontal="center" vertical="center"/>
    </xf>
    <xf numFmtId="4" fontId="3" fillId="0" borderId="7" xfId="2" applyNumberFormat="1" applyFont="1" applyFill="1" applyBorder="1" applyAlignment="1" applyProtection="1">
      <alignment horizontal="right" vertical="center"/>
    </xf>
    <xf numFmtId="4" fontId="15" fillId="0" borderId="6" xfId="1" applyNumberFormat="1" applyFont="1" applyFill="1" applyBorder="1" applyAlignment="1" applyProtection="1">
      <alignment vertical="center"/>
    </xf>
    <xf numFmtId="4" fontId="11" fillId="0" borderId="7" xfId="2" applyNumberFormat="1" applyFont="1" applyFill="1" applyBorder="1" applyAlignment="1" applyProtection="1">
      <alignment vertical="center"/>
    </xf>
    <xf numFmtId="4" fontId="3" fillId="4" borderId="15" xfId="2" applyNumberFormat="1" applyFont="1" applyFill="1" applyBorder="1" applyAlignment="1" applyProtection="1">
      <alignment horizontal="right" vertical="center"/>
    </xf>
    <xf numFmtId="0" fontId="15" fillId="0" borderId="0" xfId="0" applyFont="1"/>
    <xf numFmtId="4" fontId="15" fillId="0" borderId="12" xfId="2" applyNumberFormat="1" applyFont="1" applyFill="1" applyBorder="1" applyAlignment="1" applyProtection="1">
      <alignment horizontal="left" vertical="center"/>
    </xf>
    <xf numFmtId="4" fontId="15" fillId="0" borderId="15" xfId="1" applyNumberFormat="1" applyFont="1" applyFill="1" applyBorder="1" applyAlignment="1" applyProtection="1">
      <alignment horizontal="left" vertical="center" indent="3"/>
    </xf>
    <xf numFmtId="0" fontId="1" fillId="0" borderId="0" xfId="0" applyFont="1" applyAlignment="1">
      <alignment horizontal="center"/>
    </xf>
    <xf numFmtId="0" fontId="0" fillId="4" borderId="0" xfId="0" applyFill="1"/>
    <xf numFmtId="0" fontId="0" fillId="0" borderId="0" xfId="0" applyFill="1"/>
    <xf numFmtId="0" fontId="0" fillId="17" borderId="0" xfId="0" applyFill="1"/>
    <xf numFmtId="4" fontId="0" fillId="4" borderId="0" xfId="0" applyNumberFormat="1" applyFill="1"/>
    <xf numFmtId="4" fontId="0" fillId="0" borderId="0" xfId="0" applyNumberFormat="1" applyFill="1"/>
    <xf numFmtId="175" fontId="3" fillId="0" borderId="15" xfId="2" applyNumberFormat="1" applyFont="1" applyFill="1" applyBorder="1" applyAlignment="1" applyProtection="1">
      <alignment horizontal="left" vertical="center" indent="10"/>
    </xf>
    <xf numFmtId="4" fontId="3" fillId="0" borderId="6" xfId="2" applyNumberFormat="1" applyFont="1" applyFill="1" applyBorder="1" applyAlignment="1" applyProtection="1">
      <alignment horizontal="left" vertical="center"/>
    </xf>
    <xf numFmtId="175" fontId="3" fillId="0" borderId="15" xfId="2" applyNumberFormat="1" applyFont="1" applyFill="1" applyBorder="1" applyAlignment="1" applyProtection="1">
      <alignment vertical="center"/>
    </xf>
    <xf numFmtId="174" fontId="3" fillId="0" borderId="15" xfId="2" applyNumberFormat="1" applyFont="1" applyFill="1" applyBorder="1" applyAlignment="1" applyProtection="1">
      <alignment vertical="center"/>
    </xf>
    <xf numFmtId="167" fontId="2" fillId="0" borderId="0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2" fillId="5" borderId="2" xfId="2" applyFont="1" applyFill="1" applyBorder="1" applyAlignment="1" applyProtection="1">
      <alignment horizontal="center" vertical="center"/>
    </xf>
    <xf numFmtId="0" fontId="12" fillId="5" borderId="3" xfId="2" applyFont="1" applyFill="1" applyBorder="1" applyAlignment="1" applyProtection="1">
      <alignment horizontal="center" vertical="center"/>
    </xf>
    <xf numFmtId="0" fontId="12" fillId="5" borderId="4" xfId="2" applyFont="1" applyFill="1" applyBorder="1" applyAlignment="1" applyProtection="1">
      <alignment horizontal="center" vertical="center"/>
    </xf>
    <xf numFmtId="0" fontId="7" fillId="0" borderId="0" xfId="2" applyFont="1" applyFill="1" applyAlignment="1" applyProtection="1">
      <alignment horizontal="center" vertical="center"/>
    </xf>
    <xf numFmtId="0" fontId="13" fillId="5" borderId="2" xfId="2" applyFont="1" applyFill="1" applyBorder="1" applyAlignment="1" applyProtection="1">
      <alignment horizontal="center" vertical="center"/>
    </xf>
    <xf numFmtId="0" fontId="13" fillId="5" borderId="3" xfId="2" applyFont="1" applyFill="1" applyBorder="1" applyAlignment="1" applyProtection="1">
      <alignment horizontal="center" vertical="center"/>
    </xf>
    <xf numFmtId="0" fontId="13" fillId="5" borderId="4" xfId="2" applyFont="1" applyFill="1" applyBorder="1" applyAlignment="1" applyProtection="1">
      <alignment horizontal="center" vertical="center"/>
    </xf>
    <xf numFmtId="4" fontId="2" fillId="0" borderId="6" xfId="2" applyNumberFormat="1" applyFont="1" applyFill="1" applyBorder="1" applyAlignment="1" applyProtection="1">
      <alignment vertical="center"/>
    </xf>
    <xf numFmtId="4" fontId="2" fillId="0" borderId="7" xfId="2" applyNumberFormat="1" applyFont="1" applyFill="1" applyBorder="1" applyAlignment="1" applyProtection="1">
      <alignment horizontal="left" vertical="center"/>
    </xf>
    <xf numFmtId="11" fontId="2" fillId="0" borderId="0" xfId="0" applyNumberFormat="1" applyFont="1"/>
    <xf numFmtId="166" fontId="7" fillId="0" borderId="22" xfId="0" applyNumberFormat="1" applyFont="1" applyFill="1" applyBorder="1" applyAlignment="1" applyProtection="1">
      <alignment horizontal="left" vertical="center" wrapText="1"/>
    </xf>
    <xf numFmtId="166" fontId="7" fillId="0" borderId="16" xfId="0" applyNumberFormat="1" applyFont="1" applyFill="1" applyBorder="1" applyAlignment="1" applyProtection="1">
      <alignment horizontal="left" vertical="center" wrapText="1"/>
    </xf>
    <xf numFmtId="166" fontId="7" fillId="0" borderId="23" xfId="0" applyNumberFormat="1" applyFont="1" applyFill="1" applyBorder="1" applyAlignment="1" applyProtection="1">
      <alignment horizontal="left" vertical="center" wrapText="1"/>
    </xf>
    <xf numFmtId="167" fontId="2" fillId="0" borderId="0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2" fillId="5" borderId="2" xfId="2" applyFont="1" applyFill="1" applyBorder="1" applyAlignment="1" applyProtection="1">
      <alignment horizontal="center" vertical="center"/>
    </xf>
    <xf numFmtId="0" fontId="12" fillId="5" borderId="3" xfId="2" applyFont="1" applyFill="1" applyBorder="1" applyAlignment="1" applyProtection="1">
      <alignment horizontal="center" vertical="center"/>
    </xf>
    <xf numFmtId="0" fontId="12" fillId="5" borderId="4" xfId="2" applyFont="1" applyFill="1" applyBorder="1" applyAlignment="1" applyProtection="1">
      <alignment horizontal="center" vertical="center"/>
    </xf>
    <xf numFmtId="0" fontId="7" fillId="0" borderId="0" xfId="2" applyFont="1" applyFill="1" applyAlignment="1" applyProtection="1">
      <alignment horizontal="center" vertical="center"/>
    </xf>
    <xf numFmtId="0" fontId="13" fillId="5" borderId="2" xfId="2" applyFont="1" applyFill="1" applyBorder="1" applyAlignment="1" applyProtection="1">
      <alignment horizontal="center" vertical="center"/>
    </xf>
    <xf numFmtId="0" fontId="13" fillId="5" borderId="3" xfId="2" applyFont="1" applyFill="1" applyBorder="1" applyAlignment="1" applyProtection="1">
      <alignment horizontal="center" vertical="center"/>
    </xf>
    <xf numFmtId="0" fontId="13" fillId="5" borderId="4" xfId="2" applyFont="1" applyFill="1" applyBorder="1" applyAlignment="1" applyProtection="1">
      <alignment horizontal="center" vertical="center"/>
    </xf>
    <xf numFmtId="0" fontId="25" fillId="7" borderId="38" xfId="0" applyFont="1" applyFill="1" applyBorder="1" applyAlignment="1">
      <alignment horizontal="center" vertical="center"/>
    </xf>
    <xf numFmtId="43" fontId="25" fillId="7" borderId="38" xfId="7" applyFont="1" applyFill="1" applyBorder="1" applyAlignment="1">
      <alignment horizontal="center" vertical="center" wrapText="1"/>
    </xf>
    <xf numFmtId="0" fontId="25" fillId="7" borderId="38" xfId="0" applyFont="1" applyFill="1" applyBorder="1" applyAlignment="1">
      <alignment horizontal="center" vertical="center" wrapText="1"/>
    </xf>
    <xf numFmtId="4" fontId="3" fillId="0" borderId="15" xfId="1" applyNumberFormat="1" applyFont="1" applyFill="1" applyBorder="1" applyAlignment="1" applyProtection="1">
      <alignment horizontal="left" vertical="center" indent="3"/>
    </xf>
    <xf numFmtId="4" fontId="4" fillId="0" borderId="15" xfId="1" applyNumberFormat="1" applyFont="1" applyBorder="1" applyAlignment="1" applyProtection="1">
      <alignment horizontal="left" vertical="center"/>
    </xf>
    <xf numFmtId="0" fontId="3" fillId="0" borderId="0" xfId="0" applyFont="1"/>
    <xf numFmtId="0" fontId="3" fillId="0" borderId="0" xfId="0" applyFont="1" applyBorder="1"/>
    <xf numFmtId="0" fontId="3" fillId="0" borderId="8" xfId="0" applyFont="1" applyBorder="1"/>
    <xf numFmtId="4" fontId="3" fillId="0" borderId="15" xfId="1" applyNumberFormat="1" applyFont="1" applyFill="1" applyBorder="1" applyAlignment="1" applyProtection="1">
      <alignment horizontal="left" vertical="center"/>
    </xf>
    <xf numFmtId="0" fontId="3" fillId="0" borderId="7" xfId="0" applyFont="1" applyBorder="1"/>
    <xf numFmtId="0" fontId="3" fillId="0" borderId="12" xfId="0" applyFont="1" applyBorder="1"/>
    <xf numFmtId="0" fontId="3" fillId="0" borderId="13" xfId="0" applyFont="1" applyBorder="1"/>
    <xf numFmtId="4" fontId="2" fillId="0" borderId="0" xfId="0" applyNumberFormat="1" applyFont="1"/>
    <xf numFmtId="4" fontId="28" fillId="11" borderId="97" xfId="0" applyNumberFormat="1" applyFont="1" applyFill="1" applyBorder="1" applyAlignment="1">
      <alignment horizontal="center" vertical="center" wrapText="1"/>
    </xf>
    <xf numFmtId="169" fontId="37" fillId="13" borderId="77" xfId="5" applyNumberFormat="1" applyFont="1" applyFill="1" applyBorder="1" applyAlignment="1">
      <alignment vertical="center"/>
    </xf>
    <xf numFmtId="169" fontId="37" fillId="13" borderId="98" xfId="5" applyNumberFormat="1" applyFont="1" applyFill="1" applyBorder="1" applyAlignment="1">
      <alignment vertical="center"/>
    </xf>
    <xf numFmtId="169" fontId="27" fillId="13" borderId="89" xfId="5" applyNumberFormat="1" applyFont="1" applyFill="1" applyBorder="1" applyAlignment="1">
      <alignment vertical="center"/>
    </xf>
    <xf numFmtId="4" fontId="3" fillId="0" borderId="12" xfId="2" applyNumberFormat="1" applyFont="1" applyFill="1" applyBorder="1" applyAlignment="1" applyProtection="1">
      <alignment horizontal="left" vertical="center"/>
    </xf>
    <xf numFmtId="4" fontId="3" fillId="0" borderId="7" xfId="2" applyNumberFormat="1" applyFont="1" applyFill="1" applyBorder="1" applyAlignment="1" applyProtection="1">
      <alignment vertical="center"/>
    </xf>
    <xf numFmtId="0" fontId="4" fillId="2" borderId="5" xfId="1" applyFont="1" applyFill="1" applyBorder="1" applyAlignment="1" applyProtection="1">
      <alignment horizontal="center" vertical="center" wrapText="1"/>
    </xf>
    <xf numFmtId="0" fontId="4" fillId="2" borderId="4" xfId="1" applyFont="1" applyFill="1" applyBorder="1" applyAlignment="1" applyProtection="1">
      <alignment horizontal="center" vertical="center" wrapText="1"/>
    </xf>
    <xf numFmtId="0" fontId="2" fillId="0" borderId="6" xfId="0" applyFont="1" applyBorder="1"/>
    <xf numFmtId="4" fontId="4" fillId="0" borderId="12" xfId="2" applyNumberFormat="1" applyFont="1" applyFill="1" applyBorder="1" applyAlignment="1" applyProtection="1">
      <alignment vertical="center"/>
    </xf>
    <xf numFmtId="4" fontId="4" fillId="0" borderId="13" xfId="2" applyNumberFormat="1" applyFont="1" applyFill="1" applyBorder="1" applyAlignment="1" applyProtection="1">
      <alignment vertical="center"/>
    </xf>
    <xf numFmtId="0" fontId="32" fillId="0" borderId="66" xfId="0" applyFont="1" applyBorder="1" applyAlignment="1" applyProtection="1">
      <alignment horizontal="center" vertical="center"/>
      <protection locked="0"/>
    </xf>
    <xf numFmtId="0" fontId="23" fillId="0" borderId="0" xfId="0" applyFont="1" applyAlignment="1"/>
    <xf numFmtId="179" fontId="0" fillId="0" borderId="0" xfId="0" applyNumberFormat="1"/>
    <xf numFmtId="169" fontId="32" fillId="18" borderId="15" xfId="5" applyNumberFormat="1" applyFont="1" applyFill="1" applyBorder="1" applyAlignment="1">
      <alignment vertical="center"/>
    </xf>
    <xf numFmtId="0" fontId="32" fillId="18" borderId="31" xfId="0" applyFont="1" applyFill="1" applyBorder="1"/>
    <xf numFmtId="4" fontId="28" fillId="18" borderId="14" xfId="0" applyNumberFormat="1" applyFont="1" applyFill="1" applyBorder="1" applyAlignment="1">
      <alignment vertical="center"/>
    </xf>
    <xf numFmtId="169" fontId="28" fillId="18" borderId="9" xfId="5" applyNumberFormat="1" applyFont="1" applyFill="1" applyBorder="1" applyAlignment="1">
      <alignment vertical="center"/>
    </xf>
    <xf numFmtId="4" fontId="28" fillId="18" borderId="15" xfId="5" applyNumberFormat="1" applyFont="1" applyFill="1" applyBorder="1" applyAlignment="1">
      <alignment vertical="center"/>
    </xf>
    <xf numFmtId="4" fontId="28" fillId="18" borderId="9" xfId="5" applyNumberFormat="1" applyFont="1" applyFill="1" applyBorder="1" applyAlignment="1">
      <alignment vertical="center"/>
    </xf>
    <xf numFmtId="4" fontId="28" fillId="18" borderId="15" xfId="0" applyNumberFormat="1" applyFont="1" applyFill="1" applyBorder="1"/>
    <xf numFmtId="169" fontId="32" fillId="18" borderId="9" xfId="5" applyNumberFormat="1" applyFont="1" applyFill="1" applyBorder="1" applyAlignment="1">
      <alignment vertical="center"/>
    </xf>
    <xf numFmtId="172" fontId="32" fillId="18" borderId="15" xfId="0" applyNumberFormat="1" applyFont="1" applyFill="1" applyBorder="1"/>
    <xf numFmtId="169" fontId="28" fillId="18" borderId="15" xfId="5" applyNumberFormat="1" applyFont="1" applyFill="1" applyBorder="1" applyAlignment="1">
      <alignment vertical="center"/>
    </xf>
    <xf numFmtId="179" fontId="32" fillId="18" borderId="15" xfId="5" applyNumberFormat="1" applyFont="1" applyFill="1" applyBorder="1" applyAlignment="1">
      <alignment vertical="center"/>
    </xf>
    <xf numFmtId="171" fontId="32" fillId="18" borderId="9" xfId="5" applyNumberFormat="1" applyFont="1" applyFill="1" applyBorder="1" applyAlignment="1">
      <alignment vertical="center"/>
    </xf>
    <xf numFmtId="179" fontId="28" fillId="18" borderId="15" xfId="5" applyNumberFormat="1" applyFont="1" applyFill="1" applyBorder="1" applyAlignment="1">
      <alignment vertical="center"/>
    </xf>
    <xf numFmtId="179" fontId="32" fillId="18" borderId="15" xfId="0" applyNumberFormat="1" applyFont="1" applyFill="1" applyBorder="1"/>
    <xf numFmtId="171" fontId="28" fillId="18" borderId="9" xfId="5" applyNumberFormat="1" applyFont="1" applyFill="1" applyBorder="1" applyAlignment="1">
      <alignment vertical="center"/>
    </xf>
    <xf numFmtId="43" fontId="32" fillId="18" borderId="9" xfId="7" applyFont="1" applyFill="1" applyBorder="1" applyAlignment="1">
      <alignment vertical="center"/>
    </xf>
    <xf numFmtId="43" fontId="31" fillId="19" borderId="14" xfId="7" applyFont="1" applyFill="1" applyBorder="1" applyAlignment="1">
      <alignment vertical="center"/>
    </xf>
    <xf numFmtId="4" fontId="28" fillId="19" borderId="14" xfId="0" applyNumberFormat="1" applyFont="1" applyFill="1" applyBorder="1" applyAlignment="1" applyProtection="1">
      <alignment vertical="center"/>
      <protection locked="0"/>
    </xf>
    <xf numFmtId="43" fontId="33" fillId="19" borderId="15" xfId="7" applyFont="1" applyFill="1" applyBorder="1" applyAlignment="1">
      <alignment vertical="center"/>
    </xf>
    <xf numFmtId="172" fontId="32" fillId="19" borderId="15" xfId="0" applyNumberFormat="1" applyFont="1" applyFill="1" applyBorder="1" applyAlignment="1" applyProtection="1">
      <alignment vertical="center"/>
      <protection locked="0"/>
    </xf>
    <xf numFmtId="43" fontId="32" fillId="19" borderId="15" xfId="7" applyFont="1" applyFill="1" applyBorder="1" applyAlignment="1" applyProtection="1">
      <alignment vertical="center"/>
      <protection locked="0"/>
    </xf>
    <xf numFmtId="179" fontId="32" fillId="19" borderId="15" xfId="0" applyNumberFormat="1" applyFont="1" applyFill="1" applyBorder="1" applyAlignment="1" applyProtection="1">
      <alignment vertical="center"/>
      <protection locked="0"/>
    </xf>
    <xf numFmtId="173" fontId="32" fillId="19" borderId="15" xfId="7" applyNumberFormat="1" applyFont="1" applyFill="1" applyBorder="1" applyAlignment="1" applyProtection="1">
      <alignment vertical="center"/>
      <protection locked="0"/>
    </xf>
    <xf numFmtId="0" fontId="32" fillId="12" borderId="31" xfId="0" applyFont="1" applyFill="1" applyBorder="1"/>
    <xf numFmtId="4" fontId="28" fillId="12" borderId="14" xfId="0" applyNumberFormat="1" applyFont="1" applyFill="1" applyBorder="1" applyAlignment="1">
      <alignment vertical="center"/>
    </xf>
    <xf numFmtId="2" fontId="28" fillId="12" borderId="9" xfId="0" applyNumberFormat="1" applyFont="1" applyFill="1" applyBorder="1"/>
    <xf numFmtId="172" fontId="32" fillId="12" borderId="15" xfId="0" applyNumberFormat="1" applyFont="1" applyFill="1" applyBorder="1"/>
    <xf numFmtId="4" fontId="28" fillId="12" borderId="9" xfId="5" applyNumberFormat="1" applyFont="1" applyFill="1" applyBorder="1" applyAlignment="1">
      <alignment vertical="center"/>
    </xf>
    <xf numFmtId="2" fontId="32" fillId="12" borderId="9" xfId="0" applyNumberFormat="1" applyFont="1" applyFill="1" applyBorder="1"/>
    <xf numFmtId="4" fontId="32" fillId="12" borderId="9" xfId="5" applyNumberFormat="1" applyFont="1" applyFill="1" applyBorder="1" applyAlignment="1">
      <alignment vertical="center"/>
    </xf>
    <xf numFmtId="179" fontId="32" fillId="12" borderId="15" xfId="0" applyNumberFormat="1" applyFont="1" applyFill="1" applyBorder="1"/>
    <xf numFmtId="43" fontId="32" fillId="12" borderId="9" xfId="7" applyFont="1" applyFill="1" applyBorder="1" applyAlignment="1" applyProtection="1">
      <alignment vertical="center"/>
      <protection locked="0"/>
    </xf>
    <xf numFmtId="0" fontId="32" fillId="20" borderId="14" xfId="0" applyFont="1" applyFill="1" applyBorder="1"/>
    <xf numFmtId="179" fontId="32" fillId="20" borderId="31" xfId="0" applyNumberFormat="1" applyFont="1" applyFill="1" applyBorder="1"/>
    <xf numFmtId="4" fontId="28" fillId="20" borderId="14" xfId="0" applyNumberFormat="1" applyFont="1" applyFill="1" applyBorder="1" applyAlignment="1">
      <alignment vertical="center"/>
    </xf>
    <xf numFmtId="2" fontId="28" fillId="20" borderId="15" xfId="0" applyNumberFormat="1" applyFont="1" applyFill="1" applyBorder="1"/>
    <xf numFmtId="179" fontId="28" fillId="20" borderId="9" xfId="0" applyNumberFormat="1" applyFont="1" applyFill="1" applyBorder="1"/>
    <xf numFmtId="4" fontId="28" fillId="20" borderId="15" xfId="5" applyNumberFormat="1" applyFont="1" applyFill="1" applyBorder="1" applyAlignment="1">
      <alignment vertical="center"/>
    </xf>
    <xf numFmtId="179" fontId="28" fillId="20" borderId="9" xfId="5" applyNumberFormat="1" applyFont="1" applyFill="1" applyBorder="1" applyAlignment="1">
      <alignment vertical="center"/>
    </xf>
    <xf numFmtId="172" fontId="32" fillId="20" borderId="14" xfId="0" applyNumberFormat="1" applyFont="1" applyFill="1" applyBorder="1" applyAlignment="1">
      <alignment vertical="center"/>
    </xf>
    <xf numFmtId="2" fontId="32" fillId="20" borderId="15" xfId="0" applyNumberFormat="1" applyFont="1" applyFill="1" applyBorder="1"/>
    <xf numFmtId="179" fontId="32" fillId="20" borderId="9" xfId="0" applyNumberFormat="1" applyFont="1" applyFill="1" applyBorder="1"/>
    <xf numFmtId="179" fontId="32" fillId="20" borderId="14" xfId="0" applyNumberFormat="1" applyFont="1" applyFill="1" applyBorder="1" applyAlignment="1">
      <alignment vertical="center"/>
    </xf>
    <xf numFmtId="176" fontId="27" fillId="21" borderId="67" xfId="0" applyNumberFormat="1" applyFont="1" applyFill="1" applyBorder="1" applyAlignment="1">
      <alignment horizontal="left" vertical="center"/>
    </xf>
    <xf numFmtId="176" fontId="37" fillId="21" borderId="5" xfId="0" applyNumberFormat="1" applyFont="1" applyFill="1" applyBorder="1" applyAlignment="1">
      <alignment vertical="center"/>
    </xf>
    <xf numFmtId="176" fontId="27" fillId="21" borderId="68" xfId="0" applyNumberFormat="1" applyFont="1" applyFill="1" applyBorder="1" applyAlignment="1">
      <alignment horizontal="left" vertical="center"/>
    </xf>
    <xf numFmtId="43" fontId="27" fillId="21" borderId="69" xfId="7" applyFont="1" applyFill="1" applyBorder="1" applyAlignment="1">
      <alignment horizontal="right" vertical="center"/>
    </xf>
    <xf numFmtId="176" fontId="37" fillId="21" borderId="69" xfId="0" quotePrefix="1" applyNumberFormat="1" applyFont="1" applyFill="1" applyBorder="1" applyAlignment="1">
      <alignment horizontal="right" vertical="center"/>
    </xf>
    <xf numFmtId="169" fontId="37" fillId="21" borderId="69" xfId="5" applyNumberFormat="1" applyFont="1" applyFill="1" applyBorder="1" applyAlignment="1">
      <alignment vertical="center"/>
    </xf>
    <xf numFmtId="179" fontId="52" fillId="21" borderId="67" xfId="0" applyNumberFormat="1" applyFont="1" applyFill="1" applyBorder="1"/>
    <xf numFmtId="0" fontId="37" fillId="21" borderId="70" xfId="0" applyFont="1" applyFill="1" applyBorder="1"/>
    <xf numFmtId="0" fontId="37" fillId="21" borderId="67" xfId="0" applyFont="1" applyFill="1" applyBorder="1"/>
    <xf numFmtId="0" fontId="37" fillId="21" borderId="71" xfId="0" applyFont="1" applyFill="1" applyBorder="1"/>
    <xf numFmtId="176" fontId="37" fillId="21" borderId="67" xfId="0" applyNumberFormat="1" applyFont="1" applyFill="1" applyBorder="1" applyAlignment="1">
      <alignment vertical="center"/>
    </xf>
    <xf numFmtId="179" fontId="32" fillId="19" borderId="15" xfId="7" applyNumberFormat="1" applyFont="1" applyFill="1" applyBorder="1" applyAlignment="1" applyProtection="1">
      <alignment vertical="center"/>
      <protection locked="0"/>
    </xf>
    <xf numFmtId="179" fontId="32" fillId="19" borderId="6" xfId="7" applyNumberFormat="1" applyFont="1" applyFill="1" applyBorder="1" applyAlignment="1" applyProtection="1">
      <alignment vertical="center"/>
      <protection locked="0"/>
    </xf>
    <xf numFmtId="0" fontId="2" fillId="0" borderId="6" xfId="0" applyFont="1" applyFill="1" applyBorder="1"/>
    <xf numFmtId="0" fontId="3" fillId="0" borderId="0" xfId="0" applyFont="1" applyFill="1"/>
    <xf numFmtId="166" fontId="7" fillId="0" borderId="22" xfId="0" applyNumberFormat="1" applyFont="1" applyFill="1" applyBorder="1" applyAlignment="1" applyProtection="1">
      <alignment horizontal="left" vertical="center" wrapText="1"/>
    </xf>
    <xf numFmtId="166" fontId="7" fillId="0" borderId="16" xfId="0" applyNumberFormat="1" applyFont="1" applyFill="1" applyBorder="1" applyAlignment="1" applyProtection="1">
      <alignment horizontal="left" vertical="center" wrapText="1"/>
    </xf>
    <xf numFmtId="166" fontId="7" fillId="0" borderId="23" xfId="0" applyNumberFormat="1" applyFont="1" applyFill="1" applyBorder="1" applyAlignment="1" applyProtection="1">
      <alignment horizontal="left" vertical="center" wrapText="1"/>
    </xf>
    <xf numFmtId="167" fontId="2" fillId="0" borderId="0" xfId="0" applyNumberFormat="1" applyFont="1" applyFill="1" applyBorder="1" applyAlignment="1">
      <alignment horizontal="left" vertical="center"/>
    </xf>
    <xf numFmtId="0" fontId="12" fillId="0" borderId="0" xfId="2" applyFont="1" applyFill="1" applyAlignment="1" applyProtection="1">
      <alignment horizontal="center" vertic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2" fillId="5" borderId="2" xfId="2" applyFont="1" applyFill="1" applyBorder="1" applyAlignment="1" applyProtection="1">
      <alignment horizontal="center" vertical="center"/>
    </xf>
    <xf numFmtId="0" fontId="12" fillId="5" borderId="3" xfId="2" applyFont="1" applyFill="1" applyBorder="1" applyAlignment="1" applyProtection="1">
      <alignment horizontal="center" vertical="center"/>
    </xf>
    <xf numFmtId="0" fontId="12" fillId="5" borderId="4" xfId="2" applyFont="1" applyFill="1" applyBorder="1" applyAlignment="1" applyProtection="1">
      <alignment horizontal="center" vertical="center"/>
    </xf>
    <xf numFmtId="0" fontId="25" fillId="7" borderId="9" xfId="0" applyFont="1" applyFill="1" applyBorder="1" applyAlignment="1">
      <alignment horizontal="center" wrapText="1"/>
    </xf>
    <xf numFmtId="0" fontId="25" fillId="7" borderId="35" xfId="0" applyFont="1" applyFill="1" applyBorder="1" applyAlignment="1">
      <alignment horizontal="center" wrapText="1"/>
    </xf>
    <xf numFmtId="0" fontId="25" fillId="7" borderId="15" xfId="0" applyFont="1" applyFill="1" applyBorder="1" applyAlignment="1">
      <alignment horizontal="center" vertical="center" wrapText="1"/>
    </xf>
    <xf numFmtId="0" fontId="25" fillId="7" borderId="38" xfId="0" applyFont="1" applyFill="1" applyBorder="1" applyAlignment="1">
      <alignment horizontal="center" vertical="center" wrapText="1"/>
    </xf>
    <xf numFmtId="0" fontId="25" fillId="7" borderId="29" xfId="0" applyFont="1" applyFill="1" applyBorder="1" applyAlignment="1">
      <alignment horizontal="center" vertical="center" wrapText="1"/>
    </xf>
    <xf numFmtId="0" fontId="25" fillId="7" borderId="31" xfId="0" applyFont="1" applyFill="1" applyBorder="1" applyAlignment="1">
      <alignment horizontal="center" vertical="center" wrapText="1"/>
    </xf>
    <xf numFmtId="0" fontId="25" fillId="7" borderId="30" xfId="0" applyFont="1" applyFill="1" applyBorder="1" applyAlignment="1">
      <alignment horizontal="center" vertical="center" wrapText="1"/>
    </xf>
    <xf numFmtId="0" fontId="23" fillId="0" borderId="99" xfId="0" applyFont="1" applyBorder="1" applyAlignment="1">
      <alignment horizontal="center"/>
    </xf>
    <xf numFmtId="0" fontId="25" fillId="7" borderId="34" xfId="0" applyFont="1" applyFill="1" applyBorder="1" applyAlignment="1">
      <alignment horizontal="center"/>
    </xf>
    <xf numFmtId="0" fontId="25" fillId="7" borderId="35" xfId="0" applyFont="1" applyFill="1" applyBorder="1" applyAlignment="1">
      <alignment horizontal="center"/>
    </xf>
    <xf numFmtId="0" fontId="24" fillId="7" borderId="26" xfId="0" applyFont="1" applyFill="1" applyBorder="1" applyAlignment="1">
      <alignment horizontal="center" vertical="center"/>
    </xf>
    <xf numFmtId="0" fontId="24" fillId="7" borderId="33" xfId="0" applyFont="1" applyFill="1" applyBorder="1" applyAlignment="1">
      <alignment horizontal="center" vertical="center"/>
    </xf>
    <xf numFmtId="0" fontId="24" fillId="7" borderId="37" xfId="0" applyFont="1" applyFill="1" applyBorder="1" applyAlignment="1">
      <alignment horizontal="center" vertical="center"/>
    </xf>
    <xf numFmtId="0" fontId="24" fillId="7" borderId="27" xfId="0" applyFont="1" applyFill="1" applyBorder="1" applyAlignment="1">
      <alignment horizontal="center" vertical="center"/>
    </xf>
    <xf numFmtId="0" fontId="24" fillId="7" borderId="15" xfId="0" applyFont="1" applyFill="1" applyBorder="1" applyAlignment="1">
      <alignment horizontal="center" vertical="center"/>
    </xf>
    <xf numFmtId="0" fontId="24" fillId="7" borderId="38" xfId="0" applyFont="1" applyFill="1" applyBorder="1" applyAlignment="1">
      <alignment horizontal="center" vertical="center"/>
    </xf>
    <xf numFmtId="0" fontId="25" fillId="7" borderId="28" xfId="0" applyFont="1" applyFill="1" applyBorder="1" applyAlignment="1">
      <alignment horizontal="center" vertical="center"/>
    </xf>
    <xf numFmtId="0" fontId="25" fillId="7" borderId="6" xfId="0" applyFont="1" applyFill="1" applyBorder="1" applyAlignment="1">
      <alignment horizontal="center" vertical="center"/>
    </xf>
    <xf numFmtId="0" fontId="25" fillId="7" borderId="10" xfId="0" applyFont="1" applyFill="1" applyBorder="1" applyAlignment="1">
      <alignment horizontal="center" vertical="center"/>
    </xf>
    <xf numFmtId="0" fontId="24" fillId="7" borderId="29" xfId="0" applyFont="1" applyFill="1" applyBorder="1" applyAlignment="1">
      <alignment horizontal="center" vertical="center"/>
    </xf>
    <xf numFmtId="0" fontId="24" fillId="7" borderId="30" xfId="0" applyFont="1" applyFill="1" applyBorder="1" applyAlignment="1">
      <alignment horizontal="center" vertical="center"/>
    </xf>
    <xf numFmtId="0" fontId="25" fillId="7" borderId="34" xfId="0" applyFont="1" applyFill="1" applyBorder="1" applyAlignment="1">
      <alignment horizontal="center" vertical="center"/>
    </xf>
    <xf numFmtId="0" fontId="25" fillId="7" borderId="35" xfId="0" applyFont="1" applyFill="1" applyBorder="1" applyAlignment="1">
      <alignment horizontal="center" vertical="center"/>
    </xf>
    <xf numFmtId="0" fontId="25" fillId="7" borderId="32" xfId="0" applyFont="1" applyFill="1" applyBorder="1" applyAlignment="1">
      <alignment horizontal="center" vertical="center" wrapText="1"/>
    </xf>
    <xf numFmtId="0" fontId="25" fillId="7" borderId="15" xfId="0" applyFont="1" applyFill="1" applyBorder="1" applyAlignment="1">
      <alignment horizontal="center" vertical="center"/>
    </xf>
    <xf numFmtId="0" fontId="25" fillId="7" borderId="38" xfId="0" applyFont="1" applyFill="1" applyBorder="1" applyAlignment="1">
      <alignment horizontal="center" vertical="center"/>
    </xf>
    <xf numFmtId="43" fontId="25" fillId="7" borderId="15" xfId="7" applyFont="1" applyFill="1" applyBorder="1" applyAlignment="1">
      <alignment horizontal="center" vertical="center" wrapText="1"/>
    </xf>
    <xf numFmtId="43" fontId="25" fillId="7" borderId="38" xfId="7" applyFont="1" applyFill="1" applyBorder="1" applyAlignment="1">
      <alignment horizontal="center" vertical="center" wrapText="1"/>
    </xf>
    <xf numFmtId="168" fontId="25" fillId="7" borderId="15" xfId="7" applyNumberFormat="1" applyFont="1" applyFill="1" applyBorder="1" applyAlignment="1">
      <alignment horizontal="center" vertical="center" wrapText="1"/>
    </xf>
    <xf numFmtId="168" fontId="25" fillId="7" borderId="38" xfId="7" applyNumberFormat="1" applyFont="1" applyFill="1" applyBorder="1" applyAlignment="1">
      <alignment horizontal="center" vertical="center" wrapText="1"/>
    </xf>
    <xf numFmtId="0" fontId="25" fillId="7" borderId="36" xfId="0" applyFont="1" applyFill="1" applyBorder="1" applyAlignment="1">
      <alignment horizontal="center" vertical="center" wrapText="1"/>
    </xf>
    <xf numFmtId="0" fontId="25" fillId="7" borderId="40" xfId="0" applyFont="1" applyFill="1" applyBorder="1" applyAlignment="1">
      <alignment horizontal="center" vertical="center" wrapText="1"/>
    </xf>
    <xf numFmtId="0" fontId="26" fillId="7" borderId="15" xfId="0" applyFont="1" applyFill="1" applyBorder="1" applyAlignment="1">
      <alignment horizontal="center" vertical="center" wrapText="1"/>
    </xf>
    <xf numFmtId="0" fontId="26" fillId="7" borderId="38" xfId="0" applyFont="1" applyFill="1" applyBorder="1" applyAlignment="1">
      <alignment horizontal="center" vertical="center" wrapText="1"/>
    </xf>
    <xf numFmtId="0" fontId="7" fillId="5" borderId="2" xfId="2" applyFont="1" applyFill="1" applyBorder="1" applyAlignment="1" applyProtection="1">
      <alignment horizontal="center" vertical="center"/>
    </xf>
    <xf numFmtId="0" fontId="7" fillId="5" borderId="3" xfId="2" applyFont="1" applyFill="1" applyBorder="1" applyAlignment="1" applyProtection="1">
      <alignment horizontal="center" vertical="center"/>
    </xf>
    <xf numFmtId="0" fontId="7" fillId="5" borderId="4" xfId="2" applyFont="1" applyFill="1" applyBorder="1" applyAlignment="1" applyProtection="1">
      <alignment horizontal="center" vertical="center"/>
    </xf>
    <xf numFmtId="0" fontId="7" fillId="0" borderId="0" xfId="2" applyFont="1" applyFill="1" applyAlignment="1" applyProtection="1">
      <alignment horizontal="center" vertical="center"/>
    </xf>
    <xf numFmtId="0" fontId="1" fillId="0" borderId="83" xfId="0" applyFont="1" applyBorder="1" applyAlignment="1">
      <alignment horizontal="center"/>
    </xf>
    <xf numFmtId="0" fontId="13" fillId="5" borderId="2" xfId="2" applyFont="1" applyFill="1" applyBorder="1" applyAlignment="1" applyProtection="1">
      <alignment horizontal="center" vertical="center"/>
    </xf>
    <xf numFmtId="0" fontId="13" fillId="5" borderId="3" xfId="2" applyFont="1" applyFill="1" applyBorder="1" applyAlignment="1" applyProtection="1">
      <alignment horizontal="center" vertical="center"/>
    </xf>
    <xf numFmtId="0" fontId="13" fillId="5" borderId="4" xfId="2" applyFont="1" applyFill="1" applyBorder="1" applyAlignment="1" applyProtection="1">
      <alignment horizontal="center" vertical="center"/>
    </xf>
    <xf numFmtId="4" fontId="3" fillId="4" borderId="0" xfId="2" applyNumberFormat="1" applyFont="1" applyFill="1" applyBorder="1" applyAlignment="1" applyProtection="1">
      <alignment vertical="center"/>
    </xf>
    <xf numFmtId="4" fontId="3" fillId="4" borderId="6" xfId="2" applyNumberFormat="1" applyFont="1" applyFill="1" applyBorder="1" applyAlignment="1" applyProtection="1">
      <alignment horizontal="center" vertical="center"/>
    </xf>
    <xf numFmtId="4" fontId="3" fillId="17" borderId="6" xfId="2" applyNumberFormat="1" applyFont="1" applyFill="1" applyBorder="1" applyAlignment="1" applyProtection="1">
      <alignment vertical="center"/>
    </xf>
    <xf numFmtId="4" fontId="15" fillId="0" borderId="8" xfId="2" applyNumberFormat="1" applyFont="1" applyFill="1" applyBorder="1" applyAlignment="1" applyProtection="1">
      <alignment vertical="center"/>
    </xf>
    <xf numFmtId="4" fontId="4" fillId="22" borderId="13" xfId="2" applyNumberFormat="1" applyFont="1" applyFill="1" applyBorder="1" applyAlignment="1" applyProtection="1">
      <alignment vertical="center"/>
    </xf>
    <xf numFmtId="4" fontId="4" fillId="22" borderId="8" xfId="2" applyNumberFormat="1" applyFont="1" applyFill="1" applyBorder="1" applyAlignment="1" applyProtection="1">
      <alignment vertical="center"/>
    </xf>
    <xf numFmtId="4" fontId="3" fillId="4" borderId="10" xfId="2" applyNumberFormat="1" applyFont="1" applyFill="1" applyBorder="1" applyAlignment="1" applyProtection="1">
      <alignment vertical="center"/>
    </xf>
    <xf numFmtId="4" fontId="1" fillId="22" borderId="8" xfId="2" applyNumberFormat="1" applyFont="1" applyFill="1" applyBorder="1" applyAlignment="1" applyProtection="1">
      <alignment vertical="center"/>
    </xf>
    <xf numFmtId="4" fontId="1" fillId="22" borderId="0" xfId="2" applyNumberFormat="1" applyFont="1" applyFill="1" applyBorder="1" applyAlignment="1" applyProtection="1">
      <alignment vertical="center"/>
    </xf>
    <xf numFmtId="4" fontId="3" fillId="22" borderId="0" xfId="2" applyNumberFormat="1" applyFont="1" applyFill="1" applyBorder="1" applyAlignment="1" applyProtection="1">
      <alignment vertical="center"/>
    </xf>
  </cellXfs>
  <cellStyles count="10">
    <cellStyle name="Millares 2" xfId="7" xr:uid="{00000000-0005-0000-0000-000000000000}"/>
    <cellStyle name="Moneda" xfId="5" builtinId="4"/>
    <cellStyle name="Normal" xfId="0" builtinId="0"/>
    <cellStyle name="Normal 10 32" xfId="4" xr:uid="{00000000-0005-0000-0000-000003000000}"/>
    <cellStyle name="Normal 2" xfId="3" xr:uid="{00000000-0005-0000-0000-000004000000}"/>
    <cellStyle name="Normal 2 2" xfId="9" xr:uid="{00000000-0005-0000-0000-000005000000}"/>
    <cellStyle name="Normal_Hoja1" xfId="2" xr:uid="{00000000-0005-0000-0000-000006000000}"/>
    <cellStyle name="Normal_RESERVO1" xfId="1" xr:uid="{00000000-0005-0000-0000-000007000000}"/>
    <cellStyle name="Porcentaje" xfId="6" builtinId="5"/>
    <cellStyle name="Porcentaje 2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313764</xdr:colOff>
      <xdr:row>0</xdr:row>
      <xdr:rowOff>33617</xdr:rowOff>
    </xdr:from>
    <xdr:to>
      <xdr:col>2</xdr:col>
      <xdr:colOff>519144</xdr:colOff>
      <xdr:row>4</xdr:row>
      <xdr:rowOff>168088</xdr:rowOff>
    </xdr:to>
    <xdr:pic>
      <xdr:nvPicPr>
        <xdr:cNvPr id="2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456639" y="33617"/>
          <a:ext cx="1081680" cy="8964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0</xdr:row>
      <xdr:rowOff>44823</xdr:rowOff>
    </xdr:from>
    <xdr:to>
      <xdr:col>9</xdr:col>
      <xdr:colOff>278360</xdr:colOff>
      <xdr:row>5</xdr:row>
      <xdr:rowOff>111363</xdr:rowOff>
    </xdr:to>
    <xdr:pic>
      <xdr:nvPicPr>
        <xdr:cNvPr id="3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155082" y="44823"/>
          <a:ext cx="952953" cy="1019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313764</xdr:colOff>
      <xdr:row>0</xdr:row>
      <xdr:rowOff>33617</xdr:rowOff>
    </xdr:from>
    <xdr:to>
      <xdr:col>2</xdr:col>
      <xdr:colOff>519144</xdr:colOff>
      <xdr:row>4</xdr:row>
      <xdr:rowOff>168088</xdr:rowOff>
    </xdr:to>
    <xdr:pic>
      <xdr:nvPicPr>
        <xdr:cNvPr id="2" name="Imagen 6" descr="C:\Users\user5\Desktop\estudios definitivos.jpg">
          <a:extLst>
            <a:ext uri="{FF2B5EF4-FFF2-40B4-BE49-F238E27FC236}">
              <a16:creationId xmlns:a16="http://schemas.microsoft.com/office/drawing/2014/main" id="{081F9866-C79D-42CD-9200-37965A893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456639" y="33617"/>
          <a:ext cx="1253130" cy="8964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683559</xdr:colOff>
      <xdr:row>0</xdr:row>
      <xdr:rowOff>11206</xdr:rowOff>
    </xdr:from>
    <xdr:to>
      <xdr:col>8</xdr:col>
      <xdr:colOff>275326</xdr:colOff>
      <xdr:row>7</xdr:row>
      <xdr:rowOff>37413</xdr:rowOff>
    </xdr:to>
    <xdr:pic>
      <xdr:nvPicPr>
        <xdr:cNvPr id="28" name="Imagen 27" descr="Resultado de imagen para gobierno regional de apurimac">
          <a:extLst>
            <a:ext uri="{FF2B5EF4-FFF2-40B4-BE49-F238E27FC236}">
              <a16:creationId xmlns:a16="http://schemas.microsoft.com/office/drawing/2014/main" id="{F51FCC09-AC74-4A13-AD52-D8D08E854339}"/>
            </a:ext>
          </a:extLst>
        </xdr:cNvPr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0587" b="2517"/>
        <a:stretch/>
      </xdr:blipFill>
      <xdr:spPr bwMode="auto">
        <a:xfrm>
          <a:off x="6417609" y="11206"/>
          <a:ext cx="353767" cy="1359707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313764</xdr:colOff>
      <xdr:row>0</xdr:row>
      <xdr:rowOff>33617</xdr:rowOff>
    </xdr:from>
    <xdr:to>
      <xdr:col>2</xdr:col>
      <xdr:colOff>519144</xdr:colOff>
      <xdr:row>4</xdr:row>
      <xdr:rowOff>168088</xdr:rowOff>
    </xdr:to>
    <xdr:pic>
      <xdr:nvPicPr>
        <xdr:cNvPr id="2" name="Imagen 6" descr="C:\Users\user5\Desktop\estudios definitivos.jpg">
          <a:extLst>
            <a:ext uri="{FF2B5EF4-FFF2-40B4-BE49-F238E27FC236}">
              <a16:creationId xmlns:a16="http://schemas.microsoft.com/office/drawing/2014/main" id="{F373D995-9A15-4BF0-BDD9-C1AA717B2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456639" y="33617"/>
          <a:ext cx="1253130" cy="8964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41</xdr:row>
      <xdr:rowOff>44823</xdr:rowOff>
    </xdr:from>
    <xdr:to>
      <xdr:col>2</xdr:col>
      <xdr:colOff>563967</xdr:colOff>
      <xdr:row>45</xdr:row>
      <xdr:rowOff>179294</xdr:rowOff>
    </xdr:to>
    <xdr:pic>
      <xdr:nvPicPr>
        <xdr:cNvPr id="3" name="Imagen 6" descr="C:\Users\user5\Desktop\estudios definitivos.jpg">
          <a:extLst>
            <a:ext uri="{FF2B5EF4-FFF2-40B4-BE49-F238E27FC236}">
              <a16:creationId xmlns:a16="http://schemas.microsoft.com/office/drawing/2014/main" id="{6E27CD49-7B1B-4FD6-A3CC-672B3DAA1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1462" y="24952698"/>
          <a:ext cx="1253130" cy="8393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101</xdr:row>
      <xdr:rowOff>44823</xdr:rowOff>
    </xdr:from>
    <xdr:to>
      <xdr:col>2</xdr:col>
      <xdr:colOff>563967</xdr:colOff>
      <xdr:row>105</xdr:row>
      <xdr:rowOff>179294</xdr:rowOff>
    </xdr:to>
    <xdr:pic>
      <xdr:nvPicPr>
        <xdr:cNvPr id="4" name="Imagen 6" descr="C:\Users\user5\Desktop\estudios definitivos.jpg">
          <a:extLst>
            <a:ext uri="{FF2B5EF4-FFF2-40B4-BE49-F238E27FC236}">
              <a16:creationId xmlns:a16="http://schemas.microsoft.com/office/drawing/2014/main" id="{EDF11787-E2B5-4BC3-BCAB-6592C6A80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1462" y="63748023"/>
          <a:ext cx="1253130" cy="763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101</xdr:row>
      <xdr:rowOff>44823</xdr:rowOff>
    </xdr:from>
    <xdr:to>
      <xdr:col>9</xdr:col>
      <xdr:colOff>278360</xdr:colOff>
      <xdr:row>106</xdr:row>
      <xdr:rowOff>111363</xdr:rowOff>
    </xdr:to>
    <xdr:pic>
      <xdr:nvPicPr>
        <xdr:cNvPr id="5" name="Imagen 6" descr="C:\Users\user5\Desktop\estudios definitivos.jpg">
          <a:extLst>
            <a:ext uri="{FF2B5EF4-FFF2-40B4-BE49-F238E27FC236}">
              <a16:creationId xmlns:a16="http://schemas.microsoft.com/office/drawing/2014/main" id="{AB52515E-66B0-48D0-8204-EF006A7B8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631332" y="63748023"/>
          <a:ext cx="1381578" cy="876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152</xdr:row>
      <xdr:rowOff>44823</xdr:rowOff>
    </xdr:from>
    <xdr:to>
      <xdr:col>2</xdr:col>
      <xdr:colOff>563967</xdr:colOff>
      <xdr:row>156</xdr:row>
      <xdr:rowOff>179294</xdr:rowOff>
    </xdr:to>
    <xdr:pic>
      <xdr:nvPicPr>
        <xdr:cNvPr id="6" name="Imagen 6" descr="C:\Users\user5\Desktop\estudios definitivos.jpg">
          <a:extLst>
            <a:ext uri="{FF2B5EF4-FFF2-40B4-BE49-F238E27FC236}">
              <a16:creationId xmlns:a16="http://schemas.microsoft.com/office/drawing/2014/main" id="{9EB37BDF-8D3C-4C53-9B48-C67C43517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1462" y="99161973"/>
          <a:ext cx="1253130" cy="763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152</xdr:row>
      <xdr:rowOff>44823</xdr:rowOff>
    </xdr:from>
    <xdr:to>
      <xdr:col>9</xdr:col>
      <xdr:colOff>278360</xdr:colOff>
      <xdr:row>157</xdr:row>
      <xdr:rowOff>111363</xdr:rowOff>
    </xdr:to>
    <xdr:pic>
      <xdr:nvPicPr>
        <xdr:cNvPr id="7" name="Imagen 6" descr="C:\Users\user5\Desktop\estudios definitivos.jpg">
          <a:extLst>
            <a:ext uri="{FF2B5EF4-FFF2-40B4-BE49-F238E27FC236}">
              <a16:creationId xmlns:a16="http://schemas.microsoft.com/office/drawing/2014/main" id="{1536ACF1-022F-43B8-8720-DDE5BD182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631332" y="99161973"/>
          <a:ext cx="1381578" cy="876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218</xdr:row>
      <xdr:rowOff>44823</xdr:rowOff>
    </xdr:from>
    <xdr:to>
      <xdr:col>2</xdr:col>
      <xdr:colOff>563967</xdr:colOff>
      <xdr:row>222</xdr:row>
      <xdr:rowOff>179294</xdr:rowOff>
    </xdr:to>
    <xdr:pic>
      <xdr:nvPicPr>
        <xdr:cNvPr id="8" name="Imagen 6" descr="C:\Users\user5\Desktop\estudios definitivos.jpg">
          <a:extLst>
            <a:ext uri="{FF2B5EF4-FFF2-40B4-BE49-F238E27FC236}">
              <a16:creationId xmlns:a16="http://schemas.microsoft.com/office/drawing/2014/main" id="{55895C51-454C-4818-806D-74124357E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1462" y="134661648"/>
          <a:ext cx="1253130" cy="763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218</xdr:row>
      <xdr:rowOff>44823</xdr:rowOff>
    </xdr:from>
    <xdr:to>
      <xdr:col>9</xdr:col>
      <xdr:colOff>278360</xdr:colOff>
      <xdr:row>223</xdr:row>
      <xdr:rowOff>111363</xdr:rowOff>
    </xdr:to>
    <xdr:pic>
      <xdr:nvPicPr>
        <xdr:cNvPr id="9" name="Imagen 6" descr="C:\Users\user5\Desktop\estudios definitivos.jpg">
          <a:extLst>
            <a:ext uri="{FF2B5EF4-FFF2-40B4-BE49-F238E27FC236}">
              <a16:creationId xmlns:a16="http://schemas.microsoft.com/office/drawing/2014/main" id="{C6C6D1E0-9A5C-41EB-A8BA-CE1AAD505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631332" y="134661648"/>
          <a:ext cx="1381578" cy="876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278</xdr:row>
      <xdr:rowOff>44823</xdr:rowOff>
    </xdr:from>
    <xdr:to>
      <xdr:col>2</xdr:col>
      <xdr:colOff>563967</xdr:colOff>
      <xdr:row>282</xdr:row>
      <xdr:rowOff>179294</xdr:rowOff>
    </xdr:to>
    <xdr:pic>
      <xdr:nvPicPr>
        <xdr:cNvPr id="10" name="Imagen 6" descr="C:\Users\user5\Desktop\estudios definitivos.jpg">
          <a:extLst>
            <a:ext uri="{FF2B5EF4-FFF2-40B4-BE49-F238E27FC236}">
              <a16:creationId xmlns:a16="http://schemas.microsoft.com/office/drawing/2014/main" id="{64F054E6-5845-4786-A0C7-7AD554BFC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1462" y="200041248"/>
          <a:ext cx="1253130" cy="763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278</xdr:row>
      <xdr:rowOff>44823</xdr:rowOff>
    </xdr:from>
    <xdr:to>
      <xdr:col>9</xdr:col>
      <xdr:colOff>278360</xdr:colOff>
      <xdr:row>283</xdr:row>
      <xdr:rowOff>111363</xdr:rowOff>
    </xdr:to>
    <xdr:pic>
      <xdr:nvPicPr>
        <xdr:cNvPr id="11" name="Imagen 6" descr="C:\Users\user5\Desktop\estudios definitivos.jpg">
          <a:extLst>
            <a:ext uri="{FF2B5EF4-FFF2-40B4-BE49-F238E27FC236}">
              <a16:creationId xmlns:a16="http://schemas.microsoft.com/office/drawing/2014/main" id="{DFA15DC5-6E66-4046-949A-D42088B69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631332" y="200041248"/>
          <a:ext cx="1381578" cy="876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333</xdr:row>
      <xdr:rowOff>95250</xdr:rowOff>
    </xdr:from>
    <xdr:to>
      <xdr:col>2</xdr:col>
      <xdr:colOff>563967</xdr:colOff>
      <xdr:row>341</xdr:row>
      <xdr:rowOff>179294</xdr:rowOff>
    </xdr:to>
    <xdr:pic>
      <xdr:nvPicPr>
        <xdr:cNvPr id="12" name="Imagen 6" descr="C:\Users\user5\Desktop\estudios definitivos.jpg">
          <a:extLst>
            <a:ext uri="{FF2B5EF4-FFF2-40B4-BE49-F238E27FC236}">
              <a16:creationId xmlns:a16="http://schemas.microsoft.com/office/drawing/2014/main" id="{5FC68125-2F67-4F0D-991C-190CE7CC3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1462" y="66976625"/>
          <a:ext cx="1253130" cy="13540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333</xdr:row>
      <xdr:rowOff>127000</xdr:rowOff>
    </xdr:from>
    <xdr:to>
      <xdr:col>9</xdr:col>
      <xdr:colOff>278360</xdr:colOff>
      <xdr:row>341</xdr:row>
      <xdr:rowOff>111362</xdr:rowOff>
    </xdr:to>
    <xdr:pic>
      <xdr:nvPicPr>
        <xdr:cNvPr id="13" name="Imagen 6" descr="C:\Users\user5\Desktop\estudios definitivos.jpg">
          <a:extLst>
            <a:ext uri="{FF2B5EF4-FFF2-40B4-BE49-F238E27FC236}">
              <a16:creationId xmlns:a16="http://schemas.microsoft.com/office/drawing/2014/main" id="{4BDEE862-B9C5-4806-BB21-70E04A172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6519957" y="67008375"/>
          <a:ext cx="1378403" cy="12543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398</xdr:row>
      <xdr:rowOff>44823</xdr:rowOff>
    </xdr:from>
    <xdr:to>
      <xdr:col>2</xdr:col>
      <xdr:colOff>563967</xdr:colOff>
      <xdr:row>402</xdr:row>
      <xdr:rowOff>179294</xdr:rowOff>
    </xdr:to>
    <xdr:pic>
      <xdr:nvPicPr>
        <xdr:cNvPr id="14" name="Imagen 6" descr="C:\Users\user5\Desktop\estudios definitivos.jpg">
          <a:extLst>
            <a:ext uri="{FF2B5EF4-FFF2-40B4-BE49-F238E27FC236}">
              <a16:creationId xmlns:a16="http://schemas.microsoft.com/office/drawing/2014/main" id="{1ED4EB76-E710-4AE0-AD9A-A2F55E0E1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1462" y="297110523"/>
          <a:ext cx="1253130" cy="763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398</xdr:row>
      <xdr:rowOff>44823</xdr:rowOff>
    </xdr:from>
    <xdr:to>
      <xdr:col>9</xdr:col>
      <xdr:colOff>278360</xdr:colOff>
      <xdr:row>403</xdr:row>
      <xdr:rowOff>111363</xdr:rowOff>
    </xdr:to>
    <xdr:pic>
      <xdr:nvPicPr>
        <xdr:cNvPr id="15" name="Imagen 6" descr="C:\Users\user5\Desktop\estudios definitivos.jpg">
          <a:extLst>
            <a:ext uri="{FF2B5EF4-FFF2-40B4-BE49-F238E27FC236}">
              <a16:creationId xmlns:a16="http://schemas.microsoft.com/office/drawing/2014/main" id="{4311AFF3-31BB-4D68-A842-6FD41015C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631332" y="297110523"/>
          <a:ext cx="1381578" cy="876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461</xdr:row>
      <xdr:rowOff>44823</xdr:rowOff>
    </xdr:from>
    <xdr:to>
      <xdr:col>2</xdr:col>
      <xdr:colOff>563967</xdr:colOff>
      <xdr:row>465</xdr:row>
      <xdr:rowOff>179294</xdr:rowOff>
    </xdr:to>
    <xdr:pic>
      <xdr:nvPicPr>
        <xdr:cNvPr id="16" name="Imagen 6" descr="C:\Users\user5\Desktop\estudios definitivos.jpg">
          <a:extLst>
            <a:ext uri="{FF2B5EF4-FFF2-40B4-BE49-F238E27FC236}">
              <a16:creationId xmlns:a16="http://schemas.microsoft.com/office/drawing/2014/main" id="{45461B30-0AA1-4C51-9C32-75E47BB6A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1462" y="328885923"/>
          <a:ext cx="1253130" cy="7821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461</xdr:row>
      <xdr:rowOff>44823</xdr:rowOff>
    </xdr:from>
    <xdr:to>
      <xdr:col>9</xdr:col>
      <xdr:colOff>278360</xdr:colOff>
      <xdr:row>466</xdr:row>
      <xdr:rowOff>111363</xdr:rowOff>
    </xdr:to>
    <xdr:pic>
      <xdr:nvPicPr>
        <xdr:cNvPr id="17" name="Imagen 6" descr="C:\Users\user5\Desktop\estudios definitivos.jpg">
          <a:extLst>
            <a:ext uri="{FF2B5EF4-FFF2-40B4-BE49-F238E27FC236}">
              <a16:creationId xmlns:a16="http://schemas.microsoft.com/office/drawing/2014/main" id="{0397BBFA-972F-49D9-BF90-9FDF96E60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631332" y="328885923"/>
          <a:ext cx="1381578" cy="1133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518</xdr:row>
      <xdr:rowOff>44823</xdr:rowOff>
    </xdr:from>
    <xdr:to>
      <xdr:col>2</xdr:col>
      <xdr:colOff>563967</xdr:colOff>
      <xdr:row>522</xdr:row>
      <xdr:rowOff>179294</xdr:rowOff>
    </xdr:to>
    <xdr:pic>
      <xdr:nvPicPr>
        <xdr:cNvPr id="18" name="Imagen 6" descr="C:\Users\user5\Desktop\estudios definitivos.jpg">
          <a:extLst>
            <a:ext uri="{FF2B5EF4-FFF2-40B4-BE49-F238E27FC236}">
              <a16:creationId xmlns:a16="http://schemas.microsoft.com/office/drawing/2014/main" id="{5E0C9968-719A-45B4-9EC6-C3247DAFE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1462" y="359946948"/>
          <a:ext cx="1253130" cy="7821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518</xdr:row>
      <xdr:rowOff>44823</xdr:rowOff>
    </xdr:from>
    <xdr:to>
      <xdr:col>9</xdr:col>
      <xdr:colOff>278360</xdr:colOff>
      <xdr:row>523</xdr:row>
      <xdr:rowOff>111363</xdr:rowOff>
    </xdr:to>
    <xdr:pic>
      <xdr:nvPicPr>
        <xdr:cNvPr id="19" name="Imagen 6" descr="C:\Users\user5\Desktop\estudios definitivos.jpg">
          <a:extLst>
            <a:ext uri="{FF2B5EF4-FFF2-40B4-BE49-F238E27FC236}">
              <a16:creationId xmlns:a16="http://schemas.microsoft.com/office/drawing/2014/main" id="{7183D636-F3CC-41D4-BB24-B8A9A2650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631332" y="359946948"/>
          <a:ext cx="1381578" cy="1133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575</xdr:row>
      <xdr:rowOff>44823</xdr:rowOff>
    </xdr:from>
    <xdr:to>
      <xdr:col>2</xdr:col>
      <xdr:colOff>563967</xdr:colOff>
      <xdr:row>579</xdr:row>
      <xdr:rowOff>179294</xdr:rowOff>
    </xdr:to>
    <xdr:pic>
      <xdr:nvPicPr>
        <xdr:cNvPr id="20" name="Imagen 6" descr="C:\Users\user5\Desktop\estudios definitivos.jpg">
          <a:extLst>
            <a:ext uri="{FF2B5EF4-FFF2-40B4-BE49-F238E27FC236}">
              <a16:creationId xmlns:a16="http://schemas.microsoft.com/office/drawing/2014/main" id="{0B9E8B64-717A-424F-9221-1DDA13A24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1462" y="391027023"/>
          <a:ext cx="1253130" cy="7821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575</xdr:row>
      <xdr:rowOff>44823</xdr:rowOff>
    </xdr:from>
    <xdr:to>
      <xdr:col>9</xdr:col>
      <xdr:colOff>278360</xdr:colOff>
      <xdr:row>580</xdr:row>
      <xdr:rowOff>111363</xdr:rowOff>
    </xdr:to>
    <xdr:pic>
      <xdr:nvPicPr>
        <xdr:cNvPr id="21" name="Imagen 6" descr="C:\Users\user5\Desktop\estudios definitivos.jpg">
          <a:extLst>
            <a:ext uri="{FF2B5EF4-FFF2-40B4-BE49-F238E27FC236}">
              <a16:creationId xmlns:a16="http://schemas.microsoft.com/office/drawing/2014/main" id="{BF152938-CC35-44EA-B29A-CCBF78846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631332" y="391027023"/>
          <a:ext cx="1381578" cy="1076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324970</xdr:colOff>
      <xdr:row>633</xdr:row>
      <xdr:rowOff>11205</xdr:rowOff>
    </xdr:from>
    <xdr:to>
      <xdr:col>2</xdr:col>
      <xdr:colOff>530350</xdr:colOff>
      <xdr:row>637</xdr:row>
      <xdr:rowOff>126626</xdr:rowOff>
    </xdr:to>
    <xdr:pic>
      <xdr:nvPicPr>
        <xdr:cNvPr id="22" name="Imagen 6" descr="C:\Users\user5\Desktop\estudios definitivos.jpg">
          <a:extLst>
            <a:ext uri="{FF2B5EF4-FFF2-40B4-BE49-F238E27FC236}">
              <a16:creationId xmlns:a16="http://schemas.microsoft.com/office/drawing/2014/main" id="{A0A0D2F1-3975-4B15-B5AC-3200A8B50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467845" y="427521780"/>
          <a:ext cx="1253130" cy="763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633</xdr:row>
      <xdr:rowOff>44823</xdr:rowOff>
    </xdr:from>
    <xdr:to>
      <xdr:col>9</xdr:col>
      <xdr:colOff>278360</xdr:colOff>
      <xdr:row>638</xdr:row>
      <xdr:rowOff>111363</xdr:rowOff>
    </xdr:to>
    <xdr:pic>
      <xdr:nvPicPr>
        <xdr:cNvPr id="23" name="Imagen 6" descr="C:\Users\user5\Desktop\estudios definitivos.jpg">
          <a:extLst>
            <a:ext uri="{FF2B5EF4-FFF2-40B4-BE49-F238E27FC236}">
              <a16:creationId xmlns:a16="http://schemas.microsoft.com/office/drawing/2014/main" id="{25D730B0-0C90-46C9-95CB-F001D6C31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631332" y="427555398"/>
          <a:ext cx="1381578" cy="876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324970</xdr:colOff>
      <xdr:row>707</xdr:row>
      <xdr:rowOff>11205</xdr:rowOff>
    </xdr:from>
    <xdr:to>
      <xdr:col>2</xdr:col>
      <xdr:colOff>530350</xdr:colOff>
      <xdr:row>711</xdr:row>
      <xdr:rowOff>126626</xdr:rowOff>
    </xdr:to>
    <xdr:pic>
      <xdr:nvPicPr>
        <xdr:cNvPr id="24" name="Imagen 6" descr="C:\Users\user5\Desktop\estudios definitivos.jpg">
          <a:extLst>
            <a:ext uri="{FF2B5EF4-FFF2-40B4-BE49-F238E27FC236}">
              <a16:creationId xmlns:a16="http://schemas.microsoft.com/office/drawing/2014/main" id="{45B62D92-4528-42C1-9B47-1A8D57998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467845" y="464745480"/>
          <a:ext cx="1253130" cy="763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707</xdr:row>
      <xdr:rowOff>44823</xdr:rowOff>
    </xdr:from>
    <xdr:to>
      <xdr:col>9</xdr:col>
      <xdr:colOff>278360</xdr:colOff>
      <xdr:row>712</xdr:row>
      <xdr:rowOff>111363</xdr:rowOff>
    </xdr:to>
    <xdr:pic>
      <xdr:nvPicPr>
        <xdr:cNvPr id="25" name="Imagen 6" descr="C:\Users\user5\Desktop\estudios definitivos.jpg">
          <a:extLst>
            <a:ext uri="{FF2B5EF4-FFF2-40B4-BE49-F238E27FC236}">
              <a16:creationId xmlns:a16="http://schemas.microsoft.com/office/drawing/2014/main" id="{D93926CD-2FC6-4E09-9AFA-92C0DF95E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631332" y="464779098"/>
          <a:ext cx="1381578" cy="876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324970</xdr:colOff>
      <xdr:row>769</xdr:row>
      <xdr:rowOff>11205</xdr:rowOff>
    </xdr:from>
    <xdr:to>
      <xdr:col>2</xdr:col>
      <xdr:colOff>530350</xdr:colOff>
      <xdr:row>773</xdr:row>
      <xdr:rowOff>126626</xdr:rowOff>
    </xdr:to>
    <xdr:pic>
      <xdr:nvPicPr>
        <xdr:cNvPr id="26" name="Imagen 6" descr="C:\Users\user5\Desktop\estudios definitivos.jpg">
          <a:extLst>
            <a:ext uri="{FF2B5EF4-FFF2-40B4-BE49-F238E27FC236}">
              <a16:creationId xmlns:a16="http://schemas.microsoft.com/office/drawing/2014/main" id="{DF0E5D5B-405B-4C68-A5FF-E119F411A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467845" y="497025705"/>
          <a:ext cx="1253130" cy="763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769</xdr:row>
      <xdr:rowOff>44823</xdr:rowOff>
    </xdr:from>
    <xdr:to>
      <xdr:col>9</xdr:col>
      <xdr:colOff>278360</xdr:colOff>
      <xdr:row>774</xdr:row>
      <xdr:rowOff>111363</xdr:rowOff>
    </xdr:to>
    <xdr:pic>
      <xdr:nvPicPr>
        <xdr:cNvPr id="27" name="Imagen 6" descr="C:\Users\user5\Desktop\estudios definitivos.jpg">
          <a:extLst>
            <a:ext uri="{FF2B5EF4-FFF2-40B4-BE49-F238E27FC236}">
              <a16:creationId xmlns:a16="http://schemas.microsoft.com/office/drawing/2014/main" id="{E7C75C87-EA05-4549-98A8-244DC40AB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631332" y="497059323"/>
          <a:ext cx="1381578" cy="1076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683559</xdr:colOff>
      <xdr:row>0</xdr:row>
      <xdr:rowOff>11206</xdr:rowOff>
    </xdr:from>
    <xdr:to>
      <xdr:col>8</xdr:col>
      <xdr:colOff>275326</xdr:colOff>
      <xdr:row>7</xdr:row>
      <xdr:rowOff>37413</xdr:rowOff>
    </xdr:to>
    <xdr:pic>
      <xdr:nvPicPr>
        <xdr:cNvPr id="28" name="Imagen 27" descr="Resultado de imagen para gobierno regional de apurimac">
          <a:extLst>
            <a:ext uri="{FF2B5EF4-FFF2-40B4-BE49-F238E27FC236}">
              <a16:creationId xmlns:a16="http://schemas.microsoft.com/office/drawing/2014/main" id="{FB188F26-B276-4052-81D0-BB06406D2D3E}"/>
            </a:ext>
          </a:extLst>
        </xdr:cNvPr>
        <xdr:cNvPicPr/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0587" b="2517"/>
        <a:stretch/>
      </xdr:blipFill>
      <xdr:spPr bwMode="auto">
        <a:xfrm>
          <a:off x="8541684" y="11206"/>
          <a:ext cx="356996" cy="1359707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313764</xdr:colOff>
      <xdr:row>0</xdr:row>
      <xdr:rowOff>33617</xdr:rowOff>
    </xdr:from>
    <xdr:to>
      <xdr:col>2</xdr:col>
      <xdr:colOff>519144</xdr:colOff>
      <xdr:row>4</xdr:row>
      <xdr:rowOff>168088</xdr:rowOff>
    </xdr:to>
    <xdr:pic>
      <xdr:nvPicPr>
        <xdr:cNvPr id="2" name="Imagen 6" descr="C:\Users\user5\Desktop\estudios definitivos.jpg">
          <a:extLst>
            <a:ext uri="{FF2B5EF4-FFF2-40B4-BE49-F238E27FC236}">
              <a16:creationId xmlns:a16="http://schemas.microsoft.com/office/drawing/2014/main" id="{7C4E6B78-14FF-4B2F-9747-B3A0439E5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456639" y="33617"/>
          <a:ext cx="1253130" cy="8964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683559</xdr:colOff>
      <xdr:row>0</xdr:row>
      <xdr:rowOff>11206</xdr:rowOff>
    </xdr:from>
    <xdr:to>
      <xdr:col>8</xdr:col>
      <xdr:colOff>288795</xdr:colOff>
      <xdr:row>8</xdr:row>
      <xdr:rowOff>74283</xdr:rowOff>
    </xdr:to>
    <xdr:pic>
      <xdr:nvPicPr>
        <xdr:cNvPr id="28" name="Imagen 27" descr="Resultado de imagen para gobierno regional de apurimac">
          <a:extLst>
            <a:ext uri="{FF2B5EF4-FFF2-40B4-BE49-F238E27FC236}">
              <a16:creationId xmlns:a16="http://schemas.microsoft.com/office/drawing/2014/main" id="{F091B0A8-AF27-4863-9DCA-673514B9C64F}"/>
            </a:ext>
          </a:extLst>
        </xdr:cNvPr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0587" b="2517"/>
        <a:stretch/>
      </xdr:blipFill>
      <xdr:spPr bwMode="auto">
        <a:xfrm>
          <a:off x="8541684" y="11206"/>
          <a:ext cx="367236" cy="1587077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313764</xdr:colOff>
      <xdr:row>0</xdr:row>
      <xdr:rowOff>33617</xdr:rowOff>
    </xdr:from>
    <xdr:to>
      <xdr:col>2</xdr:col>
      <xdr:colOff>519144</xdr:colOff>
      <xdr:row>4</xdr:row>
      <xdr:rowOff>168088</xdr:rowOff>
    </xdr:to>
    <xdr:pic>
      <xdr:nvPicPr>
        <xdr:cNvPr id="2" name="Imagen 6" descr="C:\Users\user5\Desktop\estudios definitivos.jpg">
          <a:extLst>
            <a:ext uri="{FF2B5EF4-FFF2-40B4-BE49-F238E27FC236}">
              <a16:creationId xmlns:a16="http://schemas.microsoft.com/office/drawing/2014/main" id="{7CB26302-B5D3-4E45-B4E1-DFD9821F3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456639" y="33617"/>
          <a:ext cx="1253130" cy="8964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99</xdr:row>
      <xdr:rowOff>44823</xdr:rowOff>
    </xdr:from>
    <xdr:to>
      <xdr:col>2</xdr:col>
      <xdr:colOff>563967</xdr:colOff>
      <xdr:row>103</xdr:row>
      <xdr:rowOff>179294</xdr:rowOff>
    </xdr:to>
    <xdr:pic>
      <xdr:nvPicPr>
        <xdr:cNvPr id="3" name="Imagen 6" descr="C:\Users\user5\Desktop\estudios definitivos.jpg">
          <a:extLst>
            <a:ext uri="{FF2B5EF4-FFF2-40B4-BE49-F238E27FC236}">
              <a16:creationId xmlns:a16="http://schemas.microsoft.com/office/drawing/2014/main" id="{31AEBDA4-BAFB-4906-AB70-F6A0E376F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1462" y="24952698"/>
          <a:ext cx="1253130" cy="8393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267</xdr:row>
      <xdr:rowOff>44823</xdr:rowOff>
    </xdr:from>
    <xdr:to>
      <xdr:col>2</xdr:col>
      <xdr:colOff>563967</xdr:colOff>
      <xdr:row>271</xdr:row>
      <xdr:rowOff>179294</xdr:rowOff>
    </xdr:to>
    <xdr:pic>
      <xdr:nvPicPr>
        <xdr:cNvPr id="4" name="Imagen 6" descr="C:\Users\user5\Desktop\estudios definitivos.jpg">
          <a:extLst>
            <a:ext uri="{FF2B5EF4-FFF2-40B4-BE49-F238E27FC236}">
              <a16:creationId xmlns:a16="http://schemas.microsoft.com/office/drawing/2014/main" id="{9E217127-7F1F-49BD-9A4D-E5E7DACBF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1462" y="63748023"/>
          <a:ext cx="1253130" cy="763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267</xdr:row>
      <xdr:rowOff>44823</xdr:rowOff>
    </xdr:from>
    <xdr:to>
      <xdr:col>9</xdr:col>
      <xdr:colOff>278360</xdr:colOff>
      <xdr:row>272</xdr:row>
      <xdr:rowOff>111363</xdr:rowOff>
    </xdr:to>
    <xdr:pic>
      <xdr:nvPicPr>
        <xdr:cNvPr id="5" name="Imagen 6" descr="C:\Users\user5\Desktop\estudios definitivos.jpg">
          <a:extLst>
            <a:ext uri="{FF2B5EF4-FFF2-40B4-BE49-F238E27FC236}">
              <a16:creationId xmlns:a16="http://schemas.microsoft.com/office/drawing/2014/main" id="{2E4C7B16-1B6D-4E2F-A06E-DF897F185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631332" y="63748023"/>
          <a:ext cx="1381578" cy="876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406</xdr:row>
      <xdr:rowOff>44823</xdr:rowOff>
    </xdr:from>
    <xdr:to>
      <xdr:col>2</xdr:col>
      <xdr:colOff>563967</xdr:colOff>
      <xdr:row>410</xdr:row>
      <xdr:rowOff>179294</xdr:rowOff>
    </xdr:to>
    <xdr:pic>
      <xdr:nvPicPr>
        <xdr:cNvPr id="6" name="Imagen 6" descr="C:\Users\user5\Desktop\estudios definitivos.jpg">
          <a:extLst>
            <a:ext uri="{FF2B5EF4-FFF2-40B4-BE49-F238E27FC236}">
              <a16:creationId xmlns:a16="http://schemas.microsoft.com/office/drawing/2014/main" id="{E9767E5D-9379-4ED0-8044-5C2DF48C3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1462" y="99161973"/>
          <a:ext cx="1253130" cy="763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406</xdr:row>
      <xdr:rowOff>44823</xdr:rowOff>
    </xdr:from>
    <xdr:to>
      <xdr:col>9</xdr:col>
      <xdr:colOff>278360</xdr:colOff>
      <xdr:row>411</xdr:row>
      <xdr:rowOff>111363</xdr:rowOff>
    </xdr:to>
    <xdr:pic>
      <xdr:nvPicPr>
        <xdr:cNvPr id="7" name="Imagen 6" descr="C:\Users\user5\Desktop\estudios definitivos.jpg">
          <a:extLst>
            <a:ext uri="{FF2B5EF4-FFF2-40B4-BE49-F238E27FC236}">
              <a16:creationId xmlns:a16="http://schemas.microsoft.com/office/drawing/2014/main" id="{46F47002-4D13-4ECA-A2CD-29D8FEF7B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631332" y="99161973"/>
          <a:ext cx="1381578" cy="876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527</xdr:row>
      <xdr:rowOff>44823</xdr:rowOff>
    </xdr:from>
    <xdr:to>
      <xdr:col>2</xdr:col>
      <xdr:colOff>563967</xdr:colOff>
      <xdr:row>531</xdr:row>
      <xdr:rowOff>179294</xdr:rowOff>
    </xdr:to>
    <xdr:pic>
      <xdr:nvPicPr>
        <xdr:cNvPr id="8" name="Imagen 6" descr="C:\Users\user5\Desktop\estudios definitivos.jpg">
          <a:extLst>
            <a:ext uri="{FF2B5EF4-FFF2-40B4-BE49-F238E27FC236}">
              <a16:creationId xmlns:a16="http://schemas.microsoft.com/office/drawing/2014/main" id="{81FD5C3A-7A8B-4D6B-9722-255BD1B98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1462" y="134661648"/>
          <a:ext cx="1253130" cy="763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527</xdr:row>
      <xdr:rowOff>44823</xdr:rowOff>
    </xdr:from>
    <xdr:to>
      <xdr:col>9</xdr:col>
      <xdr:colOff>278360</xdr:colOff>
      <xdr:row>532</xdr:row>
      <xdr:rowOff>111363</xdr:rowOff>
    </xdr:to>
    <xdr:pic>
      <xdr:nvPicPr>
        <xdr:cNvPr id="9" name="Imagen 6" descr="C:\Users\user5\Desktop\estudios definitivos.jpg">
          <a:extLst>
            <a:ext uri="{FF2B5EF4-FFF2-40B4-BE49-F238E27FC236}">
              <a16:creationId xmlns:a16="http://schemas.microsoft.com/office/drawing/2014/main" id="{5F8ABAF7-3110-45E7-BC6C-2139FC280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631332" y="134661648"/>
          <a:ext cx="1381578" cy="876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802</xdr:row>
      <xdr:rowOff>44823</xdr:rowOff>
    </xdr:from>
    <xdr:to>
      <xdr:col>2</xdr:col>
      <xdr:colOff>563967</xdr:colOff>
      <xdr:row>806</xdr:row>
      <xdr:rowOff>179294</xdr:rowOff>
    </xdr:to>
    <xdr:pic>
      <xdr:nvPicPr>
        <xdr:cNvPr id="10" name="Imagen 6" descr="C:\Users\user5\Desktop\estudios definitivos.jpg">
          <a:extLst>
            <a:ext uri="{FF2B5EF4-FFF2-40B4-BE49-F238E27FC236}">
              <a16:creationId xmlns:a16="http://schemas.microsoft.com/office/drawing/2014/main" id="{72C626A3-80BE-4DC3-ADD9-906E9A4B0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1462" y="200041248"/>
          <a:ext cx="1253130" cy="763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802</xdr:row>
      <xdr:rowOff>44823</xdr:rowOff>
    </xdr:from>
    <xdr:to>
      <xdr:col>9</xdr:col>
      <xdr:colOff>278360</xdr:colOff>
      <xdr:row>807</xdr:row>
      <xdr:rowOff>111363</xdr:rowOff>
    </xdr:to>
    <xdr:pic>
      <xdr:nvPicPr>
        <xdr:cNvPr id="11" name="Imagen 6" descr="C:\Users\user5\Desktop\estudios definitivos.jpg">
          <a:extLst>
            <a:ext uri="{FF2B5EF4-FFF2-40B4-BE49-F238E27FC236}">
              <a16:creationId xmlns:a16="http://schemas.microsoft.com/office/drawing/2014/main" id="{5CF83FBF-46CB-4DC4-A9C3-EAC5C042B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631332" y="200041248"/>
          <a:ext cx="1381578" cy="876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989</xdr:row>
      <xdr:rowOff>91336</xdr:rowOff>
    </xdr:from>
    <xdr:to>
      <xdr:col>2</xdr:col>
      <xdr:colOff>563967</xdr:colOff>
      <xdr:row>999</xdr:row>
      <xdr:rowOff>179294</xdr:rowOff>
    </xdr:to>
    <xdr:pic>
      <xdr:nvPicPr>
        <xdr:cNvPr id="12" name="Imagen 6" descr="C:\Users\user5\Desktop\estudios definitivos.jpg">
          <a:extLst>
            <a:ext uri="{FF2B5EF4-FFF2-40B4-BE49-F238E27FC236}">
              <a16:creationId xmlns:a16="http://schemas.microsoft.com/office/drawing/2014/main" id="{A4261205-9D0D-4BB9-91C8-EFEEEB436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1462" y="249646336"/>
          <a:ext cx="1253130" cy="17072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989</xdr:row>
      <xdr:rowOff>26095</xdr:rowOff>
    </xdr:from>
    <xdr:to>
      <xdr:col>9</xdr:col>
      <xdr:colOff>278360</xdr:colOff>
      <xdr:row>999</xdr:row>
      <xdr:rowOff>111362</xdr:rowOff>
    </xdr:to>
    <xdr:pic>
      <xdr:nvPicPr>
        <xdr:cNvPr id="13" name="Imagen 6" descr="C:\Users\user5\Desktop\estudios definitivos.jpg">
          <a:extLst>
            <a:ext uri="{FF2B5EF4-FFF2-40B4-BE49-F238E27FC236}">
              <a16:creationId xmlns:a16="http://schemas.microsoft.com/office/drawing/2014/main" id="{74B8559A-57C9-4E0F-973E-C0715E02C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631332" y="249581095"/>
          <a:ext cx="1381578" cy="17045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1162</xdr:row>
      <xdr:rowOff>44823</xdr:rowOff>
    </xdr:from>
    <xdr:to>
      <xdr:col>2</xdr:col>
      <xdr:colOff>563967</xdr:colOff>
      <xdr:row>1166</xdr:row>
      <xdr:rowOff>179294</xdr:rowOff>
    </xdr:to>
    <xdr:pic>
      <xdr:nvPicPr>
        <xdr:cNvPr id="14" name="Imagen 6" descr="C:\Users\user5\Desktop\estudios definitivos.jpg">
          <a:extLst>
            <a:ext uri="{FF2B5EF4-FFF2-40B4-BE49-F238E27FC236}">
              <a16:creationId xmlns:a16="http://schemas.microsoft.com/office/drawing/2014/main" id="{DB73B3D7-4089-4FC0-9E14-0B4F4CD86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1462" y="297110523"/>
          <a:ext cx="1253130" cy="763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1162</xdr:row>
      <xdr:rowOff>44823</xdr:rowOff>
    </xdr:from>
    <xdr:to>
      <xdr:col>9</xdr:col>
      <xdr:colOff>278360</xdr:colOff>
      <xdr:row>1167</xdr:row>
      <xdr:rowOff>111363</xdr:rowOff>
    </xdr:to>
    <xdr:pic>
      <xdr:nvPicPr>
        <xdr:cNvPr id="15" name="Imagen 6" descr="C:\Users\user5\Desktop\estudios definitivos.jpg">
          <a:extLst>
            <a:ext uri="{FF2B5EF4-FFF2-40B4-BE49-F238E27FC236}">
              <a16:creationId xmlns:a16="http://schemas.microsoft.com/office/drawing/2014/main" id="{649B5D4E-FBA1-47B6-BE1B-C2975634F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631332" y="297110523"/>
          <a:ext cx="1381578" cy="876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1251</xdr:row>
      <xdr:rowOff>44823</xdr:rowOff>
    </xdr:from>
    <xdr:to>
      <xdr:col>2</xdr:col>
      <xdr:colOff>563967</xdr:colOff>
      <xdr:row>1255</xdr:row>
      <xdr:rowOff>179294</xdr:rowOff>
    </xdr:to>
    <xdr:pic>
      <xdr:nvPicPr>
        <xdr:cNvPr id="16" name="Imagen 6" descr="C:\Users\user5\Desktop\estudios definitivos.jpg">
          <a:extLst>
            <a:ext uri="{FF2B5EF4-FFF2-40B4-BE49-F238E27FC236}">
              <a16:creationId xmlns:a16="http://schemas.microsoft.com/office/drawing/2014/main" id="{53E2F8CC-31A5-4AF8-8193-A87C0E5C6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1462" y="328885923"/>
          <a:ext cx="1253130" cy="7821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1251</xdr:row>
      <xdr:rowOff>44823</xdr:rowOff>
    </xdr:from>
    <xdr:to>
      <xdr:col>9</xdr:col>
      <xdr:colOff>278360</xdr:colOff>
      <xdr:row>1256</xdr:row>
      <xdr:rowOff>111363</xdr:rowOff>
    </xdr:to>
    <xdr:pic>
      <xdr:nvPicPr>
        <xdr:cNvPr id="17" name="Imagen 6" descr="C:\Users\user5\Desktop\estudios definitivos.jpg">
          <a:extLst>
            <a:ext uri="{FF2B5EF4-FFF2-40B4-BE49-F238E27FC236}">
              <a16:creationId xmlns:a16="http://schemas.microsoft.com/office/drawing/2014/main" id="{CB2B31BF-10A5-48CA-A1CA-4FAD9D2FA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631332" y="328885923"/>
          <a:ext cx="1381578" cy="1133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1337</xdr:row>
      <xdr:rowOff>44823</xdr:rowOff>
    </xdr:from>
    <xdr:to>
      <xdr:col>2</xdr:col>
      <xdr:colOff>563967</xdr:colOff>
      <xdr:row>1341</xdr:row>
      <xdr:rowOff>179294</xdr:rowOff>
    </xdr:to>
    <xdr:pic>
      <xdr:nvPicPr>
        <xdr:cNvPr id="18" name="Imagen 6" descr="C:\Users\user5\Desktop\estudios definitivos.jpg">
          <a:extLst>
            <a:ext uri="{FF2B5EF4-FFF2-40B4-BE49-F238E27FC236}">
              <a16:creationId xmlns:a16="http://schemas.microsoft.com/office/drawing/2014/main" id="{5A51709D-8A7E-4989-A848-1C8C30B13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1462" y="359946948"/>
          <a:ext cx="1253130" cy="7821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1337</xdr:row>
      <xdr:rowOff>44823</xdr:rowOff>
    </xdr:from>
    <xdr:to>
      <xdr:col>9</xdr:col>
      <xdr:colOff>278360</xdr:colOff>
      <xdr:row>1342</xdr:row>
      <xdr:rowOff>111363</xdr:rowOff>
    </xdr:to>
    <xdr:pic>
      <xdr:nvPicPr>
        <xdr:cNvPr id="19" name="Imagen 6" descr="C:\Users\user5\Desktop\estudios definitivos.jpg">
          <a:extLst>
            <a:ext uri="{FF2B5EF4-FFF2-40B4-BE49-F238E27FC236}">
              <a16:creationId xmlns:a16="http://schemas.microsoft.com/office/drawing/2014/main" id="{BFC072F2-1DFD-48F1-8E38-5BF0A37B2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631332" y="359946948"/>
          <a:ext cx="1381578" cy="1133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1425</xdr:row>
      <xdr:rowOff>44823</xdr:rowOff>
    </xdr:from>
    <xdr:to>
      <xdr:col>2</xdr:col>
      <xdr:colOff>563967</xdr:colOff>
      <xdr:row>1429</xdr:row>
      <xdr:rowOff>179294</xdr:rowOff>
    </xdr:to>
    <xdr:pic>
      <xdr:nvPicPr>
        <xdr:cNvPr id="20" name="Imagen 6" descr="C:\Users\user5\Desktop\estudios definitivos.jpg">
          <a:extLst>
            <a:ext uri="{FF2B5EF4-FFF2-40B4-BE49-F238E27FC236}">
              <a16:creationId xmlns:a16="http://schemas.microsoft.com/office/drawing/2014/main" id="{86136EA1-00C0-413B-AC28-2C2F6C1FD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1462" y="391027023"/>
          <a:ext cx="1253130" cy="7821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1425</xdr:row>
      <xdr:rowOff>44823</xdr:rowOff>
    </xdr:from>
    <xdr:to>
      <xdr:col>9</xdr:col>
      <xdr:colOff>278360</xdr:colOff>
      <xdr:row>1430</xdr:row>
      <xdr:rowOff>111363</xdr:rowOff>
    </xdr:to>
    <xdr:pic>
      <xdr:nvPicPr>
        <xdr:cNvPr id="21" name="Imagen 6" descr="C:\Users\user5\Desktop\estudios definitivos.jpg">
          <a:extLst>
            <a:ext uri="{FF2B5EF4-FFF2-40B4-BE49-F238E27FC236}">
              <a16:creationId xmlns:a16="http://schemas.microsoft.com/office/drawing/2014/main" id="{47082B43-1DAD-4535-9454-6F5353CF8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631332" y="391027023"/>
          <a:ext cx="1381578" cy="1076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324970</xdr:colOff>
      <xdr:row>1531</xdr:row>
      <xdr:rowOff>11205</xdr:rowOff>
    </xdr:from>
    <xdr:to>
      <xdr:col>2</xdr:col>
      <xdr:colOff>530350</xdr:colOff>
      <xdr:row>1535</xdr:row>
      <xdr:rowOff>126626</xdr:rowOff>
    </xdr:to>
    <xdr:pic>
      <xdr:nvPicPr>
        <xdr:cNvPr id="22" name="Imagen 6" descr="C:\Users\user5\Desktop\estudios definitivos.jpg">
          <a:extLst>
            <a:ext uri="{FF2B5EF4-FFF2-40B4-BE49-F238E27FC236}">
              <a16:creationId xmlns:a16="http://schemas.microsoft.com/office/drawing/2014/main" id="{ADA6F8DC-037B-4642-901E-DC3A62682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467845" y="427521780"/>
          <a:ext cx="1253130" cy="763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1531</xdr:row>
      <xdr:rowOff>44823</xdr:rowOff>
    </xdr:from>
    <xdr:to>
      <xdr:col>9</xdr:col>
      <xdr:colOff>278360</xdr:colOff>
      <xdr:row>1536</xdr:row>
      <xdr:rowOff>111363</xdr:rowOff>
    </xdr:to>
    <xdr:pic>
      <xdr:nvPicPr>
        <xdr:cNvPr id="23" name="Imagen 6" descr="C:\Users\user5\Desktop\estudios definitivos.jpg">
          <a:extLst>
            <a:ext uri="{FF2B5EF4-FFF2-40B4-BE49-F238E27FC236}">
              <a16:creationId xmlns:a16="http://schemas.microsoft.com/office/drawing/2014/main" id="{765B6107-A86E-4A69-BC83-479815319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631332" y="427555398"/>
          <a:ext cx="1381578" cy="876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324970</xdr:colOff>
      <xdr:row>1655</xdr:row>
      <xdr:rowOff>11205</xdr:rowOff>
    </xdr:from>
    <xdr:to>
      <xdr:col>2</xdr:col>
      <xdr:colOff>530350</xdr:colOff>
      <xdr:row>1659</xdr:row>
      <xdr:rowOff>126626</xdr:rowOff>
    </xdr:to>
    <xdr:pic>
      <xdr:nvPicPr>
        <xdr:cNvPr id="24" name="Imagen 6" descr="C:\Users\user5\Desktop\estudios definitivos.jpg">
          <a:extLst>
            <a:ext uri="{FF2B5EF4-FFF2-40B4-BE49-F238E27FC236}">
              <a16:creationId xmlns:a16="http://schemas.microsoft.com/office/drawing/2014/main" id="{00D2EC98-3E74-4339-945D-971E13496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467845" y="464745480"/>
          <a:ext cx="1253130" cy="763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1655</xdr:row>
      <xdr:rowOff>44823</xdr:rowOff>
    </xdr:from>
    <xdr:to>
      <xdr:col>9</xdr:col>
      <xdr:colOff>278360</xdr:colOff>
      <xdr:row>1660</xdr:row>
      <xdr:rowOff>111363</xdr:rowOff>
    </xdr:to>
    <xdr:pic>
      <xdr:nvPicPr>
        <xdr:cNvPr id="25" name="Imagen 6" descr="C:\Users\user5\Desktop\estudios definitivos.jpg">
          <a:extLst>
            <a:ext uri="{FF2B5EF4-FFF2-40B4-BE49-F238E27FC236}">
              <a16:creationId xmlns:a16="http://schemas.microsoft.com/office/drawing/2014/main" id="{AD779D65-05D3-4751-BE68-2DBB34DAE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631332" y="464779098"/>
          <a:ext cx="1381578" cy="876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324970</xdr:colOff>
      <xdr:row>1745</xdr:row>
      <xdr:rowOff>11205</xdr:rowOff>
    </xdr:from>
    <xdr:to>
      <xdr:col>2</xdr:col>
      <xdr:colOff>530350</xdr:colOff>
      <xdr:row>1749</xdr:row>
      <xdr:rowOff>126626</xdr:rowOff>
    </xdr:to>
    <xdr:pic>
      <xdr:nvPicPr>
        <xdr:cNvPr id="26" name="Imagen 6" descr="C:\Users\user5\Desktop\estudios definitivos.jpg">
          <a:extLst>
            <a:ext uri="{FF2B5EF4-FFF2-40B4-BE49-F238E27FC236}">
              <a16:creationId xmlns:a16="http://schemas.microsoft.com/office/drawing/2014/main" id="{72C65171-2DF8-4E06-BA01-C67F8AEB0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467845" y="497025705"/>
          <a:ext cx="1253130" cy="763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1745</xdr:row>
      <xdr:rowOff>44823</xdr:rowOff>
    </xdr:from>
    <xdr:to>
      <xdr:col>9</xdr:col>
      <xdr:colOff>278360</xdr:colOff>
      <xdr:row>1750</xdr:row>
      <xdr:rowOff>111363</xdr:rowOff>
    </xdr:to>
    <xdr:pic>
      <xdr:nvPicPr>
        <xdr:cNvPr id="27" name="Imagen 6" descr="C:\Users\user5\Desktop\estudios definitivos.jpg">
          <a:extLst>
            <a:ext uri="{FF2B5EF4-FFF2-40B4-BE49-F238E27FC236}">
              <a16:creationId xmlns:a16="http://schemas.microsoft.com/office/drawing/2014/main" id="{61D6807C-9D64-4A01-A528-BA82EEFC5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631332" y="497059323"/>
          <a:ext cx="1381578" cy="1076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683559</xdr:colOff>
      <xdr:row>0</xdr:row>
      <xdr:rowOff>11206</xdr:rowOff>
    </xdr:from>
    <xdr:to>
      <xdr:col>8</xdr:col>
      <xdr:colOff>277589</xdr:colOff>
      <xdr:row>8</xdr:row>
      <xdr:rowOff>104165</xdr:rowOff>
    </xdr:to>
    <xdr:pic>
      <xdr:nvPicPr>
        <xdr:cNvPr id="28" name="Imagen 27" descr="Resultado de imagen para gobierno regional de apurimac">
          <a:extLst>
            <a:ext uri="{FF2B5EF4-FFF2-40B4-BE49-F238E27FC236}">
              <a16:creationId xmlns:a16="http://schemas.microsoft.com/office/drawing/2014/main" id="{6B245C35-AB46-4945-98BC-CAFF1C049232}"/>
            </a:ext>
          </a:extLst>
        </xdr:cNvPr>
        <xdr:cNvPicPr/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0587" b="2517"/>
        <a:stretch/>
      </xdr:blipFill>
      <xdr:spPr bwMode="auto">
        <a:xfrm>
          <a:off x="8541684" y="11206"/>
          <a:ext cx="356996" cy="1359707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313764</xdr:colOff>
      <xdr:row>0</xdr:row>
      <xdr:rowOff>33617</xdr:rowOff>
    </xdr:from>
    <xdr:to>
      <xdr:col>2</xdr:col>
      <xdr:colOff>519144</xdr:colOff>
      <xdr:row>4</xdr:row>
      <xdr:rowOff>168088</xdr:rowOff>
    </xdr:to>
    <xdr:pic>
      <xdr:nvPicPr>
        <xdr:cNvPr id="2" name="Imagen 6" descr="C:\Users\user5\Desktop\estudios definitivos.jpg">
          <a:extLst>
            <a:ext uri="{FF2B5EF4-FFF2-40B4-BE49-F238E27FC236}">
              <a16:creationId xmlns:a16="http://schemas.microsoft.com/office/drawing/2014/main" id="{7C49FA18-A6ED-48F9-A1BB-81AF2BEEA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456639" y="33617"/>
          <a:ext cx="1253130" cy="8964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683559</xdr:colOff>
      <xdr:row>0</xdr:row>
      <xdr:rowOff>11206</xdr:rowOff>
    </xdr:from>
    <xdr:to>
      <xdr:col>8</xdr:col>
      <xdr:colOff>325</xdr:colOff>
      <xdr:row>7</xdr:row>
      <xdr:rowOff>84202</xdr:rowOff>
    </xdr:to>
    <xdr:pic>
      <xdr:nvPicPr>
        <xdr:cNvPr id="28" name="Imagen 27" descr="Resultado de imagen para gobierno regional de apurimac">
          <a:extLst>
            <a:ext uri="{FF2B5EF4-FFF2-40B4-BE49-F238E27FC236}">
              <a16:creationId xmlns:a16="http://schemas.microsoft.com/office/drawing/2014/main" id="{7E62D1DC-9EE7-487D-B3E1-64B3E693FCFF}"/>
            </a:ext>
          </a:extLst>
        </xdr:cNvPr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0587" b="2517"/>
        <a:stretch/>
      </xdr:blipFill>
      <xdr:spPr bwMode="auto">
        <a:xfrm>
          <a:off x="6417609" y="11206"/>
          <a:ext cx="348641" cy="1406496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313764</xdr:colOff>
      <xdr:row>0</xdr:row>
      <xdr:rowOff>33617</xdr:rowOff>
    </xdr:from>
    <xdr:to>
      <xdr:col>2</xdr:col>
      <xdr:colOff>519144</xdr:colOff>
      <xdr:row>4</xdr:row>
      <xdr:rowOff>168088</xdr:rowOff>
    </xdr:to>
    <xdr:pic>
      <xdr:nvPicPr>
        <xdr:cNvPr id="2" name="Imagen 6" descr="C:\Users\user5\Desktop\estudios definitivos.jpg">
          <a:extLst>
            <a:ext uri="{FF2B5EF4-FFF2-40B4-BE49-F238E27FC236}">
              <a16:creationId xmlns:a16="http://schemas.microsoft.com/office/drawing/2014/main" id="{1ED302E6-B023-4432-A37F-E271E7186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456639" y="33617"/>
          <a:ext cx="1253130" cy="8964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51</xdr:row>
      <xdr:rowOff>44823</xdr:rowOff>
    </xdr:from>
    <xdr:to>
      <xdr:col>2</xdr:col>
      <xdr:colOff>563967</xdr:colOff>
      <xdr:row>55</xdr:row>
      <xdr:rowOff>179294</xdr:rowOff>
    </xdr:to>
    <xdr:pic>
      <xdr:nvPicPr>
        <xdr:cNvPr id="3" name="Imagen 6" descr="C:\Users\user5\Desktop\estudios definitivos.jpg">
          <a:extLst>
            <a:ext uri="{FF2B5EF4-FFF2-40B4-BE49-F238E27FC236}">
              <a16:creationId xmlns:a16="http://schemas.microsoft.com/office/drawing/2014/main" id="{BBAEFE6C-D407-4EBB-80D9-F55CAFDD3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1462" y="24952698"/>
          <a:ext cx="1253130" cy="8393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145</xdr:row>
      <xdr:rowOff>44823</xdr:rowOff>
    </xdr:from>
    <xdr:to>
      <xdr:col>2</xdr:col>
      <xdr:colOff>563967</xdr:colOff>
      <xdr:row>149</xdr:row>
      <xdr:rowOff>179294</xdr:rowOff>
    </xdr:to>
    <xdr:pic>
      <xdr:nvPicPr>
        <xdr:cNvPr id="4" name="Imagen 6" descr="C:\Users\user5\Desktop\estudios definitivos.jpg">
          <a:extLst>
            <a:ext uri="{FF2B5EF4-FFF2-40B4-BE49-F238E27FC236}">
              <a16:creationId xmlns:a16="http://schemas.microsoft.com/office/drawing/2014/main" id="{B06127BF-3C93-4F74-AAE1-695E274C7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1462" y="63748023"/>
          <a:ext cx="1253130" cy="763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145</xdr:row>
      <xdr:rowOff>44823</xdr:rowOff>
    </xdr:from>
    <xdr:to>
      <xdr:col>9</xdr:col>
      <xdr:colOff>278360</xdr:colOff>
      <xdr:row>150</xdr:row>
      <xdr:rowOff>111363</xdr:rowOff>
    </xdr:to>
    <xdr:pic>
      <xdr:nvPicPr>
        <xdr:cNvPr id="5" name="Imagen 6" descr="C:\Users\user5\Desktop\estudios definitivos.jpg">
          <a:extLst>
            <a:ext uri="{FF2B5EF4-FFF2-40B4-BE49-F238E27FC236}">
              <a16:creationId xmlns:a16="http://schemas.microsoft.com/office/drawing/2014/main" id="{2734A14E-9BEC-4EFA-8F6D-949A6774E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631332" y="63748023"/>
          <a:ext cx="1381578" cy="876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215</xdr:row>
      <xdr:rowOff>44823</xdr:rowOff>
    </xdr:from>
    <xdr:to>
      <xdr:col>2</xdr:col>
      <xdr:colOff>563967</xdr:colOff>
      <xdr:row>219</xdr:row>
      <xdr:rowOff>179294</xdr:rowOff>
    </xdr:to>
    <xdr:pic>
      <xdr:nvPicPr>
        <xdr:cNvPr id="6" name="Imagen 6" descr="C:\Users\user5\Desktop\estudios definitivos.jpg">
          <a:extLst>
            <a:ext uri="{FF2B5EF4-FFF2-40B4-BE49-F238E27FC236}">
              <a16:creationId xmlns:a16="http://schemas.microsoft.com/office/drawing/2014/main" id="{8C2B7AD8-D6CA-4D01-AD26-30BF8EDBB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1462" y="99161973"/>
          <a:ext cx="1253130" cy="763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215</xdr:row>
      <xdr:rowOff>44823</xdr:rowOff>
    </xdr:from>
    <xdr:to>
      <xdr:col>9</xdr:col>
      <xdr:colOff>278360</xdr:colOff>
      <xdr:row>220</xdr:row>
      <xdr:rowOff>111363</xdr:rowOff>
    </xdr:to>
    <xdr:pic>
      <xdr:nvPicPr>
        <xdr:cNvPr id="7" name="Imagen 6" descr="C:\Users\user5\Desktop\estudios definitivos.jpg">
          <a:extLst>
            <a:ext uri="{FF2B5EF4-FFF2-40B4-BE49-F238E27FC236}">
              <a16:creationId xmlns:a16="http://schemas.microsoft.com/office/drawing/2014/main" id="{F4538D1A-6030-4BBF-AD83-809D91E1E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631332" y="99161973"/>
          <a:ext cx="1381578" cy="876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298</xdr:row>
      <xdr:rowOff>44823</xdr:rowOff>
    </xdr:from>
    <xdr:to>
      <xdr:col>2</xdr:col>
      <xdr:colOff>563967</xdr:colOff>
      <xdr:row>302</xdr:row>
      <xdr:rowOff>179294</xdr:rowOff>
    </xdr:to>
    <xdr:pic>
      <xdr:nvPicPr>
        <xdr:cNvPr id="8" name="Imagen 6" descr="C:\Users\user5\Desktop\estudios definitivos.jpg">
          <a:extLst>
            <a:ext uri="{FF2B5EF4-FFF2-40B4-BE49-F238E27FC236}">
              <a16:creationId xmlns:a16="http://schemas.microsoft.com/office/drawing/2014/main" id="{05FEB603-B45C-4C68-801A-CEB428F96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1462" y="134661648"/>
          <a:ext cx="1253130" cy="763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298</xdr:row>
      <xdr:rowOff>44823</xdr:rowOff>
    </xdr:from>
    <xdr:to>
      <xdr:col>9</xdr:col>
      <xdr:colOff>278360</xdr:colOff>
      <xdr:row>303</xdr:row>
      <xdr:rowOff>111363</xdr:rowOff>
    </xdr:to>
    <xdr:pic>
      <xdr:nvPicPr>
        <xdr:cNvPr id="9" name="Imagen 6" descr="C:\Users\user5\Desktop\estudios definitivos.jpg">
          <a:extLst>
            <a:ext uri="{FF2B5EF4-FFF2-40B4-BE49-F238E27FC236}">
              <a16:creationId xmlns:a16="http://schemas.microsoft.com/office/drawing/2014/main" id="{56C267B6-E661-4FA6-972D-3D440D4AF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631332" y="134661648"/>
          <a:ext cx="1381578" cy="876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380</xdr:row>
      <xdr:rowOff>44823</xdr:rowOff>
    </xdr:from>
    <xdr:to>
      <xdr:col>2</xdr:col>
      <xdr:colOff>563967</xdr:colOff>
      <xdr:row>384</xdr:row>
      <xdr:rowOff>179294</xdr:rowOff>
    </xdr:to>
    <xdr:pic>
      <xdr:nvPicPr>
        <xdr:cNvPr id="10" name="Imagen 6" descr="C:\Users\user5\Desktop\estudios definitivos.jpg">
          <a:extLst>
            <a:ext uri="{FF2B5EF4-FFF2-40B4-BE49-F238E27FC236}">
              <a16:creationId xmlns:a16="http://schemas.microsoft.com/office/drawing/2014/main" id="{F93E72E6-BB12-4280-BAAB-8CC4C229E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1462" y="200041248"/>
          <a:ext cx="1253130" cy="763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380</xdr:row>
      <xdr:rowOff>44823</xdr:rowOff>
    </xdr:from>
    <xdr:to>
      <xdr:col>9</xdr:col>
      <xdr:colOff>278360</xdr:colOff>
      <xdr:row>385</xdr:row>
      <xdr:rowOff>111363</xdr:rowOff>
    </xdr:to>
    <xdr:pic>
      <xdr:nvPicPr>
        <xdr:cNvPr id="11" name="Imagen 6" descr="C:\Users\user5\Desktop\estudios definitivos.jpg">
          <a:extLst>
            <a:ext uri="{FF2B5EF4-FFF2-40B4-BE49-F238E27FC236}">
              <a16:creationId xmlns:a16="http://schemas.microsoft.com/office/drawing/2014/main" id="{278649B9-49A1-4F8F-9ECE-32514A2E3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631332" y="200041248"/>
          <a:ext cx="1381578" cy="876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453</xdr:row>
      <xdr:rowOff>91336</xdr:rowOff>
    </xdr:from>
    <xdr:to>
      <xdr:col>2</xdr:col>
      <xdr:colOff>563967</xdr:colOff>
      <xdr:row>463</xdr:row>
      <xdr:rowOff>179294</xdr:rowOff>
    </xdr:to>
    <xdr:pic>
      <xdr:nvPicPr>
        <xdr:cNvPr id="12" name="Imagen 6" descr="C:\Users\user5\Desktop\estudios definitivos.jpg">
          <a:extLst>
            <a:ext uri="{FF2B5EF4-FFF2-40B4-BE49-F238E27FC236}">
              <a16:creationId xmlns:a16="http://schemas.microsoft.com/office/drawing/2014/main" id="{4704C3C6-6380-48DD-A887-135C21643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1462" y="249646336"/>
          <a:ext cx="1253130" cy="17072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453</xdr:row>
      <xdr:rowOff>26095</xdr:rowOff>
    </xdr:from>
    <xdr:to>
      <xdr:col>9</xdr:col>
      <xdr:colOff>278360</xdr:colOff>
      <xdr:row>463</xdr:row>
      <xdr:rowOff>111362</xdr:rowOff>
    </xdr:to>
    <xdr:pic>
      <xdr:nvPicPr>
        <xdr:cNvPr id="13" name="Imagen 6" descr="C:\Users\user5\Desktop\estudios definitivos.jpg">
          <a:extLst>
            <a:ext uri="{FF2B5EF4-FFF2-40B4-BE49-F238E27FC236}">
              <a16:creationId xmlns:a16="http://schemas.microsoft.com/office/drawing/2014/main" id="{3A359D5C-4DE1-43CF-82A5-5F22E6F81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631332" y="249581095"/>
          <a:ext cx="1381578" cy="17045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543</xdr:row>
      <xdr:rowOff>44823</xdr:rowOff>
    </xdr:from>
    <xdr:to>
      <xdr:col>2</xdr:col>
      <xdr:colOff>563967</xdr:colOff>
      <xdr:row>547</xdr:row>
      <xdr:rowOff>179294</xdr:rowOff>
    </xdr:to>
    <xdr:pic>
      <xdr:nvPicPr>
        <xdr:cNvPr id="14" name="Imagen 6" descr="C:\Users\user5\Desktop\estudios definitivos.jpg">
          <a:extLst>
            <a:ext uri="{FF2B5EF4-FFF2-40B4-BE49-F238E27FC236}">
              <a16:creationId xmlns:a16="http://schemas.microsoft.com/office/drawing/2014/main" id="{19DCEAB9-45AC-43CF-96FC-D6ACBE74D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1462" y="297110523"/>
          <a:ext cx="1253130" cy="763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543</xdr:row>
      <xdr:rowOff>44823</xdr:rowOff>
    </xdr:from>
    <xdr:to>
      <xdr:col>9</xdr:col>
      <xdr:colOff>278360</xdr:colOff>
      <xdr:row>548</xdr:row>
      <xdr:rowOff>111363</xdr:rowOff>
    </xdr:to>
    <xdr:pic>
      <xdr:nvPicPr>
        <xdr:cNvPr id="15" name="Imagen 6" descr="C:\Users\user5\Desktop\estudios definitivos.jpg">
          <a:extLst>
            <a:ext uri="{FF2B5EF4-FFF2-40B4-BE49-F238E27FC236}">
              <a16:creationId xmlns:a16="http://schemas.microsoft.com/office/drawing/2014/main" id="{FCF158B9-DF89-441C-9E5A-37C11A548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631332" y="297110523"/>
          <a:ext cx="1381578" cy="876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619</xdr:row>
      <xdr:rowOff>44823</xdr:rowOff>
    </xdr:from>
    <xdr:to>
      <xdr:col>2</xdr:col>
      <xdr:colOff>563967</xdr:colOff>
      <xdr:row>623</xdr:row>
      <xdr:rowOff>179294</xdr:rowOff>
    </xdr:to>
    <xdr:pic>
      <xdr:nvPicPr>
        <xdr:cNvPr id="16" name="Imagen 6" descr="C:\Users\user5\Desktop\estudios definitivos.jpg">
          <a:extLst>
            <a:ext uri="{FF2B5EF4-FFF2-40B4-BE49-F238E27FC236}">
              <a16:creationId xmlns:a16="http://schemas.microsoft.com/office/drawing/2014/main" id="{0339646F-BE81-4237-87C9-B44768A6E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1462" y="328885923"/>
          <a:ext cx="1253130" cy="7821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619</xdr:row>
      <xdr:rowOff>44823</xdr:rowOff>
    </xdr:from>
    <xdr:to>
      <xdr:col>9</xdr:col>
      <xdr:colOff>278360</xdr:colOff>
      <xdr:row>624</xdr:row>
      <xdr:rowOff>111363</xdr:rowOff>
    </xdr:to>
    <xdr:pic>
      <xdr:nvPicPr>
        <xdr:cNvPr id="17" name="Imagen 6" descr="C:\Users\user5\Desktop\estudios definitivos.jpg">
          <a:extLst>
            <a:ext uri="{FF2B5EF4-FFF2-40B4-BE49-F238E27FC236}">
              <a16:creationId xmlns:a16="http://schemas.microsoft.com/office/drawing/2014/main" id="{033F7E5B-3949-4D36-B3A5-89015F47D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631332" y="328885923"/>
          <a:ext cx="1381578" cy="1133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700</xdr:row>
      <xdr:rowOff>44823</xdr:rowOff>
    </xdr:from>
    <xdr:to>
      <xdr:col>2</xdr:col>
      <xdr:colOff>563967</xdr:colOff>
      <xdr:row>704</xdr:row>
      <xdr:rowOff>179294</xdr:rowOff>
    </xdr:to>
    <xdr:pic>
      <xdr:nvPicPr>
        <xdr:cNvPr id="18" name="Imagen 6" descr="C:\Users\user5\Desktop\estudios definitivos.jpg">
          <a:extLst>
            <a:ext uri="{FF2B5EF4-FFF2-40B4-BE49-F238E27FC236}">
              <a16:creationId xmlns:a16="http://schemas.microsoft.com/office/drawing/2014/main" id="{7C7D2F88-02A2-46A8-9579-AB95B0B9C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1462" y="359946948"/>
          <a:ext cx="1253130" cy="7821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700</xdr:row>
      <xdr:rowOff>44823</xdr:rowOff>
    </xdr:from>
    <xdr:to>
      <xdr:col>9</xdr:col>
      <xdr:colOff>278360</xdr:colOff>
      <xdr:row>705</xdr:row>
      <xdr:rowOff>111363</xdr:rowOff>
    </xdr:to>
    <xdr:pic>
      <xdr:nvPicPr>
        <xdr:cNvPr id="19" name="Imagen 6" descr="C:\Users\user5\Desktop\estudios definitivos.jpg">
          <a:extLst>
            <a:ext uri="{FF2B5EF4-FFF2-40B4-BE49-F238E27FC236}">
              <a16:creationId xmlns:a16="http://schemas.microsoft.com/office/drawing/2014/main" id="{4D1C47EB-7A8F-46A1-BF6B-132A819FC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631332" y="359946948"/>
          <a:ext cx="1381578" cy="1133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775</xdr:row>
      <xdr:rowOff>44823</xdr:rowOff>
    </xdr:from>
    <xdr:to>
      <xdr:col>2</xdr:col>
      <xdr:colOff>563967</xdr:colOff>
      <xdr:row>779</xdr:row>
      <xdr:rowOff>179294</xdr:rowOff>
    </xdr:to>
    <xdr:pic>
      <xdr:nvPicPr>
        <xdr:cNvPr id="20" name="Imagen 6" descr="C:\Users\user5\Desktop\estudios definitivos.jpg">
          <a:extLst>
            <a:ext uri="{FF2B5EF4-FFF2-40B4-BE49-F238E27FC236}">
              <a16:creationId xmlns:a16="http://schemas.microsoft.com/office/drawing/2014/main" id="{201BC135-6314-4853-A0AD-AEEE95DC3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1462" y="391027023"/>
          <a:ext cx="1253130" cy="7821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775</xdr:row>
      <xdr:rowOff>44823</xdr:rowOff>
    </xdr:from>
    <xdr:to>
      <xdr:col>9</xdr:col>
      <xdr:colOff>278360</xdr:colOff>
      <xdr:row>780</xdr:row>
      <xdr:rowOff>111363</xdr:rowOff>
    </xdr:to>
    <xdr:pic>
      <xdr:nvPicPr>
        <xdr:cNvPr id="21" name="Imagen 6" descr="C:\Users\user5\Desktop\estudios definitivos.jpg">
          <a:extLst>
            <a:ext uri="{FF2B5EF4-FFF2-40B4-BE49-F238E27FC236}">
              <a16:creationId xmlns:a16="http://schemas.microsoft.com/office/drawing/2014/main" id="{08209E0F-5BF5-4324-B13C-7E9EB3FF2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631332" y="391027023"/>
          <a:ext cx="1381578" cy="1076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324970</xdr:colOff>
      <xdr:row>872</xdr:row>
      <xdr:rowOff>11205</xdr:rowOff>
    </xdr:from>
    <xdr:to>
      <xdr:col>2</xdr:col>
      <xdr:colOff>530350</xdr:colOff>
      <xdr:row>876</xdr:row>
      <xdr:rowOff>126626</xdr:rowOff>
    </xdr:to>
    <xdr:pic>
      <xdr:nvPicPr>
        <xdr:cNvPr id="22" name="Imagen 6" descr="C:\Users\user5\Desktop\estudios definitivos.jpg">
          <a:extLst>
            <a:ext uri="{FF2B5EF4-FFF2-40B4-BE49-F238E27FC236}">
              <a16:creationId xmlns:a16="http://schemas.microsoft.com/office/drawing/2014/main" id="{25E48156-3325-4115-899D-69DB8299E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467845" y="427521780"/>
          <a:ext cx="1253130" cy="763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872</xdr:row>
      <xdr:rowOff>44823</xdr:rowOff>
    </xdr:from>
    <xdr:to>
      <xdr:col>9</xdr:col>
      <xdr:colOff>278360</xdr:colOff>
      <xdr:row>877</xdr:row>
      <xdr:rowOff>111363</xdr:rowOff>
    </xdr:to>
    <xdr:pic>
      <xdr:nvPicPr>
        <xdr:cNvPr id="23" name="Imagen 6" descr="C:\Users\user5\Desktop\estudios definitivos.jpg">
          <a:extLst>
            <a:ext uri="{FF2B5EF4-FFF2-40B4-BE49-F238E27FC236}">
              <a16:creationId xmlns:a16="http://schemas.microsoft.com/office/drawing/2014/main" id="{303FB41A-3042-4E90-AEEB-F5FDC0A32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631332" y="427555398"/>
          <a:ext cx="1381578" cy="876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324970</xdr:colOff>
      <xdr:row>963</xdr:row>
      <xdr:rowOff>11205</xdr:rowOff>
    </xdr:from>
    <xdr:to>
      <xdr:col>2</xdr:col>
      <xdr:colOff>530350</xdr:colOff>
      <xdr:row>967</xdr:row>
      <xdr:rowOff>126626</xdr:rowOff>
    </xdr:to>
    <xdr:pic>
      <xdr:nvPicPr>
        <xdr:cNvPr id="24" name="Imagen 6" descr="C:\Users\user5\Desktop\estudios definitivos.jpg">
          <a:extLst>
            <a:ext uri="{FF2B5EF4-FFF2-40B4-BE49-F238E27FC236}">
              <a16:creationId xmlns:a16="http://schemas.microsoft.com/office/drawing/2014/main" id="{EE29F482-0FC5-4D80-A26A-7810E85A2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467845" y="464745480"/>
          <a:ext cx="1253130" cy="763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963</xdr:row>
      <xdr:rowOff>44823</xdr:rowOff>
    </xdr:from>
    <xdr:to>
      <xdr:col>9</xdr:col>
      <xdr:colOff>278360</xdr:colOff>
      <xdr:row>968</xdr:row>
      <xdr:rowOff>111363</xdr:rowOff>
    </xdr:to>
    <xdr:pic>
      <xdr:nvPicPr>
        <xdr:cNvPr id="25" name="Imagen 6" descr="C:\Users\user5\Desktop\estudios definitivos.jpg">
          <a:extLst>
            <a:ext uri="{FF2B5EF4-FFF2-40B4-BE49-F238E27FC236}">
              <a16:creationId xmlns:a16="http://schemas.microsoft.com/office/drawing/2014/main" id="{A6B27221-8107-4DFA-AC67-782DF1F37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631332" y="464779098"/>
          <a:ext cx="1381578" cy="876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324970</xdr:colOff>
      <xdr:row>1051</xdr:row>
      <xdr:rowOff>11205</xdr:rowOff>
    </xdr:from>
    <xdr:to>
      <xdr:col>2</xdr:col>
      <xdr:colOff>530350</xdr:colOff>
      <xdr:row>1055</xdr:row>
      <xdr:rowOff>126626</xdr:rowOff>
    </xdr:to>
    <xdr:pic>
      <xdr:nvPicPr>
        <xdr:cNvPr id="26" name="Imagen 6" descr="C:\Users\user5\Desktop\estudios definitivos.jpg">
          <a:extLst>
            <a:ext uri="{FF2B5EF4-FFF2-40B4-BE49-F238E27FC236}">
              <a16:creationId xmlns:a16="http://schemas.microsoft.com/office/drawing/2014/main" id="{BF677D88-F1BE-4D58-B73B-494EE0F8B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467845" y="497025705"/>
          <a:ext cx="1253130" cy="763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1051</xdr:row>
      <xdr:rowOff>44823</xdr:rowOff>
    </xdr:from>
    <xdr:to>
      <xdr:col>9</xdr:col>
      <xdr:colOff>278360</xdr:colOff>
      <xdr:row>1056</xdr:row>
      <xdr:rowOff>111363</xdr:rowOff>
    </xdr:to>
    <xdr:pic>
      <xdr:nvPicPr>
        <xdr:cNvPr id="27" name="Imagen 6" descr="C:\Users\user5\Desktop\estudios definitivos.jpg">
          <a:extLst>
            <a:ext uri="{FF2B5EF4-FFF2-40B4-BE49-F238E27FC236}">
              <a16:creationId xmlns:a16="http://schemas.microsoft.com/office/drawing/2014/main" id="{9FEB8B9A-2256-42D2-B438-6824F718B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631332" y="497059323"/>
          <a:ext cx="1381578" cy="1076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683559</xdr:colOff>
      <xdr:row>0</xdr:row>
      <xdr:rowOff>11206</xdr:rowOff>
    </xdr:from>
    <xdr:to>
      <xdr:col>8</xdr:col>
      <xdr:colOff>270200</xdr:colOff>
      <xdr:row>7</xdr:row>
      <xdr:rowOff>84202</xdr:rowOff>
    </xdr:to>
    <xdr:pic>
      <xdr:nvPicPr>
        <xdr:cNvPr id="28" name="Imagen 27" descr="Resultado de imagen para gobierno regional de apurimac">
          <a:extLst>
            <a:ext uri="{FF2B5EF4-FFF2-40B4-BE49-F238E27FC236}">
              <a16:creationId xmlns:a16="http://schemas.microsoft.com/office/drawing/2014/main" id="{94FC9E82-944C-490F-9F12-ECEC964E5635}"/>
            </a:ext>
          </a:extLst>
        </xdr:cNvPr>
        <xdr:cNvPicPr/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0587" b="2517"/>
        <a:stretch/>
      </xdr:blipFill>
      <xdr:spPr bwMode="auto">
        <a:xfrm>
          <a:off x="8541684" y="11206"/>
          <a:ext cx="356996" cy="1359707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313764</xdr:colOff>
      <xdr:row>0</xdr:row>
      <xdr:rowOff>33617</xdr:rowOff>
    </xdr:from>
    <xdr:to>
      <xdr:col>2</xdr:col>
      <xdr:colOff>519144</xdr:colOff>
      <xdr:row>4</xdr:row>
      <xdr:rowOff>168088</xdr:rowOff>
    </xdr:to>
    <xdr:pic>
      <xdr:nvPicPr>
        <xdr:cNvPr id="2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456639" y="33617"/>
          <a:ext cx="1081680" cy="8964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130</xdr:row>
      <xdr:rowOff>44823</xdr:rowOff>
    </xdr:from>
    <xdr:to>
      <xdr:col>2</xdr:col>
      <xdr:colOff>563967</xdr:colOff>
      <xdr:row>134</xdr:row>
      <xdr:rowOff>179294</xdr:rowOff>
    </xdr:to>
    <xdr:pic>
      <xdr:nvPicPr>
        <xdr:cNvPr id="3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1462" y="10884273"/>
          <a:ext cx="1081680" cy="763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365</xdr:row>
      <xdr:rowOff>44823</xdr:rowOff>
    </xdr:from>
    <xdr:to>
      <xdr:col>2</xdr:col>
      <xdr:colOff>563967</xdr:colOff>
      <xdr:row>369</xdr:row>
      <xdr:rowOff>179294</xdr:rowOff>
    </xdr:to>
    <xdr:pic>
      <xdr:nvPicPr>
        <xdr:cNvPr id="4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1462" y="42116748"/>
          <a:ext cx="1081680" cy="763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365</xdr:row>
      <xdr:rowOff>44823</xdr:rowOff>
    </xdr:from>
    <xdr:to>
      <xdr:col>9</xdr:col>
      <xdr:colOff>278360</xdr:colOff>
      <xdr:row>370</xdr:row>
      <xdr:rowOff>111363</xdr:rowOff>
    </xdr:to>
    <xdr:pic>
      <xdr:nvPicPr>
        <xdr:cNvPr id="5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155082" y="42116748"/>
          <a:ext cx="952953" cy="876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568</xdr:row>
      <xdr:rowOff>44823</xdr:rowOff>
    </xdr:from>
    <xdr:to>
      <xdr:col>2</xdr:col>
      <xdr:colOff>563967</xdr:colOff>
      <xdr:row>572</xdr:row>
      <xdr:rowOff>179294</xdr:rowOff>
    </xdr:to>
    <xdr:pic>
      <xdr:nvPicPr>
        <xdr:cNvPr id="6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1462" y="73053948"/>
          <a:ext cx="1081680" cy="763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568</xdr:row>
      <xdr:rowOff>44823</xdr:rowOff>
    </xdr:from>
    <xdr:to>
      <xdr:col>9</xdr:col>
      <xdr:colOff>278360</xdr:colOff>
      <xdr:row>573</xdr:row>
      <xdr:rowOff>111363</xdr:rowOff>
    </xdr:to>
    <xdr:pic>
      <xdr:nvPicPr>
        <xdr:cNvPr id="7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155082" y="73053948"/>
          <a:ext cx="952953" cy="876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772</xdr:row>
      <xdr:rowOff>44823</xdr:rowOff>
    </xdr:from>
    <xdr:to>
      <xdr:col>2</xdr:col>
      <xdr:colOff>563967</xdr:colOff>
      <xdr:row>776</xdr:row>
      <xdr:rowOff>179294</xdr:rowOff>
    </xdr:to>
    <xdr:pic>
      <xdr:nvPicPr>
        <xdr:cNvPr id="8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1462" y="104238798"/>
          <a:ext cx="1081680" cy="763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772</xdr:row>
      <xdr:rowOff>44823</xdr:rowOff>
    </xdr:from>
    <xdr:to>
      <xdr:col>9</xdr:col>
      <xdr:colOff>278360</xdr:colOff>
      <xdr:row>777</xdr:row>
      <xdr:rowOff>111363</xdr:rowOff>
    </xdr:to>
    <xdr:pic>
      <xdr:nvPicPr>
        <xdr:cNvPr id="9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155082" y="104238798"/>
          <a:ext cx="952953" cy="876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1154</xdr:row>
      <xdr:rowOff>44823</xdr:rowOff>
    </xdr:from>
    <xdr:to>
      <xdr:col>2</xdr:col>
      <xdr:colOff>563967</xdr:colOff>
      <xdr:row>1158</xdr:row>
      <xdr:rowOff>179294</xdr:rowOff>
    </xdr:to>
    <xdr:pic>
      <xdr:nvPicPr>
        <xdr:cNvPr id="10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1462" y="135328398"/>
          <a:ext cx="1081680" cy="763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1154</xdr:row>
      <xdr:rowOff>44823</xdr:rowOff>
    </xdr:from>
    <xdr:to>
      <xdr:col>9</xdr:col>
      <xdr:colOff>278360</xdr:colOff>
      <xdr:row>1159</xdr:row>
      <xdr:rowOff>111363</xdr:rowOff>
    </xdr:to>
    <xdr:pic>
      <xdr:nvPicPr>
        <xdr:cNvPr id="11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155082" y="135328398"/>
          <a:ext cx="952953" cy="876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1443</xdr:row>
      <xdr:rowOff>91336</xdr:rowOff>
    </xdr:from>
    <xdr:to>
      <xdr:col>2</xdr:col>
      <xdr:colOff>563967</xdr:colOff>
      <xdr:row>1453</xdr:row>
      <xdr:rowOff>179294</xdr:rowOff>
    </xdr:to>
    <xdr:pic>
      <xdr:nvPicPr>
        <xdr:cNvPr id="12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2114" y="235554555"/>
          <a:ext cx="1249216" cy="1653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1443</xdr:row>
      <xdr:rowOff>26095</xdr:rowOff>
    </xdr:from>
    <xdr:to>
      <xdr:col>9</xdr:col>
      <xdr:colOff>278360</xdr:colOff>
      <xdr:row>1453</xdr:row>
      <xdr:rowOff>111362</xdr:rowOff>
    </xdr:to>
    <xdr:pic>
      <xdr:nvPicPr>
        <xdr:cNvPr id="13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609803" y="235489314"/>
          <a:ext cx="1376228" cy="16510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1720</xdr:row>
      <xdr:rowOff>44823</xdr:rowOff>
    </xdr:from>
    <xdr:to>
      <xdr:col>2</xdr:col>
      <xdr:colOff>563967</xdr:colOff>
      <xdr:row>1724</xdr:row>
      <xdr:rowOff>179294</xdr:rowOff>
    </xdr:to>
    <xdr:pic>
      <xdr:nvPicPr>
        <xdr:cNvPr id="14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1462" y="197612373"/>
          <a:ext cx="1081680" cy="763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1720</xdr:row>
      <xdr:rowOff>44823</xdr:rowOff>
    </xdr:from>
    <xdr:to>
      <xdr:col>9</xdr:col>
      <xdr:colOff>278360</xdr:colOff>
      <xdr:row>1725</xdr:row>
      <xdr:rowOff>111363</xdr:rowOff>
    </xdr:to>
    <xdr:pic>
      <xdr:nvPicPr>
        <xdr:cNvPr id="15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155082" y="197612373"/>
          <a:ext cx="952953" cy="876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1900</xdr:row>
      <xdr:rowOff>44823</xdr:rowOff>
    </xdr:from>
    <xdr:to>
      <xdr:col>2</xdr:col>
      <xdr:colOff>563967</xdr:colOff>
      <xdr:row>1904</xdr:row>
      <xdr:rowOff>179294</xdr:rowOff>
    </xdr:to>
    <xdr:pic>
      <xdr:nvPicPr>
        <xdr:cNvPr id="16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1462" y="228692448"/>
          <a:ext cx="1081680" cy="763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1900</xdr:row>
      <xdr:rowOff>44823</xdr:rowOff>
    </xdr:from>
    <xdr:to>
      <xdr:col>9</xdr:col>
      <xdr:colOff>278360</xdr:colOff>
      <xdr:row>1905</xdr:row>
      <xdr:rowOff>111363</xdr:rowOff>
    </xdr:to>
    <xdr:pic>
      <xdr:nvPicPr>
        <xdr:cNvPr id="17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155082" y="228692448"/>
          <a:ext cx="952953" cy="876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2076</xdr:row>
      <xdr:rowOff>44823</xdr:rowOff>
    </xdr:from>
    <xdr:to>
      <xdr:col>2</xdr:col>
      <xdr:colOff>563967</xdr:colOff>
      <xdr:row>2080</xdr:row>
      <xdr:rowOff>179294</xdr:rowOff>
    </xdr:to>
    <xdr:pic>
      <xdr:nvPicPr>
        <xdr:cNvPr id="18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1462" y="259867773"/>
          <a:ext cx="1081680" cy="763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2076</xdr:row>
      <xdr:rowOff>44823</xdr:rowOff>
    </xdr:from>
    <xdr:to>
      <xdr:col>9</xdr:col>
      <xdr:colOff>278360</xdr:colOff>
      <xdr:row>2081</xdr:row>
      <xdr:rowOff>111363</xdr:rowOff>
    </xdr:to>
    <xdr:pic>
      <xdr:nvPicPr>
        <xdr:cNvPr id="19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155082" y="259867773"/>
          <a:ext cx="952953" cy="876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2252</xdr:row>
      <xdr:rowOff>44823</xdr:rowOff>
    </xdr:from>
    <xdr:to>
      <xdr:col>2</xdr:col>
      <xdr:colOff>563967</xdr:colOff>
      <xdr:row>2256</xdr:row>
      <xdr:rowOff>179294</xdr:rowOff>
    </xdr:to>
    <xdr:pic>
      <xdr:nvPicPr>
        <xdr:cNvPr id="20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1462" y="291043098"/>
          <a:ext cx="1081680" cy="763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2252</xdr:row>
      <xdr:rowOff>44823</xdr:rowOff>
    </xdr:from>
    <xdr:to>
      <xdr:col>9</xdr:col>
      <xdr:colOff>278360</xdr:colOff>
      <xdr:row>2257</xdr:row>
      <xdr:rowOff>111363</xdr:rowOff>
    </xdr:to>
    <xdr:pic>
      <xdr:nvPicPr>
        <xdr:cNvPr id="21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155082" y="291043098"/>
          <a:ext cx="952953" cy="876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324970</xdr:colOff>
      <xdr:row>2461</xdr:row>
      <xdr:rowOff>11205</xdr:rowOff>
    </xdr:from>
    <xdr:to>
      <xdr:col>2</xdr:col>
      <xdr:colOff>530350</xdr:colOff>
      <xdr:row>2465</xdr:row>
      <xdr:rowOff>126626</xdr:rowOff>
    </xdr:to>
    <xdr:pic>
      <xdr:nvPicPr>
        <xdr:cNvPr id="22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467845" y="322127655"/>
          <a:ext cx="1081680" cy="763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2461</xdr:row>
      <xdr:rowOff>44823</xdr:rowOff>
    </xdr:from>
    <xdr:to>
      <xdr:col>9</xdr:col>
      <xdr:colOff>278360</xdr:colOff>
      <xdr:row>2466</xdr:row>
      <xdr:rowOff>111363</xdr:rowOff>
    </xdr:to>
    <xdr:pic>
      <xdr:nvPicPr>
        <xdr:cNvPr id="23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155082" y="322161273"/>
          <a:ext cx="952953" cy="876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324970</xdr:colOff>
      <xdr:row>2676</xdr:row>
      <xdr:rowOff>11205</xdr:rowOff>
    </xdr:from>
    <xdr:to>
      <xdr:col>2</xdr:col>
      <xdr:colOff>530350</xdr:colOff>
      <xdr:row>2680</xdr:row>
      <xdr:rowOff>126626</xdr:rowOff>
    </xdr:to>
    <xdr:pic>
      <xdr:nvPicPr>
        <xdr:cNvPr id="24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467845" y="353207730"/>
          <a:ext cx="1081680" cy="763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2676</xdr:row>
      <xdr:rowOff>44823</xdr:rowOff>
    </xdr:from>
    <xdr:to>
      <xdr:col>9</xdr:col>
      <xdr:colOff>278360</xdr:colOff>
      <xdr:row>2681</xdr:row>
      <xdr:rowOff>111363</xdr:rowOff>
    </xdr:to>
    <xdr:pic>
      <xdr:nvPicPr>
        <xdr:cNvPr id="25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155082" y="353241348"/>
          <a:ext cx="952953" cy="876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324970</xdr:colOff>
      <xdr:row>2861</xdr:row>
      <xdr:rowOff>11205</xdr:rowOff>
    </xdr:from>
    <xdr:to>
      <xdr:col>2</xdr:col>
      <xdr:colOff>530350</xdr:colOff>
      <xdr:row>2865</xdr:row>
      <xdr:rowOff>126626</xdr:rowOff>
    </xdr:to>
    <xdr:pic>
      <xdr:nvPicPr>
        <xdr:cNvPr id="26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467845" y="384287805"/>
          <a:ext cx="1081680" cy="763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2861</xdr:row>
      <xdr:rowOff>44823</xdr:rowOff>
    </xdr:from>
    <xdr:to>
      <xdr:col>9</xdr:col>
      <xdr:colOff>278360</xdr:colOff>
      <xdr:row>2866</xdr:row>
      <xdr:rowOff>111363</xdr:rowOff>
    </xdr:to>
    <xdr:pic>
      <xdr:nvPicPr>
        <xdr:cNvPr id="27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155082" y="384321423"/>
          <a:ext cx="952953" cy="876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683559</xdr:colOff>
      <xdr:row>0</xdr:row>
      <xdr:rowOff>11206</xdr:rowOff>
    </xdr:from>
    <xdr:to>
      <xdr:col>8</xdr:col>
      <xdr:colOff>278555</xdr:colOff>
      <xdr:row>7</xdr:row>
      <xdr:rowOff>37413</xdr:rowOff>
    </xdr:to>
    <xdr:pic>
      <xdr:nvPicPr>
        <xdr:cNvPr id="28" name="Imagen 27" descr="Resultado de imagen para gobierno regional de apurimac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PicPr/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0587" b="2517"/>
        <a:stretch/>
      </xdr:blipFill>
      <xdr:spPr bwMode="auto">
        <a:xfrm>
          <a:off x="8065434" y="11206"/>
          <a:ext cx="869016" cy="96964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313764</xdr:colOff>
      <xdr:row>0</xdr:row>
      <xdr:rowOff>33617</xdr:rowOff>
    </xdr:from>
    <xdr:to>
      <xdr:col>2</xdr:col>
      <xdr:colOff>519144</xdr:colOff>
      <xdr:row>4</xdr:row>
      <xdr:rowOff>168088</xdr:rowOff>
    </xdr:to>
    <xdr:pic>
      <xdr:nvPicPr>
        <xdr:cNvPr id="2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456639" y="33617"/>
          <a:ext cx="1081680" cy="8964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56</xdr:row>
      <xdr:rowOff>44823</xdr:rowOff>
    </xdr:from>
    <xdr:to>
      <xdr:col>2</xdr:col>
      <xdr:colOff>563967</xdr:colOff>
      <xdr:row>60</xdr:row>
      <xdr:rowOff>179294</xdr:rowOff>
    </xdr:to>
    <xdr:pic>
      <xdr:nvPicPr>
        <xdr:cNvPr id="4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1462" y="9607923"/>
          <a:ext cx="1081680" cy="8964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247</xdr:row>
      <xdr:rowOff>44823</xdr:rowOff>
    </xdr:from>
    <xdr:to>
      <xdr:col>2</xdr:col>
      <xdr:colOff>563967</xdr:colOff>
      <xdr:row>251</xdr:row>
      <xdr:rowOff>179294</xdr:rowOff>
    </xdr:to>
    <xdr:pic>
      <xdr:nvPicPr>
        <xdr:cNvPr id="8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4263" y="10880911"/>
          <a:ext cx="1079439" cy="7429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247</xdr:row>
      <xdr:rowOff>44823</xdr:rowOff>
    </xdr:from>
    <xdr:to>
      <xdr:col>9</xdr:col>
      <xdr:colOff>278360</xdr:colOff>
      <xdr:row>252</xdr:row>
      <xdr:rowOff>111363</xdr:rowOff>
    </xdr:to>
    <xdr:pic>
      <xdr:nvPicPr>
        <xdr:cNvPr id="9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157883" y="10880911"/>
          <a:ext cx="950712" cy="8509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436</xdr:row>
      <xdr:rowOff>44823</xdr:rowOff>
    </xdr:from>
    <xdr:to>
      <xdr:col>2</xdr:col>
      <xdr:colOff>563967</xdr:colOff>
      <xdr:row>440</xdr:row>
      <xdr:rowOff>179294</xdr:rowOff>
    </xdr:to>
    <xdr:pic>
      <xdr:nvPicPr>
        <xdr:cNvPr id="10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4263" y="41170411"/>
          <a:ext cx="1079439" cy="7429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436</xdr:row>
      <xdr:rowOff>44823</xdr:rowOff>
    </xdr:from>
    <xdr:to>
      <xdr:col>9</xdr:col>
      <xdr:colOff>278360</xdr:colOff>
      <xdr:row>441</xdr:row>
      <xdr:rowOff>111363</xdr:rowOff>
    </xdr:to>
    <xdr:pic>
      <xdr:nvPicPr>
        <xdr:cNvPr id="11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157883" y="41170411"/>
          <a:ext cx="950712" cy="8509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626</xdr:row>
      <xdr:rowOff>44823</xdr:rowOff>
    </xdr:from>
    <xdr:to>
      <xdr:col>2</xdr:col>
      <xdr:colOff>563967</xdr:colOff>
      <xdr:row>630</xdr:row>
      <xdr:rowOff>179294</xdr:rowOff>
    </xdr:to>
    <xdr:pic>
      <xdr:nvPicPr>
        <xdr:cNvPr id="12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4263" y="71179764"/>
          <a:ext cx="1079439" cy="7429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626</xdr:row>
      <xdr:rowOff>44823</xdr:rowOff>
    </xdr:from>
    <xdr:to>
      <xdr:col>9</xdr:col>
      <xdr:colOff>278360</xdr:colOff>
      <xdr:row>631</xdr:row>
      <xdr:rowOff>111363</xdr:rowOff>
    </xdr:to>
    <xdr:pic>
      <xdr:nvPicPr>
        <xdr:cNvPr id="13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157883" y="71179764"/>
          <a:ext cx="950712" cy="8509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816</xdr:row>
      <xdr:rowOff>44823</xdr:rowOff>
    </xdr:from>
    <xdr:to>
      <xdr:col>2</xdr:col>
      <xdr:colOff>563967</xdr:colOff>
      <xdr:row>820</xdr:row>
      <xdr:rowOff>179294</xdr:rowOff>
    </xdr:to>
    <xdr:pic>
      <xdr:nvPicPr>
        <xdr:cNvPr id="14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4263" y="101424441"/>
          <a:ext cx="1079439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816</xdr:row>
      <xdr:rowOff>44823</xdr:rowOff>
    </xdr:from>
    <xdr:to>
      <xdr:col>9</xdr:col>
      <xdr:colOff>278360</xdr:colOff>
      <xdr:row>821</xdr:row>
      <xdr:rowOff>111363</xdr:rowOff>
    </xdr:to>
    <xdr:pic>
      <xdr:nvPicPr>
        <xdr:cNvPr id="15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157883" y="101424441"/>
          <a:ext cx="950712" cy="8509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1006</xdr:row>
      <xdr:rowOff>44823</xdr:rowOff>
    </xdr:from>
    <xdr:to>
      <xdr:col>2</xdr:col>
      <xdr:colOff>563967</xdr:colOff>
      <xdr:row>1010</xdr:row>
      <xdr:rowOff>179294</xdr:rowOff>
    </xdr:to>
    <xdr:pic>
      <xdr:nvPicPr>
        <xdr:cNvPr id="16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4263" y="131579470"/>
          <a:ext cx="1079439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1006</xdr:row>
      <xdr:rowOff>44823</xdr:rowOff>
    </xdr:from>
    <xdr:to>
      <xdr:col>9</xdr:col>
      <xdr:colOff>278360</xdr:colOff>
      <xdr:row>1011</xdr:row>
      <xdr:rowOff>111363</xdr:rowOff>
    </xdr:to>
    <xdr:pic>
      <xdr:nvPicPr>
        <xdr:cNvPr id="17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157883" y="131579470"/>
          <a:ext cx="950712" cy="8509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1196</xdr:row>
      <xdr:rowOff>44823</xdr:rowOff>
    </xdr:from>
    <xdr:to>
      <xdr:col>2</xdr:col>
      <xdr:colOff>563967</xdr:colOff>
      <xdr:row>1200</xdr:row>
      <xdr:rowOff>179294</xdr:rowOff>
    </xdr:to>
    <xdr:pic>
      <xdr:nvPicPr>
        <xdr:cNvPr id="20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4263" y="71179764"/>
          <a:ext cx="1079439" cy="7429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1196</xdr:row>
      <xdr:rowOff>44823</xdr:rowOff>
    </xdr:from>
    <xdr:to>
      <xdr:col>9</xdr:col>
      <xdr:colOff>278360</xdr:colOff>
      <xdr:row>1201</xdr:row>
      <xdr:rowOff>111363</xdr:rowOff>
    </xdr:to>
    <xdr:pic>
      <xdr:nvPicPr>
        <xdr:cNvPr id="21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157883" y="71179764"/>
          <a:ext cx="950712" cy="8509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1387</xdr:row>
      <xdr:rowOff>44823</xdr:rowOff>
    </xdr:from>
    <xdr:to>
      <xdr:col>2</xdr:col>
      <xdr:colOff>563967</xdr:colOff>
      <xdr:row>1391</xdr:row>
      <xdr:rowOff>179294</xdr:rowOff>
    </xdr:to>
    <xdr:pic>
      <xdr:nvPicPr>
        <xdr:cNvPr id="22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4263" y="161812941"/>
          <a:ext cx="1079439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1387</xdr:row>
      <xdr:rowOff>44823</xdr:rowOff>
    </xdr:from>
    <xdr:to>
      <xdr:col>9</xdr:col>
      <xdr:colOff>278360</xdr:colOff>
      <xdr:row>1392</xdr:row>
      <xdr:rowOff>111363</xdr:rowOff>
    </xdr:to>
    <xdr:pic>
      <xdr:nvPicPr>
        <xdr:cNvPr id="23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157883" y="161812941"/>
          <a:ext cx="950712" cy="8509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1577</xdr:row>
      <xdr:rowOff>44823</xdr:rowOff>
    </xdr:from>
    <xdr:to>
      <xdr:col>2</xdr:col>
      <xdr:colOff>563967</xdr:colOff>
      <xdr:row>1581</xdr:row>
      <xdr:rowOff>179294</xdr:rowOff>
    </xdr:to>
    <xdr:pic>
      <xdr:nvPicPr>
        <xdr:cNvPr id="24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4263" y="222122999"/>
          <a:ext cx="1079439" cy="7429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1577</xdr:row>
      <xdr:rowOff>44823</xdr:rowOff>
    </xdr:from>
    <xdr:to>
      <xdr:col>9</xdr:col>
      <xdr:colOff>278360</xdr:colOff>
      <xdr:row>1582</xdr:row>
      <xdr:rowOff>111363</xdr:rowOff>
    </xdr:to>
    <xdr:pic>
      <xdr:nvPicPr>
        <xdr:cNvPr id="25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157883" y="222122999"/>
          <a:ext cx="950712" cy="8509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358587</xdr:colOff>
      <xdr:row>1767</xdr:row>
      <xdr:rowOff>44823</xdr:rowOff>
    </xdr:from>
    <xdr:to>
      <xdr:col>2</xdr:col>
      <xdr:colOff>563967</xdr:colOff>
      <xdr:row>1771</xdr:row>
      <xdr:rowOff>179294</xdr:rowOff>
    </xdr:to>
    <xdr:pic>
      <xdr:nvPicPr>
        <xdr:cNvPr id="28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504263" y="222122999"/>
          <a:ext cx="1079439" cy="7429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1767</xdr:row>
      <xdr:rowOff>44823</xdr:rowOff>
    </xdr:from>
    <xdr:to>
      <xdr:col>9</xdr:col>
      <xdr:colOff>278360</xdr:colOff>
      <xdr:row>1772</xdr:row>
      <xdr:rowOff>111363</xdr:rowOff>
    </xdr:to>
    <xdr:pic>
      <xdr:nvPicPr>
        <xdr:cNvPr id="29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157883" y="222122999"/>
          <a:ext cx="950712" cy="8509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324970</xdr:colOff>
      <xdr:row>1957</xdr:row>
      <xdr:rowOff>11205</xdr:rowOff>
    </xdr:from>
    <xdr:to>
      <xdr:col>2</xdr:col>
      <xdr:colOff>530350</xdr:colOff>
      <xdr:row>1961</xdr:row>
      <xdr:rowOff>126626</xdr:rowOff>
    </xdr:to>
    <xdr:pic>
      <xdr:nvPicPr>
        <xdr:cNvPr id="30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470646" y="312733764"/>
          <a:ext cx="1079439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1957</xdr:row>
      <xdr:rowOff>44823</xdr:rowOff>
    </xdr:from>
    <xdr:to>
      <xdr:col>9</xdr:col>
      <xdr:colOff>278360</xdr:colOff>
      <xdr:row>1962</xdr:row>
      <xdr:rowOff>111363</xdr:rowOff>
    </xdr:to>
    <xdr:pic>
      <xdr:nvPicPr>
        <xdr:cNvPr id="31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157883" y="282589941"/>
          <a:ext cx="950712" cy="8509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324970</xdr:colOff>
      <xdr:row>2148</xdr:row>
      <xdr:rowOff>11205</xdr:rowOff>
    </xdr:from>
    <xdr:to>
      <xdr:col>2</xdr:col>
      <xdr:colOff>530350</xdr:colOff>
      <xdr:row>2152</xdr:row>
      <xdr:rowOff>126626</xdr:rowOff>
    </xdr:to>
    <xdr:pic>
      <xdr:nvPicPr>
        <xdr:cNvPr id="32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470646" y="312733764"/>
          <a:ext cx="1079439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2148</xdr:row>
      <xdr:rowOff>44823</xdr:rowOff>
    </xdr:from>
    <xdr:to>
      <xdr:col>9</xdr:col>
      <xdr:colOff>278360</xdr:colOff>
      <xdr:row>2153</xdr:row>
      <xdr:rowOff>111363</xdr:rowOff>
    </xdr:to>
    <xdr:pic>
      <xdr:nvPicPr>
        <xdr:cNvPr id="33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157883" y="312767382"/>
          <a:ext cx="950712" cy="8509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324970</xdr:colOff>
      <xdr:row>2339</xdr:row>
      <xdr:rowOff>11205</xdr:rowOff>
    </xdr:from>
    <xdr:to>
      <xdr:col>2</xdr:col>
      <xdr:colOff>530350</xdr:colOff>
      <xdr:row>2343</xdr:row>
      <xdr:rowOff>126626</xdr:rowOff>
    </xdr:to>
    <xdr:pic>
      <xdr:nvPicPr>
        <xdr:cNvPr id="34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32" t="-4065" r="83784" b="11549"/>
        <a:stretch>
          <a:fillRect/>
        </a:stretch>
      </xdr:blipFill>
      <xdr:spPr bwMode="auto">
        <a:xfrm>
          <a:off x="470646" y="342866381"/>
          <a:ext cx="1079439" cy="7429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11207</xdr:colOff>
      <xdr:row>2339</xdr:row>
      <xdr:rowOff>44823</xdr:rowOff>
    </xdr:from>
    <xdr:to>
      <xdr:col>9</xdr:col>
      <xdr:colOff>278360</xdr:colOff>
      <xdr:row>2344</xdr:row>
      <xdr:rowOff>111363</xdr:rowOff>
    </xdr:to>
    <xdr:pic>
      <xdr:nvPicPr>
        <xdr:cNvPr id="35" name="Imagen 6" descr="C:\Users\user5\Desktop\estudios definitivos.jpg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42" t="783" r="-383" b="-3006"/>
        <a:stretch>
          <a:fillRect/>
        </a:stretch>
      </xdr:blipFill>
      <xdr:spPr bwMode="auto">
        <a:xfrm>
          <a:off x="8157883" y="342899999"/>
          <a:ext cx="950712" cy="8509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683559</xdr:colOff>
      <xdr:row>0</xdr:row>
      <xdr:rowOff>11206</xdr:rowOff>
    </xdr:from>
    <xdr:to>
      <xdr:col>9</xdr:col>
      <xdr:colOff>104775</xdr:colOff>
      <xdr:row>5</xdr:row>
      <xdr:rowOff>28351</xdr:rowOff>
    </xdr:to>
    <xdr:pic>
      <xdr:nvPicPr>
        <xdr:cNvPr id="36" name="Imagen 35" descr="Resultado de imagen para gobierno regional de apurimac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PicPr/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0587" b="2517"/>
        <a:stretch/>
      </xdr:blipFill>
      <xdr:spPr bwMode="auto">
        <a:xfrm>
          <a:off x="8068235" y="11206"/>
          <a:ext cx="866775" cy="96964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8</xdr:col>
      <xdr:colOff>100853</xdr:colOff>
      <xdr:row>55</xdr:row>
      <xdr:rowOff>44823</xdr:rowOff>
    </xdr:from>
    <xdr:to>
      <xdr:col>9</xdr:col>
      <xdr:colOff>284069</xdr:colOff>
      <xdr:row>61</xdr:row>
      <xdr:rowOff>73174</xdr:rowOff>
    </xdr:to>
    <xdr:pic>
      <xdr:nvPicPr>
        <xdr:cNvPr id="37" name="Imagen 36" descr="Resultado de imagen para gobierno regional de apurimac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PicPr/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0587" b="2517"/>
        <a:stretch/>
      </xdr:blipFill>
      <xdr:spPr bwMode="auto">
        <a:xfrm>
          <a:off x="8247529" y="10724029"/>
          <a:ext cx="866775" cy="96964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ta03\c\Mis%20documentos\Mis%20documentos\Mollepata\Pacobamba\SOCTAeje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ta03\c\Mis%20documentos\Mis%20documentos\Mollepata\RONALD\ALT-PREC.WQ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s%20documentos\Mis%20documentos\Mollepata\Pacobamba\SOCTAeje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s%20documentos\MABEL\LIMATAMBO\Otros\Anasis%20de%20Sobrecostos\Mis%20documentos\Mis%20documentos\Mollepata\Pacobamba\SOCTAeje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s%20documentos\Mis%20documentos\Mollepata\RONALD\ALT-PREC.WQ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IPA"/>
      <sheetName val="ANTABAMB"/>
      <sheetName val="CHALHUAN"/>
      <sheetName val="CURAHUASI"/>
      <sheetName val="ABANCAY"/>
      <sheetName val="SOCTA2"/>
      <sheetName val="PACO"/>
      <sheetName val="PRECIP"/>
      <sheetName val="FACTORES"/>
      <sheetName val="PUMAORCCO"/>
      <sheetName val="SONDORF"/>
      <sheetName val="RESUMEN"/>
      <sheetName val="APORTES"/>
      <sheetName val="AVAN-FISI-FINAN"/>
      <sheetName val="GASTADMIN"/>
      <sheetName val="EJECPRESUP"/>
      <sheetName val="MATERIAL"/>
      <sheetName val="EQUIPO"/>
      <sheetName val="P-DIREC-INDIREC"/>
      <sheetName val="PERSON"/>
      <sheetName val="PARIPASU"/>
      <sheetName val="COMPARA-INSU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>
        <row r="3">
          <cell r="A3" t="str">
            <v xml:space="preserve">CUADRO  DE EMPLEO DE MATERIALES </v>
          </cell>
        </row>
        <row r="4">
          <cell r="A4" t="str">
            <v>PROYECTO   :  IRRIGACION LIMATAMBO</v>
          </cell>
        </row>
        <row r="5">
          <cell r="A5" t="str">
            <v>SISTEMA : LECHERIA</v>
          </cell>
          <cell r="C5" t="str">
            <v>CANAL: PUMAORCCO - HUERTA ALTA</v>
          </cell>
        </row>
        <row r="6">
          <cell r="D6" t="str">
            <v>MOVIMIENTO EN ALMACEN</v>
          </cell>
          <cell r="G6" t="str">
            <v>EGRESOS</v>
          </cell>
          <cell r="K6" t="str">
            <v>EGRESOS POR PARTIDAS MES ACTUAL</v>
          </cell>
        </row>
        <row r="7">
          <cell r="D7" t="str">
            <v>SALDO</v>
          </cell>
          <cell r="E7" t="str">
            <v xml:space="preserve">INGRESOS </v>
          </cell>
          <cell r="F7" t="str">
            <v/>
          </cell>
          <cell r="G7" t="str">
            <v xml:space="preserve">AL </v>
          </cell>
          <cell r="H7" t="str">
            <v/>
          </cell>
          <cell r="I7" t="str">
            <v/>
          </cell>
          <cell r="J7" t="str">
            <v/>
          </cell>
          <cell r="K7" t="str">
            <v>I</v>
          </cell>
          <cell r="L7" t="str">
            <v>II</v>
          </cell>
          <cell r="M7" t="str">
            <v>III</v>
          </cell>
          <cell r="N7" t="str">
            <v>IV</v>
          </cell>
          <cell r="O7" t="str">
            <v>VI</v>
          </cell>
          <cell r="P7" t="str">
            <v>VII</v>
          </cell>
          <cell r="Q7" t="str">
            <v>VIII</v>
          </cell>
          <cell r="R7" t="str">
            <v>IX</v>
          </cell>
        </row>
        <row r="8">
          <cell r="A8" t="str">
            <v>CODIGO</v>
          </cell>
          <cell r="B8" t="str">
            <v>MATERIALES</v>
          </cell>
          <cell r="C8" t="str">
            <v>UND</v>
          </cell>
          <cell r="D8" t="str">
            <v xml:space="preserve">AL MES </v>
          </cell>
          <cell r="E8" t="str">
            <v>EN  EL</v>
          </cell>
          <cell r="F8" t="str">
            <v>SALDO</v>
          </cell>
          <cell r="G8" t="str">
            <v>MES</v>
          </cell>
          <cell r="H8" t="str">
            <v>MES</v>
          </cell>
          <cell r="I8" t="str">
            <v>ACUM.</v>
          </cell>
          <cell r="J8" t="str">
            <v>MES</v>
          </cell>
          <cell r="K8" t="str">
            <v>OBRAS</v>
          </cell>
          <cell r="L8" t="str">
            <v>CAPTA-</v>
          </cell>
          <cell r="M8" t="str">
            <v>CANAL</v>
          </cell>
          <cell r="N8" t="str">
            <v xml:space="preserve">CANAL </v>
          </cell>
          <cell r="O8" t="str">
            <v>O. ARTE</v>
          </cell>
          <cell r="P8" t="str">
            <v>O.ARTE</v>
          </cell>
          <cell r="Q8" t="str">
            <v>OBRAS DE</v>
          </cell>
          <cell r="R8" t="str">
            <v>TRANSP</v>
          </cell>
        </row>
        <row r="9">
          <cell r="D9" t="str">
            <v>ANTERIOR</v>
          </cell>
          <cell r="E9" t="str">
            <v xml:space="preserve">MES </v>
          </cell>
          <cell r="F9" t="str">
            <v>ACTUAL</v>
          </cell>
          <cell r="G9" t="str">
            <v>ANTERIOR</v>
          </cell>
          <cell r="H9" t="str">
            <v>ACTUAL</v>
          </cell>
          <cell r="I9" t="str">
            <v>TOTAL</v>
          </cell>
          <cell r="J9" t="str">
            <v>ACTUAL</v>
          </cell>
          <cell r="K9" t="str">
            <v>PRELIMI</v>
          </cell>
          <cell r="L9" t="str">
            <v>CIONES</v>
          </cell>
          <cell r="M9" t="str">
            <v>PRINCIP</v>
          </cell>
          <cell r="N9" t="str">
            <v>LATERAL</v>
          </cell>
          <cell r="O9" t="str">
            <v xml:space="preserve"> STANDARD</v>
          </cell>
          <cell r="P9" t="str">
            <v>ESPECIAL</v>
          </cell>
          <cell r="Q9" t="str">
            <v>SOSTENIM</v>
          </cell>
        </row>
        <row r="10">
          <cell r="A10" t="str">
            <v>65.11.22</v>
          </cell>
          <cell r="B10" t="str">
            <v>VESTUARIO</v>
          </cell>
        </row>
        <row r="11">
          <cell r="B11" t="str">
            <v>Botas de jebe caña alta</v>
          </cell>
          <cell r="C11" t="str">
            <v>Pares</v>
          </cell>
          <cell r="D11">
            <v>0</v>
          </cell>
          <cell r="E11">
            <v>50</v>
          </cell>
          <cell r="F11">
            <v>0</v>
          </cell>
          <cell r="G11">
            <v>40</v>
          </cell>
          <cell r="H11">
            <v>50</v>
          </cell>
          <cell r="I11">
            <v>90</v>
          </cell>
          <cell r="J11">
            <v>50</v>
          </cell>
          <cell r="L11">
            <v>8</v>
          </cell>
          <cell r="M11">
            <v>27</v>
          </cell>
          <cell r="O11">
            <v>15</v>
          </cell>
        </row>
        <row r="12">
          <cell r="B12" t="str">
            <v>Cascos de protección</v>
          </cell>
          <cell r="C12" t="str">
            <v>Und.</v>
          </cell>
          <cell r="D12">
            <v>0</v>
          </cell>
          <cell r="E12">
            <v>80</v>
          </cell>
          <cell r="F12">
            <v>17</v>
          </cell>
          <cell r="G12">
            <v>18</v>
          </cell>
          <cell r="H12">
            <v>63</v>
          </cell>
          <cell r="I12">
            <v>81</v>
          </cell>
          <cell r="J12">
            <v>63</v>
          </cell>
          <cell r="L12">
            <v>12</v>
          </cell>
          <cell r="M12">
            <v>33</v>
          </cell>
          <cell r="O12">
            <v>18</v>
          </cell>
        </row>
        <row r="13">
          <cell r="B13" t="str">
            <v>Guantes de jebe</v>
          </cell>
          <cell r="C13" t="str">
            <v>Pares</v>
          </cell>
          <cell r="D13">
            <v>58</v>
          </cell>
          <cell r="F13">
            <v>53</v>
          </cell>
          <cell r="G13">
            <v>32</v>
          </cell>
          <cell r="H13">
            <v>5</v>
          </cell>
          <cell r="I13">
            <v>37</v>
          </cell>
          <cell r="J13">
            <v>5</v>
          </cell>
          <cell r="L13">
            <v>2</v>
          </cell>
          <cell r="O13">
            <v>3</v>
          </cell>
        </row>
        <row r="14">
          <cell r="B14" t="str">
            <v>Guantes de cuero reforzado</v>
          </cell>
          <cell r="C14" t="str">
            <v>Pares</v>
          </cell>
          <cell r="D14">
            <v>16</v>
          </cell>
          <cell r="F14">
            <v>11</v>
          </cell>
          <cell r="G14">
            <v>74</v>
          </cell>
          <cell r="H14">
            <v>5</v>
          </cell>
          <cell r="I14">
            <v>79</v>
          </cell>
          <cell r="J14">
            <v>5</v>
          </cell>
          <cell r="L14">
            <v>1</v>
          </cell>
          <cell r="M14">
            <v>2</v>
          </cell>
          <cell r="O14">
            <v>2</v>
          </cell>
        </row>
        <row r="15">
          <cell r="B15" t="str">
            <v>Poncho impermeable con estuche</v>
          </cell>
          <cell r="C15" t="str">
            <v>Und.</v>
          </cell>
          <cell r="D15">
            <v>0</v>
          </cell>
          <cell r="F15">
            <v>0</v>
          </cell>
          <cell r="G15">
            <v>2</v>
          </cell>
          <cell r="I15">
            <v>2</v>
          </cell>
          <cell r="J15">
            <v>0</v>
          </cell>
        </row>
        <row r="17">
          <cell r="A17" t="str">
            <v>65.11.23</v>
          </cell>
          <cell r="B17" t="str">
            <v>COMBUST. LUBRIC. Y CARB.</v>
          </cell>
        </row>
        <row r="18">
          <cell r="B18" t="str">
            <v>Gasolina de 84 octanos</v>
          </cell>
          <cell r="C18" t="str">
            <v>Gln</v>
          </cell>
          <cell r="D18">
            <v>66.5</v>
          </cell>
          <cell r="E18">
            <v>161</v>
          </cell>
          <cell r="F18">
            <v>20.5</v>
          </cell>
          <cell r="G18">
            <v>1290</v>
          </cell>
          <cell r="H18">
            <v>207</v>
          </cell>
          <cell r="I18">
            <v>1497</v>
          </cell>
          <cell r="J18">
            <v>207</v>
          </cell>
          <cell r="K18">
            <v>10</v>
          </cell>
          <cell r="L18">
            <v>10</v>
          </cell>
          <cell r="M18">
            <v>25</v>
          </cell>
          <cell r="O18">
            <v>15</v>
          </cell>
        </row>
        <row r="19">
          <cell r="B19" t="str">
            <v>Gasolina de 90 octanos</v>
          </cell>
          <cell r="C19" t="str">
            <v>Gln</v>
          </cell>
          <cell r="D19">
            <v>12</v>
          </cell>
          <cell r="E19">
            <v>20</v>
          </cell>
          <cell r="F19">
            <v>18</v>
          </cell>
          <cell r="G19">
            <v>56</v>
          </cell>
          <cell r="H19">
            <v>14</v>
          </cell>
          <cell r="I19">
            <v>70</v>
          </cell>
          <cell r="J19">
            <v>14</v>
          </cell>
          <cell r="M19">
            <v>14</v>
          </cell>
        </row>
        <row r="20">
          <cell r="B20" t="str">
            <v>Petróleo Diesel</v>
          </cell>
          <cell r="C20" t="str">
            <v>Gln</v>
          </cell>
          <cell r="D20">
            <v>379</v>
          </cell>
          <cell r="E20">
            <v>330</v>
          </cell>
          <cell r="F20">
            <v>330</v>
          </cell>
          <cell r="G20">
            <v>3593</v>
          </cell>
          <cell r="H20">
            <v>379</v>
          </cell>
          <cell r="I20">
            <v>3972</v>
          </cell>
          <cell r="J20">
            <v>379</v>
          </cell>
          <cell r="K20">
            <v>93</v>
          </cell>
          <cell r="L20">
            <v>25</v>
          </cell>
          <cell r="M20">
            <v>28</v>
          </cell>
          <cell r="O20">
            <v>85</v>
          </cell>
        </row>
        <row r="21">
          <cell r="B21" t="str">
            <v>Aceite Grado 30 gasolinero</v>
          </cell>
          <cell r="C21" t="str">
            <v>Gln</v>
          </cell>
          <cell r="F21">
            <v>0</v>
          </cell>
          <cell r="G21">
            <v>3</v>
          </cell>
          <cell r="I21">
            <v>3</v>
          </cell>
          <cell r="J21">
            <v>0</v>
          </cell>
        </row>
        <row r="22">
          <cell r="B22" t="str">
            <v>Aceite Grado 40 gasolinero</v>
          </cell>
          <cell r="C22" t="str">
            <v>Gln</v>
          </cell>
          <cell r="D22">
            <v>6.5</v>
          </cell>
          <cell r="F22">
            <v>5</v>
          </cell>
          <cell r="G22">
            <v>8.5</v>
          </cell>
          <cell r="H22">
            <v>1.5</v>
          </cell>
          <cell r="I22">
            <v>10</v>
          </cell>
          <cell r="J22">
            <v>1.5</v>
          </cell>
        </row>
        <row r="23">
          <cell r="B23" t="str">
            <v>Aceite Grado 30 petrolero</v>
          </cell>
          <cell r="C23" t="str">
            <v>Gln</v>
          </cell>
          <cell r="D23">
            <v>15</v>
          </cell>
          <cell r="F23">
            <v>15</v>
          </cell>
          <cell r="I23" t="str">
            <v/>
          </cell>
          <cell r="J23">
            <v>0</v>
          </cell>
        </row>
        <row r="24">
          <cell r="B24" t="str">
            <v>Aceite Grado 40 petrolero</v>
          </cell>
          <cell r="C24" t="str">
            <v>Gln</v>
          </cell>
          <cell r="D24">
            <v>6</v>
          </cell>
          <cell r="E24">
            <v>5</v>
          </cell>
          <cell r="F24">
            <v>5</v>
          </cell>
          <cell r="G24">
            <v>15</v>
          </cell>
          <cell r="H24">
            <v>6</v>
          </cell>
          <cell r="I24">
            <v>21</v>
          </cell>
          <cell r="J24">
            <v>6</v>
          </cell>
          <cell r="M24">
            <v>2</v>
          </cell>
        </row>
        <row r="25">
          <cell r="B25" t="str">
            <v>Aceite de transmisión Grado 140 (Prest. Sin O/C)</v>
          </cell>
          <cell r="C25" t="str">
            <v>Gln</v>
          </cell>
          <cell r="F25">
            <v>0</v>
          </cell>
          <cell r="G25">
            <v>1</v>
          </cell>
          <cell r="I25">
            <v>1</v>
          </cell>
          <cell r="J25">
            <v>0</v>
          </cell>
        </row>
        <row r="26">
          <cell r="B26" t="str">
            <v>Hidrolina</v>
          </cell>
          <cell r="C26" t="str">
            <v>Gln</v>
          </cell>
          <cell r="D26">
            <v>1.5</v>
          </cell>
          <cell r="F26">
            <v>0</v>
          </cell>
          <cell r="G26">
            <v>14.5</v>
          </cell>
          <cell r="H26">
            <v>1.5</v>
          </cell>
          <cell r="I26">
            <v>16</v>
          </cell>
          <cell r="J26">
            <v>1.5</v>
          </cell>
        </row>
        <row r="28">
          <cell r="A28" t="str">
            <v>65.11.26</v>
          </cell>
          <cell r="B28" t="str">
            <v>PROVISION DE MATERIAL EXPLOSIVO</v>
          </cell>
        </row>
        <row r="29">
          <cell r="B29" t="str">
            <v>Dinamita (semexa) al 65%</v>
          </cell>
          <cell r="C29" t="str">
            <v>Und.</v>
          </cell>
          <cell r="D29">
            <v>935</v>
          </cell>
          <cell r="F29">
            <v>677</v>
          </cell>
          <cell r="G29">
            <v>1288</v>
          </cell>
          <cell r="H29">
            <v>258</v>
          </cell>
          <cell r="I29">
            <v>1546</v>
          </cell>
          <cell r="J29">
            <v>258</v>
          </cell>
          <cell r="M29">
            <v>258</v>
          </cell>
        </row>
        <row r="30">
          <cell r="B30" t="str">
            <v>Fulminante común</v>
          </cell>
          <cell r="C30" t="str">
            <v>Caja</v>
          </cell>
          <cell r="D30">
            <v>3.8</v>
          </cell>
          <cell r="E30">
            <v>1</v>
          </cell>
          <cell r="F30">
            <v>3.4899999999999998</v>
          </cell>
          <cell r="G30">
            <v>4.2</v>
          </cell>
          <cell r="H30">
            <v>1.31</v>
          </cell>
          <cell r="I30">
            <v>5.51</v>
          </cell>
          <cell r="J30">
            <v>1.31</v>
          </cell>
          <cell r="M30">
            <v>1.31</v>
          </cell>
        </row>
        <row r="31">
          <cell r="B31" t="str">
            <v>Mecha o guia de seguridad</v>
          </cell>
          <cell r="C31" t="str">
            <v>m.</v>
          </cell>
          <cell r="D31">
            <v>464</v>
          </cell>
          <cell r="F31">
            <v>388</v>
          </cell>
          <cell r="G31">
            <v>536</v>
          </cell>
          <cell r="H31">
            <v>76</v>
          </cell>
          <cell r="I31">
            <v>612</v>
          </cell>
          <cell r="J31">
            <v>76</v>
          </cell>
          <cell r="M31">
            <v>76</v>
          </cell>
        </row>
        <row r="32">
          <cell r="I32" t="str">
            <v/>
          </cell>
        </row>
        <row r="33">
          <cell r="A33" t="str">
            <v>65.11.29</v>
          </cell>
          <cell r="B33" t="str">
            <v>MATERIALES  DE  CONSTRUCCION</v>
          </cell>
          <cell r="I33" t="str">
            <v/>
          </cell>
        </row>
        <row r="34">
          <cell r="B34" t="str">
            <v>Arena</v>
          </cell>
          <cell r="C34" t="str">
            <v>m3.</v>
          </cell>
          <cell r="D34">
            <v>385.1</v>
          </cell>
          <cell r="F34">
            <v>385.1</v>
          </cell>
          <cell r="G34">
            <v>80</v>
          </cell>
          <cell r="I34">
            <v>80</v>
          </cell>
          <cell r="J34">
            <v>0</v>
          </cell>
        </row>
        <row r="35">
          <cell r="B35" t="str">
            <v>Agregado grueso</v>
          </cell>
          <cell r="C35" t="str">
            <v>m3.</v>
          </cell>
          <cell r="D35">
            <v>43</v>
          </cell>
          <cell r="E35">
            <v>48</v>
          </cell>
          <cell r="F35">
            <v>91</v>
          </cell>
          <cell r="G35">
            <v>207</v>
          </cell>
          <cell r="I35">
            <v>207</v>
          </cell>
          <cell r="J35">
            <v>0</v>
          </cell>
        </row>
        <row r="36">
          <cell r="B36" t="str">
            <v>Alambre negro # 8</v>
          </cell>
          <cell r="C36" t="str">
            <v>kg</v>
          </cell>
          <cell r="D36">
            <v>55</v>
          </cell>
          <cell r="F36">
            <v>55</v>
          </cell>
          <cell r="G36">
            <v>45</v>
          </cell>
          <cell r="I36">
            <v>45</v>
          </cell>
          <cell r="J36">
            <v>0</v>
          </cell>
        </row>
        <row r="37">
          <cell r="B37" t="str">
            <v>Alambre negro # 16</v>
          </cell>
          <cell r="C37" t="str">
            <v>kg</v>
          </cell>
          <cell r="D37">
            <v>120.5</v>
          </cell>
          <cell r="F37">
            <v>79</v>
          </cell>
          <cell r="G37">
            <v>79.5</v>
          </cell>
          <cell r="H37">
            <v>41.5</v>
          </cell>
          <cell r="I37">
            <v>121</v>
          </cell>
          <cell r="J37">
            <v>41.5</v>
          </cell>
          <cell r="L37">
            <v>18.5</v>
          </cell>
          <cell r="O37">
            <v>23</v>
          </cell>
        </row>
        <row r="38">
          <cell r="B38" t="str">
            <v>Asfalto liquido RC-250</v>
          </cell>
          <cell r="C38" t="str">
            <v>Gln.</v>
          </cell>
          <cell r="E38">
            <v>550</v>
          </cell>
          <cell r="F38">
            <v>546</v>
          </cell>
          <cell r="H38">
            <v>4</v>
          </cell>
          <cell r="I38">
            <v>4</v>
          </cell>
          <cell r="J38">
            <v>4</v>
          </cell>
          <cell r="L38">
            <v>4</v>
          </cell>
        </row>
        <row r="39">
          <cell r="B39" t="str">
            <v>Barreta octogonal de 1 1/4" x 1.5 m.</v>
          </cell>
          <cell r="C39" t="str">
            <v>Und.</v>
          </cell>
          <cell r="E39">
            <v>10</v>
          </cell>
          <cell r="F39">
            <v>7</v>
          </cell>
          <cell r="G39">
            <v>15</v>
          </cell>
          <cell r="H39">
            <v>3</v>
          </cell>
          <cell r="I39">
            <v>18</v>
          </cell>
          <cell r="J39">
            <v>3</v>
          </cell>
          <cell r="M39">
            <v>3</v>
          </cell>
        </row>
        <row r="40">
          <cell r="B40" t="str">
            <v>Barrenos de perforación de 7/8" x 3'</v>
          </cell>
          <cell r="C40" t="str">
            <v>Und.</v>
          </cell>
          <cell r="D40">
            <v>15</v>
          </cell>
          <cell r="F40">
            <v>15</v>
          </cell>
          <cell r="G40">
            <v>6</v>
          </cell>
          <cell r="I40">
            <v>6</v>
          </cell>
          <cell r="J40">
            <v>0</v>
          </cell>
        </row>
        <row r="41">
          <cell r="B41" t="str">
            <v>Barrenos de perforación de 7/8" x 5'</v>
          </cell>
          <cell r="C41" t="str">
            <v>Und.</v>
          </cell>
          <cell r="D41">
            <v>10</v>
          </cell>
          <cell r="F41">
            <v>10</v>
          </cell>
          <cell r="I41" t="str">
            <v/>
          </cell>
          <cell r="J41">
            <v>0</v>
          </cell>
        </row>
        <row r="42">
          <cell r="B42" t="str">
            <v>Buguies con llantas neumáticas</v>
          </cell>
          <cell r="C42" t="str">
            <v>Und.</v>
          </cell>
          <cell r="D42">
            <v>23</v>
          </cell>
          <cell r="E42">
            <v>50</v>
          </cell>
          <cell r="F42">
            <v>70</v>
          </cell>
          <cell r="G42">
            <v>41</v>
          </cell>
          <cell r="H42">
            <v>3</v>
          </cell>
          <cell r="I42">
            <v>44</v>
          </cell>
          <cell r="J42">
            <v>3</v>
          </cell>
          <cell r="O42">
            <v>3</v>
          </cell>
        </row>
        <row r="43">
          <cell r="B43" t="str">
            <v>Briqueteras</v>
          </cell>
          <cell r="C43" t="str">
            <v>Und.</v>
          </cell>
          <cell r="F43">
            <v>0</v>
          </cell>
          <cell r="G43">
            <v>3</v>
          </cell>
          <cell r="I43">
            <v>3</v>
          </cell>
          <cell r="J43">
            <v>0</v>
          </cell>
        </row>
        <row r="44">
          <cell r="B44" t="str">
            <v>Calamina de 11 canales por 1.80 metros</v>
          </cell>
          <cell r="C44" t="str">
            <v>Plancha</v>
          </cell>
          <cell r="D44">
            <v>90</v>
          </cell>
          <cell r="F44">
            <v>90</v>
          </cell>
          <cell r="G44">
            <v>680</v>
          </cell>
          <cell r="I44">
            <v>680</v>
          </cell>
          <cell r="J44">
            <v>0</v>
          </cell>
        </row>
        <row r="45">
          <cell r="B45" t="str">
            <v>Cemento Portland tipo 1 P</v>
          </cell>
          <cell r="C45" t="str">
            <v>Bls.</v>
          </cell>
          <cell r="D45">
            <v>324</v>
          </cell>
          <cell r="E45">
            <v>731</v>
          </cell>
          <cell r="F45">
            <v>689</v>
          </cell>
          <cell r="G45">
            <v>961</v>
          </cell>
          <cell r="H45">
            <v>366</v>
          </cell>
          <cell r="I45">
            <v>1327</v>
          </cell>
          <cell r="J45">
            <v>366</v>
          </cell>
          <cell r="L45">
            <v>220</v>
          </cell>
          <cell r="O45">
            <v>146</v>
          </cell>
        </row>
        <row r="46">
          <cell r="B46" t="str">
            <v>Cinta teflon</v>
          </cell>
          <cell r="C46" t="str">
            <v>Und.</v>
          </cell>
          <cell r="D46">
            <v>104</v>
          </cell>
          <cell r="F46">
            <v>104</v>
          </cell>
          <cell r="I46" t="str">
            <v/>
          </cell>
          <cell r="J46">
            <v>0</v>
          </cell>
        </row>
        <row r="47">
          <cell r="B47" t="str">
            <v>Clavo de 1"</v>
          </cell>
          <cell r="C47" t="str">
            <v>kg</v>
          </cell>
          <cell r="D47">
            <v>32.75</v>
          </cell>
          <cell r="E47">
            <v>36</v>
          </cell>
          <cell r="F47">
            <v>63.75</v>
          </cell>
          <cell r="G47">
            <v>7.75</v>
          </cell>
          <cell r="H47">
            <v>5</v>
          </cell>
          <cell r="I47">
            <v>12.75</v>
          </cell>
          <cell r="J47">
            <v>5</v>
          </cell>
          <cell r="O47">
            <v>5</v>
          </cell>
        </row>
        <row r="48">
          <cell r="B48" t="str">
            <v>Clavo de 2"</v>
          </cell>
          <cell r="C48" t="str">
            <v>kg</v>
          </cell>
          <cell r="D48">
            <v>107.95</v>
          </cell>
          <cell r="F48">
            <v>106.95</v>
          </cell>
          <cell r="G48">
            <v>12.05</v>
          </cell>
          <cell r="H48">
            <v>1</v>
          </cell>
          <cell r="I48">
            <v>13.05</v>
          </cell>
          <cell r="J48">
            <v>1</v>
          </cell>
          <cell r="O48">
            <v>1</v>
          </cell>
        </row>
        <row r="49">
          <cell r="B49" t="str">
            <v>Clavo de 2 1/2"</v>
          </cell>
          <cell r="C49" t="str">
            <v>kg</v>
          </cell>
          <cell r="F49">
            <v>0</v>
          </cell>
          <cell r="I49" t="str">
            <v/>
          </cell>
        </row>
        <row r="50">
          <cell r="B50" t="str">
            <v>Clavo de 3"</v>
          </cell>
          <cell r="C50" t="str">
            <v>kg</v>
          </cell>
          <cell r="D50">
            <v>97</v>
          </cell>
          <cell r="F50">
            <v>92.5</v>
          </cell>
          <cell r="G50">
            <v>53</v>
          </cell>
          <cell r="H50">
            <v>4.5</v>
          </cell>
          <cell r="I50">
            <v>57.5</v>
          </cell>
          <cell r="J50">
            <v>4.5</v>
          </cell>
          <cell r="L50">
            <v>1.5</v>
          </cell>
          <cell r="O50">
            <v>3</v>
          </cell>
        </row>
        <row r="51">
          <cell r="B51" t="str">
            <v>Clavo de 4"</v>
          </cell>
          <cell r="C51" t="str">
            <v>kg</v>
          </cell>
          <cell r="D51">
            <v>439.5</v>
          </cell>
          <cell r="F51">
            <v>438</v>
          </cell>
          <cell r="G51">
            <v>51.5</v>
          </cell>
          <cell r="H51">
            <v>1.5</v>
          </cell>
          <cell r="I51">
            <v>53</v>
          </cell>
          <cell r="J51">
            <v>1.5</v>
          </cell>
          <cell r="L51">
            <v>1.5</v>
          </cell>
        </row>
        <row r="52">
          <cell r="B52" t="str">
            <v>Codos PVC de Ø 6".</v>
          </cell>
          <cell r="C52" t="str">
            <v>Pza.</v>
          </cell>
          <cell r="D52">
            <v>56</v>
          </cell>
          <cell r="F52">
            <v>56</v>
          </cell>
          <cell r="G52">
            <v>24</v>
          </cell>
          <cell r="I52">
            <v>24</v>
          </cell>
          <cell r="J52">
            <v>0</v>
          </cell>
        </row>
        <row r="53">
          <cell r="B53" t="str">
            <v>Codos PVC de Ø 200 mm.</v>
          </cell>
          <cell r="C53" t="str">
            <v>Pza.</v>
          </cell>
          <cell r="D53">
            <v>2</v>
          </cell>
          <cell r="F53">
            <v>2</v>
          </cell>
          <cell r="G53">
            <v>2</v>
          </cell>
          <cell r="I53">
            <v>2</v>
          </cell>
          <cell r="J53">
            <v>0</v>
          </cell>
        </row>
        <row r="54">
          <cell r="B54" t="str">
            <v>Codos PVC de Ø 250 mm.</v>
          </cell>
          <cell r="C54" t="str">
            <v>Pza.</v>
          </cell>
          <cell r="F54">
            <v>0</v>
          </cell>
          <cell r="G54">
            <v>4</v>
          </cell>
          <cell r="I54">
            <v>4</v>
          </cell>
          <cell r="J54">
            <v>0</v>
          </cell>
        </row>
        <row r="55">
          <cell r="B55" t="str">
            <v>Codos PVC de Ø 315 mm.</v>
          </cell>
          <cell r="C55" t="str">
            <v>Pza.</v>
          </cell>
          <cell r="D55">
            <v>4</v>
          </cell>
          <cell r="F55">
            <v>4</v>
          </cell>
          <cell r="I55" t="str">
            <v/>
          </cell>
          <cell r="J55">
            <v>0</v>
          </cell>
        </row>
        <row r="56">
          <cell r="B56" t="str">
            <v>Combas de 12 lb.</v>
          </cell>
          <cell r="C56" t="str">
            <v>Und.</v>
          </cell>
          <cell r="D56">
            <v>6</v>
          </cell>
          <cell r="F56">
            <v>6</v>
          </cell>
          <cell r="I56" t="str">
            <v/>
          </cell>
          <cell r="J56">
            <v>0</v>
          </cell>
        </row>
        <row r="57">
          <cell r="B57" t="str">
            <v>Combas de 20 lb.</v>
          </cell>
          <cell r="C57" t="str">
            <v>Und.</v>
          </cell>
          <cell r="F57">
            <v>0</v>
          </cell>
          <cell r="G57">
            <v>6</v>
          </cell>
          <cell r="I57">
            <v>6</v>
          </cell>
          <cell r="J57">
            <v>0</v>
          </cell>
        </row>
        <row r="60">
          <cell r="E60">
            <v>1</v>
          </cell>
          <cell r="F60">
            <v>1</v>
          </cell>
          <cell r="I60" t="str">
            <v/>
          </cell>
          <cell r="J60">
            <v>0</v>
          </cell>
        </row>
        <row r="96">
          <cell r="B96" t="str">
            <v>Cinta Masking de 1"</v>
          </cell>
          <cell r="C96" t="str">
            <v>Und</v>
          </cell>
          <cell r="F96">
            <v>0</v>
          </cell>
          <cell r="G96">
            <v>4</v>
          </cell>
          <cell r="I96">
            <v>4</v>
          </cell>
          <cell r="J96">
            <v>0</v>
          </cell>
        </row>
        <row r="97">
          <cell r="B97" t="str">
            <v>Cuadernos empastados de 200 hojas</v>
          </cell>
          <cell r="C97" t="str">
            <v>Und</v>
          </cell>
          <cell r="D97">
            <v>6</v>
          </cell>
          <cell r="F97">
            <v>0</v>
          </cell>
          <cell r="G97">
            <v>20</v>
          </cell>
          <cell r="H97">
            <v>6</v>
          </cell>
          <cell r="I97">
            <v>26</v>
          </cell>
          <cell r="J97">
            <v>6</v>
          </cell>
        </row>
        <row r="98">
          <cell r="B98" t="str">
            <v>Diskets de 3.5" HD Sony</v>
          </cell>
          <cell r="C98" t="str">
            <v>Caja</v>
          </cell>
          <cell r="D98">
            <v>4.0999999999999996</v>
          </cell>
          <cell r="F98">
            <v>3.3999999999999995</v>
          </cell>
          <cell r="G98">
            <v>13</v>
          </cell>
          <cell r="H98">
            <v>0.7</v>
          </cell>
          <cell r="I98">
            <v>13.7</v>
          </cell>
          <cell r="J98">
            <v>0.7</v>
          </cell>
        </row>
        <row r="99">
          <cell r="B99" t="str">
            <v>Libretas de topografia</v>
          </cell>
          <cell r="C99" t="str">
            <v>Und</v>
          </cell>
          <cell r="D99">
            <v>12</v>
          </cell>
          <cell r="F99">
            <v>8</v>
          </cell>
          <cell r="G99">
            <v>18</v>
          </cell>
          <cell r="H99">
            <v>4</v>
          </cell>
          <cell r="I99">
            <v>22</v>
          </cell>
          <cell r="J99">
            <v>4</v>
          </cell>
          <cell r="K99">
            <v>4</v>
          </cell>
        </row>
        <row r="100">
          <cell r="B100" t="str">
            <v>Llantas para camioneta 750 x 15</v>
          </cell>
          <cell r="C100" t="str">
            <v>Und</v>
          </cell>
          <cell r="D100">
            <v>5</v>
          </cell>
          <cell r="F100">
            <v>5</v>
          </cell>
          <cell r="G100">
            <v>5</v>
          </cell>
          <cell r="I100">
            <v>5</v>
          </cell>
          <cell r="J100">
            <v>0</v>
          </cell>
        </row>
        <row r="101">
          <cell r="B101" t="str">
            <v>Llantas para retroexcavadora (Afect. Presup.)</v>
          </cell>
          <cell r="C101" t="str">
            <v>Und</v>
          </cell>
          <cell r="F101">
            <v>0</v>
          </cell>
          <cell r="G101">
            <v>1</v>
          </cell>
          <cell r="I101">
            <v>1</v>
          </cell>
          <cell r="J101">
            <v>0</v>
          </cell>
        </row>
        <row r="102">
          <cell r="B102" t="str">
            <v>Llantas Wrangler Good Year LT 275/15</v>
          </cell>
          <cell r="C102" t="str">
            <v>Und</v>
          </cell>
          <cell r="F102">
            <v>0</v>
          </cell>
          <cell r="G102">
            <v>4</v>
          </cell>
          <cell r="I102">
            <v>4</v>
          </cell>
          <cell r="J102">
            <v>0</v>
          </cell>
        </row>
        <row r="103">
          <cell r="B103" t="str">
            <v>Papel fotocopia A-4</v>
          </cell>
          <cell r="C103" t="str">
            <v>millar</v>
          </cell>
          <cell r="D103">
            <v>1</v>
          </cell>
          <cell r="F103">
            <v>0</v>
          </cell>
          <cell r="G103">
            <v>12</v>
          </cell>
          <cell r="H103">
            <v>1</v>
          </cell>
          <cell r="I103">
            <v>13</v>
          </cell>
          <cell r="J103">
            <v>1</v>
          </cell>
        </row>
        <row r="104">
          <cell r="B104" t="str">
            <v>Portaminas</v>
          </cell>
          <cell r="C104" t="str">
            <v>Und</v>
          </cell>
          <cell r="F104">
            <v>0</v>
          </cell>
          <cell r="G104">
            <v>5</v>
          </cell>
          <cell r="I104">
            <v>5</v>
          </cell>
          <cell r="J104">
            <v>0</v>
          </cell>
        </row>
        <row r="105">
          <cell r="B105" t="str">
            <v>Toner para fotocopiadora</v>
          </cell>
          <cell r="C105" t="str">
            <v>Und</v>
          </cell>
          <cell r="D105">
            <v>1</v>
          </cell>
          <cell r="F105">
            <v>1</v>
          </cell>
          <cell r="G105">
            <v>4</v>
          </cell>
          <cell r="I105">
            <v>4</v>
          </cell>
          <cell r="J105">
            <v>0</v>
          </cell>
        </row>
        <row r="106">
          <cell r="B106" t="str">
            <v>Toner para impresora</v>
          </cell>
          <cell r="C106" t="str">
            <v>Und</v>
          </cell>
          <cell r="D106">
            <v>2</v>
          </cell>
          <cell r="F106">
            <v>2</v>
          </cell>
          <cell r="G106">
            <v>3</v>
          </cell>
          <cell r="I106">
            <v>3</v>
          </cell>
          <cell r="J106">
            <v>0</v>
          </cell>
        </row>
        <row r="108">
          <cell r="A108" t="str">
            <v>65.11.51</v>
          </cell>
          <cell r="B108" t="str">
            <v>EQUIPAMIENTO Y BIENES DURADEROS</v>
          </cell>
          <cell r="I108" t="str">
            <v/>
          </cell>
          <cell r="J108">
            <v>0</v>
          </cell>
        </row>
        <row r="109">
          <cell r="B109" t="str">
            <v>Computadora pentium IV</v>
          </cell>
          <cell r="C109" t="str">
            <v>Equipo</v>
          </cell>
          <cell r="D109">
            <v>0.85</v>
          </cell>
          <cell r="F109">
            <v>0.85</v>
          </cell>
          <cell r="G109">
            <v>0.15</v>
          </cell>
          <cell r="I109">
            <v>0.15</v>
          </cell>
          <cell r="J109">
            <v>0</v>
          </cell>
        </row>
        <row r="110">
          <cell r="B110" t="str">
            <v>Compactadora</v>
          </cell>
          <cell r="C110" t="str">
            <v>Equipo</v>
          </cell>
          <cell r="D110">
            <v>0.93</v>
          </cell>
          <cell r="F110">
            <v>0.93</v>
          </cell>
          <cell r="G110">
            <v>7.0000000000000007E-2</v>
          </cell>
          <cell r="I110">
            <v>7.0000000000000007E-2</v>
          </cell>
          <cell r="J110">
            <v>0</v>
          </cell>
        </row>
        <row r="111">
          <cell r="B111" t="str">
            <v>Compresora Portatil XAS ATLAS COPCO</v>
          </cell>
          <cell r="C111" t="str">
            <v>Equipo</v>
          </cell>
          <cell r="F111">
            <v>0</v>
          </cell>
          <cell r="G111">
            <v>1</v>
          </cell>
          <cell r="I111">
            <v>1</v>
          </cell>
          <cell r="J111">
            <v>0</v>
          </cell>
        </row>
        <row r="112">
          <cell r="B112" t="str">
            <v>Grupo electrógeno COLEMAN 18 HP</v>
          </cell>
          <cell r="C112" t="str">
            <v>Equipo</v>
          </cell>
          <cell r="D112">
            <v>0.85</v>
          </cell>
          <cell r="F112">
            <v>0.85</v>
          </cell>
          <cell r="G112">
            <v>0.15</v>
          </cell>
          <cell r="I112">
            <v>0.15</v>
          </cell>
          <cell r="J112">
            <v>0</v>
          </cell>
        </row>
        <row r="113">
          <cell r="B113" t="str">
            <v>Impresora Epson EPL  5800</v>
          </cell>
          <cell r="C113" t="str">
            <v>Equipo</v>
          </cell>
          <cell r="D113">
            <v>0.85</v>
          </cell>
          <cell r="F113">
            <v>0.85</v>
          </cell>
          <cell r="G113">
            <v>0.15</v>
          </cell>
          <cell r="I113">
            <v>0.15</v>
          </cell>
          <cell r="J113">
            <v>0</v>
          </cell>
        </row>
        <row r="114">
          <cell r="B114" t="str">
            <v>Mezcladora de concreto</v>
          </cell>
          <cell r="C114" t="str">
            <v>Equipo</v>
          </cell>
          <cell r="D114">
            <v>0.96</v>
          </cell>
          <cell r="F114">
            <v>0.96</v>
          </cell>
          <cell r="G114">
            <v>1.04</v>
          </cell>
          <cell r="I114">
            <v>1.04</v>
          </cell>
          <cell r="J114">
            <v>0</v>
          </cell>
        </row>
        <row r="115">
          <cell r="B115" t="str">
            <v>Miras plegables de 4 m. (con ojo de buey)</v>
          </cell>
          <cell r="C115" t="str">
            <v>Equipo</v>
          </cell>
          <cell r="D115">
            <v>0.92</v>
          </cell>
          <cell r="F115">
            <v>0.92</v>
          </cell>
          <cell r="G115">
            <v>1.08</v>
          </cell>
          <cell r="I115">
            <v>1.08</v>
          </cell>
          <cell r="J115">
            <v>0</v>
          </cell>
        </row>
        <row r="116">
          <cell r="B116" t="str">
            <v>Motoperforadora</v>
          </cell>
          <cell r="C116" t="str">
            <v>Equipo</v>
          </cell>
          <cell r="D116">
            <v>0.93</v>
          </cell>
          <cell r="F116">
            <v>0.93</v>
          </cell>
          <cell r="G116">
            <v>7.0000000000000007E-2</v>
          </cell>
          <cell r="I116">
            <v>7.0000000000000007E-2</v>
          </cell>
          <cell r="J116">
            <v>0</v>
          </cell>
        </row>
        <row r="117">
          <cell r="B117" t="str">
            <v xml:space="preserve">Motobomba Ø 2" </v>
          </cell>
          <cell r="C117" t="str">
            <v>Equipo</v>
          </cell>
          <cell r="D117">
            <v>0.94</v>
          </cell>
          <cell r="F117">
            <v>0.94</v>
          </cell>
          <cell r="G117">
            <v>0.06</v>
          </cell>
          <cell r="I117">
            <v>0.06</v>
          </cell>
          <cell r="J117">
            <v>0</v>
          </cell>
        </row>
        <row r="118">
          <cell r="B118" t="str">
            <v>Motosierra de 24"</v>
          </cell>
          <cell r="C118" t="str">
            <v>Equipo</v>
          </cell>
          <cell r="D118">
            <v>0.96</v>
          </cell>
          <cell r="F118">
            <v>0.96</v>
          </cell>
          <cell r="G118">
            <v>0.04</v>
          </cell>
          <cell r="I118">
            <v>0.04</v>
          </cell>
          <cell r="J118">
            <v>0</v>
          </cell>
        </row>
        <row r="119">
          <cell r="B119" t="str">
            <v>Trípode metálico (Nestle Germany)</v>
          </cell>
          <cell r="C119" t="str">
            <v>Equipo</v>
          </cell>
          <cell r="D119">
            <v>0.97</v>
          </cell>
          <cell r="F119">
            <v>0.97</v>
          </cell>
          <cell r="G119">
            <v>1.03</v>
          </cell>
          <cell r="I119">
            <v>1.03</v>
          </cell>
          <cell r="J119">
            <v>0</v>
          </cell>
        </row>
        <row r="120">
          <cell r="B120" t="str">
            <v>Vibradora de Concreto KOMATSU - KOLHER</v>
          </cell>
          <cell r="C120" t="str">
            <v>Equipo</v>
          </cell>
          <cell r="D120">
            <v>1.93</v>
          </cell>
          <cell r="F120">
            <v>1.93</v>
          </cell>
          <cell r="G120">
            <v>7.0000000000000007E-2</v>
          </cell>
          <cell r="I120">
            <v>7.0000000000000007E-2</v>
          </cell>
          <cell r="J120">
            <v>0</v>
          </cell>
        </row>
      </sheetData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T-PREC"/>
      <sheetName val="PRECI"/>
    </sheetNames>
    <sheetDataSet>
      <sheetData sheetId="0" refreshError="1">
        <row r="10">
          <cell r="C10" t="str">
            <v>ABANCAY</v>
          </cell>
          <cell r="D10">
            <v>2398</v>
          </cell>
          <cell r="E10">
            <v>577.5</v>
          </cell>
        </row>
        <row r="11">
          <cell r="C11" t="str">
            <v>ACOMAYO</v>
          </cell>
          <cell r="D11">
            <v>3250</v>
          </cell>
          <cell r="E11">
            <v>861.2</v>
          </cell>
        </row>
        <row r="12">
          <cell r="C12" t="str">
            <v>ANTABAMBA</v>
          </cell>
          <cell r="D12">
            <v>3838</v>
          </cell>
          <cell r="E12">
            <v>851.8</v>
          </cell>
        </row>
        <row r="13">
          <cell r="C13" t="str">
            <v>CHALHUANCA</v>
          </cell>
          <cell r="D13">
            <v>3850</v>
          </cell>
          <cell r="E13">
            <v>715.1</v>
          </cell>
        </row>
        <row r="14">
          <cell r="C14" t="str">
            <v>LIVITACA</v>
          </cell>
          <cell r="D14">
            <v>3741</v>
          </cell>
          <cell r="E14">
            <v>1016.4</v>
          </cell>
        </row>
        <row r="15">
          <cell r="C15" t="str">
            <v>YAURI</v>
          </cell>
          <cell r="D15">
            <v>3915</v>
          </cell>
          <cell r="E15">
            <v>769.4</v>
          </cell>
        </row>
        <row r="16">
          <cell r="C16" t="str">
            <v>LA RAYA</v>
          </cell>
          <cell r="D16">
            <v>4120</v>
          </cell>
          <cell r="E16">
            <v>857.8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IPA"/>
      <sheetName val="ANTABAMB"/>
      <sheetName val="CHALHUAN"/>
      <sheetName val="CURAHUASI"/>
      <sheetName val="ABANCAY"/>
      <sheetName val="SOCTA2"/>
      <sheetName val="PACO"/>
      <sheetName val="PRECIP"/>
      <sheetName val="FACTORES"/>
      <sheetName val="ALT-PREC"/>
    </sheetNames>
    <sheetDataSet>
      <sheetData sheetId="0">
        <row r="3">
          <cell r="A3" t="str">
            <v xml:space="preserve">  R E G I S T R O     H I D R O M E T E O R O L O G I C O </v>
          </cell>
        </row>
      </sheetData>
      <sheetData sheetId="1">
        <row r="9">
          <cell r="T9" t="str">
            <v>TOTAL</v>
          </cell>
        </row>
      </sheetData>
      <sheetData sheetId="2"/>
      <sheetData sheetId="3"/>
      <sheetData sheetId="4">
        <row r="3">
          <cell r="A3" t="str">
            <v xml:space="preserve">  R E G I S T R O     H I D R O M E T E O R O L O G I C O </v>
          </cell>
        </row>
      </sheetData>
      <sheetData sheetId="5" refreshError="1">
        <row r="3">
          <cell r="A3" t="str">
            <v xml:space="preserve">  R E G I S T R O     H I D R O M E T E O R O L O G I C O </v>
          </cell>
        </row>
        <row r="4">
          <cell r="A4" t="str">
            <v>Precipitación Media Mensual en la M.C. Soctacocha (mm)</v>
          </cell>
        </row>
        <row r="6">
          <cell r="H6" t="str">
            <v xml:space="preserve">LAT. </v>
          </cell>
          <cell r="I6" t="str">
            <v>:  13º44'52"</v>
          </cell>
          <cell r="M6" t="str">
            <v xml:space="preserve">DIST. </v>
          </cell>
          <cell r="N6" t="str">
            <v>ABANCAY</v>
          </cell>
        </row>
        <row r="7">
          <cell r="H7" t="str">
            <v>LONG.</v>
          </cell>
          <cell r="I7" t="str">
            <v>:  73º06'58"</v>
          </cell>
          <cell r="M7" t="str">
            <v xml:space="preserve">PROV. </v>
          </cell>
          <cell r="N7" t="str">
            <v>ABANCAY</v>
          </cell>
        </row>
        <row r="8">
          <cell r="H8" t="str">
            <v>ALT.</v>
          </cell>
          <cell r="I8" t="str">
            <v>:  4357 msnm.</v>
          </cell>
          <cell r="M8" t="str">
            <v>DPTO.</v>
          </cell>
          <cell r="N8" t="str">
            <v>APURIMAC</v>
          </cell>
        </row>
        <row r="9">
          <cell r="T9" t="str">
            <v>TOTAL</v>
          </cell>
          <cell r="U9" t="str">
            <v>MEDIA</v>
          </cell>
        </row>
        <row r="10">
          <cell r="A10" t="str">
            <v>ITEM</v>
          </cell>
          <cell r="B10" t="str">
            <v xml:space="preserve">AÑO </v>
          </cell>
          <cell r="D10" t="str">
            <v>ENE</v>
          </cell>
          <cell r="E10" t="str">
            <v>FEB</v>
          </cell>
          <cell r="F10" t="str">
            <v>MAR</v>
          </cell>
          <cell r="G10" t="str">
            <v>ABR</v>
          </cell>
          <cell r="H10" t="str">
            <v>MAY</v>
          </cell>
          <cell r="I10" t="str">
            <v>JUN</v>
          </cell>
          <cell r="J10" t="str">
            <v>JUL</v>
          </cell>
          <cell r="K10" t="str">
            <v>AGO</v>
          </cell>
          <cell r="L10" t="str">
            <v>SET</v>
          </cell>
          <cell r="M10" t="str">
            <v>OCT</v>
          </cell>
          <cell r="N10" t="str">
            <v>NOV</v>
          </cell>
          <cell r="O10" t="str">
            <v>DIC</v>
          </cell>
          <cell r="Q10" t="str">
            <v>TOTAL</v>
          </cell>
          <cell r="T10" t="b">
            <v>0</v>
          </cell>
          <cell r="U10" t="b">
            <v>0</v>
          </cell>
        </row>
        <row r="12">
          <cell r="A12">
            <v>1</v>
          </cell>
          <cell r="B12">
            <v>1963</v>
          </cell>
          <cell r="D12">
            <v>341.39609999999999</v>
          </cell>
          <cell r="E12">
            <v>303.33709999999996</v>
          </cell>
          <cell r="F12">
            <v>286.65589999999997</v>
          </cell>
          <cell r="G12">
            <v>146.05959999999999</v>
          </cell>
          <cell r="H12">
            <v>12.349499999999999</v>
          </cell>
          <cell r="I12">
            <v>5.7511000000000001</v>
          </cell>
          <cell r="J12">
            <v>12.7042</v>
          </cell>
          <cell r="K12">
            <v>3.4625000000000004</v>
          </cell>
          <cell r="L12">
            <v>48.863100000000003</v>
          </cell>
          <cell r="M12">
            <v>79.894499999999994</v>
          </cell>
          <cell r="N12">
            <v>111.6191</v>
          </cell>
          <cell r="O12">
            <v>229.9897</v>
          </cell>
          <cell r="Q12">
            <v>1582.0823999999998</v>
          </cell>
        </row>
        <row r="13">
          <cell r="A13">
            <v>2</v>
          </cell>
          <cell r="B13">
            <v>1964</v>
          </cell>
          <cell r="D13">
            <v>77.296600000000012</v>
          </cell>
          <cell r="E13">
            <v>210.51789999999997</v>
          </cell>
          <cell r="F13">
            <v>146.2508</v>
          </cell>
          <cell r="G13">
            <v>52.772499999999994</v>
          </cell>
          <cell r="H13">
            <v>8.4247999999999994</v>
          </cell>
          <cell r="I13">
            <v>0.83309999999999995</v>
          </cell>
          <cell r="J13">
            <v>10.0068</v>
          </cell>
          <cell r="K13">
            <v>7.5579000000000001</v>
          </cell>
          <cell r="L13">
            <v>59.426099999999998</v>
          </cell>
          <cell r="M13">
            <v>121.1031</v>
          </cell>
          <cell r="N13">
            <v>73.281100000000009</v>
          </cell>
          <cell r="O13">
            <v>133.3991</v>
          </cell>
          <cell r="Q13">
            <v>900.86980000000005</v>
          </cell>
        </row>
        <row r="14">
          <cell r="A14">
            <v>3</v>
          </cell>
          <cell r="B14">
            <v>1965</v>
          </cell>
          <cell r="D14">
            <v>123.43564000000001</v>
          </cell>
          <cell r="E14">
            <v>252.84354000000002</v>
          </cell>
          <cell r="F14">
            <v>175.77904999999998</v>
          </cell>
          <cell r="G14">
            <v>67.998949999999994</v>
          </cell>
          <cell r="H14">
            <v>22.023299999999999</v>
          </cell>
          <cell r="I14">
            <v>1.9675</v>
          </cell>
          <cell r="J14">
            <v>10.995699999999999</v>
          </cell>
          <cell r="K14">
            <v>0.87919999999999998</v>
          </cell>
          <cell r="L14">
            <v>55.495239999999995</v>
          </cell>
          <cell r="M14">
            <v>111.76815000000001</v>
          </cell>
          <cell r="N14">
            <v>119.10793000000001</v>
          </cell>
          <cell r="O14">
            <v>199.84976</v>
          </cell>
          <cell r="Q14">
            <v>1142.1439599999999</v>
          </cell>
        </row>
        <row r="15">
          <cell r="A15">
            <v>4</v>
          </cell>
          <cell r="B15">
            <v>1966</v>
          </cell>
          <cell r="D15">
            <v>142.63333</v>
          </cell>
          <cell r="E15">
            <v>245.55193</v>
          </cell>
          <cell r="F15">
            <v>159.23365999999999</v>
          </cell>
          <cell r="G15">
            <v>36.440249999999999</v>
          </cell>
          <cell r="H15">
            <v>66.285129999999995</v>
          </cell>
          <cell r="I15">
            <v>0</v>
          </cell>
          <cell r="J15">
            <v>1.3551</v>
          </cell>
          <cell r="K15">
            <v>15.939</v>
          </cell>
          <cell r="L15">
            <v>72.615319999999997</v>
          </cell>
          <cell r="M15">
            <v>191.05525</v>
          </cell>
          <cell r="N15">
            <v>182.39057</v>
          </cell>
          <cell r="O15">
            <v>143.48264999999998</v>
          </cell>
          <cell r="Q15">
            <v>1256.9821899999997</v>
          </cell>
        </row>
        <row r="16">
          <cell r="A16">
            <v>5</v>
          </cell>
          <cell r="B16">
            <v>1967</v>
          </cell>
          <cell r="D16">
            <v>227.00698999999997</v>
          </cell>
          <cell r="E16">
            <v>324.64143999999999</v>
          </cell>
          <cell r="F16">
            <v>350.71870999999999</v>
          </cell>
          <cell r="G16">
            <v>93.824680000000001</v>
          </cell>
          <cell r="H16">
            <v>27.737019999999998</v>
          </cell>
          <cell r="I16">
            <v>2.71604</v>
          </cell>
          <cell r="J16">
            <v>31.674529999999997</v>
          </cell>
          <cell r="K16">
            <v>20.494009999999999</v>
          </cell>
          <cell r="L16">
            <v>34.543880000000001</v>
          </cell>
          <cell r="M16">
            <v>109.50413</v>
          </cell>
          <cell r="N16">
            <v>54.221890000000002</v>
          </cell>
          <cell r="O16">
            <v>146.42108000000002</v>
          </cell>
          <cell r="Q16">
            <v>1423.5044</v>
          </cell>
        </row>
        <row r="17">
          <cell r="A17">
            <v>6</v>
          </cell>
          <cell r="B17">
            <v>1968</v>
          </cell>
          <cell r="D17">
            <v>276.46229999999997</v>
          </cell>
          <cell r="E17">
            <v>212.56155999999999</v>
          </cell>
          <cell r="F17">
            <v>221.41992999999997</v>
          </cell>
          <cell r="G17">
            <v>36.94735</v>
          </cell>
          <cell r="H17">
            <v>9.9466999999999999</v>
          </cell>
          <cell r="I17">
            <v>11.5953</v>
          </cell>
          <cell r="J17">
            <v>11.209239999999999</v>
          </cell>
          <cell r="K17">
            <v>14.829270000000001</v>
          </cell>
          <cell r="L17">
            <v>28.600839999999998</v>
          </cell>
          <cell r="M17">
            <v>106.56336999999999</v>
          </cell>
          <cell r="N17">
            <v>148.45570000000001</v>
          </cell>
          <cell r="O17">
            <v>116.70554999999999</v>
          </cell>
          <cell r="Q17">
            <v>1195.2971099999997</v>
          </cell>
        </row>
        <row r="18">
          <cell r="A18">
            <v>7</v>
          </cell>
          <cell r="B18">
            <v>1969</v>
          </cell>
          <cell r="D18">
            <v>216.81374</v>
          </cell>
          <cell r="E18">
            <v>202.50297999999998</v>
          </cell>
          <cell r="F18">
            <v>239.36622999999997</v>
          </cell>
          <cell r="G18">
            <v>101.80322</v>
          </cell>
          <cell r="H18">
            <v>0.77347999999999995</v>
          </cell>
          <cell r="I18">
            <v>10.029440000000001</v>
          </cell>
          <cell r="J18">
            <v>3.3472999999999997</v>
          </cell>
          <cell r="K18">
            <v>22.812570000000001</v>
          </cell>
          <cell r="L18">
            <v>37.944749999999999</v>
          </cell>
          <cell r="M18">
            <v>123.26358</v>
          </cell>
          <cell r="N18">
            <v>126.27129000000001</v>
          </cell>
          <cell r="O18">
            <v>172.02522999999999</v>
          </cell>
          <cell r="Q18">
            <v>1256.95381</v>
          </cell>
        </row>
        <row r="19">
          <cell r="A19">
            <v>8</v>
          </cell>
          <cell r="B19">
            <v>1970</v>
          </cell>
          <cell r="D19">
            <v>335.95708999999999</v>
          </cell>
          <cell r="E19">
            <v>189.87098</v>
          </cell>
          <cell r="F19">
            <v>202.59324999999998</v>
          </cell>
          <cell r="G19">
            <v>101.45066999999999</v>
          </cell>
          <cell r="H19">
            <v>21.962940000000003</v>
          </cell>
          <cell r="I19">
            <v>4.82517</v>
          </cell>
          <cell r="J19">
            <v>11.53994</v>
          </cell>
          <cell r="K19">
            <v>1.89028</v>
          </cell>
          <cell r="L19">
            <v>71.53989</v>
          </cell>
          <cell r="M19">
            <v>89.512509999999992</v>
          </cell>
          <cell r="N19">
            <v>122.34084</v>
          </cell>
          <cell r="O19">
            <v>203.17875000000001</v>
          </cell>
          <cell r="Q19">
            <v>1356.6623099999999</v>
          </cell>
        </row>
        <row r="20">
          <cell r="A20">
            <v>9</v>
          </cell>
          <cell r="B20">
            <v>1971</v>
          </cell>
          <cell r="D20">
            <v>221.06990000000002</v>
          </cell>
          <cell r="E20">
            <v>288.65667999999999</v>
          </cell>
          <cell r="F20">
            <v>209.94695999999999</v>
          </cell>
          <cell r="G20">
            <v>103.79872</v>
          </cell>
          <cell r="H20">
            <v>4.9590700000000005</v>
          </cell>
          <cell r="I20">
            <v>12.64912</v>
          </cell>
          <cell r="J20">
            <v>0.57435999999999998</v>
          </cell>
          <cell r="K20">
            <v>11.882440000000001</v>
          </cell>
          <cell r="L20">
            <v>9.3923200000000016</v>
          </cell>
          <cell r="M20">
            <v>60.607060000000004</v>
          </cell>
          <cell r="N20">
            <v>87.412999999999997</v>
          </cell>
          <cell r="O20">
            <v>168.78784999999999</v>
          </cell>
          <cell r="Q20">
            <v>1179.73748</v>
          </cell>
        </row>
        <row r="21">
          <cell r="A21">
            <v>10</v>
          </cell>
          <cell r="B21">
            <v>1972</v>
          </cell>
          <cell r="D21">
            <v>351.71310999999997</v>
          </cell>
          <cell r="E21">
            <v>255.40952999999999</v>
          </cell>
          <cell r="F21">
            <v>201.21314000000001</v>
          </cell>
          <cell r="G21">
            <v>92.6755</v>
          </cell>
          <cell r="H21">
            <v>12.65006</v>
          </cell>
          <cell r="I21">
            <v>0.89129999999999998</v>
          </cell>
          <cell r="J21">
            <v>32.500749999999996</v>
          </cell>
          <cell r="K21">
            <v>41.940449999999998</v>
          </cell>
          <cell r="L21">
            <v>37.875079999999997</v>
          </cell>
          <cell r="M21">
            <v>68.270710000000008</v>
          </cell>
          <cell r="N21">
            <v>84.472849999999994</v>
          </cell>
          <cell r="O21">
            <v>110.25758999999999</v>
          </cell>
          <cell r="Q21">
            <v>1289.8700700000002</v>
          </cell>
        </row>
        <row r="22">
          <cell r="A22">
            <v>11</v>
          </cell>
          <cell r="B22">
            <v>1973</v>
          </cell>
          <cell r="D22">
            <v>267.65226999999999</v>
          </cell>
          <cell r="E22">
            <v>276.27667000000002</v>
          </cell>
          <cell r="F22">
            <v>285.38000999999997</v>
          </cell>
          <cell r="G22">
            <v>141.74746999999999</v>
          </cell>
          <cell r="H22">
            <v>19.565689999999996</v>
          </cell>
          <cell r="I22">
            <v>2.7057599999999997</v>
          </cell>
          <cell r="J22">
            <v>13.97927</v>
          </cell>
          <cell r="K22">
            <v>34.993549999999999</v>
          </cell>
          <cell r="L22">
            <v>74.924869999999999</v>
          </cell>
          <cell r="M22">
            <v>47.410760000000003</v>
          </cell>
          <cell r="N22">
            <v>152.18896999999998</v>
          </cell>
          <cell r="O22">
            <v>128.96111999999999</v>
          </cell>
          <cell r="Q22">
            <v>1445.7864099999999</v>
          </cell>
        </row>
        <row r="23">
          <cell r="A23">
            <v>12</v>
          </cell>
          <cell r="B23">
            <v>1974</v>
          </cell>
          <cell r="D23">
            <v>319.88492999999994</v>
          </cell>
          <cell r="E23">
            <v>376.80133000000001</v>
          </cell>
          <cell r="F23">
            <v>253.71571999999998</v>
          </cell>
          <cell r="G23">
            <v>115.03153</v>
          </cell>
          <cell r="H23">
            <v>7.3904200000000007</v>
          </cell>
          <cell r="I23">
            <v>23.250450000000001</v>
          </cell>
          <cell r="J23">
            <v>7.2852800000000002</v>
          </cell>
          <cell r="K23">
            <v>98.894919999999985</v>
          </cell>
          <cell r="L23">
            <v>36.680320000000002</v>
          </cell>
          <cell r="M23">
            <v>47.180289999999999</v>
          </cell>
          <cell r="N23">
            <v>74.100760000000008</v>
          </cell>
          <cell r="O23">
            <v>93.378190000000004</v>
          </cell>
          <cell r="Q23">
            <v>1453.5941399999997</v>
          </cell>
        </row>
        <row r="24">
          <cell r="A24">
            <v>13</v>
          </cell>
          <cell r="B24">
            <v>1975</v>
          </cell>
          <cell r="D24">
            <v>179.24338</v>
          </cell>
          <cell r="E24">
            <v>205.11620999999997</v>
          </cell>
          <cell r="F24">
            <v>235.68509</v>
          </cell>
          <cell r="G24">
            <v>57.830820000000003</v>
          </cell>
          <cell r="H24">
            <v>39.87135</v>
          </cell>
          <cell r="I24">
            <v>6.86294</v>
          </cell>
          <cell r="J24">
            <v>1.24251</v>
          </cell>
          <cell r="K24">
            <v>16.468350000000001</v>
          </cell>
          <cell r="L24">
            <v>35.097589999999997</v>
          </cell>
          <cell r="M24">
            <v>67.178700000000006</v>
          </cell>
          <cell r="N24">
            <v>76.399100000000004</v>
          </cell>
          <cell r="O24">
            <v>310.18389999999999</v>
          </cell>
          <cell r="Q24">
            <v>1231.17994</v>
          </cell>
        </row>
        <row r="25">
          <cell r="A25">
            <v>14</v>
          </cell>
          <cell r="B25">
            <v>1976</v>
          </cell>
          <cell r="D25">
            <v>306.37664999999998</v>
          </cell>
          <cell r="E25">
            <v>264.56164000000001</v>
          </cell>
          <cell r="F25">
            <v>272.45000000000005</v>
          </cell>
          <cell r="G25">
            <v>60.881880000000002</v>
          </cell>
          <cell r="H25">
            <v>16.198450000000001</v>
          </cell>
          <cell r="I25">
            <v>26.891979999999997</v>
          </cell>
          <cell r="J25">
            <v>16.693770000000001</v>
          </cell>
          <cell r="K25">
            <v>24.215430000000001</v>
          </cell>
          <cell r="L25">
            <v>116.99485999999999</v>
          </cell>
          <cell r="M25">
            <v>21.421599999999998</v>
          </cell>
          <cell r="N25">
            <v>21.453809999999997</v>
          </cell>
          <cell r="O25">
            <v>116.01643000000001</v>
          </cell>
          <cell r="Q25">
            <v>1264.1565000000001</v>
          </cell>
        </row>
        <row r="26">
          <cell r="A26">
            <v>15</v>
          </cell>
          <cell r="B26">
            <v>1977</v>
          </cell>
          <cell r="D26">
            <v>143.81387999999998</v>
          </cell>
          <cell r="E26">
            <v>255.21661</v>
          </cell>
          <cell r="F26">
            <v>231.31480999999997</v>
          </cell>
          <cell r="G26">
            <v>29.84308</v>
          </cell>
          <cell r="H26">
            <v>3.62737</v>
          </cell>
          <cell r="I26">
            <v>0.15740000000000001</v>
          </cell>
          <cell r="J26">
            <v>8.1406599999999987</v>
          </cell>
          <cell r="K26">
            <v>0.30771999999999999</v>
          </cell>
          <cell r="L26">
            <v>49.157600000000002</v>
          </cell>
          <cell r="M26">
            <v>68.551410000000004</v>
          </cell>
          <cell r="N26">
            <v>148.75054</v>
          </cell>
          <cell r="O26">
            <v>233.06434999999999</v>
          </cell>
          <cell r="Q26">
            <v>1171.9454300000002</v>
          </cell>
        </row>
        <row r="27">
          <cell r="A27">
            <v>16</v>
          </cell>
          <cell r="B27">
            <v>1978</v>
          </cell>
          <cell r="D27">
            <v>220.95905000000002</v>
          </cell>
          <cell r="E27">
            <v>208.77823000000001</v>
          </cell>
          <cell r="F27">
            <v>148.50114000000002</v>
          </cell>
          <cell r="G27">
            <v>30.686870000000003</v>
          </cell>
          <cell r="H27">
            <v>19.765820000000001</v>
          </cell>
          <cell r="I27">
            <v>1.7631999999999999</v>
          </cell>
          <cell r="J27">
            <v>0.62960000000000005</v>
          </cell>
          <cell r="K27">
            <v>2.5119600000000002</v>
          </cell>
          <cell r="L27">
            <v>80.766419999999997</v>
          </cell>
          <cell r="M27">
            <v>86.316100000000006</v>
          </cell>
          <cell r="N27">
            <v>125.67059999999999</v>
          </cell>
          <cell r="O27">
            <v>143.12294</v>
          </cell>
          <cell r="Q27">
            <v>1069.4719300000002</v>
          </cell>
        </row>
        <row r="28">
          <cell r="A28">
            <v>17</v>
          </cell>
          <cell r="B28">
            <v>1979</v>
          </cell>
          <cell r="D28">
            <v>235.33721</v>
          </cell>
          <cell r="E28">
            <v>209.06099999999998</v>
          </cell>
          <cell r="F28">
            <v>176.41798</v>
          </cell>
          <cell r="G28">
            <v>60.858919999999998</v>
          </cell>
          <cell r="H28">
            <v>7.0977700000000006</v>
          </cell>
          <cell r="I28">
            <v>1.4740599999999999</v>
          </cell>
          <cell r="J28">
            <v>9.0199299999999987</v>
          </cell>
          <cell r="K28">
            <v>20.497199999999999</v>
          </cell>
          <cell r="L28">
            <v>27.81973</v>
          </cell>
          <cell r="M28">
            <v>29.634399999999999</v>
          </cell>
          <cell r="N28">
            <v>110.42059999999999</v>
          </cell>
          <cell r="O28">
            <v>116.02339000000001</v>
          </cell>
          <cell r="Q28">
            <v>1003.6621900000002</v>
          </cell>
        </row>
        <row r="29">
          <cell r="A29">
            <v>18</v>
          </cell>
          <cell r="B29">
            <v>1980</v>
          </cell>
          <cell r="D29">
            <v>122.23697</v>
          </cell>
          <cell r="E29">
            <v>156.26721000000001</v>
          </cell>
          <cell r="F29">
            <v>223.30243999999999</v>
          </cell>
          <cell r="G29">
            <v>22.640750000000001</v>
          </cell>
          <cell r="H29">
            <v>5.9041100000000002</v>
          </cell>
          <cell r="I29">
            <v>0.30771999999999999</v>
          </cell>
          <cell r="J29">
            <v>10.747470000000002</v>
          </cell>
          <cell r="K29">
            <v>1.40944</v>
          </cell>
          <cell r="L29">
            <v>20.929540000000003</v>
          </cell>
          <cell r="M29">
            <v>130.86163999999999</v>
          </cell>
          <cell r="N29">
            <v>116.93942999999999</v>
          </cell>
          <cell r="O29">
            <v>98.396749999999997</v>
          </cell>
          <cell r="Q29">
            <v>909.94346999999993</v>
          </cell>
        </row>
        <row r="30">
          <cell r="A30">
            <v>19</v>
          </cell>
          <cell r="B30">
            <v>1981</v>
          </cell>
          <cell r="D30">
            <v>247.25259000000003</v>
          </cell>
          <cell r="E30">
            <v>281.55032</v>
          </cell>
          <cell r="F30">
            <v>93.747780000000006</v>
          </cell>
          <cell r="G30">
            <v>84.739369999999994</v>
          </cell>
          <cell r="H30">
            <v>4.6711999999999998</v>
          </cell>
          <cell r="I30">
            <v>9.0314300000000003</v>
          </cell>
          <cell r="J30">
            <v>2.5358099999999997</v>
          </cell>
          <cell r="K30">
            <v>55.354159999999993</v>
          </cell>
          <cell r="L30">
            <v>60.71481</v>
          </cell>
          <cell r="M30">
            <v>102.80250999999998</v>
          </cell>
          <cell r="N30">
            <v>186.75921</v>
          </cell>
          <cell r="O30">
            <v>265.72609999999997</v>
          </cell>
          <cell r="Q30">
            <v>1394.8852899999997</v>
          </cell>
        </row>
        <row r="31">
          <cell r="A31">
            <v>20</v>
          </cell>
          <cell r="B31">
            <v>1982</v>
          </cell>
          <cell r="D31">
            <v>233.22571999999997</v>
          </cell>
          <cell r="E31">
            <v>186.55673999999999</v>
          </cell>
          <cell r="F31">
            <v>157.59448</v>
          </cell>
          <cell r="G31">
            <v>117.93884</v>
          </cell>
          <cell r="H31">
            <v>2.6817199999999999</v>
          </cell>
          <cell r="I31">
            <v>70.962580000000003</v>
          </cell>
          <cell r="J31">
            <v>3.7743000000000002</v>
          </cell>
          <cell r="K31">
            <v>44.649720000000002</v>
          </cell>
          <cell r="L31">
            <v>24.69022</v>
          </cell>
          <cell r="M31">
            <v>122.95805999999999</v>
          </cell>
          <cell r="N31">
            <v>177.36434</v>
          </cell>
          <cell r="O31">
            <v>80.43338</v>
          </cell>
          <cell r="Q31">
            <v>1222.8301000000001</v>
          </cell>
        </row>
        <row r="32">
          <cell r="A32">
            <v>21</v>
          </cell>
          <cell r="B32">
            <v>1983</v>
          </cell>
          <cell r="D32">
            <v>173.33879999999999</v>
          </cell>
          <cell r="E32">
            <v>311.16669999999999</v>
          </cell>
          <cell r="F32">
            <v>212.74565999999999</v>
          </cell>
          <cell r="G32">
            <v>81.98236</v>
          </cell>
          <cell r="H32">
            <v>15.8048</v>
          </cell>
          <cell r="I32">
            <v>22.082100000000001</v>
          </cell>
          <cell r="J32">
            <v>0</v>
          </cell>
          <cell r="K32">
            <v>12.5709</v>
          </cell>
          <cell r="L32">
            <v>38.435900000000004</v>
          </cell>
          <cell r="M32">
            <v>94.522480000000002</v>
          </cell>
          <cell r="N32">
            <v>127.8775</v>
          </cell>
          <cell r="O32">
            <v>184.58398</v>
          </cell>
          <cell r="Q32">
            <v>1275.1111799999999</v>
          </cell>
        </row>
        <row r="33">
          <cell r="A33">
            <v>22</v>
          </cell>
          <cell r="B33">
            <v>1984</v>
          </cell>
          <cell r="D33">
            <v>267.76691999999997</v>
          </cell>
          <cell r="E33">
            <v>332.83926000000002</v>
          </cell>
          <cell r="F33">
            <v>162.25615999999999</v>
          </cell>
          <cell r="G33">
            <v>15.135299999999999</v>
          </cell>
          <cell r="H33">
            <v>18.7165</v>
          </cell>
          <cell r="I33">
            <v>26.458500000000001</v>
          </cell>
          <cell r="J33">
            <v>2.0718000000000001</v>
          </cell>
          <cell r="K33">
            <v>5.6928999999999998</v>
          </cell>
          <cell r="L33">
            <v>48.921619999999997</v>
          </cell>
          <cell r="M33">
            <v>57.530800000000006</v>
          </cell>
          <cell r="N33">
            <v>104.34156</v>
          </cell>
          <cell r="O33">
            <v>201.36043999999998</v>
          </cell>
          <cell r="Q33">
            <v>1243.09176</v>
          </cell>
        </row>
        <row r="34">
          <cell r="A34">
            <v>23</v>
          </cell>
          <cell r="B34">
            <v>1985</v>
          </cell>
          <cell r="D34">
            <v>256.51796000000002</v>
          </cell>
          <cell r="E34">
            <v>170.32133999999999</v>
          </cell>
          <cell r="F34">
            <v>262.1825</v>
          </cell>
          <cell r="G34">
            <v>201.65595999999999</v>
          </cell>
          <cell r="H34">
            <v>37.044080000000001</v>
          </cell>
          <cell r="I34">
            <v>10.57278</v>
          </cell>
          <cell r="J34">
            <v>9.3078000000000003</v>
          </cell>
          <cell r="K34">
            <v>2.7601599999999999</v>
          </cell>
          <cell r="L34">
            <v>14.2774</v>
          </cell>
          <cell r="M34">
            <v>141.99737999999999</v>
          </cell>
          <cell r="N34">
            <v>95.367959999999997</v>
          </cell>
          <cell r="O34">
            <v>133.64465999999999</v>
          </cell>
          <cell r="Q34">
            <v>1335.6499800000001</v>
          </cell>
        </row>
        <row r="35">
          <cell r="A35">
            <v>24</v>
          </cell>
          <cell r="B35">
            <v>1986</v>
          </cell>
          <cell r="D35">
            <v>181.06706</v>
          </cell>
          <cell r="E35">
            <v>193.94247999999999</v>
          </cell>
          <cell r="F35">
            <v>272.16569999999996</v>
          </cell>
          <cell r="G35">
            <v>96.588300000000004</v>
          </cell>
          <cell r="H35">
            <v>8.3502599999999987</v>
          </cell>
          <cell r="I35">
            <v>4.9306000000000001</v>
          </cell>
          <cell r="J35">
            <v>2.1882000000000001</v>
          </cell>
          <cell r="K35">
            <v>38.656440000000003</v>
          </cell>
          <cell r="L35">
            <v>46.857879999999994</v>
          </cell>
          <cell r="M35">
            <v>47.198259999999998</v>
          </cell>
          <cell r="N35">
            <v>71.607280000000003</v>
          </cell>
          <cell r="O35">
            <v>166.74918</v>
          </cell>
          <cell r="Q35">
            <v>1130.3016400000001</v>
          </cell>
        </row>
        <row r="36">
          <cell r="A36">
            <v>25</v>
          </cell>
          <cell r="B36">
            <v>1987</v>
          </cell>
          <cell r="D36">
            <v>230.90198000000004</v>
          </cell>
          <cell r="E36">
            <v>129.51823000000002</v>
          </cell>
          <cell r="F36">
            <v>124.27321999999999</v>
          </cell>
          <cell r="G36">
            <v>44.282650000000004</v>
          </cell>
          <cell r="H36">
            <v>21.785430000000002</v>
          </cell>
          <cell r="I36">
            <v>15.401119999999999</v>
          </cell>
          <cell r="J36">
            <v>19.700000000000003</v>
          </cell>
          <cell r="K36">
            <v>5.6631800000000005</v>
          </cell>
          <cell r="L36">
            <v>8.6234900000000003</v>
          </cell>
          <cell r="M36">
            <v>83.115299999999991</v>
          </cell>
          <cell r="N36">
            <v>88.970140000000001</v>
          </cell>
          <cell r="O36">
            <v>107.63073</v>
          </cell>
          <cell r="Q36">
            <v>879.86546999999996</v>
          </cell>
        </row>
        <row r="37">
          <cell r="A37">
            <v>26</v>
          </cell>
          <cell r="B37">
            <v>1988</v>
          </cell>
          <cell r="D37">
            <v>351.32693</v>
          </cell>
          <cell r="E37">
            <v>215.98975999999999</v>
          </cell>
          <cell r="F37">
            <v>201.0222</v>
          </cell>
          <cell r="G37">
            <v>158.24379999999999</v>
          </cell>
          <cell r="H37">
            <v>28.229590000000002</v>
          </cell>
          <cell r="I37">
            <v>1.3379000000000001</v>
          </cell>
          <cell r="J37">
            <v>1.4396500000000001</v>
          </cell>
          <cell r="K37">
            <v>1.9342400000000002</v>
          </cell>
          <cell r="L37">
            <v>27.606650000000002</v>
          </cell>
          <cell r="M37">
            <v>84.087510000000009</v>
          </cell>
          <cell r="N37">
            <v>48.288440000000001</v>
          </cell>
          <cell r="O37">
            <v>107.38813999999999</v>
          </cell>
          <cell r="Q37">
            <v>1226.8948100000002</v>
          </cell>
        </row>
        <row r="38">
          <cell r="A38">
            <v>27</v>
          </cell>
          <cell r="B38">
            <v>1989</v>
          </cell>
          <cell r="D38">
            <v>269.45807000000002</v>
          </cell>
          <cell r="E38">
            <v>237.85762</v>
          </cell>
          <cell r="F38">
            <v>224.87812000000002</v>
          </cell>
          <cell r="G38">
            <v>50.033670000000001</v>
          </cell>
          <cell r="H38">
            <v>28.798089999999998</v>
          </cell>
          <cell r="I38">
            <v>17.32105</v>
          </cell>
          <cell r="J38">
            <v>1.89714</v>
          </cell>
          <cell r="K38">
            <v>11.248899999999999</v>
          </cell>
          <cell r="L38">
            <v>35.107399999999998</v>
          </cell>
          <cell r="M38">
            <v>53.761920000000003</v>
          </cell>
          <cell r="N38">
            <v>66.083550000000002</v>
          </cell>
          <cell r="O38">
            <v>152.45805000000001</v>
          </cell>
          <cell r="Q38">
            <v>1148.9035800000001</v>
          </cell>
        </row>
        <row r="39">
          <cell r="A39">
            <v>28</v>
          </cell>
          <cell r="B39">
            <v>1990</v>
          </cell>
          <cell r="D39">
            <v>234.11282</v>
          </cell>
          <cell r="E39">
            <v>121.97266999999999</v>
          </cell>
          <cell r="F39">
            <v>142.12044</v>
          </cell>
          <cell r="G39">
            <v>71.110720000000001</v>
          </cell>
          <cell r="H39">
            <v>14.871599999999999</v>
          </cell>
          <cell r="I39">
            <v>19.353200000000001</v>
          </cell>
          <cell r="J39">
            <v>3.2113</v>
          </cell>
          <cell r="K39">
            <v>22.34845</v>
          </cell>
          <cell r="L39">
            <v>27.374299999999998</v>
          </cell>
          <cell r="M39">
            <v>64.7029</v>
          </cell>
          <cell r="N39">
            <v>92.470259999999996</v>
          </cell>
          <cell r="O39">
            <v>110.47829999999999</v>
          </cell>
          <cell r="Q39">
            <v>924.12695999999983</v>
          </cell>
        </row>
        <row r="40">
          <cell r="A40">
            <v>29</v>
          </cell>
          <cell r="B40">
            <v>1991</v>
          </cell>
          <cell r="D40">
            <v>159.6755</v>
          </cell>
          <cell r="E40">
            <v>119.41566</v>
          </cell>
          <cell r="F40">
            <v>141.60589999999999</v>
          </cell>
          <cell r="G40">
            <v>25.085979999999999</v>
          </cell>
          <cell r="H40">
            <v>16.36505</v>
          </cell>
          <cell r="I40">
            <v>6.0731499999999992</v>
          </cell>
          <cell r="J40">
            <v>4.0652999999999997</v>
          </cell>
          <cell r="K40">
            <v>11.78894</v>
          </cell>
          <cell r="L40">
            <v>36.296149999999997</v>
          </cell>
          <cell r="M40">
            <v>94.55762</v>
          </cell>
          <cell r="N40">
            <v>67.757499999999993</v>
          </cell>
          <cell r="O40">
            <v>83.489099999999993</v>
          </cell>
          <cell r="Q40">
            <v>766.17585000000008</v>
          </cell>
        </row>
        <row r="41">
          <cell r="A41">
            <v>30</v>
          </cell>
          <cell r="B41">
            <v>1992</v>
          </cell>
          <cell r="D41">
            <v>121.4152</v>
          </cell>
          <cell r="E41">
            <v>198.87249000000003</v>
          </cell>
          <cell r="F41">
            <v>189.13833</v>
          </cell>
          <cell r="G41">
            <v>86.659530000000004</v>
          </cell>
          <cell r="H41">
            <v>2.82368</v>
          </cell>
          <cell r="I41">
            <v>13.851599999999999</v>
          </cell>
          <cell r="J41">
            <v>10.52876</v>
          </cell>
          <cell r="K41">
            <v>54.027659999999997</v>
          </cell>
          <cell r="L41">
            <v>21.5122</v>
          </cell>
          <cell r="M41">
            <v>82.317520000000002</v>
          </cell>
          <cell r="N41">
            <v>111.17989999999999</v>
          </cell>
          <cell r="O41">
            <v>170.18746999999999</v>
          </cell>
          <cell r="Q41">
            <v>1062.5143399999999</v>
          </cell>
        </row>
        <row r="42">
          <cell r="A42">
            <v>31</v>
          </cell>
          <cell r="B42">
            <v>1993</v>
          </cell>
          <cell r="D42">
            <v>254.88045</v>
          </cell>
          <cell r="E42">
            <v>218.84019999999998</v>
          </cell>
          <cell r="F42">
            <v>254.87085000000002</v>
          </cell>
          <cell r="G42">
            <v>142.76949999999999</v>
          </cell>
          <cell r="H42">
            <v>26.621099999999998</v>
          </cell>
          <cell r="I42">
            <v>8.4250000000000007</v>
          </cell>
          <cell r="J42">
            <v>31.793399999999998</v>
          </cell>
          <cell r="K42">
            <v>46.388400000000004</v>
          </cell>
          <cell r="L42">
            <v>34.339500000000001</v>
          </cell>
          <cell r="M42">
            <v>105.8323</v>
          </cell>
          <cell r="N42">
            <v>103.7666</v>
          </cell>
          <cell r="O42">
            <v>192.00200000000001</v>
          </cell>
          <cell r="Q42">
            <v>1420.5292999999999</v>
          </cell>
        </row>
        <row r="43">
          <cell r="A43">
            <v>32</v>
          </cell>
          <cell r="B43">
            <v>1994</v>
          </cell>
          <cell r="D43">
            <v>314.70889999999997</v>
          </cell>
          <cell r="E43">
            <v>207.07580000000002</v>
          </cell>
          <cell r="F43">
            <v>182.87639999999999</v>
          </cell>
          <cell r="G43">
            <v>25.655099999999997</v>
          </cell>
          <cell r="H43">
            <v>22.997399999999999</v>
          </cell>
          <cell r="I43">
            <v>0.87919999999999998</v>
          </cell>
          <cell r="J43">
            <v>0</v>
          </cell>
          <cell r="K43">
            <v>18.572599999999998</v>
          </cell>
          <cell r="L43">
            <v>14.127699999999999</v>
          </cell>
          <cell r="M43">
            <v>194.10470000000001</v>
          </cell>
          <cell r="N43">
            <v>114.51509999999999</v>
          </cell>
          <cell r="O43">
            <v>155.84099999999998</v>
          </cell>
          <cell r="Q43">
            <v>1251.3538999999996</v>
          </cell>
        </row>
        <row r="44">
          <cell r="A44">
            <v>33</v>
          </cell>
          <cell r="B44">
            <v>1995</v>
          </cell>
          <cell r="D44">
            <v>291.92770000000002</v>
          </cell>
          <cell r="E44">
            <v>193.55249999999998</v>
          </cell>
          <cell r="F44">
            <v>257.69260000000003</v>
          </cell>
          <cell r="G44">
            <v>36.3279</v>
          </cell>
          <cell r="H44">
            <v>6.5015999999999998</v>
          </cell>
          <cell r="I44">
            <v>1.1805000000000001</v>
          </cell>
          <cell r="J44">
            <v>1.2387000000000001</v>
          </cell>
          <cell r="K44">
            <v>5.1974</v>
          </cell>
          <cell r="L44">
            <v>37.706299999999999</v>
          </cell>
          <cell r="M44">
            <v>36.766000000000005</v>
          </cell>
          <cell r="N44">
            <v>108.9614</v>
          </cell>
          <cell r="O44">
            <v>134.64089999999999</v>
          </cell>
          <cell r="Q44">
            <v>1111.6935000000003</v>
          </cell>
        </row>
        <row r="45">
          <cell r="A45">
            <v>34</v>
          </cell>
          <cell r="B45">
            <v>1996</v>
          </cell>
          <cell r="D45">
            <v>137.01059999999998</v>
          </cell>
          <cell r="E45">
            <v>213.26140000000001</v>
          </cell>
          <cell r="F45">
            <v>150.13630000000001</v>
          </cell>
          <cell r="G45">
            <v>104.2152</v>
          </cell>
          <cell r="H45">
            <v>17.003900000000002</v>
          </cell>
          <cell r="I45">
            <v>3.4026999999999998</v>
          </cell>
          <cell r="J45">
            <v>3.7275</v>
          </cell>
          <cell r="K45">
            <v>0.87919999999999998</v>
          </cell>
          <cell r="L45">
            <v>36.725299999999997</v>
          </cell>
          <cell r="M45">
            <v>154.81489999999999</v>
          </cell>
          <cell r="N45">
            <v>132.1523</v>
          </cell>
          <cell r="O45">
            <v>207.00889999999998</v>
          </cell>
          <cell r="Q45">
            <v>1160.3381999999999</v>
          </cell>
        </row>
        <row r="46">
          <cell r="A46">
            <v>35</v>
          </cell>
          <cell r="B46">
            <v>1997</v>
          </cell>
          <cell r="D46">
            <v>291.41039999999998</v>
          </cell>
          <cell r="E46">
            <v>244.18389999999999</v>
          </cell>
          <cell r="F46">
            <v>184.64179999999999</v>
          </cell>
          <cell r="G46">
            <v>43.209500000000006</v>
          </cell>
          <cell r="H46">
            <v>34.9711</v>
          </cell>
          <cell r="I46">
            <v>11.038399999999999</v>
          </cell>
          <cell r="J46">
            <v>4.8401999999999994</v>
          </cell>
          <cell r="K46">
            <v>27.9787</v>
          </cell>
          <cell r="L46">
            <v>16.153399999999998</v>
          </cell>
          <cell r="M46">
            <v>147.41659999999999</v>
          </cell>
          <cell r="N46">
            <v>153.40379999999999</v>
          </cell>
          <cell r="O46">
            <v>86.644800000000004</v>
          </cell>
          <cell r="Q46">
            <v>1245.8926000000001</v>
          </cell>
        </row>
        <row r="47">
          <cell r="A47">
            <v>36</v>
          </cell>
          <cell r="B47">
            <v>1998</v>
          </cell>
          <cell r="D47">
            <v>284.56319999999999</v>
          </cell>
          <cell r="E47">
            <v>228.75749999999999</v>
          </cell>
          <cell r="F47">
            <v>145.25459999999998</v>
          </cell>
          <cell r="G47">
            <v>22.2727</v>
          </cell>
          <cell r="H47">
            <v>1.6217000000000001</v>
          </cell>
          <cell r="I47">
            <v>25.652200000000001</v>
          </cell>
          <cell r="J47">
            <v>3.2538999999999998</v>
          </cell>
          <cell r="K47">
            <v>10.937100000000001</v>
          </cell>
          <cell r="L47">
            <v>90.605400000000003</v>
          </cell>
          <cell r="M47">
            <v>78.903700000000001</v>
          </cell>
          <cell r="N47">
            <v>110.57440000000001</v>
          </cell>
          <cell r="O47">
            <v>276.42520000000002</v>
          </cell>
          <cell r="Q47">
            <v>1278.8216</v>
          </cell>
        </row>
        <row r="49">
          <cell r="A49" t="str">
            <v xml:space="preserve"> Nº DATOS</v>
          </cell>
          <cell r="D49">
            <v>36</v>
          </cell>
          <cell r="E49">
            <v>36</v>
          </cell>
          <cell r="F49">
            <v>36</v>
          </cell>
          <cell r="G49">
            <v>36</v>
          </cell>
          <cell r="H49">
            <v>36</v>
          </cell>
          <cell r="I49">
            <v>36</v>
          </cell>
          <cell r="J49">
            <v>36</v>
          </cell>
          <cell r="K49">
            <v>36</v>
          </cell>
          <cell r="L49">
            <v>36</v>
          </cell>
          <cell r="M49">
            <v>36</v>
          </cell>
          <cell r="N49">
            <v>36</v>
          </cell>
          <cell r="O49">
            <v>36</v>
          </cell>
          <cell r="Q49">
            <v>36</v>
          </cell>
        </row>
        <row r="50">
          <cell r="A50" t="str">
            <v xml:space="preserve">   MEDIA</v>
          </cell>
          <cell r="D50">
            <v>233.6</v>
          </cell>
          <cell r="E50">
            <v>229</v>
          </cell>
          <cell r="F50">
            <v>205</v>
          </cell>
          <cell r="G50">
            <v>76.7</v>
          </cell>
          <cell r="H50">
            <v>17.100000000000001</v>
          </cell>
          <cell r="I50">
            <v>10.6</v>
          </cell>
          <cell r="J50">
            <v>8.3000000000000007</v>
          </cell>
          <cell r="K50">
            <v>19.899999999999999</v>
          </cell>
          <cell r="L50">
            <v>42.2</v>
          </cell>
          <cell r="M50">
            <v>91.9</v>
          </cell>
          <cell r="N50">
            <v>108.2</v>
          </cell>
          <cell r="O50">
            <v>157.80000000000001</v>
          </cell>
          <cell r="Q50">
            <v>1200.3</v>
          </cell>
        </row>
        <row r="51">
          <cell r="A51" t="str">
            <v xml:space="preserve"> DESV.STD</v>
          </cell>
          <cell r="D51">
            <v>73.264048174655443</v>
          </cell>
          <cell r="E51">
            <v>58.289873665786651</v>
          </cell>
          <cell r="F51">
            <v>55.381797304516944</v>
          </cell>
          <cell r="G51">
            <v>45.109067530800353</v>
          </cell>
          <cell r="H51">
            <v>13.44442983113256</v>
          </cell>
          <cell r="I51">
            <v>13.276094936021588</v>
          </cell>
          <cell r="J51">
            <v>8.8277926822673081</v>
          </cell>
          <cell r="K51">
            <v>20.887591724109335</v>
          </cell>
          <cell r="L51">
            <v>23.968157872391401</v>
          </cell>
          <cell r="M51">
            <v>41.370791360600244</v>
          </cell>
          <cell r="N51">
            <v>37.69939564180693</v>
          </cell>
          <cell r="O51">
            <v>56.700668686236085</v>
          </cell>
          <cell r="Q51">
            <v>179.35378560789837</v>
          </cell>
        </row>
        <row r="52">
          <cell r="A52" t="str">
            <v>PRECIP. AL 75%</v>
          </cell>
          <cell r="D52">
            <v>184.18339950619489</v>
          </cell>
          <cell r="E52">
            <v>189.6834802124269</v>
          </cell>
          <cell r="F52">
            <v>167.64497771810332</v>
          </cell>
          <cell r="G52">
            <v>46.273933950475168</v>
          </cell>
          <cell r="H52">
            <v>8.03173207890109</v>
          </cell>
          <cell r="I52">
            <v>1.6452739656534394</v>
          </cell>
          <cell r="J52">
            <v>2.3456538358107011</v>
          </cell>
          <cell r="K52">
            <v>5.8113193820882518</v>
          </cell>
          <cell r="L52">
            <v>26.033477515072004</v>
          </cell>
          <cell r="M52">
            <v>63.995401227275138</v>
          </cell>
          <cell r="N52">
            <v>82.771757639601233</v>
          </cell>
          <cell r="O52">
            <v>119.55539897113377</v>
          </cell>
          <cell r="Q52">
            <v>897.97580600273602</v>
          </cell>
        </row>
        <row r="53">
          <cell r="A53" t="str">
            <v xml:space="preserve">   C. V.</v>
          </cell>
          <cell r="D53">
            <v>0.31363034321342226</v>
          </cell>
          <cell r="E53">
            <v>0.25454093303836967</v>
          </cell>
          <cell r="F53">
            <v>0.27015510880252169</v>
          </cell>
          <cell r="G53">
            <v>0.5881234358644114</v>
          </cell>
          <cell r="H53">
            <v>0.78622396673289818</v>
          </cell>
          <cell r="I53">
            <v>1.252461786417131</v>
          </cell>
          <cell r="J53">
            <v>1.0635894797912417</v>
          </cell>
          <cell r="K53">
            <v>1.0496277248296149</v>
          </cell>
          <cell r="L53">
            <v>0.56796582635998583</v>
          </cell>
          <cell r="M53">
            <v>0.45017183199782634</v>
          </cell>
          <cell r="N53">
            <v>0.34842324992427848</v>
          </cell>
          <cell r="O53">
            <v>0.3593198269089739</v>
          </cell>
          <cell r="Q53">
            <v>0.14942413197358859</v>
          </cell>
        </row>
        <row r="54">
          <cell r="A54" t="str">
            <v xml:space="preserve"> P.MIMIMO</v>
          </cell>
          <cell r="D54">
            <v>77.296600000000012</v>
          </cell>
          <cell r="E54">
            <v>119.41566</v>
          </cell>
          <cell r="F54">
            <v>93.747780000000006</v>
          </cell>
          <cell r="G54">
            <v>15.135299999999999</v>
          </cell>
          <cell r="H54">
            <v>0.77347999999999995</v>
          </cell>
          <cell r="I54">
            <v>0</v>
          </cell>
          <cell r="J54">
            <v>0</v>
          </cell>
          <cell r="K54">
            <v>0.30771999999999999</v>
          </cell>
          <cell r="L54">
            <v>8.6234900000000003</v>
          </cell>
          <cell r="M54">
            <v>21.421599999999998</v>
          </cell>
          <cell r="N54">
            <v>21.453809999999997</v>
          </cell>
          <cell r="O54">
            <v>80.43338</v>
          </cell>
          <cell r="Q54">
            <v>766.17585000000008</v>
          </cell>
        </row>
        <row r="55">
          <cell r="A55" t="str">
            <v xml:space="preserve"> P.MAXIMO</v>
          </cell>
          <cell r="D55">
            <v>351.71310999999997</v>
          </cell>
          <cell r="E55">
            <v>376.80133000000001</v>
          </cell>
          <cell r="F55">
            <v>350.71870999999999</v>
          </cell>
          <cell r="G55">
            <v>201.65595999999999</v>
          </cell>
          <cell r="H55">
            <v>66.285129999999995</v>
          </cell>
          <cell r="I55">
            <v>70.962580000000003</v>
          </cell>
          <cell r="J55">
            <v>32.500749999999996</v>
          </cell>
          <cell r="K55">
            <v>98.894919999999985</v>
          </cell>
          <cell r="L55">
            <v>116.99485999999999</v>
          </cell>
          <cell r="M55">
            <v>194.10470000000001</v>
          </cell>
          <cell r="N55">
            <v>186.75921</v>
          </cell>
          <cell r="O55">
            <v>310.18389999999999</v>
          </cell>
          <cell r="Q55">
            <v>1453.5941399999997</v>
          </cell>
        </row>
        <row r="56">
          <cell r="N56" t="str">
            <v>FECHA:</v>
          </cell>
          <cell r="Q56">
            <v>36406.38012627315</v>
          </cell>
        </row>
      </sheetData>
      <sheetData sheetId="6"/>
      <sheetData sheetId="7"/>
      <sheetData sheetId="8"/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IPA"/>
      <sheetName val="ANTABAMB"/>
      <sheetName val="CHALHUAN"/>
      <sheetName val="CURAHUASI"/>
      <sheetName val="ABANCAY"/>
      <sheetName val="SOCTA2"/>
      <sheetName val="PACO"/>
      <sheetName val="PRECIP"/>
      <sheetName val="FACTORES"/>
      <sheetName val="Cronograma"/>
      <sheetName val="Cont. Pptal."/>
    </sheetNames>
    <sheetDataSet>
      <sheetData sheetId="0">
        <row r="3">
          <cell r="A3" t="str">
            <v xml:space="preserve">  R E G I S T R O     H I D R O M E T E O R O L O G I C O </v>
          </cell>
        </row>
      </sheetData>
      <sheetData sheetId="1">
        <row r="3">
          <cell r="A3" t="str">
            <v xml:space="preserve">  R E G I S T R O     H I D R O M E T E O R O L O G I C O </v>
          </cell>
        </row>
      </sheetData>
      <sheetData sheetId="2"/>
      <sheetData sheetId="3"/>
      <sheetData sheetId="4">
        <row r="3">
          <cell r="A3" t="str">
            <v xml:space="preserve">  R E G I S T R O     H I D R O M E T E O R O L O G I C O </v>
          </cell>
        </row>
      </sheetData>
      <sheetData sheetId="5" refreshError="1">
        <row r="3">
          <cell r="A3" t="str">
            <v xml:space="preserve">  R E G I S T R O     H I D R O M E T E O R O L O G I C O </v>
          </cell>
        </row>
        <row r="10">
          <cell r="Q10" t="str">
            <v>TOTAL</v>
          </cell>
        </row>
        <row r="12">
          <cell r="Q12">
            <v>1582.0823999999998</v>
          </cell>
        </row>
        <row r="13">
          <cell r="Q13">
            <v>900.86980000000005</v>
          </cell>
        </row>
        <row r="14">
          <cell r="Q14">
            <v>1142.1439599999999</v>
          </cell>
        </row>
        <row r="15">
          <cell r="Q15">
            <v>1256.9821899999997</v>
          </cell>
        </row>
        <row r="16">
          <cell r="Q16">
            <v>1423.5044</v>
          </cell>
        </row>
        <row r="17">
          <cell r="Q17">
            <v>1195.2971099999997</v>
          </cell>
        </row>
        <row r="18">
          <cell r="Q18">
            <v>1256.95381</v>
          </cell>
        </row>
        <row r="19">
          <cell r="Q19">
            <v>1356.6623099999999</v>
          </cell>
        </row>
        <row r="20">
          <cell r="Q20">
            <v>1179.73748</v>
          </cell>
        </row>
        <row r="21">
          <cell r="Q21">
            <v>1289.8700700000002</v>
          </cell>
        </row>
        <row r="22">
          <cell r="Q22">
            <v>1445.7864099999999</v>
          </cell>
        </row>
        <row r="23">
          <cell r="Q23">
            <v>1453.5941399999997</v>
          </cell>
        </row>
        <row r="24">
          <cell r="Q24">
            <v>1231.17994</v>
          </cell>
        </row>
        <row r="25">
          <cell r="Q25">
            <v>1264.1565000000001</v>
          </cell>
        </row>
        <row r="26">
          <cell r="Q26">
            <v>1171.9454300000002</v>
          </cell>
        </row>
        <row r="27">
          <cell r="Q27">
            <v>1069.4719300000002</v>
          </cell>
        </row>
        <row r="28">
          <cell r="Q28">
            <v>1003.6621900000002</v>
          </cell>
        </row>
        <row r="29">
          <cell r="Q29">
            <v>909.94346999999993</v>
          </cell>
        </row>
        <row r="30">
          <cell r="Q30">
            <v>1394.8852899999997</v>
          </cell>
        </row>
        <row r="31">
          <cell r="Q31">
            <v>1222.8301000000001</v>
          </cell>
        </row>
        <row r="32">
          <cell r="Q32">
            <v>1275.1111799999999</v>
          </cell>
        </row>
        <row r="33">
          <cell r="Q33">
            <v>1243.09176</v>
          </cell>
        </row>
        <row r="34">
          <cell r="Q34">
            <v>1335.6499800000001</v>
          </cell>
        </row>
        <row r="35">
          <cell r="Q35">
            <v>1130.3016400000001</v>
          </cell>
        </row>
        <row r="36">
          <cell r="Q36">
            <v>879.86546999999996</v>
          </cell>
        </row>
        <row r="37">
          <cell r="Q37">
            <v>1226.8948100000002</v>
          </cell>
        </row>
        <row r="38">
          <cell r="Q38">
            <v>1148.9035800000001</v>
          </cell>
        </row>
        <row r="39">
          <cell r="Q39">
            <v>924.12695999999983</v>
          </cell>
        </row>
        <row r="40">
          <cell r="Q40">
            <v>766.17585000000008</v>
          </cell>
        </row>
      </sheetData>
      <sheetData sheetId="6"/>
      <sheetData sheetId="7"/>
      <sheetData sheetId="8"/>
      <sheetData sheetId="9" refreshError="1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T-PREC"/>
      <sheetName val="PRECI"/>
      <sheetName val="Cont. Pptal."/>
      <sheetName val="Cronograma"/>
      <sheetName val="Mensual"/>
    </sheetNames>
    <sheetDataSet>
      <sheetData sheetId="0">
        <row r="10">
          <cell r="C10" t="str">
            <v>ABANCAY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B1:J170"/>
  <sheetViews>
    <sheetView workbookViewId="0"/>
    <sheetView workbookViewId="1"/>
  </sheetViews>
  <sheetFormatPr baseColWidth="10" defaultRowHeight="15" x14ac:dyDescent="0.25"/>
  <cols>
    <col min="1" max="1" width="2.140625" customWidth="1"/>
    <col min="2" max="2" width="13.140625" style="1" customWidth="1"/>
    <col min="3" max="3" width="48.7109375" style="1" customWidth="1"/>
    <col min="4" max="6" width="11.42578125" style="1"/>
    <col min="7" max="7" width="12.42578125" style="1" customWidth="1"/>
    <col min="8" max="8" width="11.42578125" style="1"/>
    <col min="9" max="9" width="10.28515625" style="1" customWidth="1"/>
    <col min="10" max="10" width="8.85546875" style="1" customWidth="1"/>
  </cols>
  <sheetData>
    <row r="1" spans="2:10" x14ac:dyDescent="0.25">
      <c r="C1" s="499" t="s">
        <v>37</v>
      </c>
      <c r="D1" s="499"/>
      <c r="E1" s="499"/>
      <c r="F1" s="499"/>
      <c r="G1" s="499"/>
      <c r="H1" s="499"/>
    </row>
    <row r="2" spans="2:10" x14ac:dyDescent="0.25">
      <c r="C2" s="499" t="s">
        <v>38</v>
      </c>
      <c r="D2" s="499"/>
      <c r="E2" s="499"/>
      <c r="F2" s="499"/>
      <c r="G2" s="499"/>
      <c r="H2" s="499"/>
    </row>
    <row r="3" spans="2:10" x14ac:dyDescent="0.25">
      <c r="C3" s="499" t="s">
        <v>39</v>
      </c>
      <c r="D3" s="499"/>
      <c r="E3" s="499"/>
      <c r="F3" s="499"/>
      <c r="G3" s="499"/>
      <c r="H3" s="499"/>
    </row>
    <row r="4" spans="2:10" x14ac:dyDescent="0.25">
      <c r="C4" s="500" t="s">
        <v>40</v>
      </c>
      <c r="D4" s="500"/>
      <c r="E4" s="500"/>
      <c r="F4" s="500"/>
      <c r="G4" s="500"/>
      <c r="H4" s="500"/>
    </row>
    <row r="5" spans="2:10" x14ac:dyDescent="0.25">
      <c r="C5" s="75"/>
      <c r="D5" s="75"/>
      <c r="E5" s="75"/>
      <c r="F5" s="75"/>
      <c r="G5" s="75"/>
      <c r="H5" s="75"/>
    </row>
    <row r="6" spans="2:10" ht="15.75" x14ac:dyDescent="0.25">
      <c r="B6" s="501" t="s">
        <v>28</v>
      </c>
      <c r="C6" s="502"/>
      <c r="D6" s="502"/>
      <c r="E6" s="502"/>
      <c r="F6" s="502"/>
      <c r="G6" s="502"/>
      <c r="H6" s="502"/>
      <c r="I6" s="502"/>
      <c r="J6" s="503"/>
    </row>
    <row r="8" spans="2:10" ht="15.75" x14ac:dyDescent="0.25">
      <c r="B8" s="498" t="s">
        <v>339</v>
      </c>
      <c r="C8" s="498"/>
      <c r="D8" s="498"/>
      <c r="E8" s="498"/>
      <c r="F8" s="498"/>
      <c r="G8" s="498"/>
      <c r="H8" s="498"/>
      <c r="I8" s="498"/>
      <c r="J8" s="498"/>
    </row>
    <row r="9" spans="2:10" ht="15.75" thickBot="1" x14ac:dyDescent="0.3">
      <c r="B9" s="76"/>
      <c r="C9" s="76"/>
      <c r="D9" s="76"/>
      <c r="E9" s="76"/>
      <c r="F9" s="76"/>
      <c r="G9" s="76"/>
      <c r="H9" s="76"/>
      <c r="I9" s="76"/>
      <c r="J9" s="76"/>
    </row>
    <row r="10" spans="2:10" ht="31.5" customHeight="1" x14ac:dyDescent="0.25">
      <c r="B10" s="494" t="s">
        <v>27</v>
      </c>
      <c r="C10" s="495"/>
      <c r="D10" s="495"/>
      <c r="E10" s="495"/>
      <c r="F10" s="495"/>
      <c r="G10" s="495"/>
      <c r="H10" s="495"/>
      <c r="I10" s="495"/>
      <c r="J10" s="496"/>
    </row>
    <row r="11" spans="2:10" x14ac:dyDescent="0.25">
      <c r="B11" s="2" t="s">
        <v>35</v>
      </c>
      <c r="C11" s="3" t="s">
        <v>36</v>
      </c>
      <c r="D11" s="3"/>
      <c r="E11" s="4"/>
      <c r="F11" s="5"/>
      <c r="G11" s="6" t="s">
        <v>8</v>
      </c>
      <c r="H11" s="497">
        <v>42887</v>
      </c>
      <c r="I11" s="497"/>
      <c r="J11" s="7"/>
    </row>
    <row r="12" spans="2:10" x14ac:dyDescent="0.25">
      <c r="B12" s="2" t="s">
        <v>33</v>
      </c>
      <c r="C12" s="3" t="s">
        <v>29</v>
      </c>
      <c r="D12" s="8"/>
      <c r="E12" s="8"/>
      <c r="F12" s="3"/>
      <c r="G12" s="9" t="s">
        <v>32</v>
      </c>
      <c r="H12" s="4" t="s">
        <v>29</v>
      </c>
      <c r="I12" s="10"/>
      <c r="J12" s="11"/>
    </row>
    <row r="13" spans="2:10" x14ac:dyDescent="0.25">
      <c r="B13" s="2" t="s">
        <v>34</v>
      </c>
      <c r="C13" s="3" t="s">
        <v>29</v>
      </c>
      <c r="D13" s="8"/>
      <c r="E13" s="8"/>
      <c r="F13" s="3"/>
      <c r="G13" s="9" t="s">
        <v>30</v>
      </c>
      <c r="H13" s="4" t="s">
        <v>31</v>
      </c>
      <c r="I13" s="10"/>
      <c r="J13" s="11"/>
    </row>
    <row r="14" spans="2:10" ht="15.75" thickBot="1" x14ac:dyDescent="0.3">
      <c r="B14" s="12" t="s">
        <v>43</v>
      </c>
      <c r="C14" s="13" t="s">
        <v>44</v>
      </c>
      <c r="D14" s="14"/>
      <c r="E14" s="14"/>
      <c r="F14" s="13"/>
      <c r="G14" s="15" t="s">
        <v>41</v>
      </c>
      <c r="H14" s="16" t="s">
        <v>42</v>
      </c>
      <c r="I14" s="17"/>
      <c r="J14" s="18"/>
    </row>
    <row r="15" spans="2:10" x14ac:dyDescent="0.25">
      <c r="B15" s="19"/>
      <c r="C15" s="3"/>
      <c r="D15" s="8"/>
      <c r="E15" s="8"/>
      <c r="F15" s="3"/>
      <c r="G15" s="9"/>
      <c r="H15" s="4"/>
      <c r="I15" s="10"/>
      <c r="J15" s="20"/>
    </row>
    <row r="16" spans="2:10" x14ac:dyDescent="0.25">
      <c r="B16" s="64" t="s">
        <v>5</v>
      </c>
      <c r="C16" s="48" t="s">
        <v>0</v>
      </c>
      <c r="D16" s="49"/>
      <c r="E16" s="49"/>
      <c r="F16" s="49"/>
      <c r="G16" s="49"/>
      <c r="H16" s="50"/>
      <c r="I16" s="51" t="s">
        <v>6</v>
      </c>
      <c r="J16" s="51" t="s">
        <v>7</v>
      </c>
    </row>
    <row r="17" spans="2:10" x14ac:dyDescent="0.25">
      <c r="B17" s="68" t="e">
        <f>+#REF!</f>
        <v>#REF!</v>
      </c>
      <c r="C17" s="61" t="e">
        <f>+#REF!</f>
        <v>#REF!</v>
      </c>
      <c r="D17" s="23"/>
      <c r="E17" s="23"/>
      <c r="F17" s="23"/>
      <c r="G17" s="23"/>
      <c r="H17" s="24"/>
      <c r="I17" s="25" t="e">
        <f>+#REF!</f>
        <v>#REF!</v>
      </c>
      <c r="J17" s="26" t="e">
        <f>+#REF!</f>
        <v>#REF!</v>
      </c>
    </row>
    <row r="18" spans="2:10" x14ac:dyDescent="0.25">
      <c r="B18" s="69" t="s">
        <v>68</v>
      </c>
      <c r="C18" s="62" t="s">
        <v>67</v>
      </c>
      <c r="D18" s="23"/>
      <c r="E18" s="23"/>
      <c r="F18" s="23"/>
      <c r="G18" s="23"/>
      <c r="H18" s="24"/>
      <c r="I18" s="25"/>
      <c r="J18" s="26"/>
    </row>
    <row r="19" spans="2:10" x14ac:dyDescent="0.25">
      <c r="B19" s="70" t="s">
        <v>69</v>
      </c>
      <c r="C19" s="63" t="s">
        <v>107</v>
      </c>
      <c r="D19" s="23"/>
      <c r="E19" s="23"/>
      <c r="F19" s="23"/>
      <c r="G19" s="23"/>
      <c r="H19" s="24"/>
      <c r="I19" s="25"/>
      <c r="J19" s="26"/>
    </row>
    <row r="20" spans="2:10" x14ac:dyDescent="0.25">
      <c r="B20" s="28" t="s">
        <v>70</v>
      </c>
      <c r="C20" s="66" t="s">
        <v>169</v>
      </c>
      <c r="D20" s="23"/>
      <c r="E20" s="23"/>
      <c r="F20" s="23"/>
      <c r="G20" s="23"/>
      <c r="H20" s="24"/>
      <c r="I20" s="24">
        <v>2</v>
      </c>
      <c r="J20" s="26" t="s">
        <v>13</v>
      </c>
    </row>
    <row r="21" spans="2:10" x14ac:dyDescent="0.25">
      <c r="B21" s="28" t="s">
        <v>74</v>
      </c>
      <c r="C21" s="66" t="s">
        <v>83</v>
      </c>
      <c r="D21" s="23"/>
      <c r="E21" s="23"/>
      <c r="F21" s="23"/>
      <c r="G21" s="23"/>
      <c r="H21" s="24"/>
      <c r="I21" s="24">
        <v>0</v>
      </c>
      <c r="J21" s="26" t="s">
        <v>13</v>
      </c>
    </row>
    <row r="22" spans="2:10" x14ac:dyDescent="0.25">
      <c r="B22" s="28" t="s">
        <v>75</v>
      </c>
      <c r="C22" s="66" t="s">
        <v>338</v>
      </c>
      <c r="D22" s="23"/>
      <c r="E22" s="23"/>
      <c r="F22" s="23"/>
      <c r="G22" s="23"/>
      <c r="H22" s="24"/>
      <c r="I22" s="24">
        <v>1</v>
      </c>
      <c r="J22" s="26" t="s">
        <v>13</v>
      </c>
    </row>
    <row r="23" spans="2:10" x14ac:dyDescent="0.25">
      <c r="B23" s="28" t="s">
        <v>76</v>
      </c>
      <c r="C23" s="66" t="s">
        <v>337</v>
      </c>
      <c r="D23" s="23"/>
      <c r="E23" s="23"/>
      <c r="F23" s="23"/>
      <c r="G23" s="23"/>
      <c r="H23" s="24"/>
      <c r="I23" s="24">
        <v>10</v>
      </c>
      <c r="J23" s="26" t="s">
        <v>13</v>
      </c>
    </row>
    <row r="24" spans="2:10" x14ac:dyDescent="0.25">
      <c r="B24" s="28" t="s">
        <v>80</v>
      </c>
      <c r="C24" s="66" t="s">
        <v>180</v>
      </c>
      <c r="D24" s="23"/>
      <c r="E24" s="23"/>
      <c r="F24" s="23"/>
      <c r="G24" s="23"/>
      <c r="H24" s="24"/>
      <c r="I24" s="24">
        <v>1</v>
      </c>
      <c r="J24" s="26" t="s">
        <v>13</v>
      </c>
    </row>
    <row r="25" spans="2:10" x14ac:dyDescent="0.25">
      <c r="B25" s="28" t="s">
        <v>81</v>
      </c>
      <c r="C25" s="66" t="s">
        <v>104</v>
      </c>
      <c r="D25" s="23"/>
      <c r="E25" s="23"/>
      <c r="F25" s="23"/>
      <c r="G25" s="23"/>
      <c r="H25" s="24"/>
      <c r="I25" s="24">
        <v>1</v>
      </c>
      <c r="J25" s="26" t="s">
        <v>13</v>
      </c>
    </row>
    <row r="26" spans="2:10" x14ac:dyDescent="0.25">
      <c r="B26" s="28" t="s">
        <v>82</v>
      </c>
      <c r="C26" s="66" t="s">
        <v>77</v>
      </c>
      <c r="D26" s="23"/>
      <c r="E26" s="23"/>
      <c r="F26" s="23"/>
      <c r="G26" s="23"/>
      <c r="H26" s="24"/>
      <c r="I26" s="24">
        <v>2</v>
      </c>
      <c r="J26" s="26" t="s">
        <v>13</v>
      </c>
    </row>
    <row r="27" spans="2:10" x14ac:dyDescent="0.25">
      <c r="B27" s="70" t="s">
        <v>109</v>
      </c>
      <c r="C27" s="63" t="s">
        <v>108</v>
      </c>
      <c r="D27" s="23"/>
      <c r="E27" s="23"/>
      <c r="F27" s="23"/>
      <c r="G27" s="23"/>
      <c r="H27" s="24"/>
      <c r="I27" s="24"/>
      <c r="J27" s="26"/>
    </row>
    <row r="28" spans="2:10" x14ac:dyDescent="0.25">
      <c r="B28" s="28" t="s">
        <v>84</v>
      </c>
      <c r="C28" s="66" t="s">
        <v>78</v>
      </c>
      <c r="D28" s="23"/>
      <c r="E28" s="23"/>
      <c r="F28" s="23"/>
      <c r="G28" s="23"/>
      <c r="H28" s="24"/>
      <c r="I28" s="24">
        <v>11</v>
      </c>
      <c r="J28" s="26" t="s">
        <v>13</v>
      </c>
    </row>
    <row r="29" spans="2:10" x14ac:dyDescent="0.25">
      <c r="B29" s="28" t="s">
        <v>86</v>
      </c>
      <c r="C29" s="66" t="s">
        <v>79</v>
      </c>
      <c r="D29" s="23"/>
      <c r="E29" s="23"/>
      <c r="F29" s="23"/>
      <c r="G29" s="23"/>
      <c r="H29" s="24"/>
      <c r="I29" s="24">
        <v>3</v>
      </c>
      <c r="J29" s="26" t="s">
        <v>13</v>
      </c>
    </row>
    <row r="30" spans="2:10" x14ac:dyDescent="0.25">
      <c r="B30" s="28" t="s">
        <v>88</v>
      </c>
      <c r="C30" s="66" t="s">
        <v>105</v>
      </c>
      <c r="D30" s="23"/>
      <c r="E30" s="23"/>
      <c r="F30" s="23"/>
      <c r="G30" s="23"/>
      <c r="H30" s="24"/>
      <c r="I30" s="24">
        <v>1</v>
      </c>
      <c r="J30" s="26" t="s">
        <v>13</v>
      </c>
    </row>
    <row r="31" spans="2:10" x14ac:dyDescent="0.25">
      <c r="B31" s="28" t="s">
        <v>89</v>
      </c>
      <c r="C31" s="66" t="s">
        <v>181</v>
      </c>
      <c r="D31" s="23"/>
      <c r="E31" s="23"/>
      <c r="F31" s="23"/>
      <c r="G31" s="23"/>
      <c r="H31" s="24"/>
      <c r="I31" s="24">
        <v>2</v>
      </c>
      <c r="J31" s="26" t="s">
        <v>13</v>
      </c>
    </row>
    <row r="32" spans="2:10" x14ac:dyDescent="0.25">
      <c r="B32" s="28" t="s">
        <v>90</v>
      </c>
      <c r="C32" s="66" t="s">
        <v>182</v>
      </c>
      <c r="D32" s="23"/>
      <c r="E32" s="23"/>
      <c r="F32" s="23"/>
      <c r="G32" s="23"/>
      <c r="H32" s="24"/>
      <c r="I32" s="24">
        <v>3</v>
      </c>
      <c r="J32" s="26" t="s">
        <v>13</v>
      </c>
    </row>
    <row r="33" spans="2:10" x14ac:dyDescent="0.25">
      <c r="B33" s="28" t="s">
        <v>92</v>
      </c>
      <c r="C33" s="66" t="s">
        <v>183</v>
      </c>
      <c r="D33" s="23"/>
      <c r="E33" s="23"/>
      <c r="F33" s="23"/>
      <c r="G33" s="23"/>
      <c r="H33" s="24"/>
      <c r="I33" s="24">
        <v>1</v>
      </c>
      <c r="J33" s="26" t="s">
        <v>13</v>
      </c>
    </row>
    <row r="34" spans="2:10" x14ac:dyDescent="0.25">
      <c r="B34" s="28" t="s">
        <v>94</v>
      </c>
      <c r="C34" s="66" t="s">
        <v>184</v>
      </c>
      <c r="D34" s="23"/>
      <c r="E34" s="23"/>
      <c r="F34" s="23"/>
      <c r="G34" s="23"/>
      <c r="H34" s="24"/>
      <c r="I34" s="24">
        <v>0</v>
      </c>
      <c r="J34" s="26" t="s">
        <v>13</v>
      </c>
    </row>
    <row r="35" spans="2:10" x14ac:dyDescent="0.25">
      <c r="B35" s="28" t="s">
        <v>96</v>
      </c>
      <c r="C35" s="66" t="s">
        <v>85</v>
      </c>
      <c r="D35" s="23"/>
      <c r="E35" s="23"/>
      <c r="F35" s="23"/>
      <c r="G35" s="23"/>
      <c r="H35" s="24"/>
      <c r="I35" s="24">
        <v>2</v>
      </c>
      <c r="J35" s="26" t="s">
        <v>13</v>
      </c>
    </row>
    <row r="36" spans="2:10" x14ac:dyDescent="0.25">
      <c r="B36" s="28" t="s">
        <v>100</v>
      </c>
      <c r="C36" s="66" t="s">
        <v>87</v>
      </c>
      <c r="D36" s="23"/>
      <c r="E36" s="23"/>
      <c r="F36" s="23"/>
      <c r="G36" s="23"/>
      <c r="H36" s="24"/>
      <c r="I36" s="24">
        <v>2</v>
      </c>
      <c r="J36" s="26" t="s">
        <v>13</v>
      </c>
    </row>
    <row r="37" spans="2:10" x14ac:dyDescent="0.25">
      <c r="B37" s="28" t="s">
        <v>98</v>
      </c>
      <c r="C37" s="66" t="s">
        <v>186</v>
      </c>
      <c r="D37" s="23"/>
      <c r="E37" s="23"/>
      <c r="F37" s="23"/>
      <c r="G37" s="23"/>
      <c r="H37" s="24"/>
      <c r="I37" s="24">
        <v>4</v>
      </c>
      <c r="J37" s="26" t="s">
        <v>13</v>
      </c>
    </row>
    <row r="38" spans="2:10" x14ac:dyDescent="0.25">
      <c r="B38" s="28" t="s">
        <v>102</v>
      </c>
      <c r="C38" s="66" t="s">
        <v>185</v>
      </c>
      <c r="D38" s="23"/>
      <c r="E38" s="23"/>
      <c r="F38" s="23"/>
      <c r="G38" s="23"/>
      <c r="H38" s="24"/>
      <c r="I38" s="24">
        <v>1</v>
      </c>
      <c r="J38" s="26" t="s">
        <v>13</v>
      </c>
    </row>
    <row r="39" spans="2:10" x14ac:dyDescent="0.25">
      <c r="B39" s="28" t="s">
        <v>106</v>
      </c>
      <c r="C39" s="66" t="s">
        <v>91</v>
      </c>
      <c r="D39" s="23"/>
      <c r="E39" s="23"/>
      <c r="F39" s="23"/>
      <c r="G39" s="23"/>
      <c r="H39" s="24"/>
      <c r="I39" s="24">
        <v>1</v>
      </c>
      <c r="J39" s="26" t="s">
        <v>13</v>
      </c>
    </row>
    <row r="40" spans="2:10" x14ac:dyDescent="0.25">
      <c r="B40" s="28" t="s">
        <v>187</v>
      </c>
      <c r="C40" s="66" t="s">
        <v>93</v>
      </c>
      <c r="D40" s="23"/>
      <c r="E40" s="23"/>
      <c r="F40" s="23"/>
      <c r="G40" s="23"/>
      <c r="H40" s="24"/>
      <c r="I40" s="24">
        <v>3</v>
      </c>
      <c r="J40" s="26" t="s">
        <v>13</v>
      </c>
    </row>
    <row r="41" spans="2:10" x14ac:dyDescent="0.25">
      <c r="B41" s="28" t="s">
        <v>188</v>
      </c>
      <c r="C41" s="66" t="s">
        <v>95</v>
      </c>
      <c r="D41" s="23"/>
      <c r="E41" s="23"/>
      <c r="F41" s="23"/>
      <c r="G41" s="23"/>
      <c r="H41" s="24"/>
      <c r="I41" s="24">
        <v>3</v>
      </c>
      <c r="J41" s="26" t="s">
        <v>13</v>
      </c>
    </row>
    <row r="42" spans="2:10" x14ac:dyDescent="0.25">
      <c r="B42" s="28" t="s">
        <v>189</v>
      </c>
      <c r="C42" s="66" t="s">
        <v>97</v>
      </c>
      <c r="D42" s="23"/>
      <c r="E42" s="23"/>
      <c r="F42" s="23"/>
      <c r="G42" s="23"/>
      <c r="H42" s="24"/>
      <c r="I42" s="24">
        <v>2</v>
      </c>
      <c r="J42" s="26" t="s">
        <v>13</v>
      </c>
    </row>
    <row r="43" spans="2:10" x14ac:dyDescent="0.25">
      <c r="B43" s="28" t="s">
        <v>190</v>
      </c>
      <c r="C43" s="66" t="s">
        <v>101</v>
      </c>
      <c r="D43" s="23"/>
      <c r="E43" s="23"/>
      <c r="F43" s="23"/>
      <c r="G43" s="23"/>
      <c r="H43" s="24"/>
      <c r="I43" s="24">
        <v>10</v>
      </c>
      <c r="J43" s="26" t="s">
        <v>13</v>
      </c>
    </row>
    <row r="44" spans="2:10" x14ac:dyDescent="0.25">
      <c r="B44" s="28" t="s">
        <v>191</v>
      </c>
      <c r="C44" s="66" t="s">
        <v>99</v>
      </c>
      <c r="D44" s="23"/>
      <c r="E44" s="23"/>
      <c r="F44" s="23"/>
      <c r="G44" s="23"/>
      <c r="H44" s="24"/>
      <c r="I44" s="24">
        <v>3</v>
      </c>
      <c r="J44" s="26" t="s">
        <v>13</v>
      </c>
    </row>
    <row r="45" spans="2:10" x14ac:dyDescent="0.25">
      <c r="B45" s="28" t="s">
        <v>192</v>
      </c>
      <c r="C45" s="66" t="s">
        <v>103</v>
      </c>
      <c r="D45" s="23"/>
      <c r="E45" s="23"/>
      <c r="F45" s="23"/>
      <c r="G45" s="23"/>
      <c r="H45" s="24"/>
      <c r="I45" s="24">
        <v>1</v>
      </c>
      <c r="J45" s="26" t="s">
        <v>13</v>
      </c>
    </row>
    <row r="46" spans="2:10" x14ac:dyDescent="0.25">
      <c r="B46" s="70" t="s">
        <v>112</v>
      </c>
      <c r="C46" s="63" t="s">
        <v>111</v>
      </c>
      <c r="D46" s="23"/>
      <c r="E46" s="23"/>
      <c r="F46" s="23"/>
      <c r="G46" s="23"/>
      <c r="H46" s="24"/>
      <c r="I46" s="24"/>
      <c r="J46" s="26"/>
    </row>
    <row r="47" spans="2:10" x14ac:dyDescent="0.25">
      <c r="B47" s="25" t="s">
        <v>110</v>
      </c>
      <c r="C47" s="28" t="s">
        <v>113</v>
      </c>
      <c r="D47" s="23"/>
      <c r="E47" s="23"/>
      <c r="F47" s="23"/>
      <c r="G47" s="23"/>
      <c r="H47" s="24"/>
      <c r="I47" s="25">
        <v>17</v>
      </c>
      <c r="J47" s="26" t="s">
        <v>13</v>
      </c>
    </row>
    <row r="48" spans="2:10" x14ac:dyDescent="0.25">
      <c r="B48" s="70" t="s">
        <v>114</v>
      </c>
      <c r="C48" s="63" t="s">
        <v>115</v>
      </c>
      <c r="D48" s="23"/>
      <c r="E48" s="23"/>
      <c r="F48" s="23"/>
      <c r="G48" s="23"/>
      <c r="H48" s="24"/>
      <c r="I48" s="25"/>
      <c r="J48" s="26"/>
    </row>
    <row r="49" spans="2:10" x14ac:dyDescent="0.25">
      <c r="B49" s="25" t="s">
        <v>294</v>
      </c>
      <c r="C49" s="28" t="s">
        <v>116</v>
      </c>
      <c r="D49" s="23"/>
      <c r="E49" s="23"/>
      <c r="F49" s="23"/>
      <c r="G49" s="23"/>
      <c r="H49" s="24"/>
      <c r="I49" s="25">
        <v>59</v>
      </c>
      <c r="J49" s="26" t="s">
        <v>13</v>
      </c>
    </row>
    <row r="50" spans="2:10" x14ac:dyDescent="0.25">
      <c r="B50" s="70" t="s">
        <v>294</v>
      </c>
      <c r="C50" s="63" t="s">
        <v>116</v>
      </c>
      <c r="D50" s="29"/>
      <c r="E50" s="29"/>
      <c r="F50" s="29"/>
      <c r="G50" s="29"/>
      <c r="H50" s="30"/>
      <c r="I50" s="27"/>
      <c r="J50" s="31"/>
    </row>
    <row r="51" spans="2:10" x14ac:dyDescent="0.25">
      <c r="B51" s="69" t="s">
        <v>117</v>
      </c>
      <c r="C51" s="62" t="s">
        <v>118</v>
      </c>
      <c r="D51" s="23"/>
      <c r="E51" s="23"/>
      <c r="F51" s="23"/>
      <c r="G51" s="23"/>
      <c r="H51" s="24"/>
      <c r="I51" s="25"/>
      <c r="J51" s="26"/>
    </row>
    <row r="52" spans="2:10" x14ac:dyDescent="0.25">
      <c r="B52" s="70" t="s">
        <v>119</v>
      </c>
      <c r="C52" s="63" t="s">
        <v>122</v>
      </c>
      <c r="D52" s="29"/>
      <c r="E52" s="29"/>
      <c r="F52" s="29"/>
      <c r="G52" s="29"/>
      <c r="H52" s="30"/>
      <c r="I52" s="27"/>
      <c r="J52" s="31"/>
    </row>
    <row r="53" spans="2:10" x14ac:dyDescent="0.25">
      <c r="B53" s="25" t="s">
        <v>123</v>
      </c>
      <c r="C53" s="28" t="s">
        <v>170</v>
      </c>
      <c r="D53" s="23"/>
      <c r="E53" s="23"/>
      <c r="F53" s="23"/>
      <c r="G53" s="23"/>
      <c r="H53" s="24"/>
      <c r="I53" s="25">
        <v>23</v>
      </c>
      <c r="J53" s="26" t="s">
        <v>120</v>
      </c>
    </row>
    <row r="54" spans="2:10" x14ac:dyDescent="0.25">
      <c r="B54" s="25" t="s">
        <v>124</v>
      </c>
      <c r="C54" s="28" t="s">
        <v>171</v>
      </c>
      <c r="D54" s="23"/>
      <c r="E54" s="23"/>
      <c r="F54" s="23"/>
      <c r="G54" s="23"/>
      <c r="H54" s="24"/>
      <c r="I54" s="25">
        <v>0</v>
      </c>
      <c r="J54" s="26" t="s">
        <v>120</v>
      </c>
    </row>
    <row r="55" spans="2:10" x14ac:dyDescent="0.25">
      <c r="B55" s="70" t="s">
        <v>121</v>
      </c>
      <c r="C55" s="63" t="s">
        <v>125</v>
      </c>
      <c r="D55" s="23"/>
      <c r="E55" s="23"/>
      <c r="F55" s="23"/>
      <c r="G55" s="23"/>
      <c r="H55" s="24"/>
      <c r="I55" s="25"/>
      <c r="J55" s="26"/>
    </row>
    <row r="56" spans="2:10" x14ac:dyDescent="0.25">
      <c r="B56" s="25" t="s">
        <v>126</v>
      </c>
      <c r="C56" s="28" t="s">
        <v>172</v>
      </c>
      <c r="D56" s="23"/>
      <c r="E56" s="23"/>
      <c r="F56" s="23"/>
      <c r="G56" s="23"/>
      <c r="H56" s="24"/>
      <c r="I56" s="25">
        <v>19.889999999999997</v>
      </c>
      <c r="J56" s="26" t="s">
        <v>345</v>
      </c>
    </row>
    <row r="57" spans="2:10" x14ac:dyDescent="0.25">
      <c r="B57" s="25" t="s">
        <v>127</v>
      </c>
      <c r="C57" s="28" t="s">
        <v>173</v>
      </c>
      <c r="D57" s="23"/>
      <c r="E57" s="23"/>
      <c r="F57" s="23"/>
      <c r="G57" s="23"/>
      <c r="H57" s="24"/>
      <c r="I57" s="25">
        <v>29.709999999999997</v>
      </c>
      <c r="J57" s="26" t="s">
        <v>345</v>
      </c>
    </row>
    <row r="58" spans="2:10" x14ac:dyDescent="0.25">
      <c r="B58" s="25" t="s">
        <v>128</v>
      </c>
      <c r="C58" s="28" t="s">
        <v>174</v>
      </c>
      <c r="D58" s="23"/>
      <c r="E58" s="23"/>
      <c r="F58" s="23"/>
      <c r="G58" s="23"/>
      <c r="H58" s="24"/>
      <c r="I58" s="25">
        <v>28.76</v>
      </c>
      <c r="J58" s="26" t="s">
        <v>345</v>
      </c>
    </row>
    <row r="59" spans="2:10" x14ac:dyDescent="0.25">
      <c r="B59" s="25" t="s">
        <v>129</v>
      </c>
      <c r="C59" s="28" t="s">
        <v>175</v>
      </c>
      <c r="D59" s="23"/>
      <c r="E59" s="23"/>
      <c r="F59" s="23"/>
      <c r="G59" s="23"/>
      <c r="H59" s="24"/>
      <c r="I59" s="25">
        <v>3.25</v>
      </c>
      <c r="J59" s="26" t="s">
        <v>345</v>
      </c>
    </row>
    <row r="60" spans="2:10" x14ac:dyDescent="0.25">
      <c r="B60" s="25" t="s">
        <v>130</v>
      </c>
      <c r="C60" s="28" t="s">
        <v>176</v>
      </c>
      <c r="D60" s="23"/>
      <c r="E60" s="23"/>
      <c r="F60" s="23"/>
      <c r="G60" s="23"/>
      <c r="H60" s="24"/>
      <c r="I60" s="25">
        <v>0</v>
      </c>
      <c r="J60" s="26" t="s">
        <v>345</v>
      </c>
    </row>
    <row r="61" spans="2:10" x14ac:dyDescent="0.25">
      <c r="B61" s="25" t="s">
        <v>132</v>
      </c>
      <c r="C61" s="28" t="s">
        <v>133</v>
      </c>
      <c r="D61" s="23"/>
      <c r="E61" s="23"/>
      <c r="F61" s="23"/>
      <c r="G61" s="23"/>
      <c r="H61" s="24"/>
      <c r="I61" s="25">
        <v>62.74</v>
      </c>
      <c r="J61" s="26" t="s">
        <v>345</v>
      </c>
    </row>
    <row r="62" spans="2:10" x14ac:dyDescent="0.25">
      <c r="B62" s="70" t="s">
        <v>134</v>
      </c>
      <c r="C62" s="63" t="s">
        <v>135</v>
      </c>
      <c r="D62" s="23"/>
      <c r="E62" s="23"/>
      <c r="F62" s="23"/>
      <c r="G62" s="23"/>
      <c r="H62" s="24"/>
      <c r="I62" s="25"/>
      <c r="J62" s="26"/>
    </row>
    <row r="63" spans="2:10" x14ac:dyDescent="0.25">
      <c r="B63" s="25" t="s">
        <v>136</v>
      </c>
      <c r="C63" s="28" t="s">
        <v>131</v>
      </c>
      <c r="D63" s="23"/>
      <c r="E63" s="23"/>
      <c r="F63" s="23"/>
      <c r="G63" s="23"/>
      <c r="H63" s="24"/>
      <c r="I63" s="25">
        <v>0</v>
      </c>
      <c r="J63" s="26" t="s">
        <v>345</v>
      </c>
    </row>
    <row r="64" spans="2:10" x14ac:dyDescent="0.25">
      <c r="B64" s="70" t="s">
        <v>137</v>
      </c>
      <c r="C64" s="63" t="s">
        <v>138</v>
      </c>
      <c r="D64" s="23"/>
      <c r="E64" s="23"/>
      <c r="F64" s="23"/>
      <c r="G64" s="23"/>
      <c r="H64" s="24"/>
      <c r="I64" s="25"/>
      <c r="J64" s="26"/>
    </row>
    <row r="65" spans="2:10" x14ac:dyDescent="0.25">
      <c r="B65" s="25" t="s">
        <v>139</v>
      </c>
      <c r="C65" s="28" t="s">
        <v>140</v>
      </c>
      <c r="D65" s="23"/>
      <c r="E65" s="23"/>
      <c r="F65" s="23"/>
      <c r="G65" s="23"/>
      <c r="H65" s="24"/>
      <c r="I65" s="25">
        <v>26</v>
      </c>
      <c r="J65" s="26" t="s">
        <v>13</v>
      </c>
    </row>
    <row r="66" spans="2:10" x14ac:dyDescent="0.25">
      <c r="B66" s="25" t="s">
        <v>141</v>
      </c>
      <c r="C66" s="28" t="s">
        <v>142</v>
      </c>
      <c r="D66" s="23"/>
      <c r="E66" s="23"/>
      <c r="F66" s="23"/>
      <c r="G66" s="23"/>
      <c r="H66" s="24"/>
      <c r="I66" s="25">
        <v>15</v>
      </c>
      <c r="J66" s="26" t="s">
        <v>13</v>
      </c>
    </row>
    <row r="67" spans="2:10" x14ac:dyDescent="0.25">
      <c r="B67" s="25" t="s">
        <v>143</v>
      </c>
      <c r="C67" s="28" t="s">
        <v>144</v>
      </c>
      <c r="D67" s="23"/>
      <c r="E67" s="23"/>
      <c r="F67" s="23"/>
      <c r="G67" s="23"/>
      <c r="H67" s="24"/>
      <c r="I67" s="25">
        <v>9</v>
      </c>
      <c r="J67" s="26" t="s">
        <v>13</v>
      </c>
    </row>
    <row r="68" spans="2:10" x14ac:dyDescent="0.25">
      <c r="B68" s="25" t="s">
        <v>145</v>
      </c>
      <c r="C68" s="28" t="s">
        <v>146</v>
      </c>
      <c r="D68" s="23"/>
      <c r="E68" s="23"/>
      <c r="F68" s="23"/>
      <c r="G68" s="23"/>
      <c r="H68" s="24"/>
      <c r="I68" s="25">
        <v>0</v>
      </c>
      <c r="J68" s="26" t="s">
        <v>13</v>
      </c>
    </row>
    <row r="69" spans="2:10" x14ac:dyDescent="0.25">
      <c r="B69" s="25" t="s">
        <v>147</v>
      </c>
      <c r="C69" s="28" t="s">
        <v>148</v>
      </c>
      <c r="D69" s="23"/>
      <c r="E69" s="23"/>
      <c r="F69" s="23"/>
      <c r="G69" s="23"/>
      <c r="H69" s="24"/>
      <c r="I69" s="25">
        <v>0</v>
      </c>
      <c r="J69" s="26" t="s">
        <v>13</v>
      </c>
    </row>
    <row r="70" spans="2:10" x14ac:dyDescent="0.25">
      <c r="B70" s="25" t="s">
        <v>150</v>
      </c>
      <c r="C70" s="28" t="s">
        <v>197</v>
      </c>
      <c r="D70" s="23"/>
      <c r="E70" s="23"/>
      <c r="F70" s="23"/>
      <c r="G70" s="23"/>
      <c r="H70" s="24"/>
      <c r="I70" s="25">
        <v>4</v>
      </c>
      <c r="J70" s="26" t="s">
        <v>13</v>
      </c>
    </row>
    <row r="71" spans="2:10" x14ac:dyDescent="0.25">
      <c r="B71" s="25" t="s">
        <v>155</v>
      </c>
      <c r="C71" s="28" t="s">
        <v>151</v>
      </c>
      <c r="D71" s="23"/>
      <c r="E71" s="23"/>
      <c r="F71" s="23"/>
      <c r="G71" s="23"/>
      <c r="H71" s="24"/>
      <c r="I71" s="25">
        <v>0</v>
      </c>
      <c r="J71" s="26" t="s">
        <v>13</v>
      </c>
    </row>
    <row r="72" spans="2:10" x14ac:dyDescent="0.25">
      <c r="B72" s="25" t="s">
        <v>156</v>
      </c>
      <c r="C72" s="28" t="s">
        <v>149</v>
      </c>
      <c r="D72" s="23"/>
      <c r="E72" s="23"/>
      <c r="F72" s="23"/>
      <c r="G72" s="23"/>
      <c r="H72" s="24"/>
      <c r="I72" s="25">
        <v>12</v>
      </c>
      <c r="J72" s="26" t="s">
        <v>13</v>
      </c>
    </row>
    <row r="73" spans="2:10" x14ac:dyDescent="0.25">
      <c r="B73" s="25" t="s">
        <v>157</v>
      </c>
      <c r="C73" s="28" t="s">
        <v>152</v>
      </c>
      <c r="D73" s="23"/>
      <c r="E73" s="23"/>
      <c r="F73" s="23"/>
      <c r="G73" s="23"/>
      <c r="H73" s="24"/>
      <c r="I73" s="25">
        <v>10</v>
      </c>
      <c r="J73" s="26" t="s">
        <v>13</v>
      </c>
    </row>
    <row r="74" spans="2:10" x14ac:dyDescent="0.25">
      <c r="B74" s="25" t="s">
        <v>158</v>
      </c>
      <c r="C74" s="28" t="s">
        <v>153</v>
      </c>
      <c r="D74" s="23"/>
      <c r="E74" s="23"/>
      <c r="F74" s="23"/>
      <c r="G74" s="23"/>
      <c r="H74" s="24"/>
      <c r="I74" s="25">
        <v>0</v>
      </c>
      <c r="J74" s="26" t="s">
        <v>13</v>
      </c>
    </row>
    <row r="75" spans="2:10" x14ac:dyDescent="0.25">
      <c r="B75" s="25" t="s">
        <v>159</v>
      </c>
      <c r="C75" s="28" t="s">
        <v>154</v>
      </c>
      <c r="D75" s="23"/>
      <c r="E75" s="23"/>
      <c r="F75" s="23"/>
      <c r="G75" s="23"/>
      <c r="H75" s="24"/>
      <c r="I75" s="25">
        <v>0</v>
      </c>
      <c r="J75" s="26" t="s">
        <v>13</v>
      </c>
    </row>
    <row r="76" spans="2:10" x14ac:dyDescent="0.25">
      <c r="B76" s="25" t="s">
        <v>164</v>
      </c>
      <c r="C76" s="28" t="s">
        <v>168</v>
      </c>
      <c r="D76" s="23"/>
      <c r="E76" s="23"/>
      <c r="F76" s="23"/>
      <c r="G76" s="23"/>
      <c r="H76" s="24"/>
      <c r="I76" s="25">
        <v>15</v>
      </c>
      <c r="J76" s="26" t="s">
        <v>13</v>
      </c>
    </row>
    <row r="77" spans="2:10" x14ac:dyDescent="0.25">
      <c r="B77" s="25" t="s">
        <v>165</v>
      </c>
      <c r="C77" s="28" t="s">
        <v>160</v>
      </c>
      <c r="D77" s="23"/>
      <c r="E77" s="23"/>
      <c r="F77" s="23"/>
      <c r="G77" s="23"/>
      <c r="H77" s="24"/>
      <c r="I77" s="25">
        <v>7</v>
      </c>
      <c r="J77" s="26" t="s">
        <v>13</v>
      </c>
    </row>
    <row r="78" spans="2:10" x14ac:dyDescent="0.25">
      <c r="B78" s="25" t="s">
        <v>166</v>
      </c>
      <c r="C78" s="28" t="s">
        <v>161</v>
      </c>
      <c r="D78" s="23"/>
      <c r="E78" s="23"/>
      <c r="F78" s="23"/>
      <c r="G78" s="23"/>
      <c r="H78" s="24"/>
      <c r="I78" s="25">
        <v>3</v>
      </c>
      <c r="J78" s="26" t="s">
        <v>13</v>
      </c>
    </row>
    <row r="79" spans="2:10" x14ac:dyDescent="0.25">
      <c r="B79" s="25" t="s">
        <v>167</v>
      </c>
      <c r="C79" s="28" t="s">
        <v>162</v>
      </c>
      <c r="D79" s="23"/>
      <c r="E79" s="23"/>
      <c r="F79" s="23"/>
      <c r="G79" s="23"/>
      <c r="H79" s="24"/>
      <c r="I79" s="25">
        <v>0</v>
      </c>
      <c r="J79" s="26" t="s">
        <v>13</v>
      </c>
    </row>
    <row r="80" spans="2:10" x14ac:dyDescent="0.25">
      <c r="B80" s="25" t="s">
        <v>178</v>
      </c>
      <c r="C80" s="28" t="s">
        <v>163</v>
      </c>
      <c r="D80" s="23"/>
      <c r="E80" s="23"/>
      <c r="F80" s="23"/>
      <c r="G80" s="23"/>
      <c r="H80" s="24"/>
      <c r="I80" s="25">
        <v>0</v>
      </c>
      <c r="J80" s="26" t="s">
        <v>13</v>
      </c>
    </row>
    <row r="81" spans="2:10" x14ac:dyDescent="0.25">
      <c r="B81" s="25" t="s">
        <v>198</v>
      </c>
      <c r="C81" s="28" t="s">
        <v>177</v>
      </c>
      <c r="D81" s="23"/>
      <c r="E81" s="23"/>
      <c r="F81" s="23"/>
      <c r="G81" s="23"/>
      <c r="H81" s="24"/>
      <c r="I81" s="25">
        <v>4</v>
      </c>
      <c r="J81" s="26" t="s">
        <v>13</v>
      </c>
    </row>
    <row r="82" spans="2:10" x14ac:dyDescent="0.25">
      <c r="B82" s="25" t="s">
        <v>199</v>
      </c>
      <c r="C82" s="28" t="s">
        <v>193</v>
      </c>
      <c r="D82" s="23"/>
      <c r="E82" s="23"/>
      <c r="F82" s="23"/>
      <c r="G82" s="23"/>
      <c r="H82" s="24"/>
      <c r="I82" s="25">
        <v>6</v>
      </c>
      <c r="J82" s="26" t="s">
        <v>13</v>
      </c>
    </row>
    <row r="83" spans="2:10" x14ac:dyDescent="0.25">
      <c r="B83" s="25" t="s">
        <v>200</v>
      </c>
      <c r="C83" s="28" t="s">
        <v>194</v>
      </c>
      <c r="D83" s="23"/>
      <c r="E83" s="23"/>
      <c r="F83" s="23"/>
      <c r="G83" s="23"/>
      <c r="H83" s="24"/>
      <c r="I83" s="25">
        <v>6</v>
      </c>
      <c r="J83" s="26" t="s">
        <v>13</v>
      </c>
    </row>
    <row r="84" spans="2:10" x14ac:dyDescent="0.25">
      <c r="B84" s="25" t="s">
        <v>201</v>
      </c>
      <c r="C84" s="28" t="s">
        <v>195</v>
      </c>
      <c r="D84" s="23"/>
      <c r="E84" s="23"/>
      <c r="F84" s="23"/>
      <c r="G84" s="23"/>
      <c r="H84" s="24"/>
      <c r="I84" s="25">
        <v>2</v>
      </c>
      <c r="J84" s="26" t="s">
        <v>13</v>
      </c>
    </row>
    <row r="85" spans="2:10" x14ac:dyDescent="0.25">
      <c r="B85" s="25" t="s">
        <v>202</v>
      </c>
      <c r="C85" s="28" t="s">
        <v>196</v>
      </c>
      <c r="D85" s="23"/>
      <c r="E85" s="23"/>
      <c r="F85" s="23"/>
      <c r="G85" s="23"/>
      <c r="H85" s="24"/>
      <c r="I85" s="25">
        <v>0</v>
      </c>
      <c r="J85" s="26" t="s">
        <v>13</v>
      </c>
    </row>
    <row r="86" spans="2:10" x14ac:dyDescent="0.25">
      <c r="B86" s="70" t="s">
        <v>203</v>
      </c>
      <c r="C86" s="63" t="s">
        <v>204</v>
      </c>
      <c r="D86" s="23"/>
      <c r="E86" s="23"/>
      <c r="F86" s="23"/>
      <c r="G86" s="23"/>
      <c r="H86" s="24"/>
      <c r="I86" s="25"/>
      <c r="J86" s="26"/>
    </row>
    <row r="87" spans="2:10" x14ac:dyDescent="0.25">
      <c r="B87" s="25" t="s">
        <v>205</v>
      </c>
      <c r="C87" s="28" t="s">
        <v>207</v>
      </c>
      <c r="D87" s="23"/>
      <c r="E87" s="23"/>
      <c r="F87" s="23"/>
      <c r="G87" s="23"/>
      <c r="H87" s="24"/>
      <c r="I87" s="25">
        <v>0</v>
      </c>
      <c r="J87" s="26" t="s">
        <v>13</v>
      </c>
    </row>
    <row r="88" spans="2:10" x14ac:dyDescent="0.25">
      <c r="B88" s="25" t="s">
        <v>208</v>
      </c>
      <c r="C88" s="28" t="s">
        <v>206</v>
      </c>
      <c r="D88" s="23"/>
      <c r="E88" s="23"/>
      <c r="F88" s="23"/>
      <c r="G88" s="23"/>
      <c r="H88" s="24"/>
      <c r="I88" s="25">
        <v>4</v>
      </c>
      <c r="J88" s="26" t="s">
        <v>13</v>
      </c>
    </row>
    <row r="89" spans="2:10" x14ac:dyDescent="0.25">
      <c r="B89" s="25" t="s">
        <v>229</v>
      </c>
      <c r="C89" s="28" t="s">
        <v>209</v>
      </c>
      <c r="D89" s="23"/>
      <c r="E89" s="23"/>
      <c r="F89" s="23"/>
      <c r="G89" s="23"/>
      <c r="H89" s="24"/>
      <c r="I89" s="25">
        <v>4</v>
      </c>
      <c r="J89" s="26" t="s">
        <v>13</v>
      </c>
    </row>
    <row r="90" spans="2:10" x14ac:dyDescent="0.25">
      <c r="B90" s="70" t="s">
        <v>210</v>
      </c>
      <c r="C90" s="63" t="s">
        <v>211</v>
      </c>
      <c r="D90" s="23"/>
      <c r="E90" s="23"/>
      <c r="F90" s="23"/>
      <c r="G90" s="23"/>
      <c r="H90" s="24"/>
      <c r="I90" s="25"/>
      <c r="J90" s="26"/>
    </row>
    <row r="91" spans="2:10" x14ac:dyDescent="0.25">
      <c r="B91" s="25" t="s">
        <v>212</v>
      </c>
      <c r="C91" s="28" t="s">
        <v>213</v>
      </c>
      <c r="D91" s="23"/>
      <c r="E91" s="23"/>
      <c r="F91" s="23"/>
      <c r="G91" s="23"/>
      <c r="H91" s="24"/>
      <c r="I91" s="25">
        <v>0</v>
      </c>
      <c r="J91" s="26" t="s">
        <v>214</v>
      </c>
    </row>
    <row r="92" spans="2:10" x14ac:dyDescent="0.25">
      <c r="B92" s="25" t="s">
        <v>230</v>
      </c>
      <c r="C92" s="28" t="s">
        <v>215</v>
      </c>
      <c r="D92" s="23"/>
      <c r="E92" s="23"/>
      <c r="F92" s="23"/>
      <c r="G92" s="23"/>
      <c r="H92" s="24"/>
      <c r="I92" s="25">
        <v>0</v>
      </c>
      <c r="J92" s="26" t="s">
        <v>214</v>
      </c>
    </row>
    <row r="93" spans="2:10" x14ac:dyDescent="0.25">
      <c r="B93" s="70" t="s">
        <v>216</v>
      </c>
      <c r="C93" s="63" t="s">
        <v>217</v>
      </c>
      <c r="D93" s="23"/>
      <c r="E93" s="23"/>
      <c r="F93" s="23"/>
      <c r="G93" s="23"/>
      <c r="H93" s="24"/>
      <c r="I93" s="25"/>
      <c r="J93" s="26"/>
    </row>
    <row r="94" spans="2:10" x14ac:dyDescent="0.25">
      <c r="B94" s="25" t="s">
        <v>219</v>
      </c>
      <c r="C94" s="28" t="s">
        <v>218</v>
      </c>
      <c r="D94" s="23"/>
      <c r="E94" s="23"/>
      <c r="F94" s="23"/>
      <c r="G94" s="23"/>
      <c r="H94" s="24"/>
      <c r="I94" s="25">
        <v>0</v>
      </c>
      <c r="J94" s="26" t="s">
        <v>13</v>
      </c>
    </row>
    <row r="95" spans="2:10" x14ac:dyDescent="0.25">
      <c r="B95" s="32" t="s">
        <v>220</v>
      </c>
      <c r="C95" s="33" t="s">
        <v>221</v>
      </c>
      <c r="D95" s="34"/>
      <c r="E95" s="34"/>
      <c r="F95" s="34"/>
      <c r="G95" s="34"/>
      <c r="H95" s="35"/>
      <c r="I95" s="32">
        <v>0</v>
      </c>
      <c r="J95" s="36" t="s">
        <v>214</v>
      </c>
    </row>
    <row r="96" spans="2:10" x14ac:dyDescent="0.25">
      <c r="B96" s="71">
        <v>4.03</v>
      </c>
      <c r="C96" s="72" t="s">
        <v>222</v>
      </c>
      <c r="D96" s="23"/>
      <c r="E96" s="23"/>
      <c r="F96" s="23"/>
      <c r="G96" s="23"/>
      <c r="H96" s="24"/>
      <c r="I96" s="25"/>
      <c r="J96" s="26"/>
    </row>
    <row r="97" spans="2:10" x14ac:dyDescent="0.25">
      <c r="B97" s="73" t="s">
        <v>14</v>
      </c>
      <c r="C97" s="74" t="s">
        <v>225</v>
      </c>
      <c r="D97" s="23"/>
      <c r="E97" s="23"/>
      <c r="F97" s="23"/>
      <c r="G97" s="23"/>
      <c r="H97" s="24"/>
      <c r="I97" s="25"/>
      <c r="J97" s="26"/>
    </row>
    <row r="98" spans="2:10" x14ac:dyDescent="0.25">
      <c r="B98" s="25" t="s">
        <v>15</v>
      </c>
      <c r="C98" s="28" t="s">
        <v>227</v>
      </c>
      <c r="D98" s="23"/>
      <c r="E98" s="23"/>
      <c r="F98" s="23"/>
      <c r="G98" s="23"/>
      <c r="H98" s="24"/>
      <c r="I98" s="25">
        <v>27.1</v>
      </c>
      <c r="J98" s="26" t="s">
        <v>345</v>
      </c>
    </row>
    <row r="99" spans="2:10" x14ac:dyDescent="0.25">
      <c r="B99" s="25" t="s">
        <v>232</v>
      </c>
      <c r="C99" s="28" t="s">
        <v>235</v>
      </c>
      <c r="D99" s="23"/>
      <c r="E99" s="23"/>
      <c r="F99" s="23"/>
      <c r="G99" s="23"/>
      <c r="H99" s="24"/>
      <c r="I99" s="25">
        <v>27.1</v>
      </c>
      <c r="J99" s="26" t="s">
        <v>345</v>
      </c>
    </row>
    <row r="100" spans="2:10" x14ac:dyDescent="0.25">
      <c r="B100" s="25" t="s">
        <v>233</v>
      </c>
      <c r="C100" s="28" t="s">
        <v>236</v>
      </c>
      <c r="D100" s="23"/>
      <c r="E100" s="23"/>
      <c r="F100" s="23"/>
      <c r="G100" s="23"/>
      <c r="H100" s="24"/>
      <c r="I100" s="25">
        <v>0</v>
      </c>
      <c r="J100" s="26" t="s">
        <v>345</v>
      </c>
    </row>
    <row r="101" spans="2:10" x14ac:dyDescent="0.25">
      <c r="B101" s="25" t="s">
        <v>234</v>
      </c>
      <c r="C101" s="28" t="s">
        <v>267</v>
      </c>
      <c r="D101" s="23"/>
      <c r="E101" s="23"/>
      <c r="F101" s="23"/>
      <c r="G101" s="23"/>
      <c r="H101" s="24"/>
      <c r="I101" s="25">
        <v>12.25</v>
      </c>
      <c r="J101" s="26" t="s">
        <v>345</v>
      </c>
    </row>
    <row r="102" spans="2:10" x14ac:dyDescent="0.25">
      <c r="B102" s="25" t="s">
        <v>268</v>
      </c>
      <c r="C102" s="28" t="s">
        <v>347</v>
      </c>
      <c r="D102" s="23"/>
      <c r="E102" s="23"/>
      <c r="F102" s="23"/>
      <c r="G102" s="23"/>
      <c r="H102" s="24"/>
      <c r="I102" s="25">
        <v>0</v>
      </c>
      <c r="J102" s="26" t="s">
        <v>345</v>
      </c>
    </row>
    <row r="103" spans="2:10" x14ac:dyDescent="0.25">
      <c r="B103" s="25" t="s">
        <v>270</v>
      </c>
      <c r="C103" s="28" t="s">
        <v>269</v>
      </c>
      <c r="D103" s="23"/>
      <c r="E103" s="23"/>
      <c r="F103" s="23"/>
      <c r="G103" s="23"/>
      <c r="H103" s="24"/>
      <c r="I103" s="25">
        <v>0</v>
      </c>
      <c r="J103" s="26" t="s">
        <v>345</v>
      </c>
    </row>
    <row r="104" spans="2:10" x14ac:dyDescent="0.25">
      <c r="B104" s="25" t="s">
        <v>342</v>
      </c>
      <c r="C104" s="28" t="s">
        <v>271</v>
      </c>
      <c r="D104" s="23"/>
      <c r="E104" s="23"/>
      <c r="F104" s="23"/>
      <c r="G104" s="23"/>
      <c r="H104" s="24"/>
      <c r="I104" s="25">
        <v>0</v>
      </c>
      <c r="J104" s="26" t="s">
        <v>345</v>
      </c>
    </row>
    <row r="105" spans="2:10" x14ac:dyDescent="0.25">
      <c r="B105" s="25" t="s">
        <v>346</v>
      </c>
      <c r="C105" s="28" t="s">
        <v>348</v>
      </c>
      <c r="D105" s="23"/>
      <c r="E105" s="23"/>
      <c r="F105" s="23"/>
      <c r="G105" s="23"/>
      <c r="H105" s="24"/>
      <c r="I105" s="25">
        <v>0</v>
      </c>
      <c r="J105" s="26" t="s">
        <v>345</v>
      </c>
    </row>
    <row r="106" spans="2:10" x14ac:dyDescent="0.25">
      <c r="B106" s="73" t="s">
        <v>16</v>
      </c>
      <c r="C106" s="74" t="s">
        <v>224</v>
      </c>
      <c r="D106" s="23"/>
      <c r="E106" s="23"/>
      <c r="F106" s="23"/>
      <c r="G106" s="23"/>
      <c r="H106" s="24"/>
      <c r="I106" s="25"/>
      <c r="J106" s="26"/>
    </row>
    <row r="107" spans="2:10" x14ac:dyDescent="0.25">
      <c r="B107" s="25" t="s">
        <v>17</v>
      </c>
      <c r="C107" s="28" t="s">
        <v>343</v>
      </c>
      <c r="D107" s="23"/>
      <c r="E107" s="23"/>
      <c r="F107" s="23"/>
      <c r="G107" s="23"/>
      <c r="H107" s="24"/>
      <c r="I107" s="25">
        <v>30</v>
      </c>
      <c r="J107" s="26" t="s">
        <v>345</v>
      </c>
    </row>
    <row r="108" spans="2:10" x14ac:dyDescent="0.25">
      <c r="B108" s="25" t="s">
        <v>240</v>
      </c>
      <c r="C108" s="28" t="s">
        <v>237</v>
      </c>
      <c r="D108" s="23"/>
      <c r="E108" s="23"/>
      <c r="F108" s="23"/>
      <c r="G108" s="23"/>
      <c r="H108" s="24"/>
      <c r="I108" s="25">
        <v>10</v>
      </c>
      <c r="J108" s="26" t="s">
        <v>345</v>
      </c>
    </row>
    <row r="109" spans="2:10" x14ac:dyDescent="0.25">
      <c r="B109" s="25" t="s">
        <v>241</v>
      </c>
      <c r="C109" s="28" t="s">
        <v>239</v>
      </c>
      <c r="D109" s="23"/>
      <c r="E109" s="23"/>
      <c r="F109" s="23"/>
      <c r="G109" s="23"/>
      <c r="H109" s="24"/>
      <c r="I109" s="25">
        <v>10</v>
      </c>
      <c r="J109" s="26" t="s">
        <v>345</v>
      </c>
    </row>
    <row r="110" spans="2:10" x14ac:dyDescent="0.25">
      <c r="B110" s="25" t="s">
        <v>243</v>
      </c>
      <c r="C110" s="28" t="s">
        <v>242</v>
      </c>
      <c r="D110" s="23"/>
      <c r="E110" s="23"/>
      <c r="F110" s="23"/>
      <c r="G110" s="23"/>
      <c r="H110" s="24"/>
      <c r="I110" s="25">
        <v>10</v>
      </c>
      <c r="J110" s="26" t="s">
        <v>345</v>
      </c>
    </row>
    <row r="111" spans="2:10" x14ac:dyDescent="0.25">
      <c r="B111" s="25" t="s">
        <v>244</v>
      </c>
      <c r="C111" s="28" t="s">
        <v>245</v>
      </c>
      <c r="D111" s="23"/>
      <c r="E111" s="23"/>
      <c r="F111" s="23"/>
      <c r="G111" s="23"/>
      <c r="H111" s="24"/>
      <c r="I111" s="25">
        <v>10</v>
      </c>
      <c r="J111" s="26" t="s">
        <v>345</v>
      </c>
    </row>
    <row r="112" spans="2:10" x14ac:dyDescent="0.25">
      <c r="B112" s="25" t="s">
        <v>248</v>
      </c>
      <c r="C112" s="28" t="s">
        <v>246</v>
      </c>
      <c r="D112" s="23"/>
      <c r="E112" s="23"/>
      <c r="F112" s="23"/>
      <c r="G112" s="23"/>
      <c r="H112" s="24"/>
      <c r="I112" s="25">
        <v>10</v>
      </c>
      <c r="J112" s="26" t="s">
        <v>345</v>
      </c>
    </row>
    <row r="113" spans="2:10" x14ac:dyDescent="0.25">
      <c r="B113" s="25" t="s">
        <v>249</v>
      </c>
      <c r="C113" s="28" t="s">
        <v>247</v>
      </c>
      <c r="D113" s="23"/>
      <c r="E113" s="23"/>
      <c r="F113" s="23"/>
      <c r="G113" s="23"/>
      <c r="H113" s="24"/>
      <c r="I113" s="25">
        <v>10</v>
      </c>
      <c r="J113" s="26" t="s">
        <v>345</v>
      </c>
    </row>
    <row r="114" spans="2:10" x14ac:dyDescent="0.25">
      <c r="B114" s="25" t="s">
        <v>256</v>
      </c>
      <c r="C114" s="28" t="s">
        <v>226</v>
      </c>
      <c r="D114" s="23"/>
      <c r="E114" s="23"/>
      <c r="F114" s="23"/>
      <c r="G114" s="23"/>
      <c r="H114" s="24"/>
      <c r="I114" s="25">
        <v>10</v>
      </c>
      <c r="J114" s="26" t="s">
        <v>345</v>
      </c>
    </row>
    <row r="115" spans="2:10" x14ac:dyDescent="0.25">
      <c r="B115" s="25" t="s">
        <v>257</v>
      </c>
      <c r="C115" s="28" t="s">
        <v>228</v>
      </c>
      <c r="D115" s="23"/>
      <c r="E115" s="23"/>
      <c r="F115" s="23"/>
      <c r="G115" s="23"/>
      <c r="H115" s="24"/>
      <c r="I115" s="25">
        <v>20</v>
      </c>
      <c r="J115" s="26" t="s">
        <v>345</v>
      </c>
    </row>
    <row r="116" spans="2:10" x14ac:dyDescent="0.25">
      <c r="B116" s="25" t="s">
        <v>258</v>
      </c>
      <c r="C116" s="28" t="s">
        <v>250</v>
      </c>
      <c r="D116" s="23"/>
      <c r="E116" s="23"/>
      <c r="F116" s="23"/>
      <c r="G116" s="23"/>
      <c r="H116" s="24"/>
      <c r="I116" s="25">
        <v>20</v>
      </c>
      <c r="J116" s="26" t="s">
        <v>345</v>
      </c>
    </row>
    <row r="117" spans="2:10" x14ac:dyDescent="0.25">
      <c r="B117" s="25" t="s">
        <v>259</v>
      </c>
      <c r="C117" s="28" t="s">
        <v>251</v>
      </c>
      <c r="D117" s="23"/>
      <c r="E117" s="23"/>
      <c r="F117" s="23"/>
      <c r="G117" s="23"/>
      <c r="H117" s="24"/>
      <c r="I117" s="25">
        <v>20</v>
      </c>
      <c r="J117" s="26" t="s">
        <v>345</v>
      </c>
    </row>
    <row r="118" spans="2:10" x14ac:dyDescent="0.25">
      <c r="B118" s="25" t="s">
        <v>260</v>
      </c>
      <c r="C118" s="28" t="s">
        <v>252</v>
      </c>
      <c r="D118" s="23"/>
      <c r="E118" s="23"/>
      <c r="F118" s="23"/>
      <c r="G118" s="23"/>
      <c r="H118" s="24"/>
      <c r="I118" s="25">
        <v>20</v>
      </c>
      <c r="J118" s="26" t="s">
        <v>345</v>
      </c>
    </row>
    <row r="119" spans="2:10" x14ac:dyDescent="0.25">
      <c r="B119" s="25" t="s">
        <v>261</v>
      </c>
      <c r="C119" s="28" t="s">
        <v>253</v>
      </c>
      <c r="D119" s="23"/>
      <c r="E119" s="23"/>
      <c r="F119" s="23"/>
      <c r="G119" s="23"/>
      <c r="H119" s="24"/>
      <c r="I119" s="25">
        <v>20</v>
      </c>
      <c r="J119" s="26" t="s">
        <v>345</v>
      </c>
    </row>
    <row r="120" spans="2:10" x14ac:dyDescent="0.25">
      <c r="B120" s="25" t="s">
        <v>262</v>
      </c>
      <c r="C120" s="28" t="s">
        <v>254</v>
      </c>
      <c r="D120" s="23"/>
      <c r="E120" s="23"/>
      <c r="F120" s="23"/>
      <c r="G120" s="23"/>
      <c r="H120" s="24"/>
      <c r="I120" s="25">
        <v>20</v>
      </c>
      <c r="J120" s="26" t="s">
        <v>345</v>
      </c>
    </row>
    <row r="121" spans="2:10" x14ac:dyDescent="0.25">
      <c r="B121" s="25" t="s">
        <v>350</v>
      </c>
      <c r="C121" s="28" t="s">
        <v>255</v>
      </c>
      <c r="D121" s="23"/>
      <c r="E121" s="23"/>
      <c r="F121" s="23"/>
      <c r="G121" s="23"/>
      <c r="H121" s="24"/>
      <c r="I121" s="25">
        <v>20</v>
      </c>
      <c r="J121" s="26" t="s">
        <v>345</v>
      </c>
    </row>
    <row r="122" spans="2:10" x14ac:dyDescent="0.25">
      <c r="B122" s="73" t="s">
        <v>18</v>
      </c>
      <c r="C122" s="74" t="s">
        <v>223</v>
      </c>
      <c r="D122" s="23"/>
      <c r="E122" s="23"/>
      <c r="F122" s="23"/>
      <c r="G122" s="23"/>
      <c r="H122" s="24"/>
      <c r="I122" s="25"/>
      <c r="J122" s="26"/>
    </row>
    <row r="123" spans="2:10" x14ac:dyDescent="0.25">
      <c r="B123" s="25" t="s">
        <v>19</v>
      </c>
      <c r="C123" s="28" t="s">
        <v>265</v>
      </c>
      <c r="D123" s="23"/>
      <c r="E123" s="23"/>
      <c r="F123" s="23"/>
      <c r="G123" s="23"/>
      <c r="H123" s="24"/>
      <c r="I123" s="25">
        <v>2</v>
      </c>
      <c r="J123" s="26" t="s">
        <v>13</v>
      </c>
    </row>
    <row r="124" spans="2:10" x14ac:dyDescent="0.25">
      <c r="B124" s="25" t="s">
        <v>20</v>
      </c>
      <c r="C124" s="28" t="s">
        <v>272</v>
      </c>
      <c r="D124" s="23"/>
      <c r="E124" s="23"/>
      <c r="F124" s="23"/>
      <c r="G124" s="23"/>
      <c r="H124" s="24"/>
      <c r="I124" s="25">
        <v>1</v>
      </c>
      <c r="J124" s="26" t="s">
        <v>13</v>
      </c>
    </row>
    <row r="125" spans="2:10" x14ac:dyDescent="0.25">
      <c r="B125" s="25" t="s">
        <v>21</v>
      </c>
      <c r="C125" s="28" t="s">
        <v>266</v>
      </c>
      <c r="D125" s="29"/>
      <c r="E125" s="29"/>
      <c r="F125" s="29"/>
      <c r="G125" s="29"/>
      <c r="H125" s="30"/>
      <c r="I125" s="25">
        <v>1</v>
      </c>
      <c r="J125" s="26" t="s">
        <v>13</v>
      </c>
    </row>
    <row r="126" spans="2:10" x14ac:dyDescent="0.25">
      <c r="B126" s="25" t="s">
        <v>273</v>
      </c>
      <c r="C126" s="28" t="s">
        <v>263</v>
      </c>
      <c r="D126" s="23"/>
      <c r="E126" s="23"/>
      <c r="F126" s="23"/>
      <c r="G126" s="23"/>
      <c r="H126" s="24"/>
      <c r="I126" s="25">
        <v>1</v>
      </c>
      <c r="J126" s="26" t="s">
        <v>13</v>
      </c>
    </row>
    <row r="127" spans="2:10" x14ac:dyDescent="0.25">
      <c r="B127" s="32" t="s">
        <v>274</v>
      </c>
      <c r="C127" s="33" t="s">
        <v>264</v>
      </c>
      <c r="D127" s="34"/>
      <c r="E127" s="34"/>
      <c r="F127" s="34"/>
      <c r="G127" s="34"/>
      <c r="H127" s="35"/>
      <c r="I127" s="32">
        <v>1</v>
      </c>
      <c r="J127" s="36" t="s">
        <v>13</v>
      </c>
    </row>
    <row r="128" spans="2:10" x14ac:dyDescent="0.25">
      <c r="B128" s="69">
        <v>4.04</v>
      </c>
      <c r="C128" s="62" t="s">
        <v>276</v>
      </c>
      <c r="D128" s="23"/>
      <c r="E128" s="23"/>
      <c r="F128" s="23"/>
      <c r="G128" s="23"/>
      <c r="H128" s="24"/>
      <c r="I128" s="25"/>
      <c r="J128" s="26"/>
    </row>
    <row r="129" spans="2:10" x14ac:dyDescent="0.25">
      <c r="B129" s="70" t="s">
        <v>46</v>
      </c>
      <c r="C129" s="63" t="s">
        <v>278</v>
      </c>
      <c r="D129" s="23"/>
      <c r="E129" s="23"/>
      <c r="F129" s="23"/>
      <c r="G129" s="23"/>
      <c r="H129" s="24"/>
      <c r="I129" s="25"/>
      <c r="J129" s="26"/>
    </row>
    <row r="130" spans="2:10" x14ac:dyDescent="0.25">
      <c r="B130" s="28" t="s">
        <v>47</v>
      </c>
      <c r="C130" s="66" t="s">
        <v>277</v>
      </c>
      <c r="D130" s="23"/>
      <c r="E130" s="23"/>
      <c r="F130" s="23"/>
      <c r="G130" s="23"/>
      <c r="H130" s="24"/>
      <c r="I130" s="24">
        <v>4</v>
      </c>
      <c r="J130" s="26" t="s">
        <v>13</v>
      </c>
    </row>
    <row r="131" spans="2:10" x14ac:dyDescent="0.25">
      <c r="B131" s="28" t="s">
        <v>279</v>
      </c>
      <c r="C131" s="66" t="s">
        <v>280</v>
      </c>
      <c r="D131" s="23"/>
      <c r="E131" s="23"/>
      <c r="F131" s="23"/>
      <c r="G131" s="23"/>
      <c r="H131" s="24"/>
      <c r="I131" s="24">
        <v>4</v>
      </c>
      <c r="J131" s="26" t="s">
        <v>13</v>
      </c>
    </row>
    <row r="132" spans="2:10" x14ac:dyDescent="0.25">
      <c r="B132" s="28" t="s">
        <v>283</v>
      </c>
      <c r="C132" s="66" t="s">
        <v>281</v>
      </c>
      <c r="D132" s="23"/>
      <c r="E132" s="23"/>
      <c r="F132" s="23"/>
      <c r="G132" s="23"/>
      <c r="H132" s="24"/>
      <c r="I132" s="24">
        <v>2</v>
      </c>
      <c r="J132" s="26" t="s">
        <v>13</v>
      </c>
    </row>
    <row r="133" spans="2:10" x14ac:dyDescent="0.25">
      <c r="B133" s="28" t="s">
        <v>284</v>
      </c>
      <c r="C133" s="66" t="s">
        <v>282</v>
      </c>
      <c r="D133" s="23"/>
      <c r="E133" s="23"/>
      <c r="F133" s="23"/>
      <c r="G133" s="23"/>
      <c r="H133" s="24"/>
      <c r="I133" s="24">
        <v>1</v>
      </c>
      <c r="J133" s="26" t="s">
        <v>13</v>
      </c>
    </row>
    <row r="134" spans="2:10" x14ac:dyDescent="0.25">
      <c r="B134" s="70" t="s">
        <v>48</v>
      </c>
      <c r="C134" s="63" t="s">
        <v>285</v>
      </c>
      <c r="D134" s="23"/>
      <c r="E134" s="23"/>
      <c r="F134" s="23"/>
      <c r="G134" s="23"/>
      <c r="H134" s="24"/>
      <c r="I134" s="24"/>
      <c r="J134" s="26"/>
    </row>
    <row r="135" spans="2:10" x14ac:dyDescent="0.25">
      <c r="B135" s="28" t="s">
        <v>49</v>
      </c>
      <c r="C135" s="66" t="s">
        <v>286</v>
      </c>
      <c r="D135" s="23"/>
      <c r="E135" s="23"/>
      <c r="F135" s="23"/>
      <c r="G135" s="23"/>
      <c r="H135" s="24"/>
      <c r="I135" s="24">
        <v>11</v>
      </c>
      <c r="J135" s="26" t="s">
        <v>13</v>
      </c>
    </row>
    <row r="136" spans="2:10" x14ac:dyDescent="0.25">
      <c r="B136" s="28" t="s">
        <v>63</v>
      </c>
      <c r="C136" s="66" t="s">
        <v>287</v>
      </c>
      <c r="D136" s="23"/>
      <c r="E136" s="23"/>
      <c r="F136" s="23"/>
      <c r="G136" s="23"/>
      <c r="H136" s="24"/>
      <c r="I136" s="24">
        <v>3</v>
      </c>
      <c r="J136" s="26" t="s">
        <v>13</v>
      </c>
    </row>
    <row r="137" spans="2:10" x14ac:dyDescent="0.25">
      <c r="B137" s="28" t="s">
        <v>64</v>
      </c>
      <c r="C137" s="66" t="s">
        <v>289</v>
      </c>
      <c r="D137" s="23"/>
      <c r="E137" s="23"/>
      <c r="F137" s="23"/>
      <c r="G137" s="23"/>
      <c r="H137" s="24"/>
      <c r="I137" s="24">
        <v>1</v>
      </c>
      <c r="J137" s="26" t="s">
        <v>13</v>
      </c>
    </row>
    <row r="138" spans="2:10" x14ac:dyDescent="0.25">
      <c r="B138" s="28" t="s">
        <v>318</v>
      </c>
      <c r="C138" s="66" t="s">
        <v>288</v>
      </c>
      <c r="D138" s="23"/>
      <c r="E138" s="23"/>
      <c r="F138" s="23"/>
      <c r="G138" s="23"/>
      <c r="H138" s="24"/>
      <c r="I138" s="24">
        <v>2</v>
      </c>
      <c r="J138" s="26" t="s">
        <v>13</v>
      </c>
    </row>
    <row r="139" spans="2:10" x14ac:dyDescent="0.25">
      <c r="B139" s="28" t="s">
        <v>319</v>
      </c>
      <c r="C139" s="66" t="s">
        <v>290</v>
      </c>
      <c r="D139" s="23"/>
      <c r="E139" s="23"/>
      <c r="F139" s="23"/>
      <c r="G139" s="23"/>
      <c r="H139" s="24"/>
      <c r="I139" s="24">
        <v>3</v>
      </c>
      <c r="J139" s="26" t="s">
        <v>13</v>
      </c>
    </row>
    <row r="140" spans="2:10" x14ac:dyDescent="0.25">
      <c r="B140" s="70" t="s">
        <v>50</v>
      </c>
      <c r="C140" s="63" t="s">
        <v>291</v>
      </c>
      <c r="D140" s="23"/>
      <c r="E140" s="23"/>
      <c r="F140" s="23"/>
      <c r="G140" s="23"/>
      <c r="H140" s="24"/>
      <c r="I140" s="24"/>
      <c r="J140" s="26"/>
    </row>
    <row r="141" spans="2:10" x14ac:dyDescent="0.25">
      <c r="B141" s="25" t="s">
        <v>51</v>
      </c>
      <c r="C141" s="28" t="s">
        <v>289</v>
      </c>
      <c r="D141" s="23"/>
      <c r="E141" s="23"/>
      <c r="F141" s="23"/>
      <c r="G141" s="23"/>
      <c r="H141" s="24"/>
      <c r="I141" s="25">
        <v>2</v>
      </c>
      <c r="J141" s="26" t="s">
        <v>13</v>
      </c>
    </row>
    <row r="142" spans="2:10" x14ac:dyDescent="0.25">
      <c r="B142" s="25" t="s">
        <v>320</v>
      </c>
      <c r="C142" s="28" t="s">
        <v>292</v>
      </c>
      <c r="D142" s="23"/>
      <c r="E142" s="23"/>
      <c r="F142" s="23"/>
      <c r="G142" s="23"/>
      <c r="H142" s="24"/>
      <c r="I142" s="25">
        <v>2</v>
      </c>
      <c r="J142" s="26" t="s">
        <v>13</v>
      </c>
    </row>
    <row r="143" spans="2:10" x14ac:dyDescent="0.25">
      <c r="B143" s="70" t="s">
        <v>52</v>
      </c>
      <c r="C143" s="63" t="s">
        <v>293</v>
      </c>
      <c r="D143" s="23"/>
      <c r="E143" s="23"/>
      <c r="F143" s="23"/>
      <c r="G143" s="23"/>
      <c r="H143" s="24"/>
      <c r="I143" s="25"/>
      <c r="J143" s="26"/>
    </row>
    <row r="144" spans="2:10" x14ac:dyDescent="0.25">
      <c r="B144" s="25" t="s">
        <v>53</v>
      </c>
      <c r="C144" s="28" t="s">
        <v>295</v>
      </c>
      <c r="D144" s="23"/>
      <c r="E144" s="23"/>
      <c r="F144" s="23"/>
      <c r="G144" s="23"/>
      <c r="H144" s="24"/>
      <c r="I144" s="25">
        <v>8</v>
      </c>
      <c r="J144" s="26" t="s">
        <v>13</v>
      </c>
    </row>
    <row r="145" spans="2:10" x14ac:dyDescent="0.25">
      <c r="B145" s="25" t="s">
        <v>54</v>
      </c>
      <c r="C145" s="28" t="s">
        <v>296</v>
      </c>
      <c r="D145" s="23"/>
      <c r="E145" s="23"/>
      <c r="F145" s="23"/>
      <c r="G145" s="23"/>
      <c r="H145" s="24"/>
      <c r="I145" s="25">
        <v>0</v>
      </c>
      <c r="J145" s="26" t="s">
        <v>13</v>
      </c>
    </row>
    <row r="146" spans="2:10" x14ac:dyDescent="0.25">
      <c r="B146" s="25" t="s">
        <v>55</v>
      </c>
      <c r="C146" s="28" t="s">
        <v>297</v>
      </c>
      <c r="D146" s="23"/>
      <c r="E146" s="23"/>
      <c r="F146" s="23"/>
      <c r="G146" s="23"/>
      <c r="H146" s="24"/>
      <c r="I146" s="25">
        <v>2</v>
      </c>
      <c r="J146" s="26" t="s">
        <v>13</v>
      </c>
    </row>
    <row r="147" spans="2:10" x14ac:dyDescent="0.25">
      <c r="B147" s="25" t="s">
        <v>300</v>
      </c>
      <c r="C147" s="28" t="s">
        <v>298</v>
      </c>
      <c r="D147" s="23"/>
      <c r="E147" s="23"/>
      <c r="F147" s="23"/>
      <c r="G147" s="23"/>
      <c r="H147" s="24"/>
      <c r="I147" s="25">
        <v>3</v>
      </c>
      <c r="J147" s="26" t="s">
        <v>13</v>
      </c>
    </row>
    <row r="148" spans="2:10" x14ac:dyDescent="0.25">
      <c r="B148" s="25" t="s">
        <v>301</v>
      </c>
      <c r="C148" s="28" t="s">
        <v>299</v>
      </c>
      <c r="D148" s="23"/>
      <c r="E148" s="23"/>
      <c r="F148" s="23"/>
      <c r="G148" s="23"/>
      <c r="H148" s="24"/>
      <c r="I148" s="25">
        <v>2</v>
      </c>
      <c r="J148" s="26" t="s">
        <v>13</v>
      </c>
    </row>
    <row r="149" spans="2:10" x14ac:dyDescent="0.25">
      <c r="B149" s="25" t="s">
        <v>302</v>
      </c>
      <c r="C149" s="28" t="s">
        <v>303</v>
      </c>
      <c r="D149" s="23"/>
      <c r="E149" s="23"/>
      <c r="F149" s="23"/>
      <c r="G149" s="23"/>
      <c r="H149" s="24"/>
      <c r="I149" s="25">
        <v>1</v>
      </c>
      <c r="J149" s="26" t="s">
        <v>13</v>
      </c>
    </row>
    <row r="150" spans="2:10" x14ac:dyDescent="0.25">
      <c r="B150" s="25" t="s">
        <v>321</v>
      </c>
      <c r="C150" s="28" t="s">
        <v>304</v>
      </c>
      <c r="D150" s="23"/>
      <c r="E150" s="23"/>
      <c r="F150" s="23"/>
      <c r="G150" s="23"/>
      <c r="H150" s="24"/>
      <c r="I150" s="25">
        <v>0</v>
      </c>
      <c r="J150" s="26" t="s">
        <v>13</v>
      </c>
    </row>
    <row r="151" spans="2:10" x14ac:dyDescent="0.25">
      <c r="B151" s="25" t="s">
        <v>322</v>
      </c>
      <c r="C151" s="28" t="s">
        <v>305</v>
      </c>
      <c r="D151" s="23"/>
      <c r="E151" s="23"/>
      <c r="F151" s="23"/>
      <c r="G151" s="23"/>
      <c r="H151" s="24"/>
      <c r="I151" s="25">
        <v>8</v>
      </c>
      <c r="J151" s="26" t="s">
        <v>13</v>
      </c>
    </row>
    <row r="152" spans="2:10" x14ac:dyDescent="0.25">
      <c r="B152" s="25" t="s">
        <v>323</v>
      </c>
      <c r="C152" s="28" t="s">
        <v>306</v>
      </c>
      <c r="D152" s="23"/>
      <c r="E152" s="23"/>
      <c r="F152" s="23"/>
      <c r="G152" s="23"/>
      <c r="H152" s="24"/>
      <c r="I152" s="25">
        <v>4</v>
      </c>
      <c r="J152" s="26" t="s">
        <v>13</v>
      </c>
    </row>
    <row r="153" spans="2:10" x14ac:dyDescent="0.25">
      <c r="B153" s="25" t="s">
        <v>324</v>
      </c>
      <c r="C153" s="28" t="s">
        <v>307</v>
      </c>
      <c r="D153" s="23"/>
      <c r="E153" s="23"/>
      <c r="F153" s="23"/>
      <c r="G153" s="23"/>
      <c r="H153" s="24"/>
      <c r="I153" s="25">
        <v>0</v>
      </c>
      <c r="J153" s="26" t="s">
        <v>13</v>
      </c>
    </row>
    <row r="154" spans="2:10" x14ac:dyDescent="0.25">
      <c r="B154" s="25" t="s">
        <v>325</v>
      </c>
      <c r="C154" s="28" t="s">
        <v>308</v>
      </c>
      <c r="D154" s="23"/>
      <c r="E154" s="23"/>
      <c r="F154" s="23"/>
      <c r="G154" s="23"/>
      <c r="H154" s="24"/>
      <c r="I154" s="25">
        <v>0</v>
      </c>
      <c r="J154" s="26" t="s">
        <v>13</v>
      </c>
    </row>
    <row r="155" spans="2:10" x14ac:dyDescent="0.25">
      <c r="B155" s="25" t="s">
        <v>326</v>
      </c>
      <c r="C155" s="28" t="s">
        <v>309</v>
      </c>
      <c r="D155" s="23"/>
      <c r="E155" s="23"/>
      <c r="F155" s="23"/>
      <c r="G155" s="23"/>
      <c r="H155" s="24"/>
      <c r="I155" s="25">
        <v>4</v>
      </c>
      <c r="J155" s="26" t="s">
        <v>13</v>
      </c>
    </row>
    <row r="156" spans="2:10" x14ac:dyDescent="0.25">
      <c r="B156" s="25" t="s">
        <v>327</v>
      </c>
      <c r="C156" s="28" t="s">
        <v>310</v>
      </c>
      <c r="D156" s="23"/>
      <c r="E156" s="23"/>
      <c r="F156" s="23"/>
      <c r="G156" s="23"/>
      <c r="H156" s="24"/>
      <c r="I156" s="25">
        <v>4</v>
      </c>
      <c r="J156" s="26" t="s">
        <v>13</v>
      </c>
    </row>
    <row r="157" spans="2:10" x14ac:dyDescent="0.25">
      <c r="B157" s="25" t="s">
        <v>328</v>
      </c>
      <c r="C157" s="28" t="s">
        <v>311</v>
      </c>
      <c r="D157" s="23"/>
      <c r="E157" s="23"/>
      <c r="F157" s="23"/>
      <c r="G157" s="23"/>
      <c r="H157" s="24"/>
      <c r="I157" s="25">
        <v>1</v>
      </c>
      <c r="J157" s="26" t="s">
        <v>13</v>
      </c>
    </row>
    <row r="158" spans="2:10" x14ac:dyDescent="0.25">
      <c r="B158" s="25" t="s">
        <v>329</v>
      </c>
      <c r="C158" s="28" t="s">
        <v>312</v>
      </c>
      <c r="D158" s="23"/>
      <c r="E158" s="23"/>
      <c r="F158" s="23"/>
      <c r="G158" s="23"/>
      <c r="H158" s="24"/>
      <c r="I158" s="25">
        <v>2</v>
      </c>
      <c r="J158" s="26" t="s">
        <v>13</v>
      </c>
    </row>
    <row r="159" spans="2:10" x14ac:dyDescent="0.25">
      <c r="B159" s="25" t="s">
        <v>351</v>
      </c>
      <c r="C159" s="28" t="s">
        <v>353</v>
      </c>
      <c r="D159" s="23"/>
      <c r="E159" s="23"/>
      <c r="F159" s="23"/>
      <c r="G159" s="23"/>
      <c r="H159" s="24"/>
      <c r="I159" s="25">
        <v>2</v>
      </c>
      <c r="J159" s="26" t="s">
        <v>13</v>
      </c>
    </row>
    <row r="160" spans="2:10" x14ac:dyDescent="0.25">
      <c r="B160" s="25" t="s">
        <v>352</v>
      </c>
      <c r="C160" s="28" t="s">
        <v>340</v>
      </c>
      <c r="D160" s="23"/>
      <c r="E160" s="23"/>
      <c r="F160" s="23"/>
      <c r="G160" s="23"/>
      <c r="H160" s="24"/>
      <c r="I160" s="25">
        <v>2</v>
      </c>
      <c r="J160" s="26" t="s">
        <v>13</v>
      </c>
    </row>
    <row r="161" spans="2:10" x14ac:dyDescent="0.25">
      <c r="B161" s="70" t="s">
        <v>56</v>
      </c>
      <c r="C161" s="63" t="s">
        <v>313</v>
      </c>
      <c r="D161" s="23"/>
      <c r="E161" s="23"/>
      <c r="F161" s="23"/>
      <c r="G161" s="23"/>
      <c r="H161" s="24"/>
      <c r="I161" s="25"/>
      <c r="J161" s="26"/>
    </row>
    <row r="162" spans="2:10" x14ac:dyDescent="0.25">
      <c r="B162" s="25" t="s">
        <v>57</v>
      </c>
      <c r="C162" s="28" t="s">
        <v>314</v>
      </c>
      <c r="D162" s="23"/>
      <c r="E162" s="23"/>
      <c r="F162" s="23"/>
      <c r="G162" s="23"/>
      <c r="H162" s="24"/>
      <c r="I162" s="25">
        <v>2</v>
      </c>
      <c r="J162" s="26" t="s">
        <v>13</v>
      </c>
    </row>
    <row r="163" spans="2:10" x14ac:dyDescent="0.25">
      <c r="B163" s="25" t="s">
        <v>58</v>
      </c>
      <c r="C163" s="28" t="s">
        <v>315</v>
      </c>
      <c r="D163" s="23"/>
      <c r="E163" s="23"/>
      <c r="F163" s="23"/>
      <c r="G163" s="23"/>
      <c r="H163" s="24"/>
      <c r="I163" s="25">
        <v>4</v>
      </c>
      <c r="J163" s="26" t="s">
        <v>13</v>
      </c>
    </row>
    <row r="164" spans="2:10" x14ac:dyDescent="0.25">
      <c r="B164" s="25" t="s">
        <v>330</v>
      </c>
      <c r="C164" s="28" t="s">
        <v>316</v>
      </c>
      <c r="D164" s="23"/>
      <c r="E164" s="23"/>
      <c r="F164" s="23"/>
      <c r="G164" s="23"/>
      <c r="H164" s="24"/>
      <c r="I164" s="25">
        <v>2</v>
      </c>
      <c r="J164" s="26" t="s">
        <v>13</v>
      </c>
    </row>
    <row r="165" spans="2:10" x14ac:dyDescent="0.25">
      <c r="B165" s="25" t="s">
        <v>331</v>
      </c>
      <c r="C165" s="28" t="s">
        <v>317</v>
      </c>
      <c r="D165" s="23"/>
      <c r="E165" s="23"/>
      <c r="F165" s="23"/>
      <c r="G165" s="23"/>
      <c r="H165" s="24"/>
      <c r="I165" s="25">
        <v>2</v>
      </c>
      <c r="J165" s="26" t="s">
        <v>13</v>
      </c>
    </row>
    <row r="166" spans="2:10" x14ac:dyDescent="0.25">
      <c r="B166" s="70" t="s">
        <v>60</v>
      </c>
      <c r="C166" s="63" t="s">
        <v>332</v>
      </c>
      <c r="D166" s="23"/>
      <c r="E166" s="23"/>
      <c r="F166" s="23"/>
      <c r="G166" s="23"/>
      <c r="H166" s="24"/>
      <c r="I166" s="25"/>
      <c r="J166" s="26"/>
    </row>
    <row r="167" spans="2:10" x14ac:dyDescent="0.25">
      <c r="B167" s="25" t="s">
        <v>59</v>
      </c>
      <c r="C167" s="28" t="s">
        <v>341</v>
      </c>
      <c r="D167" s="23"/>
      <c r="E167" s="23"/>
      <c r="F167" s="23"/>
      <c r="G167" s="23"/>
      <c r="H167" s="24"/>
      <c r="I167" s="25">
        <v>2</v>
      </c>
      <c r="J167" s="26" t="s">
        <v>13</v>
      </c>
    </row>
    <row r="168" spans="2:10" x14ac:dyDescent="0.25">
      <c r="B168" s="70" t="s">
        <v>62</v>
      </c>
      <c r="C168" s="63" t="s">
        <v>333</v>
      </c>
      <c r="D168" s="23"/>
      <c r="E168" s="23"/>
      <c r="F168" s="23"/>
      <c r="G168" s="23"/>
      <c r="H168" s="24"/>
      <c r="I168" s="25"/>
      <c r="J168" s="26"/>
    </row>
    <row r="169" spans="2:10" x14ac:dyDescent="0.25">
      <c r="B169" s="25" t="s">
        <v>61</v>
      </c>
      <c r="C169" s="28" t="s">
        <v>334</v>
      </c>
      <c r="D169" s="23"/>
      <c r="E169" s="23"/>
      <c r="F169" s="23"/>
      <c r="G169" s="23"/>
      <c r="H169" s="24"/>
      <c r="I169" s="25">
        <v>1</v>
      </c>
      <c r="J169" s="26" t="s">
        <v>3</v>
      </c>
    </row>
    <row r="170" spans="2:10" x14ac:dyDescent="0.25">
      <c r="B170" s="32" t="s">
        <v>335</v>
      </c>
      <c r="C170" s="33" t="s">
        <v>336</v>
      </c>
      <c r="D170" s="34"/>
      <c r="E170" s="34"/>
      <c r="F170" s="34"/>
      <c r="G170" s="34"/>
      <c r="H170" s="35"/>
      <c r="I170" s="32">
        <v>1</v>
      </c>
      <c r="J170" s="36" t="s">
        <v>3</v>
      </c>
    </row>
  </sheetData>
  <mergeCells count="8">
    <mergeCell ref="B10:J10"/>
    <mergeCell ref="H11:I11"/>
    <mergeCell ref="B8:J8"/>
    <mergeCell ref="C1:H1"/>
    <mergeCell ref="C2:H2"/>
    <mergeCell ref="C3:H3"/>
    <mergeCell ref="C4:H4"/>
    <mergeCell ref="B6:J6"/>
  </mergeCells>
  <pageMargins left="0.70866141732283472" right="0.70866141732283472" top="0.74803149606299213" bottom="0.74803149606299213" header="0.31496062992125984" footer="0.31496062992125984"/>
  <pageSetup paperSize="9" scale="6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 tint="0.39997558519241921"/>
    <pageSetUpPr fitToPage="1"/>
  </sheetPr>
  <dimension ref="A1:AG132"/>
  <sheetViews>
    <sheetView view="pageBreakPreview" topLeftCell="A73" zoomScale="60" zoomScaleNormal="100" workbookViewId="0">
      <selection activeCell="A96" sqref="A96:XFD96"/>
    </sheetView>
    <sheetView workbookViewId="1"/>
  </sheetViews>
  <sheetFormatPr baseColWidth="10" defaultRowHeight="15" x14ac:dyDescent="0.25"/>
  <cols>
    <col min="1" max="1" width="13.42578125" customWidth="1"/>
    <col min="2" max="2" width="75.7109375" bestFit="1" customWidth="1"/>
    <col min="3" max="3" width="9.7109375" customWidth="1"/>
    <col min="4" max="4" width="13.85546875" hidden="1" customWidth="1"/>
    <col min="5" max="5" width="16.140625" hidden="1" customWidth="1"/>
    <col min="6" max="6" width="14" hidden="1" customWidth="1"/>
    <col min="7" max="7" width="11.5703125" hidden="1" customWidth="1"/>
    <col min="8" max="8" width="20.28515625" hidden="1" customWidth="1"/>
    <col min="9" max="9" width="16.85546875" hidden="1" customWidth="1"/>
    <col min="10" max="10" width="9.7109375" hidden="1" customWidth="1"/>
    <col min="11" max="11" width="20.140625" hidden="1" customWidth="1"/>
    <col min="12" max="12" width="8.42578125" hidden="1" customWidth="1"/>
    <col min="13" max="13" width="12.140625" hidden="1" customWidth="1"/>
    <col min="14" max="14" width="21.140625" style="52" hidden="1" customWidth="1"/>
    <col min="15" max="15" width="7.7109375" bestFit="1" customWidth="1"/>
    <col min="16" max="16" width="19.85546875" style="116" bestFit="1" customWidth="1"/>
    <col min="17" max="17" width="14.7109375" style="116" hidden="1" customWidth="1"/>
    <col min="18" max="18" width="16.42578125" hidden="1" customWidth="1"/>
    <col min="19" max="19" width="7" hidden="1" customWidth="1"/>
    <col min="20" max="20" width="7.85546875" hidden="1" customWidth="1"/>
    <col min="21" max="21" width="10.85546875" style="52" hidden="1" customWidth="1"/>
    <col min="22" max="22" width="12" style="117" hidden="1" customWidth="1"/>
    <col min="23" max="23" width="14.42578125" style="117" hidden="1" customWidth="1"/>
    <col min="24" max="24" width="13.140625" hidden="1" customWidth="1"/>
    <col min="25" max="25" width="12.28515625" style="116" hidden="1" customWidth="1"/>
    <col min="26" max="26" width="14.85546875" style="117" hidden="1" customWidth="1"/>
    <col min="27" max="27" width="13.85546875" hidden="1" customWidth="1"/>
    <col min="28" max="28" width="17.28515625" style="118" hidden="1" customWidth="1"/>
    <col min="29" max="29" width="14.42578125" hidden="1" customWidth="1"/>
    <col min="30" max="30" width="12.5703125" hidden="1" customWidth="1"/>
    <col min="31" max="31" width="16.5703125" hidden="1" customWidth="1"/>
    <col min="32" max="32" width="11.42578125" hidden="1" customWidth="1"/>
    <col min="33" max="33" width="0" hidden="1" customWidth="1"/>
  </cols>
  <sheetData>
    <row r="1" spans="1:31" ht="5.25" customHeight="1" x14ac:dyDescent="0.25"/>
    <row r="2" spans="1:31" ht="5.25" customHeight="1" x14ac:dyDescent="0.8">
      <c r="A2" s="119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20"/>
      <c r="Q2" s="120"/>
      <c r="R2" s="119"/>
      <c r="S2" s="119"/>
      <c r="T2" s="119"/>
      <c r="U2" s="119"/>
      <c r="V2" s="121"/>
      <c r="W2" s="121"/>
      <c r="X2" s="119"/>
      <c r="Y2" s="120"/>
      <c r="Z2" s="121"/>
      <c r="AA2" s="119"/>
    </row>
    <row r="3" spans="1:31" ht="22.5" thickBot="1" x14ac:dyDescent="0.4">
      <c r="A3" s="511" t="s">
        <v>612</v>
      </c>
      <c r="B3" s="511"/>
      <c r="C3" s="511"/>
      <c r="D3" s="511"/>
      <c r="E3" s="511"/>
      <c r="F3" s="511"/>
      <c r="G3" s="511"/>
      <c r="H3" s="511"/>
      <c r="I3" s="511"/>
      <c r="J3" s="511"/>
      <c r="K3" s="511"/>
      <c r="L3" s="511"/>
      <c r="M3" s="511"/>
      <c r="N3" s="511"/>
      <c r="O3" s="511"/>
      <c r="P3" s="511"/>
      <c r="Q3" s="434"/>
      <c r="R3" s="434"/>
      <c r="S3" s="434"/>
      <c r="T3" s="434"/>
      <c r="U3" s="434"/>
      <c r="V3" s="434"/>
      <c r="W3" s="434"/>
      <c r="X3" s="434"/>
      <c r="Y3" s="434"/>
      <c r="Z3" s="434"/>
      <c r="AA3" s="434"/>
    </row>
    <row r="4" spans="1:31" ht="48.6" customHeight="1" thickTop="1" x14ac:dyDescent="0.25">
      <c r="A4" s="514" t="s">
        <v>567</v>
      </c>
      <c r="B4" s="517" t="s">
        <v>0</v>
      </c>
      <c r="C4" s="520" t="s">
        <v>13</v>
      </c>
      <c r="D4" s="523" t="s">
        <v>568</v>
      </c>
      <c r="E4" s="524"/>
      <c r="F4" s="508" t="s">
        <v>613</v>
      </c>
      <c r="G4" s="509"/>
      <c r="H4" s="510"/>
      <c r="I4" s="508" t="s">
        <v>898</v>
      </c>
      <c r="J4" s="509"/>
      <c r="K4" s="509"/>
      <c r="L4" s="509"/>
      <c r="M4" s="509"/>
      <c r="N4" s="509"/>
      <c r="O4" s="509"/>
      <c r="P4" s="510"/>
      <c r="Q4" s="508" t="s">
        <v>569</v>
      </c>
      <c r="R4" s="510"/>
      <c r="S4" s="508" t="s">
        <v>570</v>
      </c>
      <c r="T4" s="509"/>
      <c r="U4" s="509"/>
      <c r="V4" s="509"/>
      <c r="W4" s="509"/>
      <c r="X4" s="509"/>
      <c r="Y4" s="510"/>
      <c r="Z4" s="508" t="s">
        <v>569</v>
      </c>
      <c r="AA4" s="527"/>
    </row>
    <row r="5" spans="1:31" ht="17.25" customHeight="1" x14ac:dyDescent="0.3">
      <c r="A5" s="515"/>
      <c r="B5" s="518"/>
      <c r="C5" s="521"/>
      <c r="D5" s="528" t="s">
        <v>571</v>
      </c>
      <c r="E5" s="530" t="s">
        <v>572</v>
      </c>
      <c r="F5" s="528" t="s">
        <v>571</v>
      </c>
      <c r="G5" s="506" t="s">
        <v>580</v>
      </c>
      <c r="H5" s="506" t="s">
        <v>572</v>
      </c>
      <c r="I5" s="506" t="s">
        <v>923</v>
      </c>
      <c r="J5" s="512" t="s">
        <v>573</v>
      </c>
      <c r="K5" s="513"/>
      <c r="L5" s="504" t="s">
        <v>574</v>
      </c>
      <c r="M5" s="504"/>
      <c r="N5" s="505"/>
      <c r="O5" s="525" t="s">
        <v>575</v>
      </c>
      <c r="P5" s="526"/>
      <c r="Q5" s="530" t="s">
        <v>576</v>
      </c>
      <c r="R5" s="536" t="s">
        <v>577</v>
      </c>
      <c r="S5" s="504" t="s">
        <v>574</v>
      </c>
      <c r="T5" s="504"/>
      <c r="U5" s="505"/>
      <c r="V5" s="525" t="s">
        <v>573</v>
      </c>
      <c r="W5" s="526"/>
      <c r="X5" s="525" t="s">
        <v>575</v>
      </c>
      <c r="Y5" s="526"/>
      <c r="Z5" s="532" t="s">
        <v>576</v>
      </c>
      <c r="AA5" s="534" t="s">
        <v>577</v>
      </c>
      <c r="AC5" s="122"/>
    </row>
    <row r="6" spans="1:31" ht="58.5" customHeight="1" thickBot="1" x14ac:dyDescent="0.3">
      <c r="A6" s="516"/>
      <c r="B6" s="519"/>
      <c r="C6" s="522"/>
      <c r="D6" s="529"/>
      <c r="E6" s="531"/>
      <c r="F6" s="529"/>
      <c r="G6" s="507"/>
      <c r="H6" s="507"/>
      <c r="I6" s="507"/>
      <c r="J6" s="409" t="s">
        <v>578</v>
      </c>
      <c r="K6" s="411" t="s">
        <v>579</v>
      </c>
      <c r="L6" s="123" t="s">
        <v>578</v>
      </c>
      <c r="M6" s="409" t="s">
        <v>580</v>
      </c>
      <c r="N6" s="411" t="s">
        <v>579</v>
      </c>
      <c r="O6" s="409" t="s">
        <v>578</v>
      </c>
      <c r="P6" s="410" t="s">
        <v>579</v>
      </c>
      <c r="Q6" s="531"/>
      <c r="R6" s="537"/>
      <c r="S6" s="123" t="s">
        <v>578</v>
      </c>
      <c r="T6" s="124" t="s">
        <v>580</v>
      </c>
      <c r="U6" s="125" t="s">
        <v>579</v>
      </c>
      <c r="V6" s="126" t="s">
        <v>578</v>
      </c>
      <c r="W6" s="127" t="s">
        <v>579</v>
      </c>
      <c r="X6" s="124" t="s">
        <v>578</v>
      </c>
      <c r="Y6" s="128" t="s">
        <v>579</v>
      </c>
      <c r="Z6" s="533"/>
      <c r="AA6" s="535"/>
      <c r="AD6" s="129" t="e">
        <f>+G6-M6</f>
        <v>#VALUE!</v>
      </c>
    </row>
    <row r="7" spans="1:31" s="153" customFormat="1" ht="3.6" customHeight="1" thickTop="1" thickBot="1" x14ac:dyDescent="0.3">
      <c r="A7" s="130"/>
      <c r="B7" s="131"/>
      <c r="C7" s="132"/>
      <c r="D7" s="133"/>
      <c r="E7" s="134"/>
      <c r="F7" s="135"/>
      <c r="G7" s="135"/>
      <c r="H7" s="136"/>
      <c r="I7" s="422"/>
      <c r="J7" s="137"/>
      <c r="K7" s="138"/>
      <c r="L7" s="139"/>
      <c r="M7" s="140"/>
      <c r="N7" s="141"/>
      <c r="O7" s="137"/>
      <c r="P7" s="142"/>
      <c r="Q7" s="143"/>
      <c r="R7" s="144"/>
      <c r="S7" s="145"/>
      <c r="T7" s="140"/>
      <c r="U7" s="146"/>
      <c r="V7" s="147"/>
      <c r="W7" s="148"/>
      <c r="X7" s="137"/>
      <c r="Y7" s="149"/>
      <c r="Z7" s="150"/>
      <c r="AA7" s="151"/>
      <c r="AB7" s="152"/>
      <c r="AD7" s="154">
        <f>+G7-M7</f>
        <v>0</v>
      </c>
    </row>
    <row r="8" spans="1:31" s="172" customFormat="1" ht="15.75" thickTop="1" x14ac:dyDescent="0.25">
      <c r="A8" s="344">
        <v>4</v>
      </c>
      <c r="B8" s="155" t="s">
        <v>66</v>
      </c>
      <c r="C8" s="156"/>
      <c r="D8" s="157"/>
      <c r="E8" s="158"/>
      <c r="F8" s="452"/>
      <c r="G8" s="452"/>
      <c r="H8" s="453"/>
      <c r="I8" s="436"/>
      <c r="J8" s="437"/>
      <c r="K8" s="438"/>
      <c r="L8" s="468"/>
      <c r="M8" s="469"/>
      <c r="N8" s="470"/>
      <c r="O8" s="459"/>
      <c r="P8" s="460"/>
      <c r="Q8" s="159"/>
      <c r="R8" s="160" t="e">
        <f ca="1">+R9+R16+R19+R35+R61+#REF!+#REF!+#REF!+#REF!+#REF!+#REF!+#REF!+R26</f>
        <v>#REF!</v>
      </c>
      <c r="S8" s="161"/>
      <c r="T8" s="162"/>
      <c r="U8" s="163" t="e">
        <f>+U9+U20+U35+U64+#REF!+#REF!+#REF!+#REF!+#REF!</f>
        <v>#REF!</v>
      </c>
      <c r="V8" s="164"/>
      <c r="W8" s="165" t="e">
        <f>+W9+W20+W35+W64+#REF!+#REF!+#REF!+#REF!+#REF!</f>
        <v>#REF!</v>
      </c>
      <c r="X8" s="166"/>
      <c r="Y8" s="167" t="e">
        <f>+Y9+Y20+Y35+Y64+#REF!+#REF!+#REF!+#REF!+#REF!</f>
        <v>#REF!</v>
      </c>
      <c r="Z8" s="168"/>
      <c r="AA8" s="169" t="e">
        <f ca="1">+AA9+AA20+AA35+AA64+#REF!+#REF!+#REF!+#REF!+#REF!</f>
        <v>#REF!</v>
      </c>
      <c r="AB8" s="170">
        <f t="shared" ref="AB8:AB75" si="0">+H8+K8+N8-P8</f>
        <v>0</v>
      </c>
      <c r="AC8" s="171">
        <f>+H8+K8-P8</f>
        <v>0</v>
      </c>
      <c r="AD8" s="129" t="e">
        <f ca="1">+H8+K8+N8-P8-R8</f>
        <v>#REF!</v>
      </c>
    </row>
    <row r="9" spans="1:31" s="187" customFormat="1" x14ac:dyDescent="0.25">
      <c r="A9" s="71">
        <v>4.03</v>
      </c>
      <c r="B9" s="72" t="s">
        <v>222</v>
      </c>
      <c r="C9" s="173"/>
      <c r="D9" s="174"/>
      <c r="E9" s="175"/>
      <c r="F9" s="454"/>
      <c r="G9" s="454"/>
      <c r="H9" s="455"/>
      <c r="I9" s="436"/>
      <c r="J9" s="439"/>
      <c r="K9" s="440"/>
      <c r="L9" s="471"/>
      <c r="M9" s="472"/>
      <c r="N9" s="470"/>
      <c r="O9" s="461"/>
      <c r="P9" s="462"/>
      <c r="Q9" s="176"/>
      <c r="R9" s="177" t="e">
        <f ca="1">+#REF!+R12</f>
        <v>#REF!</v>
      </c>
      <c r="S9" s="178"/>
      <c r="T9" s="179"/>
      <c r="U9" s="180">
        <f>SUM(U10:U19)</f>
        <v>0</v>
      </c>
      <c r="V9" s="181"/>
      <c r="W9" s="182">
        <f>SUM(W10:W19)</f>
        <v>0</v>
      </c>
      <c r="X9" s="183"/>
      <c r="Y9" s="184">
        <f>SUM(Y10:Y19)</f>
        <v>0</v>
      </c>
      <c r="Z9" s="185"/>
      <c r="AA9" s="186" t="e">
        <f ca="1">SUM(AA10:AA19)</f>
        <v>#REF!</v>
      </c>
      <c r="AB9" s="170">
        <f t="shared" si="0"/>
        <v>0</v>
      </c>
      <c r="AC9" s="171">
        <f t="shared" ref="AC9" si="1">+H9+K9-P9</f>
        <v>0</v>
      </c>
      <c r="AD9" s="129" t="e">
        <f ca="1">+H9+K9+N9-P9-R9</f>
        <v>#REF!</v>
      </c>
    </row>
    <row r="10" spans="1:31" s="210" customFormat="1" x14ac:dyDescent="0.25">
      <c r="A10" s="73" t="s">
        <v>14</v>
      </c>
      <c r="B10" s="73" t="s">
        <v>615</v>
      </c>
      <c r="C10" s="202"/>
      <c r="D10" s="188"/>
      <c r="E10" s="189"/>
      <c r="F10" s="456">
        <v>0</v>
      </c>
      <c r="G10" s="456"/>
      <c r="H10" s="455"/>
      <c r="I10" s="436"/>
      <c r="J10" s="441"/>
      <c r="K10" s="442"/>
      <c r="L10" s="473"/>
      <c r="M10" s="474"/>
      <c r="N10" s="475"/>
      <c r="O10" s="463"/>
      <c r="P10" s="462"/>
      <c r="Q10" s="190">
        <f>+F10+J10+L10-O15</f>
        <v>0</v>
      </c>
      <c r="R10" s="203">
        <f>+Q10*$G10</f>
        <v>0</v>
      </c>
      <c r="S10" s="205"/>
      <c r="T10" s="206"/>
      <c r="U10" s="207"/>
      <c r="V10" s="208"/>
      <c r="W10" s="196">
        <f t="shared" ref="W10:W14" si="2">+V10*$G10</f>
        <v>0</v>
      </c>
      <c r="X10" s="209"/>
      <c r="Y10" s="198">
        <f t="shared" ref="Y10:Y14" si="3">+X10*$G10</f>
        <v>0</v>
      </c>
      <c r="Z10" s="199">
        <f t="shared" ref="Z10:Z14" si="4">Q10+S10-X10</f>
        <v>0</v>
      </c>
      <c r="AA10" s="200">
        <f t="shared" ref="AA10:AA25" si="5">+R10+U10-Y10</f>
        <v>0</v>
      </c>
      <c r="AB10" s="170">
        <f t="shared" si="0"/>
        <v>0</v>
      </c>
      <c r="AC10" s="171">
        <f t="shared" ref="AC10:AC75" si="6">+AB10-R10</f>
        <v>0</v>
      </c>
      <c r="AD10" s="129">
        <f t="shared" ref="AD10:AD67" si="7">+H10+K10+N10-P10-R10</f>
        <v>0</v>
      </c>
      <c r="AE10" s="204">
        <f>+G10-M10</f>
        <v>0</v>
      </c>
    </row>
    <row r="11" spans="1:31" x14ac:dyDescent="0.25">
      <c r="A11" s="201" t="s">
        <v>15</v>
      </c>
      <c r="B11" s="28" t="s">
        <v>616</v>
      </c>
      <c r="C11" s="202" t="s">
        <v>45</v>
      </c>
      <c r="D11" s="188"/>
      <c r="E11" s="189"/>
      <c r="F11" s="456">
        <v>0</v>
      </c>
      <c r="G11" s="456"/>
      <c r="H11" s="455"/>
      <c r="I11" s="436"/>
      <c r="J11" s="443"/>
      <c r="K11" s="444">
        <f>+PRODUCT(I11:J11)</f>
        <v>0</v>
      </c>
      <c r="L11" s="476">
        <v>422.18</v>
      </c>
      <c r="M11" s="477">
        <v>1.82</v>
      </c>
      <c r="N11" s="478">
        <f t="shared" ref="N11:N67" si="8">+PRODUCT(L11:M11)</f>
        <v>768.36760000000004</v>
      </c>
      <c r="O11" s="464"/>
      <c r="P11" s="462">
        <f>+PRODUCT(I11,O11)</f>
        <v>0</v>
      </c>
      <c r="Q11" s="190">
        <f>+F11+J11+L11-O11</f>
        <v>422.18</v>
      </c>
      <c r="R11" s="203">
        <f t="shared" ref="R11:R14" si="9">+Q11*$G11</f>
        <v>0</v>
      </c>
      <c r="S11" s="192"/>
      <c r="T11" s="193"/>
      <c r="U11" s="194"/>
      <c r="V11" s="195"/>
      <c r="W11" s="196">
        <f t="shared" si="2"/>
        <v>0</v>
      </c>
      <c r="X11" s="197"/>
      <c r="Y11" s="198">
        <f t="shared" si="3"/>
        <v>0</v>
      </c>
      <c r="Z11" s="199">
        <f t="shared" si="4"/>
        <v>422.18</v>
      </c>
      <c r="AA11" s="200">
        <f t="shared" si="5"/>
        <v>0</v>
      </c>
      <c r="AB11" s="170">
        <f t="shared" si="0"/>
        <v>768.36760000000004</v>
      </c>
      <c r="AC11" s="171">
        <f t="shared" si="6"/>
        <v>768.36760000000004</v>
      </c>
      <c r="AD11" s="129">
        <f t="shared" si="7"/>
        <v>768.36760000000004</v>
      </c>
    </row>
    <row r="12" spans="1:31" x14ac:dyDescent="0.25">
      <c r="A12" s="201" t="s">
        <v>232</v>
      </c>
      <c r="B12" s="28" t="s">
        <v>617</v>
      </c>
      <c r="C12" s="202" t="s">
        <v>45</v>
      </c>
      <c r="D12" s="188"/>
      <c r="E12" s="189"/>
      <c r="F12" s="456">
        <v>0</v>
      </c>
      <c r="G12" s="456"/>
      <c r="H12" s="455"/>
      <c r="I12" s="445"/>
      <c r="J12" s="443"/>
      <c r="K12" s="444">
        <f t="shared" ref="K12:K76" si="10">+PRODUCT(I12:J12)</f>
        <v>0</v>
      </c>
      <c r="L12" s="476">
        <v>422.18</v>
      </c>
      <c r="M12" s="477">
        <v>2.37</v>
      </c>
      <c r="N12" s="478">
        <f t="shared" si="8"/>
        <v>1000.5666000000001</v>
      </c>
      <c r="O12" s="464"/>
      <c r="P12" s="462">
        <f t="shared" ref="P12:P75" si="11">+PRODUCT(I12,O12)</f>
        <v>0</v>
      </c>
      <c r="Q12" s="190">
        <f>+F12+J12+L12-O12</f>
        <v>422.18</v>
      </c>
      <c r="R12" s="191" t="e">
        <f ca="1">+SUM(R13:R15)</f>
        <v>#REF!</v>
      </c>
      <c r="S12" s="192"/>
      <c r="T12" s="193"/>
      <c r="U12" s="194"/>
      <c r="V12" s="195"/>
      <c r="W12" s="196">
        <f t="shared" si="2"/>
        <v>0</v>
      </c>
      <c r="X12" s="197"/>
      <c r="Y12" s="198">
        <f t="shared" si="3"/>
        <v>0</v>
      </c>
      <c r="Z12" s="199">
        <f t="shared" si="4"/>
        <v>422.18</v>
      </c>
      <c r="AA12" s="200" t="e">
        <f ca="1">+R12+U12-Y12</f>
        <v>#REF!</v>
      </c>
      <c r="AB12" s="170">
        <f t="shared" si="0"/>
        <v>1000.5666000000001</v>
      </c>
      <c r="AC12" s="171">
        <f t="shared" ref="AC12" si="12">+H12+K12-P12</f>
        <v>0</v>
      </c>
      <c r="AD12" s="129" t="e">
        <f ca="1">+H12+K12+N12-P12-R12</f>
        <v>#REF!</v>
      </c>
    </row>
    <row r="13" spans="1:31" x14ac:dyDescent="0.25">
      <c r="A13" s="201"/>
      <c r="B13" s="28"/>
      <c r="C13" s="202"/>
      <c r="D13" s="188"/>
      <c r="E13" s="189"/>
      <c r="F13" s="456"/>
      <c r="G13" s="456"/>
      <c r="H13" s="455"/>
      <c r="I13" s="436"/>
      <c r="J13" s="443"/>
      <c r="K13" s="444">
        <f t="shared" si="10"/>
        <v>0</v>
      </c>
      <c r="L13" s="476"/>
      <c r="M13" s="477"/>
      <c r="N13" s="475">
        <f t="shared" si="8"/>
        <v>0</v>
      </c>
      <c r="O13" s="464"/>
      <c r="P13" s="462">
        <f t="shared" si="11"/>
        <v>0</v>
      </c>
      <c r="Q13" s="190">
        <f>+F13+J13+L13-O13</f>
        <v>0</v>
      </c>
      <c r="R13" s="203">
        <f t="shared" si="9"/>
        <v>0</v>
      </c>
      <c r="S13" s="192"/>
      <c r="T13" s="193"/>
      <c r="U13" s="194"/>
      <c r="V13" s="195"/>
      <c r="W13" s="196">
        <f t="shared" si="2"/>
        <v>0</v>
      </c>
      <c r="X13" s="197"/>
      <c r="Y13" s="198">
        <f t="shared" si="3"/>
        <v>0</v>
      </c>
      <c r="Z13" s="199">
        <f t="shared" si="4"/>
        <v>0</v>
      </c>
      <c r="AA13" s="200">
        <f t="shared" si="5"/>
        <v>0</v>
      </c>
      <c r="AB13" s="170">
        <f t="shared" si="0"/>
        <v>0</v>
      </c>
      <c r="AC13" s="171">
        <f t="shared" si="6"/>
        <v>0</v>
      </c>
      <c r="AD13" s="129">
        <f t="shared" si="7"/>
        <v>0</v>
      </c>
    </row>
    <row r="14" spans="1:31" x14ac:dyDescent="0.25">
      <c r="A14" s="201" t="s">
        <v>234</v>
      </c>
      <c r="B14" s="73" t="s">
        <v>618</v>
      </c>
      <c r="C14" s="202"/>
      <c r="D14" s="188"/>
      <c r="E14" s="189"/>
      <c r="F14" s="456">
        <v>0</v>
      </c>
      <c r="G14" s="456"/>
      <c r="H14" s="455"/>
      <c r="I14" s="436"/>
      <c r="J14" s="443"/>
      <c r="K14" s="444">
        <f t="shared" si="10"/>
        <v>0</v>
      </c>
      <c r="L14" s="476"/>
      <c r="M14" s="477"/>
      <c r="N14" s="475">
        <f t="shared" si="8"/>
        <v>0</v>
      </c>
      <c r="O14" s="464"/>
      <c r="P14" s="462">
        <f t="shared" si="11"/>
        <v>0</v>
      </c>
      <c r="Q14" s="190">
        <f>+F14+J14+L14-O14</f>
        <v>0</v>
      </c>
      <c r="R14" s="203">
        <f t="shared" si="9"/>
        <v>0</v>
      </c>
      <c r="S14" s="192"/>
      <c r="T14" s="193"/>
      <c r="U14" s="194"/>
      <c r="V14" s="195"/>
      <c r="W14" s="196">
        <f t="shared" si="2"/>
        <v>0</v>
      </c>
      <c r="X14" s="197"/>
      <c r="Y14" s="198">
        <f t="shared" si="3"/>
        <v>0</v>
      </c>
      <c r="Z14" s="199">
        <f t="shared" si="4"/>
        <v>0</v>
      </c>
      <c r="AA14" s="200">
        <f t="shared" si="5"/>
        <v>0</v>
      </c>
      <c r="AB14" s="170">
        <f t="shared" si="0"/>
        <v>0</v>
      </c>
      <c r="AC14" s="171">
        <f t="shared" si="6"/>
        <v>0</v>
      </c>
      <c r="AD14" s="129">
        <f t="shared" si="7"/>
        <v>0</v>
      </c>
    </row>
    <row r="15" spans="1:31" s="215" customFormat="1" x14ac:dyDescent="0.25">
      <c r="A15" s="201" t="s">
        <v>268</v>
      </c>
      <c r="B15" s="28" t="s">
        <v>619</v>
      </c>
      <c r="C15" s="202" t="s">
        <v>4</v>
      </c>
      <c r="D15" s="174"/>
      <c r="E15" s="189"/>
      <c r="F15" s="456">
        <v>0</v>
      </c>
      <c r="G15" s="456"/>
      <c r="H15" s="455"/>
      <c r="I15" s="436"/>
      <c r="J15" s="443"/>
      <c r="K15" s="444">
        <f t="shared" si="10"/>
        <v>0</v>
      </c>
      <c r="L15" s="476">
        <f ca="1">+'MET_PLUVIAL BASE'!I24</f>
        <v>20.625</v>
      </c>
      <c r="M15" s="477">
        <v>52.9</v>
      </c>
      <c r="N15" s="475">
        <f ca="1">+PRODUCT(L15:M15)</f>
        <v>1091.0625</v>
      </c>
      <c r="O15" s="465"/>
      <c r="P15" s="462">
        <f t="shared" si="11"/>
        <v>0</v>
      </c>
      <c r="Q15" s="190" t="e">
        <f ca="1">+F15+J15+L15-#REF!</f>
        <v>#REF!</v>
      </c>
      <c r="R15" s="203" t="e">
        <f ca="1">+Q15*$G15</f>
        <v>#REF!</v>
      </c>
      <c r="S15" s="211"/>
      <c r="T15" s="212"/>
      <c r="U15" s="180"/>
      <c r="V15" s="213"/>
      <c r="W15" s="182"/>
      <c r="X15" s="214"/>
      <c r="Y15" s="184"/>
      <c r="Z15" s="199"/>
      <c r="AA15" s="186"/>
      <c r="AB15" s="170">
        <f ca="1">+H15+K15+N15-P15</f>
        <v>1091.0625</v>
      </c>
      <c r="AC15" s="171" t="e">
        <f ca="1">+AB15-R15</f>
        <v>#REF!</v>
      </c>
      <c r="AD15" s="129" t="e">
        <f ca="1">+H15+K15+N15-P15-R15</f>
        <v>#REF!</v>
      </c>
    </row>
    <row r="16" spans="1:31" x14ac:dyDescent="0.25">
      <c r="A16" s="201" t="s">
        <v>270</v>
      </c>
      <c r="B16" s="28" t="s">
        <v>635</v>
      </c>
      <c r="C16" s="202" t="s">
        <v>45</v>
      </c>
      <c r="D16" s="188"/>
      <c r="E16" s="189"/>
      <c r="F16" s="456">
        <v>0</v>
      </c>
      <c r="G16" s="456"/>
      <c r="H16" s="455"/>
      <c r="I16" s="436"/>
      <c r="J16" s="443"/>
      <c r="K16" s="444">
        <f t="shared" si="10"/>
        <v>0</v>
      </c>
      <c r="L16" s="476">
        <v>108</v>
      </c>
      <c r="M16" s="477">
        <v>6.6</v>
      </c>
      <c r="N16" s="475">
        <f t="shared" si="8"/>
        <v>712.8</v>
      </c>
      <c r="O16" s="464"/>
      <c r="P16" s="462">
        <f t="shared" si="11"/>
        <v>0</v>
      </c>
      <c r="Q16" s="190">
        <f t="shared" ref="Q16:Q57" si="13">+F16+J16+L16-O16</f>
        <v>108</v>
      </c>
      <c r="R16" s="216">
        <f>+SUM(R17:R18)</f>
        <v>0</v>
      </c>
      <c r="S16" s="192"/>
      <c r="T16" s="193"/>
      <c r="U16" s="194"/>
      <c r="V16" s="195"/>
      <c r="W16" s="196">
        <f>+V16*$G16</f>
        <v>0</v>
      </c>
      <c r="X16" s="197"/>
      <c r="Y16" s="198">
        <f>+X16*$G16</f>
        <v>0</v>
      </c>
      <c r="Z16" s="199">
        <f t="shared" ref="Z16:Z25" si="14">Q16+S16-X16</f>
        <v>108</v>
      </c>
      <c r="AA16" s="200">
        <f t="shared" si="5"/>
        <v>0</v>
      </c>
      <c r="AB16" s="170">
        <f t="shared" si="0"/>
        <v>712.8</v>
      </c>
      <c r="AC16" s="171">
        <f t="shared" ref="AC16" si="15">+H16+K16-P16</f>
        <v>0</v>
      </c>
      <c r="AD16" s="129">
        <f t="shared" si="7"/>
        <v>712.8</v>
      </c>
    </row>
    <row r="17" spans="1:30" x14ac:dyDescent="0.25">
      <c r="B17" s="28"/>
      <c r="C17" s="202"/>
      <c r="D17" s="188"/>
      <c r="E17" s="189"/>
      <c r="F17" s="456"/>
      <c r="G17" s="456"/>
      <c r="H17" s="455"/>
      <c r="I17" s="436"/>
      <c r="J17" s="443"/>
      <c r="K17" s="444">
        <f t="shared" si="10"/>
        <v>0</v>
      </c>
      <c r="L17" s="476"/>
      <c r="M17" s="477"/>
      <c r="N17" s="475">
        <f t="shared" si="8"/>
        <v>0</v>
      </c>
      <c r="O17" s="464"/>
      <c r="P17" s="462">
        <f t="shared" si="11"/>
        <v>0</v>
      </c>
      <c r="Q17" s="190">
        <f t="shared" si="13"/>
        <v>0</v>
      </c>
      <c r="R17" s="203">
        <f>ROUND(Q17*$G17,2)</f>
        <v>0</v>
      </c>
      <c r="S17" s="192"/>
      <c r="T17" s="193"/>
      <c r="U17" s="194"/>
      <c r="V17" s="195"/>
      <c r="W17" s="196">
        <f>+V17*$G17</f>
        <v>0</v>
      </c>
      <c r="X17" s="197"/>
      <c r="Y17" s="198">
        <f>+X17*$G17</f>
        <v>0</v>
      </c>
      <c r="Z17" s="199">
        <f t="shared" si="14"/>
        <v>0</v>
      </c>
      <c r="AA17" s="200">
        <f t="shared" si="5"/>
        <v>0</v>
      </c>
      <c r="AB17" s="170">
        <f t="shared" si="0"/>
        <v>0</v>
      </c>
      <c r="AC17" s="171">
        <f t="shared" si="6"/>
        <v>0</v>
      </c>
      <c r="AD17" s="129">
        <f t="shared" si="7"/>
        <v>0</v>
      </c>
    </row>
    <row r="18" spans="1:30" x14ac:dyDescent="0.25">
      <c r="A18" s="73" t="s">
        <v>16</v>
      </c>
      <c r="B18" s="73" t="s">
        <v>679</v>
      </c>
      <c r="C18" s="202"/>
      <c r="D18" s="188"/>
      <c r="E18" s="189"/>
      <c r="F18" s="456">
        <v>0</v>
      </c>
      <c r="G18" s="456"/>
      <c r="H18" s="455"/>
      <c r="I18" s="436"/>
      <c r="J18" s="443"/>
      <c r="K18" s="444">
        <f t="shared" si="10"/>
        <v>0</v>
      </c>
      <c r="L18" s="476"/>
      <c r="M18" s="477"/>
      <c r="N18" s="475">
        <f t="shared" si="8"/>
        <v>0</v>
      </c>
      <c r="O18" s="464"/>
      <c r="P18" s="462">
        <f t="shared" si="11"/>
        <v>0</v>
      </c>
      <c r="Q18" s="190">
        <f t="shared" si="13"/>
        <v>0</v>
      </c>
      <c r="R18" s="203">
        <f>ROUND(Q18*$G18,2)</f>
        <v>0</v>
      </c>
      <c r="S18" s="192"/>
      <c r="T18" s="193"/>
      <c r="U18" s="194"/>
      <c r="V18" s="195"/>
      <c r="W18" s="196">
        <f>+V18*$G18</f>
        <v>0</v>
      </c>
      <c r="X18" s="197"/>
      <c r="Y18" s="198">
        <f>+X18*$G18</f>
        <v>0</v>
      </c>
      <c r="Z18" s="199">
        <f t="shared" si="14"/>
        <v>0</v>
      </c>
      <c r="AA18" s="200">
        <f t="shared" si="5"/>
        <v>0</v>
      </c>
      <c r="AB18" s="170">
        <f t="shared" si="0"/>
        <v>0</v>
      </c>
      <c r="AC18" s="171">
        <f t="shared" si="6"/>
        <v>0</v>
      </c>
      <c r="AD18" s="129">
        <f t="shared" si="7"/>
        <v>0</v>
      </c>
    </row>
    <row r="19" spans="1:30" s="210" customFormat="1" x14ac:dyDescent="0.25">
      <c r="A19" s="201" t="s">
        <v>17</v>
      </c>
      <c r="B19" s="28" t="s">
        <v>737</v>
      </c>
      <c r="C19" s="202" t="s">
        <v>45</v>
      </c>
      <c r="D19" s="188"/>
      <c r="E19" s="189"/>
      <c r="F19" s="456">
        <v>0</v>
      </c>
      <c r="G19" s="456"/>
      <c r="H19" s="455"/>
      <c r="I19" s="436"/>
      <c r="J19" s="439"/>
      <c r="K19" s="444">
        <f t="shared" si="10"/>
        <v>0</v>
      </c>
      <c r="L19" s="476">
        <v>108</v>
      </c>
      <c r="M19" s="477">
        <v>38.950000000000003</v>
      </c>
      <c r="N19" s="478">
        <f t="shared" si="8"/>
        <v>4206.6000000000004</v>
      </c>
      <c r="O19" s="464"/>
      <c r="P19" s="462">
        <f t="shared" si="11"/>
        <v>0</v>
      </c>
      <c r="Q19" s="190">
        <f t="shared" si="13"/>
        <v>108</v>
      </c>
      <c r="R19" s="216">
        <f>+SUM(R20:R25)</f>
        <v>0</v>
      </c>
      <c r="S19" s="217"/>
      <c r="T19" s="218"/>
      <c r="U19" s="207"/>
      <c r="V19" s="219"/>
      <c r="W19" s="196">
        <f>+V19*$G19</f>
        <v>0</v>
      </c>
      <c r="X19" s="220"/>
      <c r="Y19" s="198">
        <f>+X19*$G19</f>
        <v>0</v>
      </c>
      <c r="Z19" s="199">
        <f t="shared" si="14"/>
        <v>108</v>
      </c>
      <c r="AA19" s="200">
        <f t="shared" si="5"/>
        <v>0</v>
      </c>
      <c r="AB19" s="170">
        <f t="shared" si="0"/>
        <v>4206.6000000000004</v>
      </c>
      <c r="AC19" s="171">
        <f t="shared" ref="AC19" si="16">+H19+K19-P19</f>
        <v>0</v>
      </c>
      <c r="AD19" s="129">
        <f t="shared" si="7"/>
        <v>4206.6000000000004</v>
      </c>
    </row>
    <row r="20" spans="1:30" s="215" customFormat="1" x14ac:dyDescent="0.25">
      <c r="A20" s="201" t="s">
        <v>240</v>
      </c>
      <c r="B20" s="28" t="s">
        <v>792</v>
      </c>
      <c r="C20" s="202" t="s">
        <v>45</v>
      </c>
      <c r="D20" s="221"/>
      <c r="E20" s="189"/>
      <c r="F20" s="456">
        <v>0</v>
      </c>
      <c r="G20" s="456"/>
      <c r="H20" s="455"/>
      <c r="I20" s="436"/>
      <c r="J20" s="443"/>
      <c r="K20" s="444">
        <f t="shared" si="10"/>
        <v>0</v>
      </c>
      <c r="L20" s="476">
        <v>18</v>
      </c>
      <c r="M20" s="477">
        <v>71.25</v>
      </c>
      <c r="N20" s="478">
        <f t="shared" si="8"/>
        <v>1282.5</v>
      </c>
      <c r="O20" s="464"/>
      <c r="P20" s="462">
        <f t="shared" si="11"/>
        <v>0</v>
      </c>
      <c r="Q20" s="190">
        <f t="shared" si="13"/>
        <v>18</v>
      </c>
      <c r="R20" s="203">
        <f t="shared" ref="R20:R25" si="17">+Q20*$G20</f>
        <v>0</v>
      </c>
      <c r="S20" s="211"/>
      <c r="T20" s="212"/>
      <c r="U20" s="180">
        <f>SUM(U21:U25)</f>
        <v>0</v>
      </c>
      <c r="V20" s="213"/>
      <c r="W20" s="182">
        <f>SUM(W21:W25)</f>
        <v>0</v>
      </c>
      <c r="X20" s="214"/>
      <c r="Y20" s="184">
        <f>SUM(Y21:Y25)</f>
        <v>0</v>
      </c>
      <c r="Z20" s="222"/>
      <c r="AA20" s="186">
        <f>SUM(AA21:AA25)</f>
        <v>0</v>
      </c>
      <c r="AB20" s="170">
        <f t="shared" si="0"/>
        <v>1282.5</v>
      </c>
      <c r="AC20" s="171">
        <f t="shared" si="6"/>
        <v>1282.5</v>
      </c>
      <c r="AD20" s="129">
        <f t="shared" si="7"/>
        <v>1282.5</v>
      </c>
    </row>
    <row r="21" spans="1:30" x14ac:dyDescent="0.25">
      <c r="A21" s="201"/>
      <c r="B21" s="28"/>
      <c r="C21" s="202"/>
      <c r="D21" s="188"/>
      <c r="E21" s="189"/>
      <c r="F21" s="456">
        <v>0</v>
      </c>
      <c r="G21" s="456"/>
      <c r="H21" s="455"/>
      <c r="I21" s="436"/>
      <c r="J21" s="443"/>
      <c r="K21" s="444">
        <f t="shared" si="10"/>
        <v>0</v>
      </c>
      <c r="L21" s="476"/>
      <c r="M21" s="477"/>
      <c r="N21" s="475">
        <f t="shared" si="8"/>
        <v>0</v>
      </c>
      <c r="O21" s="464"/>
      <c r="P21" s="462">
        <f t="shared" si="11"/>
        <v>0</v>
      </c>
      <c r="Q21" s="190">
        <f t="shared" si="13"/>
        <v>0</v>
      </c>
      <c r="R21" s="203">
        <f t="shared" si="17"/>
        <v>0</v>
      </c>
      <c r="S21" s="217"/>
      <c r="T21" s="218"/>
      <c r="U21" s="207"/>
      <c r="V21" s="219"/>
      <c r="W21" s="196">
        <f>+V21*$G21</f>
        <v>0</v>
      </c>
      <c r="X21" s="220"/>
      <c r="Y21" s="198">
        <f>+X21*$G21</f>
        <v>0</v>
      </c>
      <c r="Z21" s="199">
        <f t="shared" si="14"/>
        <v>0</v>
      </c>
      <c r="AA21" s="200">
        <f t="shared" si="5"/>
        <v>0</v>
      </c>
      <c r="AB21" s="170">
        <f t="shared" si="0"/>
        <v>0</v>
      </c>
      <c r="AC21" s="171">
        <f t="shared" si="6"/>
        <v>0</v>
      </c>
      <c r="AD21" s="129">
        <f t="shared" si="7"/>
        <v>0</v>
      </c>
    </row>
    <row r="22" spans="1:30" x14ac:dyDescent="0.25">
      <c r="A22" s="73" t="s">
        <v>18</v>
      </c>
      <c r="B22" s="73" t="s">
        <v>620</v>
      </c>
      <c r="C22" s="202"/>
      <c r="D22" s="188"/>
      <c r="E22" s="189"/>
      <c r="F22" s="456">
        <v>0</v>
      </c>
      <c r="G22" s="456"/>
      <c r="H22" s="455"/>
      <c r="I22" s="445"/>
      <c r="J22" s="443"/>
      <c r="K22" s="444">
        <f t="shared" si="10"/>
        <v>0</v>
      </c>
      <c r="L22" s="476"/>
      <c r="M22" s="477"/>
      <c r="N22" s="475">
        <f t="shared" si="8"/>
        <v>0</v>
      </c>
      <c r="O22" s="464"/>
      <c r="P22" s="462">
        <f t="shared" si="11"/>
        <v>0</v>
      </c>
      <c r="Q22" s="190">
        <f t="shared" si="13"/>
        <v>0</v>
      </c>
      <c r="R22" s="203">
        <f t="shared" si="17"/>
        <v>0</v>
      </c>
      <c r="S22" s="217"/>
      <c r="T22" s="218"/>
      <c r="U22" s="207"/>
      <c r="V22" s="219"/>
      <c r="W22" s="196">
        <f>+V22*$G22</f>
        <v>0</v>
      </c>
      <c r="X22" s="220"/>
      <c r="Y22" s="198">
        <f>+X22*$G22</f>
        <v>0</v>
      </c>
      <c r="Z22" s="199">
        <f t="shared" si="14"/>
        <v>0</v>
      </c>
      <c r="AA22" s="200">
        <f t="shared" si="5"/>
        <v>0</v>
      </c>
      <c r="AB22" s="170">
        <f t="shared" si="0"/>
        <v>0</v>
      </c>
      <c r="AC22" s="171">
        <f t="shared" si="6"/>
        <v>0</v>
      </c>
      <c r="AD22" s="129">
        <f t="shared" si="7"/>
        <v>0</v>
      </c>
    </row>
    <row r="23" spans="1:30" x14ac:dyDescent="0.25">
      <c r="A23" s="201" t="s">
        <v>19</v>
      </c>
      <c r="B23" s="414" t="s">
        <v>621</v>
      </c>
      <c r="C23" s="202" t="s">
        <v>4</v>
      </c>
      <c r="D23" s="188"/>
      <c r="E23" s="189"/>
      <c r="F23" s="456">
        <v>0</v>
      </c>
      <c r="G23" s="456"/>
      <c r="H23" s="455"/>
      <c r="I23" s="436"/>
      <c r="J23" s="443"/>
      <c r="K23" s="444">
        <f t="shared" si="10"/>
        <v>0</v>
      </c>
      <c r="L23" s="476">
        <v>31.43</v>
      </c>
      <c r="M23" s="477">
        <v>4.05</v>
      </c>
      <c r="N23" s="478">
        <f t="shared" si="8"/>
        <v>127.2915</v>
      </c>
      <c r="O23" s="464"/>
      <c r="P23" s="462">
        <f t="shared" si="11"/>
        <v>0</v>
      </c>
      <c r="Q23" s="190">
        <f t="shared" si="13"/>
        <v>31.43</v>
      </c>
      <c r="R23" s="203">
        <f t="shared" si="17"/>
        <v>0</v>
      </c>
      <c r="S23" s="217"/>
      <c r="T23" s="218"/>
      <c r="U23" s="207"/>
      <c r="V23" s="219"/>
      <c r="W23" s="196">
        <f>+V23*$G23</f>
        <v>0</v>
      </c>
      <c r="X23" s="220"/>
      <c r="Y23" s="198">
        <f>+X23*$G23</f>
        <v>0</v>
      </c>
      <c r="Z23" s="199">
        <f t="shared" si="14"/>
        <v>31.43</v>
      </c>
      <c r="AA23" s="200">
        <f t="shared" si="5"/>
        <v>0</v>
      </c>
      <c r="AB23" s="170">
        <f t="shared" si="0"/>
        <v>127.2915</v>
      </c>
      <c r="AC23" s="171">
        <f t="shared" si="6"/>
        <v>127.2915</v>
      </c>
      <c r="AD23" s="129">
        <f t="shared" si="7"/>
        <v>127.2915</v>
      </c>
    </row>
    <row r="24" spans="1:30" x14ac:dyDescent="0.25">
      <c r="A24" s="201"/>
      <c r="B24" s="28"/>
      <c r="C24" s="202"/>
      <c r="D24" s="188"/>
      <c r="E24" s="189"/>
      <c r="F24" s="456"/>
      <c r="G24" s="456"/>
      <c r="H24" s="455"/>
      <c r="I24" s="436"/>
      <c r="J24" s="443"/>
      <c r="K24" s="444">
        <f t="shared" si="10"/>
        <v>0</v>
      </c>
      <c r="L24" s="476"/>
      <c r="M24" s="477"/>
      <c r="N24" s="475">
        <f t="shared" si="8"/>
        <v>0</v>
      </c>
      <c r="O24" s="464"/>
      <c r="P24" s="462">
        <f t="shared" si="11"/>
        <v>0</v>
      </c>
      <c r="Q24" s="190">
        <f t="shared" si="13"/>
        <v>0</v>
      </c>
      <c r="R24" s="203">
        <f t="shared" si="17"/>
        <v>0</v>
      </c>
      <c r="S24" s="217"/>
      <c r="T24" s="218"/>
      <c r="U24" s="207"/>
      <c r="V24" s="219"/>
      <c r="W24" s="196">
        <f>+V24*$G24</f>
        <v>0</v>
      </c>
      <c r="X24" s="220"/>
      <c r="Y24" s="198">
        <f>+X24*$G24</f>
        <v>0</v>
      </c>
      <c r="Z24" s="199">
        <f t="shared" si="14"/>
        <v>0</v>
      </c>
      <c r="AA24" s="200">
        <f t="shared" si="5"/>
        <v>0</v>
      </c>
      <c r="AB24" s="170">
        <f t="shared" si="0"/>
        <v>0</v>
      </c>
      <c r="AC24" s="171">
        <f t="shared" si="6"/>
        <v>0</v>
      </c>
      <c r="AD24" s="129">
        <f t="shared" si="7"/>
        <v>0</v>
      </c>
    </row>
    <row r="25" spans="1:30" x14ac:dyDescent="0.25">
      <c r="A25" s="73" t="s">
        <v>22</v>
      </c>
      <c r="B25" s="73" t="s">
        <v>614</v>
      </c>
      <c r="C25" s="202"/>
      <c r="D25" s="188"/>
      <c r="E25" s="189"/>
      <c r="F25" s="456">
        <v>0</v>
      </c>
      <c r="G25" s="456"/>
      <c r="H25" s="455"/>
      <c r="I25" s="436"/>
      <c r="J25" s="443"/>
      <c r="K25" s="444">
        <f t="shared" si="10"/>
        <v>0</v>
      </c>
      <c r="L25" s="476"/>
      <c r="M25" s="477"/>
      <c r="N25" s="475">
        <f t="shared" si="8"/>
        <v>0</v>
      </c>
      <c r="O25" s="464"/>
      <c r="P25" s="462">
        <f t="shared" si="11"/>
        <v>0</v>
      </c>
      <c r="Q25" s="190">
        <f t="shared" si="13"/>
        <v>0</v>
      </c>
      <c r="R25" s="203">
        <f t="shared" si="17"/>
        <v>0</v>
      </c>
      <c r="S25" s="217"/>
      <c r="T25" s="218"/>
      <c r="U25" s="207"/>
      <c r="V25" s="219"/>
      <c r="W25" s="196">
        <f>+V25*$G25</f>
        <v>0</v>
      </c>
      <c r="X25" s="220"/>
      <c r="Y25" s="198">
        <f>+X25*$G25</f>
        <v>0</v>
      </c>
      <c r="Z25" s="199">
        <f t="shared" si="14"/>
        <v>0</v>
      </c>
      <c r="AA25" s="200">
        <f t="shared" si="5"/>
        <v>0</v>
      </c>
      <c r="AB25" s="170">
        <f t="shared" si="0"/>
        <v>0</v>
      </c>
      <c r="AC25" s="171">
        <f t="shared" si="6"/>
        <v>0</v>
      </c>
      <c r="AD25" s="129">
        <f t="shared" si="7"/>
        <v>0</v>
      </c>
    </row>
    <row r="26" spans="1:30" x14ac:dyDescent="0.25">
      <c r="A26" s="201" t="s">
        <v>23</v>
      </c>
      <c r="B26" s="414" t="s">
        <v>622</v>
      </c>
      <c r="C26" s="202" t="s">
        <v>4</v>
      </c>
      <c r="D26" s="221"/>
      <c r="E26" s="189"/>
      <c r="F26" s="456">
        <v>0</v>
      </c>
      <c r="G26" s="456"/>
      <c r="H26" s="455"/>
      <c r="I26" s="446"/>
      <c r="J26" s="443"/>
      <c r="K26" s="444">
        <f t="shared" si="10"/>
        <v>0</v>
      </c>
      <c r="L26" s="476">
        <v>61.97</v>
      </c>
      <c r="M26" s="477">
        <v>48.65</v>
      </c>
      <c r="N26" s="478">
        <f t="shared" si="8"/>
        <v>3014.8404999999998</v>
      </c>
      <c r="O26" s="464"/>
      <c r="P26" s="462">
        <f t="shared" si="11"/>
        <v>0</v>
      </c>
      <c r="Q26" s="190">
        <f t="shared" si="13"/>
        <v>61.97</v>
      </c>
      <c r="R26" s="216">
        <f ca="1">+R27+R32</f>
        <v>24087.301836000002</v>
      </c>
      <c r="S26" s="217"/>
      <c r="T26" s="218"/>
      <c r="U26" s="207"/>
      <c r="V26" s="219"/>
      <c r="W26" s="196"/>
      <c r="X26" s="220"/>
      <c r="Y26" s="198"/>
      <c r="Z26" s="199"/>
      <c r="AA26" s="200"/>
      <c r="AB26" s="170"/>
      <c r="AC26" s="171"/>
      <c r="AD26" s="129">
        <f ca="1">+H26+K26+N26-P26-R26</f>
        <v>-21072.461336000004</v>
      </c>
    </row>
    <row r="27" spans="1:30" x14ac:dyDescent="0.25">
      <c r="A27" s="201" t="s">
        <v>24</v>
      </c>
      <c r="B27" s="414" t="s">
        <v>623</v>
      </c>
      <c r="C27" s="202" t="s">
        <v>4</v>
      </c>
      <c r="D27" s="188"/>
      <c r="E27" s="189"/>
      <c r="F27" s="456">
        <v>0</v>
      </c>
      <c r="G27" s="456"/>
      <c r="H27" s="455"/>
      <c r="I27" s="446"/>
      <c r="J27" s="447"/>
      <c r="K27" s="444">
        <f t="shared" si="10"/>
        <v>0</v>
      </c>
      <c r="L27" s="476">
        <v>38.44</v>
      </c>
      <c r="M27" s="477">
        <v>48.65</v>
      </c>
      <c r="N27" s="478">
        <f t="shared" si="8"/>
        <v>1870.1059999999998</v>
      </c>
      <c r="O27" s="464"/>
      <c r="P27" s="462">
        <f t="shared" si="11"/>
        <v>0</v>
      </c>
      <c r="Q27" s="190">
        <f t="shared" si="13"/>
        <v>38.44</v>
      </c>
      <c r="R27" s="223">
        <f ca="1">+SUM(R28:R31)</f>
        <v>21655.818140000003</v>
      </c>
      <c r="S27" s="217"/>
      <c r="T27" s="218"/>
      <c r="U27" s="207"/>
      <c r="V27" s="219"/>
      <c r="W27" s="196"/>
      <c r="X27" s="220"/>
      <c r="Y27" s="198"/>
      <c r="Z27" s="199"/>
      <c r="AA27" s="200"/>
      <c r="AB27" s="170"/>
      <c r="AC27" s="171"/>
      <c r="AD27" s="129">
        <f ca="1">+H27+K27+N27-P27-R27</f>
        <v>-19785.712140000003</v>
      </c>
    </row>
    <row r="28" spans="1:30" x14ac:dyDescent="0.25">
      <c r="A28" s="201" t="s">
        <v>630</v>
      </c>
      <c r="B28" s="414" t="s">
        <v>738</v>
      </c>
      <c r="C28" s="202" t="s">
        <v>4</v>
      </c>
      <c r="D28" s="188"/>
      <c r="E28" s="189"/>
      <c r="F28" s="456">
        <v>0</v>
      </c>
      <c r="G28" s="456"/>
      <c r="H28" s="455"/>
      <c r="I28" s="446"/>
      <c r="J28" s="443"/>
      <c r="K28" s="444">
        <f t="shared" si="10"/>
        <v>0</v>
      </c>
      <c r="L28" s="476">
        <f ca="1">+'MET_PLUVIAL BASE'!I37</f>
        <v>96</v>
      </c>
      <c r="M28" s="477">
        <v>84.13</v>
      </c>
      <c r="N28" s="478">
        <f ca="1">+PRODUCT(L28:M28)</f>
        <v>8076.48</v>
      </c>
      <c r="O28" s="464"/>
      <c r="P28" s="462">
        <f t="shared" si="11"/>
        <v>0</v>
      </c>
      <c r="Q28" s="190">
        <f ca="1">+F28+J28+L28-O28</f>
        <v>96</v>
      </c>
      <c r="R28" s="203">
        <f ca="1">+Q28*$M28</f>
        <v>8076.48</v>
      </c>
      <c r="S28" s="217"/>
      <c r="T28" s="218"/>
      <c r="U28" s="207"/>
      <c r="V28" s="219"/>
      <c r="W28" s="196"/>
      <c r="X28" s="220"/>
      <c r="Y28" s="198"/>
      <c r="Z28" s="199"/>
      <c r="AA28" s="200"/>
      <c r="AB28" s="170"/>
      <c r="AC28" s="171"/>
      <c r="AD28" s="129">
        <f ca="1">+H28+K28+N28-P28-R28</f>
        <v>0</v>
      </c>
    </row>
    <row r="29" spans="1:30" x14ac:dyDescent="0.25">
      <c r="A29" s="201" t="s">
        <v>631</v>
      </c>
      <c r="B29" s="414" t="s">
        <v>779</v>
      </c>
      <c r="C29" s="202" t="s">
        <v>45</v>
      </c>
      <c r="D29" s="188"/>
      <c r="E29" s="189"/>
      <c r="F29" s="456">
        <v>0</v>
      </c>
      <c r="G29" s="456"/>
      <c r="H29" s="455"/>
      <c r="I29" s="446"/>
      <c r="J29" s="443"/>
      <c r="K29" s="444">
        <f t="shared" si="10"/>
        <v>0</v>
      </c>
      <c r="L29" s="476">
        <f ca="1">+'MET_PLUVIAL BASE'!I38</f>
        <v>127.25600000000003</v>
      </c>
      <c r="M29" s="477">
        <v>18.239999999999998</v>
      </c>
      <c r="N29" s="478">
        <f ca="1">+PRODUCT(L29:M29)</f>
        <v>2321.1494400000001</v>
      </c>
      <c r="O29" s="464"/>
      <c r="P29" s="462">
        <f t="shared" si="11"/>
        <v>0</v>
      </c>
      <c r="Q29" s="190">
        <f ca="1">+F29+J29+L29-O29</f>
        <v>127.25600000000003</v>
      </c>
      <c r="R29" s="203">
        <f ca="1">+Q29*$M29</f>
        <v>2321.1494400000001</v>
      </c>
      <c r="S29" s="217"/>
      <c r="T29" s="218"/>
      <c r="U29" s="207"/>
      <c r="V29" s="219"/>
      <c r="W29" s="196"/>
      <c r="X29" s="220"/>
      <c r="Y29" s="198"/>
      <c r="Z29" s="199"/>
      <c r="AA29" s="200"/>
      <c r="AB29" s="170"/>
      <c r="AC29" s="171"/>
      <c r="AD29" s="129">
        <f ca="1">+H29+K29+N29-P29-R29</f>
        <v>0</v>
      </c>
    </row>
    <row r="30" spans="1:30" x14ac:dyDescent="0.25">
      <c r="A30" s="201" t="s">
        <v>709</v>
      </c>
      <c r="B30" s="414" t="s">
        <v>776</v>
      </c>
      <c r="C30" s="202" t="s">
        <v>4</v>
      </c>
      <c r="D30" s="188"/>
      <c r="E30" s="189"/>
      <c r="F30" s="456">
        <v>0</v>
      </c>
      <c r="G30" s="456"/>
      <c r="H30" s="455"/>
      <c r="I30" s="446"/>
      <c r="J30" s="443"/>
      <c r="K30" s="444">
        <f t="shared" si="10"/>
        <v>0</v>
      </c>
      <c r="L30" s="476">
        <v>264.95</v>
      </c>
      <c r="M30" s="477">
        <v>20.85</v>
      </c>
      <c r="N30" s="478">
        <f t="shared" si="8"/>
        <v>5524.2075000000004</v>
      </c>
      <c r="O30" s="464"/>
      <c r="P30" s="462">
        <f t="shared" si="11"/>
        <v>0</v>
      </c>
      <c r="Q30" s="190">
        <f t="shared" si="13"/>
        <v>264.95</v>
      </c>
      <c r="R30" s="203">
        <f t="shared" ref="R30:R33" si="18">+Q30*$M30</f>
        <v>5524.2075000000004</v>
      </c>
      <c r="S30" s="217"/>
      <c r="T30" s="218"/>
      <c r="U30" s="207"/>
      <c r="V30" s="219"/>
      <c r="W30" s="196"/>
      <c r="X30" s="220"/>
      <c r="Y30" s="198"/>
      <c r="Z30" s="199"/>
      <c r="AA30" s="200"/>
      <c r="AB30" s="170"/>
      <c r="AC30" s="171"/>
      <c r="AD30" s="129">
        <f t="shared" si="7"/>
        <v>0</v>
      </c>
    </row>
    <row r="31" spans="1:30" x14ac:dyDescent="0.25">
      <c r="A31" s="201" t="s">
        <v>826</v>
      </c>
      <c r="B31" s="28" t="s">
        <v>719</v>
      </c>
      <c r="C31" s="202" t="s">
        <v>45</v>
      </c>
      <c r="D31" s="188"/>
      <c r="E31" s="189"/>
      <c r="F31" s="456">
        <v>0</v>
      </c>
      <c r="G31" s="456"/>
      <c r="H31" s="455"/>
      <c r="I31" s="446"/>
      <c r="J31" s="443"/>
      <c r="K31" s="444">
        <f t="shared" si="10"/>
        <v>0</v>
      </c>
      <c r="L31" s="476">
        <v>297.56</v>
      </c>
      <c r="M31" s="477">
        <v>19.27</v>
      </c>
      <c r="N31" s="478">
        <f t="shared" si="8"/>
        <v>5733.9812000000002</v>
      </c>
      <c r="O31" s="464"/>
      <c r="P31" s="462">
        <f t="shared" si="11"/>
        <v>0</v>
      </c>
      <c r="Q31" s="190">
        <f t="shared" si="13"/>
        <v>297.56</v>
      </c>
      <c r="R31" s="203">
        <f t="shared" si="18"/>
        <v>5733.9812000000002</v>
      </c>
      <c r="S31" s="217"/>
      <c r="T31" s="218"/>
      <c r="U31" s="207"/>
      <c r="V31" s="219"/>
      <c r="W31" s="196"/>
      <c r="X31" s="220"/>
      <c r="Y31" s="198"/>
      <c r="Z31" s="199"/>
      <c r="AA31" s="200"/>
      <c r="AB31" s="170"/>
      <c r="AC31" s="171"/>
      <c r="AD31" s="129">
        <f t="shared" si="7"/>
        <v>0</v>
      </c>
    </row>
    <row r="32" spans="1:30" x14ac:dyDescent="0.25">
      <c r="A32" s="201" t="s">
        <v>827</v>
      </c>
      <c r="B32" s="28" t="s">
        <v>718</v>
      </c>
      <c r="C32" s="202" t="s">
        <v>45</v>
      </c>
      <c r="D32" s="188"/>
      <c r="E32" s="189"/>
      <c r="F32" s="456">
        <v>0</v>
      </c>
      <c r="G32" s="456"/>
      <c r="H32" s="455"/>
      <c r="I32" s="448"/>
      <c r="J32" s="443"/>
      <c r="K32" s="444">
        <f t="shared" si="10"/>
        <v>0</v>
      </c>
      <c r="L32" s="476">
        <v>1081.1400000000001</v>
      </c>
      <c r="M32" s="477">
        <v>17</v>
      </c>
      <c r="N32" s="478">
        <f t="shared" si="8"/>
        <v>18379.38</v>
      </c>
      <c r="O32" s="464"/>
      <c r="P32" s="462">
        <f t="shared" si="11"/>
        <v>0</v>
      </c>
      <c r="Q32" s="190">
        <f t="shared" si="13"/>
        <v>1081.1400000000001</v>
      </c>
      <c r="R32" s="223">
        <f ca="1">+SUM(R33:R34)</f>
        <v>2431.4836959999998</v>
      </c>
      <c r="S32" s="217"/>
      <c r="T32" s="218"/>
      <c r="U32" s="207"/>
      <c r="V32" s="219"/>
      <c r="W32" s="196"/>
      <c r="X32" s="220"/>
      <c r="Y32" s="198"/>
      <c r="Z32" s="199"/>
      <c r="AA32" s="200"/>
      <c r="AB32" s="170"/>
      <c r="AC32" s="171"/>
      <c r="AD32" s="129">
        <f ca="1">+H32+K32+N32-P32-R32</f>
        <v>15947.896304000002</v>
      </c>
    </row>
    <row r="33" spans="1:30" x14ac:dyDescent="0.25">
      <c r="A33" s="201" t="s">
        <v>632</v>
      </c>
      <c r="B33" s="28" t="s">
        <v>794</v>
      </c>
      <c r="C33" s="202" t="s">
        <v>12</v>
      </c>
      <c r="D33" s="188"/>
      <c r="E33" s="189"/>
      <c r="F33" s="456">
        <v>0</v>
      </c>
      <c r="G33" s="456"/>
      <c r="H33" s="455"/>
      <c r="I33" s="446"/>
      <c r="J33" s="443"/>
      <c r="K33" s="444">
        <f t="shared" si="10"/>
        <v>0</v>
      </c>
      <c r="L33" s="476">
        <v>5273.91</v>
      </c>
      <c r="M33" s="477">
        <v>0.2</v>
      </c>
      <c r="N33" s="478">
        <f t="shared" si="8"/>
        <v>1054.7819999999999</v>
      </c>
      <c r="O33" s="464"/>
      <c r="P33" s="462">
        <f t="shared" si="11"/>
        <v>0</v>
      </c>
      <c r="Q33" s="190">
        <f t="shared" si="13"/>
        <v>5273.91</v>
      </c>
      <c r="R33" s="203">
        <f t="shared" si="18"/>
        <v>1054.7819999999999</v>
      </c>
      <c r="S33" s="217"/>
      <c r="T33" s="218"/>
      <c r="U33" s="207"/>
      <c r="V33" s="219"/>
      <c r="W33" s="196"/>
      <c r="X33" s="220"/>
      <c r="Y33" s="198"/>
      <c r="Z33" s="199"/>
      <c r="AA33" s="200"/>
      <c r="AB33" s="170"/>
      <c r="AC33" s="171"/>
      <c r="AD33" s="129">
        <f t="shared" si="7"/>
        <v>0</v>
      </c>
    </row>
    <row r="34" spans="1:30" x14ac:dyDescent="0.25">
      <c r="A34" s="201" t="s">
        <v>633</v>
      </c>
      <c r="B34" s="28" t="s">
        <v>625</v>
      </c>
      <c r="C34" s="202" t="s">
        <v>4</v>
      </c>
      <c r="D34" s="188"/>
      <c r="E34" s="189"/>
      <c r="F34" s="456">
        <v>0</v>
      </c>
      <c r="G34" s="456"/>
      <c r="H34" s="455"/>
      <c r="I34" s="446"/>
      <c r="J34" s="443"/>
      <c r="K34" s="444">
        <f>+PRODUCT(I34:J34)</f>
        <v>0</v>
      </c>
      <c r="L34" s="476">
        <f ca="1">+'MET_PLUVIAL BASE'!I43</f>
        <v>56.607799999999997</v>
      </c>
      <c r="M34" s="477">
        <v>24.32</v>
      </c>
      <c r="N34" s="478">
        <f ca="1">+PRODUCT(L34:M34)</f>
        <v>1376.7016959999999</v>
      </c>
      <c r="O34" s="464"/>
      <c r="P34" s="462">
        <f t="shared" si="11"/>
        <v>0</v>
      </c>
      <c r="Q34" s="190">
        <f ca="1">+F34+J34+L34-O34</f>
        <v>56.607799999999997</v>
      </c>
      <c r="R34" s="203">
        <f ca="1">+Q34*$M34</f>
        <v>1376.7016959999999</v>
      </c>
      <c r="S34" s="217"/>
      <c r="T34" s="218"/>
      <c r="U34" s="207"/>
      <c r="V34" s="219"/>
      <c r="W34" s="196"/>
      <c r="X34" s="220"/>
      <c r="Y34" s="198"/>
      <c r="Z34" s="199"/>
      <c r="AA34" s="200"/>
      <c r="AB34" s="170"/>
      <c r="AC34" s="171"/>
      <c r="AD34" s="129">
        <f ca="1">+H34+K34+N34-P34-R34</f>
        <v>0</v>
      </c>
    </row>
    <row r="35" spans="1:30" s="215" customFormat="1" x14ac:dyDescent="0.25">
      <c r="A35" s="201" t="s">
        <v>634</v>
      </c>
      <c r="B35" s="28" t="s">
        <v>789</v>
      </c>
      <c r="C35" s="202" t="s">
        <v>4</v>
      </c>
      <c r="D35" s="221"/>
      <c r="E35" s="189"/>
      <c r="F35" s="456">
        <v>0</v>
      </c>
      <c r="G35" s="456"/>
      <c r="H35" s="455"/>
      <c r="I35" s="446"/>
      <c r="J35" s="443"/>
      <c r="K35" s="444">
        <f t="shared" si="10"/>
        <v>0</v>
      </c>
      <c r="L35" s="476">
        <f ca="1">+'MET_PLUVIAL BASE'!I44</f>
        <v>152.36280296822446</v>
      </c>
      <c r="M35" s="477">
        <v>18.239999999999998</v>
      </c>
      <c r="N35" s="478">
        <f ca="1">+PRODUCT(L35:M35)</f>
        <v>2779.0975261404137</v>
      </c>
      <c r="O35" s="464"/>
      <c r="P35" s="462">
        <f t="shared" si="11"/>
        <v>0</v>
      </c>
      <c r="Q35" s="190">
        <f ca="1">+F35+J35+L35-O35</f>
        <v>152.36280296822446</v>
      </c>
      <c r="R35" s="216" t="e">
        <f>+R36</f>
        <v>#REF!</v>
      </c>
      <c r="S35" s="211"/>
      <c r="T35" s="212"/>
      <c r="U35" s="180">
        <f>SUM(U37:U63)</f>
        <v>0</v>
      </c>
      <c r="V35" s="213"/>
      <c r="W35" s="182" t="e">
        <f>SUM(W37:W63)</f>
        <v>#REF!</v>
      </c>
      <c r="X35" s="214"/>
      <c r="Y35" s="184" t="e">
        <f>SUM(Y37:Y63)</f>
        <v>#REF!</v>
      </c>
      <c r="Z35" s="222"/>
      <c r="AA35" s="186" t="e">
        <f>SUM(AA37:AA63)</f>
        <v>#REF!</v>
      </c>
      <c r="AB35" s="170">
        <f ca="1">+H35+K35+N35-P35</f>
        <v>2779.0975261404137</v>
      </c>
      <c r="AC35" s="171">
        <f t="shared" ref="AC35:AC36" si="19">+H35+K35-P35</f>
        <v>0</v>
      </c>
      <c r="AD35" s="129" t="e">
        <f ca="1">+H35+K35+N35-P35-R35</f>
        <v>#REF!</v>
      </c>
    </row>
    <row r="36" spans="1:30" x14ac:dyDescent="0.25">
      <c r="A36" s="201" t="s">
        <v>828</v>
      </c>
      <c r="B36" s="28" t="s">
        <v>624</v>
      </c>
      <c r="C36" s="202" t="s">
        <v>4</v>
      </c>
      <c r="D36" s="188"/>
      <c r="E36" s="189"/>
      <c r="F36" s="456">
        <v>0</v>
      </c>
      <c r="G36" s="456"/>
      <c r="H36" s="455"/>
      <c r="I36" s="446"/>
      <c r="J36" s="447"/>
      <c r="K36" s="444">
        <f t="shared" si="10"/>
        <v>0</v>
      </c>
      <c r="L36" s="476">
        <v>152.36000000000001</v>
      </c>
      <c r="M36" s="477">
        <v>4.54</v>
      </c>
      <c r="N36" s="478">
        <f t="shared" si="8"/>
        <v>691.71440000000007</v>
      </c>
      <c r="O36" s="464"/>
      <c r="P36" s="462">
        <f t="shared" si="11"/>
        <v>0</v>
      </c>
      <c r="Q36" s="190">
        <f t="shared" si="13"/>
        <v>152.36000000000001</v>
      </c>
      <c r="R36" s="223" t="e">
        <f>+SUM(R37:R60)</f>
        <v>#REF!</v>
      </c>
      <c r="S36" s="192"/>
      <c r="T36" s="193"/>
      <c r="U36" s="194"/>
      <c r="V36" s="195"/>
      <c r="W36" s="196"/>
      <c r="X36" s="197"/>
      <c r="Y36" s="198"/>
      <c r="Z36" s="199"/>
      <c r="AA36" s="200"/>
      <c r="AB36" s="170">
        <f t="shared" si="0"/>
        <v>691.71440000000007</v>
      </c>
      <c r="AC36" s="171">
        <f t="shared" si="19"/>
        <v>0</v>
      </c>
      <c r="AD36" s="129" t="e">
        <f t="shared" si="7"/>
        <v>#REF!</v>
      </c>
    </row>
    <row r="37" spans="1:30" x14ac:dyDescent="0.25">
      <c r="A37" s="201"/>
      <c r="B37" s="28"/>
      <c r="C37" s="202"/>
      <c r="D37" s="188"/>
      <c r="E37" s="189"/>
      <c r="F37" s="456"/>
      <c r="G37" s="456"/>
      <c r="H37" s="455"/>
      <c r="I37" s="446"/>
      <c r="J37" s="447"/>
      <c r="K37" s="444">
        <f t="shared" si="10"/>
        <v>0</v>
      </c>
      <c r="L37" s="476"/>
      <c r="M37" s="477"/>
      <c r="N37" s="475">
        <f t="shared" si="8"/>
        <v>0</v>
      </c>
      <c r="O37" s="464"/>
      <c r="P37" s="462">
        <f t="shared" si="11"/>
        <v>0</v>
      </c>
      <c r="Q37" s="190">
        <f t="shared" si="13"/>
        <v>0</v>
      </c>
      <c r="R37" s="203">
        <f t="shared" ref="R37:R40" si="20">+Q37*$G37</f>
        <v>0</v>
      </c>
      <c r="S37" s="217"/>
      <c r="T37" s="218"/>
      <c r="U37" s="207"/>
      <c r="V37" s="219"/>
      <c r="W37" s="196">
        <f t="shared" ref="W37:W63" si="21">+V37*$G37</f>
        <v>0</v>
      </c>
      <c r="X37" s="220"/>
      <c r="Y37" s="198">
        <f t="shared" ref="Y37:Y63" si="22">+X37*$G37</f>
        <v>0</v>
      </c>
      <c r="Z37" s="199">
        <f t="shared" ref="Z37:Z63" si="23">Q37+S37-X37</f>
        <v>0</v>
      </c>
      <c r="AA37" s="200">
        <f t="shared" ref="AA37:AA63" si="24">+R37+U37-Y37</f>
        <v>0</v>
      </c>
      <c r="AB37" s="170">
        <f t="shared" si="0"/>
        <v>0</v>
      </c>
      <c r="AC37" s="171">
        <f t="shared" si="6"/>
        <v>0</v>
      </c>
      <c r="AD37" s="129">
        <f t="shared" si="7"/>
        <v>0</v>
      </c>
    </row>
    <row r="38" spans="1:30" x14ac:dyDescent="0.25">
      <c r="A38" s="73" t="s">
        <v>25</v>
      </c>
      <c r="B38" s="74" t="s">
        <v>626</v>
      </c>
      <c r="C38" s="202"/>
      <c r="D38" s="188"/>
      <c r="E38" s="189"/>
      <c r="F38" s="456">
        <v>0</v>
      </c>
      <c r="G38" s="456"/>
      <c r="H38" s="455"/>
      <c r="I38" s="446"/>
      <c r="J38" s="447"/>
      <c r="K38" s="444">
        <f t="shared" si="10"/>
        <v>0</v>
      </c>
      <c r="L38" s="476"/>
      <c r="M38" s="477"/>
      <c r="N38" s="475">
        <f t="shared" si="8"/>
        <v>0</v>
      </c>
      <c r="O38" s="464"/>
      <c r="P38" s="462">
        <f t="shared" si="11"/>
        <v>0</v>
      </c>
      <c r="Q38" s="190">
        <f t="shared" si="13"/>
        <v>0</v>
      </c>
      <c r="R38" s="203">
        <f t="shared" si="20"/>
        <v>0</v>
      </c>
      <c r="S38" s="217"/>
      <c r="T38" s="218"/>
      <c r="U38" s="207"/>
      <c r="V38" s="219"/>
      <c r="W38" s="196">
        <f t="shared" si="21"/>
        <v>0</v>
      </c>
      <c r="X38" s="220"/>
      <c r="Y38" s="198">
        <f t="shared" si="22"/>
        <v>0</v>
      </c>
      <c r="Z38" s="199">
        <f t="shared" si="23"/>
        <v>0</v>
      </c>
      <c r="AA38" s="200">
        <f t="shared" si="24"/>
        <v>0</v>
      </c>
      <c r="AB38" s="170">
        <f t="shared" si="0"/>
        <v>0</v>
      </c>
      <c r="AC38" s="171">
        <f t="shared" si="6"/>
        <v>0</v>
      </c>
      <c r="AD38" s="129">
        <f t="shared" si="7"/>
        <v>0</v>
      </c>
    </row>
    <row r="39" spans="1:30" x14ac:dyDescent="0.25">
      <c r="A39" s="201" t="s">
        <v>26</v>
      </c>
      <c r="B39" s="46" t="s">
        <v>627</v>
      </c>
      <c r="C39" s="202" t="s">
        <v>45</v>
      </c>
      <c r="D39" s="188"/>
      <c r="E39" s="189"/>
      <c r="F39" s="456">
        <v>0</v>
      </c>
      <c r="G39" s="456"/>
      <c r="H39" s="455"/>
      <c r="I39" s="446"/>
      <c r="J39" s="447"/>
      <c r="K39" s="444">
        <f t="shared" si="10"/>
        <v>0</v>
      </c>
      <c r="L39" s="476">
        <v>93.92</v>
      </c>
      <c r="M39" s="477">
        <v>34.96</v>
      </c>
      <c r="N39" s="478">
        <f t="shared" si="8"/>
        <v>3283.4432000000002</v>
      </c>
      <c r="O39" s="464"/>
      <c r="P39" s="462">
        <f t="shared" si="11"/>
        <v>0</v>
      </c>
      <c r="Q39" s="190">
        <f t="shared" si="13"/>
        <v>93.92</v>
      </c>
      <c r="R39" s="203">
        <f t="shared" si="20"/>
        <v>0</v>
      </c>
      <c r="S39" s="217"/>
      <c r="T39" s="218"/>
      <c r="U39" s="207"/>
      <c r="V39" s="219"/>
      <c r="W39" s="196">
        <f t="shared" si="21"/>
        <v>0</v>
      </c>
      <c r="X39" s="220"/>
      <c r="Y39" s="198">
        <f t="shared" si="22"/>
        <v>0</v>
      </c>
      <c r="Z39" s="199">
        <f t="shared" si="23"/>
        <v>93.92</v>
      </c>
      <c r="AA39" s="200">
        <f t="shared" si="24"/>
        <v>0</v>
      </c>
      <c r="AB39" s="170">
        <f t="shared" si="0"/>
        <v>3283.4432000000002</v>
      </c>
      <c r="AC39" s="171">
        <f t="shared" si="6"/>
        <v>3283.4432000000002</v>
      </c>
      <c r="AD39" s="129">
        <f t="shared" si="7"/>
        <v>3283.4432000000002</v>
      </c>
    </row>
    <row r="40" spans="1:30" x14ac:dyDescent="0.25">
      <c r="A40" s="201" t="s">
        <v>654</v>
      </c>
      <c r="B40" s="28" t="s">
        <v>680</v>
      </c>
      <c r="C40" s="202" t="s">
        <v>45</v>
      </c>
      <c r="D40" s="188"/>
      <c r="E40" s="189"/>
      <c r="F40" s="456">
        <v>0</v>
      </c>
      <c r="G40" s="456"/>
      <c r="H40" s="455"/>
      <c r="I40" s="446"/>
      <c r="J40" s="447"/>
      <c r="K40" s="444">
        <f t="shared" si="10"/>
        <v>0</v>
      </c>
      <c r="L40" s="476">
        <v>33.340000000000003</v>
      </c>
      <c r="M40" s="477">
        <v>34.96</v>
      </c>
      <c r="N40" s="478">
        <f t="shared" si="8"/>
        <v>1165.5664000000002</v>
      </c>
      <c r="O40" s="464"/>
      <c r="P40" s="462">
        <f t="shared" si="11"/>
        <v>0</v>
      </c>
      <c r="Q40" s="190">
        <f t="shared" si="13"/>
        <v>33.340000000000003</v>
      </c>
      <c r="R40" s="203">
        <f t="shared" si="20"/>
        <v>0</v>
      </c>
      <c r="S40" s="217"/>
      <c r="T40" s="218"/>
      <c r="U40" s="207"/>
      <c r="V40" s="219"/>
      <c r="W40" s="196">
        <f t="shared" si="21"/>
        <v>0</v>
      </c>
      <c r="X40" s="220"/>
      <c r="Y40" s="198">
        <f t="shared" si="22"/>
        <v>0</v>
      </c>
      <c r="Z40" s="199">
        <f t="shared" si="23"/>
        <v>33.340000000000003</v>
      </c>
      <c r="AA40" s="200">
        <f t="shared" si="24"/>
        <v>0</v>
      </c>
      <c r="AB40" s="170">
        <f t="shared" si="0"/>
        <v>1165.5664000000002</v>
      </c>
      <c r="AC40" s="171">
        <f t="shared" si="6"/>
        <v>1165.5664000000002</v>
      </c>
      <c r="AD40" s="129">
        <f t="shared" si="7"/>
        <v>1165.5664000000002</v>
      </c>
    </row>
    <row r="41" spans="1:30" x14ac:dyDescent="0.25">
      <c r="A41" s="201"/>
      <c r="B41" s="28"/>
      <c r="C41" s="202"/>
      <c r="D41" s="188"/>
      <c r="E41" s="189"/>
      <c r="F41" s="456"/>
      <c r="G41" s="456"/>
      <c r="H41" s="455"/>
      <c r="I41" s="446"/>
      <c r="J41" s="447"/>
      <c r="K41" s="444">
        <f t="shared" si="10"/>
        <v>0</v>
      </c>
      <c r="L41" s="476"/>
      <c r="M41" s="477"/>
      <c r="N41" s="475">
        <f t="shared" si="8"/>
        <v>0</v>
      </c>
      <c r="O41" s="464"/>
      <c r="P41" s="462">
        <f t="shared" si="11"/>
        <v>0</v>
      </c>
      <c r="Q41" s="190">
        <f t="shared" si="13"/>
        <v>0</v>
      </c>
      <c r="R41" s="203">
        <f>+ROUNDUP(Q41*$G41,2)</f>
        <v>0</v>
      </c>
      <c r="S41" s="217"/>
      <c r="T41" s="218"/>
      <c r="U41" s="207"/>
      <c r="V41" s="219"/>
      <c r="W41" s="196">
        <f t="shared" si="21"/>
        <v>0</v>
      </c>
      <c r="X41" s="220"/>
      <c r="Y41" s="198">
        <f t="shared" si="22"/>
        <v>0</v>
      </c>
      <c r="Z41" s="199">
        <f t="shared" si="23"/>
        <v>0</v>
      </c>
      <c r="AA41" s="200">
        <f t="shared" si="24"/>
        <v>0</v>
      </c>
      <c r="AB41" s="170">
        <f t="shared" si="0"/>
        <v>0</v>
      </c>
      <c r="AC41" s="171">
        <f t="shared" si="6"/>
        <v>0</v>
      </c>
      <c r="AD41" s="129">
        <f t="shared" si="7"/>
        <v>0</v>
      </c>
    </row>
    <row r="42" spans="1:30" s="224" customFormat="1" x14ac:dyDescent="0.25">
      <c r="A42" s="73" t="s">
        <v>829</v>
      </c>
      <c r="B42" s="74" t="s">
        <v>225</v>
      </c>
      <c r="C42" s="202"/>
      <c r="D42" s="188"/>
      <c r="E42" s="189"/>
      <c r="F42" s="456"/>
      <c r="G42" s="456"/>
      <c r="H42" s="455"/>
      <c r="I42" s="446"/>
      <c r="J42" s="447"/>
      <c r="K42" s="444">
        <f t="shared" si="10"/>
        <v>0</v>
      </c>
      <c r="L42" s="476"/>
      <c r="M42" s="477"/>
      <c r="N42" s="475">
        <f t="shared" si="8"/>
        <v>0</v>
      </c>
      <c r="O42" s="464"/>
      <c r="P42" s="462">
        <f t="shared" si="11"/>
        <v>0</v>
      </c>
      <c r="Q42" s="190">
        <f t="shared" si="13"/>
        <v>0</v>
      </c>
      <c r="R42" s="203">
        <f>+ROUNDUP(Q42*$G42,2)</f>
        <v>0</v>
      </c>
      <c r="S42" s="217"/>
      <c r="T42" s="218"/>
      <c r="U42" s="207"/>
      <c r="V42" s="219"/>
      <c r="W42" s="196">
        <f t="shared" si="21"/>
        <v>0</v>
      </c>
      <c r="X42" s="220"/>
      <c r="Y42" s="198">
        <f t="shared" si="22"/>
        <v>0</v>
      </c>
      <c r="Z42" s="199">
        <f t="shared" si="23"/>
        <v>0</v>
      </c>
      <c r="AA42" s="200">
        <f t="shared" si="24"/>
        <v>0</v>
      </c>
      <c r="AB42" s="170">
        <f t="shared" si="0"/>
        <v>0</v>
      </c>
      <c r="AC42" s="171">
        <f t="shared" si="6"/>
        <v>0</v>
      </c>
      <c r="AD42" s="129">
        <f t="shared" si="7"/>
        <v>0</v>
      </c>
    </row>
    <row r="43" spans="1:30" x14ac:dyDescent="0.25">
      <c r="A43" s="201" t="s">
        <v>830</v>
      </c>
      <c r="B43" s="28" t="s">
        <v>359</v>
      </c>
      <c r="C43" s="202">
        <v>0</v>
      </c>
      <c r="D43" s="188"/>
      <c r="E43" s="189"/>
      <c r="F43" s="456">
        <v>28.099999999999998</v>
      </c>
      <c r="G43" s="490">
        <v>45.53</v>
      </c>
      <c r="H43" s="457">
        <f>+PRODUCT(F43:G43)</f>
        <v>1279.393</v>
      </c>
      <c r="I43" s="446">
        <v>46.56</v>
      </c>
      <c r="J43" s="447">
        <v>52</v>
      </c>
      <c r="K43" s="449">
        <f t="shared" si="10"/>
        <v>2421.12</v>
      </c>
      <c r="L43" s="476"/>
      <c r="M43" s="477"/>
      <c r="N43" s="475">
        <f t="shared" si="8"/>
        <v>0</v>
      </c>
      <c r="O43" s="464"/>
      <c r="P43" s="462"/>
      <c r="Q43" s="190">
        <f t="shared" si="13"/>
        <v>80.099999999999994</v>
      </c>
      <c r="R43" s="203">
        <f>+ROUNDUP(Q43*$G43,2)</f>
        <v>3646.96</v>
      </c>
      <c r="S43" s="217"/>
      <c r="T43" s="218"/>
      <c r="U43" s="207"/>
      <c r="V43" s="225"/>
      <c r="W43" s="196">
        <f>+V43*$G43</f>
        <v>0</v>
      </c>
      <c r="X43" s="226"/>
      <c r="Y43" s="198">
        <f>+X43*$G43</f>
        <v>0</v>
      </c>
      <c r="Z43" s="199">
        <f t="shared" si="23"/>
        <v>80.099999999999994</v>
      </c>
      <c r="AA43" s="200">
        <f t="shared" si="24"/>
        <v>3646.96</v>
      </c>
      <c r="AB43" s="170">
        <f t="shared" ref="AB43:AB49" si="25">+H43+K43+N43-P43</f>
        <v>3700.5129999999999</v>
      </c>
      <c r="AC43" s="171">
        <f t="shared" si="6"/>
        <v>53.552999999999884</v>
      </c>
      <c r="AD43" s="129">
        <f t="shared" ref="AD43:AD49" si="26">+H43+K43+N43-P43-R43</f>
        <v>53.552999999999884</v>
      </c>
    </row>
    <row r="44" spans="1:30" x14ac:dyDescent="0.25">
      <c r="A44" s="201" t="s">
        <v>831</v>
      </c>
      <c r="B44" s="28" t="s">
        <v>235</v>
      </c>
      <c r="C44" s="202" t="s">
        <v>45</v>
      </c>
      <c r="D44" s="188"/>
      <c r="E44" s="189"/>
      <c r="F44" s="456">
        <v>416.9</v>
      </c>
      <c r="G44" s="490">
        <v>79.38</v>
      </c>
      <c r="H44" s="457">
        <f t="shared" ref="H44:H107" si="27">+PRODUCT(F44:G44)</f>
        <v>33093.521999999997</v>
      </c>
      <c r="I44" s="446">
        <v>87.61</v>
      </c>
      <c r="J44" s="447">
        <v>135.4</v>
      </c>
      <c r="K44" s="449">
        <f t="shared" si="10"/>
        <v>11862.394</v>
      </c>
      <c r="L44" s="476"/>
      <c r="M44" s="477"/>
      <c r="N44" s="475">
        <f t="shared" si="8"/>
        <v>0</v>
      </c>
      <c r="O44" s="464"/>
      <c r="P44" s="462"/>
      <c r="Q44" s="190">
        <f t="shared" si="13"/>
        <v>552.29999999999995</v>
      </c>
      <c r="R44" s="203">
        <f>+ROUNDUP(Q44*$G44,2)</f>
        <v>43841.58</v>
      </c>
      <c r="S44" s="217"/>
      <c r="T44" s="218"/>
      <c r="U44" s="207"/>
      <c r="V44" s="225"/>
      <c r="W44" s="196">
        <f>+V44*$G44</f>
        <v>0</v>
      </c>
      <c r="X44" s="226"/>
      <c r="Y44" s="198">
        <f>+X44*$G44</f>
        <v>0</v>
      </c>
      <c r="Z44" s="199">
        <f t="shared" si="23"/>
        <v>552.29999999999995</v>
      </c>
      <c r="AA44" s="200">
        <f t="shared" si="24"/>
        <v>43841.58</v>
      </c>
      <c r="AB44" s="170">
        <f t="shared" si="25"/>
        <v>44955.915999999997</v>
      </c>
      <c r="AC44" s="171">
        <f t="shared" si="6"/>
        <v>1114.3359999999957</v>
      </c>
      <c r="AD44" s="129">
        <f t="shared" si="26"/>
        <v>1114.3359999999957</v>
      </c>
    </row>
    <row r="45" spans="1:30" x14ac:dyDescent="0.25">
      <c r="A45" s="201" t="s">
        <v>832</v>
      </c>
      <c r="B45" s="28" t="s">
        <v>236</v>
      </c>
      <c r="C45" s="202" t="s">
        <v>45</v>
      </c>
      <c r="D45" s="188"/>
      <c r="E45" s="189"/>
      <c r="F45" s="456">
        <v>103.6</v>
      </c>
      <c r="G45" s="490">
        <v>222.71</v>
      </c>
      <c r="H45" s="457">
        <f t="shared" si="27"/>
        <v>23072.756000000001</v>
      </c>
      <c r="I45" s="446">
        <v>234.23</v>
      </c>
      <c r="J45" s="447">
        <v>33.65</v>
      </c>
      <c r="K45" s="449">
        <f t="shared" si="10"/>
        <v>7881.8394999999991</v>
      </c>
      <c r="L45" s="476"/>
      <c r="M45" s="477"/>
      <c r="N45" s="475">
        <f t="shared" si="8"/>
        <v>0</v>
      </c>
      <c r="O45" s="464"/>
      <c r="P45" s="462"/>
      <c r="Q45" s="190">
        <f t="shared" si="13"/>
        <v>137.25</v>
      </c>
      <c r="R45" s="203">
        <f>ROUND(Q45*$G45,2)</f>
        <v>30566.95</v>
      </c>
      <c r="S45" s="217"/>
      <c r="T45" s="218"/>
      <c r="U45" s="207"/>
      <c r="V45" s="219"/>
      <c r="W45" s="196">
        <f>+V45*$G45</f>
        <v>0</v>
      </c>
      <c r="X45" s="220"/>
      <c r="Y45" s="198">
        <f>+X45*$G45</f>
        <v>0</v>
      </c>
      <c r="Z45" s="199">
        <f t="shared" si="23"/>
        <v>137.25</v>
      </c>
      <c r="AA45" s="200">
        <f t="shared" si="24"/>
        <v>30566.95</v>
      </c>
      <c r="AB45" s="170">
        <f t="shared" si="25"/>
        <v>30954.595499999999</v>
      </c>
      <c r="AC45" s="171">
        <f t="shared" si="6"/>
        <v>387.64549999999872</v>
      </c>
      <c r="AD45" s="129">
        <f t="shared" si="26"/>
        <v>387.64549999999872</v>
      </c>
    </row>
    <row r="46" spans="1:30" x14ac:dyDescent="0.25">
      <c r="A46" s="201" t="s">
        <v>833</v>
      </c>
      <c r="B46" s="28" t="s">
        <v>267</v>
      </c>
      <c r="C46" s="202" t="s">
        <v>45</v>
      </c>
      <c r="D46" s="188"/>
      <c r="E46" s="189"/>
      <c r="F46" s="456">
        <v>440</v>
      </c>
      <c r="G46" s="490">
        <v>47.8</v>
      </c>
      <c r="H46" s="457">
        <f t="shared" si="27"/>
        <v>21032</v>
      </c>
      <c r="I46" s="448"/>
      <c r="J46" s="447"/>
      <c r="K46" s="444">
        <f>+PRODUCT(I46:J46)</f>
        <v>0</v>
      </c>
      <c r="L46" s="476"/>
      <c r="M46" s="477"/>
      <c r="N46" s="475">
        <f t="shared" si="8"/>
        <v>0</v>
      </c>
      <c r="O46" s="464"/>
      <c r="P46" s="462">
        <f t="shared" si="11"/>
        <v>0</v>
      </c>
      <c r="Q46" s="190">
        <f t="shared" si="13"/>
        <v>440</v>
      </c>
      <c r="R46" s="203">
        <f>ROUND(Q46*$G46,2)</f>
        <v>21032</v>
      </c>
      <c r="S46" s="217"/>
      <c r="T46" s="218"/>
      <c r="U46" s="207"/>
      <c r="V46" s="225"/>
      <c r="W46" s="196">
        <f>+V46*$G46</f>
        <v>0</v>
      </c>
      <c r="X46" s="226"/>
      <c r="Y46" s="198">
        <f>+X46*$G46</f>
        <v>0</v>
      </c>
      <c r="Z46" s="199">
        <f t="shared" si="23"/>
        <v>440</v>
      </c>
      <c r="AA46" s="200">
        <f t="shared" si="24"/>
        <v>21032</v>
      </c>
      <c r="AB46" s="170">
        <f t="shared" si="25"/>
        <v>21032</v>
      </c>
      <c r="AC46" s="171">
        <f t="shared" si="6"/>
        <v>0</v>
      </c>
      <c r="AD46" s="129">
        <f t="shared" si="26"/>
        <v>0</v>
      </c>
    </row>
    <row r="47" spans="1:30" x14ac:dyDescent="0.25">
      <c r="A47" s="201" t="s">
        <v>834</v>
      </c>
      <c r="B47" s="28" t="s">
        <v>347</v>
      </c>
      <c r="C47" s="202" t="s">
        <v>345</v>
      </c>
      <c r="D47" s="188"/>
      <c r="E47" s="189"/>
      <c r="F47" s="456">
        <v>118</v>
      </c>
      <c r="G47" s="490">
        <v>61.62</v>
      </c>
      <c r="H47" s="457">
        <f t="shared" si="27"/>
        <v>7271.16</v>
      </c>
      <c r="I47" s="446">
        <v>64.56</v>
      </c>
      <c r="J47" s="447">
        <v>98.45</v>
      </c>
      <c r="K47" s="449">
        <f t="shared" si="10"/>
        <v>6355.9320000000007</v>
      </c>
      <c r="L47" s="476"/>
      <c r="M47" s="477"/>
      <c r="N47" s="475">
        <f t="shared" si="8"/>
        <v>0</v>
      </c>
      <c r="O47" s="464"/>
      <c r="P47" s="462"/>
      <c r="Q47" s="190">
        <f t="shared" si="13"/>
        <v>216.45</v>
      </c>
      <c r="R47" s="203">
        <f>ROUND(Q47*$G47,2)</f>
        <v>13337.65</v>
      </c>
      <c r="S47" s="217"/>
      <c r="T47" s="218"/>
      <c r="U47" s="207"/>
      <c r="V47" s="219"/>
      <c r="W47" s="196">
        <f>+V47*$G47</f>
        <v>0</v>
      </c>
      <c r="X47" s="220"/>
      <c r="Y47" s="198">
        <f>+X47*$G47</f>
        <v>0</v>
      </c>
      <c r="Z47" s="199">
        <f t="shared" si="23"/>
        <v>216.45</v>
      </c>
      <c r="AA47" s="200">
        <f t="shared" si="24"/>
        <v>13337.65</v>
      </c>
      <c r="AB47" s="170">
        <f t="shared" si="25"/>
        <v>13627.092000000001</v>
      </c>
      <c r="AC47" s="171">
        <f t="shared" si="6"/>
        <v>289.44200000000092</v>
      </c>
      <c r="AD47" s="129">
        <f t="shared" si="26"/>
        <v>289.44200000000092</v>
      </c>
    </row>
    <row r="48" spans="1:30" x14ac:dyDescent="0.25">
      <c r="A48" s="201" t="s">
        <v>835</v>
      </c>
      <c r="B48" s="28" t="s">
        <v>269</v>
      </c>
      <c r="C48" s="202" t="s">
        <v>345</v>
      </c>
      <c r="D48" s="188"/>
      <c r="E48" s="189"/>
      <c r="F48" s="456">
        <v>510</v>
      </c>
      <c r="G48" s="491">
        <v>76.27</v>
      </c>
      <c r="H48" s="457">
        <f t="shared" si="27"/>
        <v>38897.699999999997</v>
      </c>
      <c r="I48" s="446">
        <v>79.209999999999994</v>
      </c>
      <c r="J48" s="447"/>
      <c r="K48" s="449"/>
      <c r="L48" s="476"/>
      <c r="M48" s="477"/>
      <c r="N48" s="475">
        <f t="shared" si="8"/>
        <v>0</v>
      </c>
      <c r="O48" s="464">
        <v>51</v>
      </c>
      <c r="P48" s="466">
        <f>+PRODUCT(I48,O48)</f>
        <v>4039.7099999999996</v>
      </c>
      <c r="Q48" s="190">
        <f t="shared" si="13"/>
        <v>459</v>
      </c>
      <c r="R48" s="203">
        <f>ROUND(Q48*$G49,2)</f>
        <v>113552.01</v>
      </c>
      <c r="S48" s="217"/>
      <c r="T48" s="218"/>
      <c r="U48" s="207"/>
      <c r="V48" s="219"/>
      <c r="W48" s="196">
        <f>+V48*$G49</f>
        <v>0</v>
      </c>
      <c r="X48" s="220"/>
      <c r="Y48" s="198">
        <f>+X48*$G49</f>
        <v>0</v>
      </c>
      <c r="Z48" s="199">
        <f t="shared" si="23"/>
        <v>459</v>
      </c>
      <c r="AA48" s="200">
        <f t="shared" si="24"/>
        <v>113552.01</v>
      </c>
      <c r="AB48" s="170">
        <f t="shared" si="25"/>
        <v>34857.99</v>
      </c>
      <c r="AC48" s="171">
        <f t="shared" si="6"/>
        <v>-78694.01999999999</v>
      </c>
      <c r="AD48" s="129">
        <f t="shared" si="26"/>
        <v>-78694.01999999999</v>
      </c>
    </row>
    <row r="49" spans="1:33" x14ac:dyDescent="0.25">
      <c r="A49" s="201" t="s">
        <v>836</v>
      </c>
      <c r="B49" s="28" t="s">
        <v>271</v>
      </c>
      <c r="C49" s="202" t="s">
        <v>45</v>
      </c>
      <c r="D49" s="188"/>
      <c r="E49" s="189"/>
      <c r="F49" s="456">
        <v>45</v>
      </c>
      <c r="G49" s="490">
        <v>247.39</v>
      </c>
      <c r="H49" s="457">
        <f t="shared" si="27"/>
        <v>11132.55</v>
      </c>
      <c r="I49" s="446">
        <v>294.83</v>
      </c>
      <c r="J49" s="447">
        <v>18</v>
      </c>
      <c r="K49" s="449">
        <f t="shared" si="10"/>
        <v>5306.94</v>
      </c>
      <c r="L49" s="476"/>
      <c r="M49" s="477"/>
      <c r="N49" s="475">
        <f t="shared" si="8"/>
        <v>0</v>
      </c>
      <c r="O49" s="464"/>
      <c r="P49" s="466"/>
      <c r="Q49" s="190">
        <f t="shared" si="13"/>
        <v>63</v>
      </c>
      <c r="R49" s="203" t="e">
        <f>ROUND(Q49*#REF!,2)</f>
        <v>#REF!</v>
      </c>
      <c r="S49" s="217"/>
      <c r="T49" s="218"/>
      <c r="U49" s="207"/>
      <c r="V49" s="219"/>
      <c r="W49" s="196" t="e">
        <f>+V49*#REF!</f>
        <v>#REF!</v>
      </c>
      <c r="X49" s="220"/>
      <c r="Y49" s="198" t="e">
        <f>+X49*#REF!</f>
        <v>#REF!</v>
      </c>
      <c r="Z49" s="199">
        <f t="shared" si="23"/>
        <v>63</v>
      </c>
      <c r="AA49" s="200" t="e">
        <f t="shared" si="24"/>
        <v>#REF!</v>
      </c>
      <c r="AB49" s="170">
        <f t="shared" si="25"/>
        <v>16439.489999999998</v>
      </c>
      <c r="AC49" s="171" t="e">
        <f t="shared" si="6"/>
        <v>#REF!</v>
      </c>
      <c r="AD49" s="129" t="e">
        <f t="shared" si="26"/>
        <v>#REF!</v>
      </c>
    </row>
    <row r="50" spans="1:33" x14ac:dyDescent="0.25">
      <c r="A50" s="201" t="s">
        <v>837</v>
      </c>
      <c r="B50" s="28" t="s">
        <v>348</v>
      </c>
      <c r="C50" s="202" t="s">
        <v>45</v>
      </c>
      <c r="D50" s="188"/>
      <c r="E50" s="189"/>
      <c r="F50" s="456">
        <v>81</v>
      </c>
      <c r="G50" s="490">
        <v>70.69</v>
      </c>
      <c r="H50" s="457">
        <f t="shared" si="27"/>
        <v>5725.8899999999994</v>
      </c>
      <c r="I50" s="446">
        <v>78.87</v>
      </c>
      <c r="J50" s="447"/>
      <c r="K50" s="449"/>
      <c r="L50" s="476"/>
      <c r="M50" s="477"/>
      <c r="N50" s="475">
        <f t="shared" si="8"/>
        <v>0</v>
      </c>
      <c r="O50" s="464">
        <v>35</v>
      </c>
      <c r="P50" s="466">
        <f t="shared" si="11"/>
        <v>2760.4500000000003</v>
      </c>
      <c r="Q50" s="190">
        <f t="shared" si="13"/>
        <v>46</v>
      </c>
      <c r="R50" s="203">
        <f t="shared" ref="R50:R58" si="28">ROUND(Q50*$G50,2)</f>
        <v>3251.74</v>
      </c>
      <c r="S50" s="217"/>
      <c r="T50" s="218"/>
      <c r="U50" s="207"/>
      <c r="V50" s="219"/>
      <c r="W50" s="196">
        <f t="shared" si="21"/>
        <v>0</v>
      </c>
      <c r="X50" s="220"/>
      <c r="Y50" s="198">
        <f t="shared" si="22"/>
        <v>0</v>
      </c>
      <c r="Z50" s="199">
        <f t="shared" si="23"/>
        <v>46</v>
      </c>
      <c r="AA50" s="200">
        <f t="shared" si="24"/>
        <v>3251.74</v>
      </c>
      <c r="AB50" s="170">
        <f t="shared" si="0"/>
        <v>2965.4399999999991</v>
      </c>
      <c r="AC50" s="171">
        <f t="shared" si="6"/>
        <v>-286.30000000000064</v>
      </c>
      <c r="AD50" s="129">
        <f t="shared" si="7"/>
        <v>-286.30000000000064</v>
      </c>
    </row>
    <row r="51" spans="1:33" x14ac:dyDescent="0.25">
      <c r="A51" s="201"/>
      <c r="B51" s="1"/>
      <c r="C51" s="202"/>
      <c r="D51" s="188"/>
      <c r="E51" s="189"/>
      <c r="F51" s="456"/>
      <c r="G51" s="456"/>
      <c r="H51" s="455">
        <f t="shared" si="27"/>
        <v>0</v>
      </c>
      <c r="I51" s="446"/>
      <c r="J51" s="447"/>
      <c r="K51" s="444">
        <f t="shared" si="10"/>
        <v>0</v>
      </c>
      <c r="L51" s="476"/>
      <c r="M51" s="477"/>
      <c r="N51" s="475">
        <f t="shared" si="8"/>
        <v>0</v>
      </c>
      <c r="O51" s="464"/>
      <c r="P51" s="466">
        <f t="shared" si="11"/>
        <v>0</v>
      </c>
      <c r="Q51" s="190">
        <f t="shared" si="13"/>
        <v>0</v>
      </c>
      <c r="R51" s="203">
        <f t="shared" si="28"/>
        <v>0</v>
      </c>
      <c r="S51" s="217"/>
      <c r="T51" s="218"/>
      <c r="U51" s="207"/>
      <c r="V51" s="219"/>
      <c r="W51" s="196">
        <f t="shared" si="21"/>
        <v>0</v>
      </c>
      <c r="X51" s="220"/>
      <c r="Y51" s="198">
        <f t="shared" si="22"/>
        <v>0</v>
      </c>
      <c r="Z51" s="199">
        <f t="shared" si="23"/>
        <v>0</v>
      </c>
      <c r="AA51" s="200">
        <f t="shared" si="24"/>
        <v>0</v>
      </c>
      <c r="AB51" s="170">
        <f t="shared" si="0"/>
        <v>0</v>
      </c>
      <c r="AC51" s="171">
        <f t="shared" si="6"/>
        <v>0</v>
      </c>
      <c r="AD51" s="129">
        <f t="shared" si="7"/>
        <v>0</v>
      </c>
    </row>
    <row r="52" spans="1:33" x14ac:dyDescent="0.25">
      <c r="A52" s="73" t="s">
        <v>838</v>
      </c>
      <c r="B52" s="74" t="s">
        <v>224</v>
      </c>
      <c r="C52" s="202"/>
      <c r="D52" s="227"/>
      <c r="E52" s="189"/>
      <c r="F52" s="458"/>
      <c r="G52" s="456"/>
      <c r="H52" s="455">
        <f t="shared" si="27"/>
        <v>0</v>
      </c>
      <c r="I52" s="446"/>
      <c r="J52" s="447"/>
      <c r="K52" s="444">
        <f t="shared" si="10"/>
        <v>0</v>
      </c>
      <c r="L52" s="476"/>
      <c r="M52" s="477"/>
      <c r="N52" s="475">
        <f t="shared" si="8"/>
        <v>0</v>
      </c>
      <c r="O52" s="464"/>
      <c r="P52" s="466">
        <f t="shared" si="11"/>
        <v>0</v>
      </c>
      <c r="Q52" s="190">
        <f t="shared" si="13"/>
        <v>0</v>
      </c>
      <c r="R52" s="203">
        <f t="shared" si="28"/>
        <v>0</v>
      </c>
      <c r="S52" s="217"/>
      <c r="T52" s="218"/>
      <c r="U52" s="207"/>
      <c r="V52" s="219"/>
      <c r="W52" s="196">
        <f t="shared" si="21"/>
        <v>0</v>
      </c>
      <c r="X52" s="220"/>
      <c r="Y52" s="198">
        <f t="shared" si="22"/>
        <v>0</v>
      </c>
      <c r="Z52" s="199">
        <f t="shared" si="23"/>
        <v>0</v>
      </c>
      <c r="AA52" s="200">
        <f t="shared" si="24"/>
        <v>0</v>
      </c>
      <c r="AB52" s="170">
        <f t="shared" si="0"/>
        <v>0</v>
      </c>
      <c r="AC52" s="171">
        <f t="shared" si="6"/>
        <v>0</v>
      </c>
      <c r="AD52" s="129">
        <f t="shared" si="7"/>
        <v>0</v>
      </c>
    </row>
    <row r="53" spans="1:33" x14ac:dyDescent="0.25">
      <c r="A53" s="201" t="s">
        <v>839</v>
      </c>
      <c r="B53" s="28" t="s">
        <v>343</v>
      </c>
      <c r="C53" s="202" t="s">
        <v>45</v>
      </c>
      <c r="D53" s="188"/>
      <c r="E53" s="189"/>
      <c r="F53" s="456">
        <v>91.5</v>
      </c>
      <c r="G53" s="490">
        <v>22.61</v>
      </c>
      <c r="H53" s="457">
        <f t="shared" si="27"/>
        <v>2068.8150000000001</v>
      </c>
      <c r="I53" s="446">
        <v>24.67</v>
      </c>
      <c r="J53" s="447"/>
      <c r="K53" s="449"/>
      <c r="L53" s="476"/>
      <c r="M53" s="477"/>
      <c r="N53" s="475">
        <f t="shared" si="8"/>
        <v>0</v>
      </c>
      <c r="O53" s="464">
        <v>91.5</v>
      </c>
      <c r="P53" s="466">
        <f>+PRODUCT(I53,O53)</f>
        <v>2257.3050000000003</v>
      </c>
      <c r="Q53" s="190">
        <f t="shared" si="13"/>
        <v>0</v>
      </c>
      <c r="R53" s="203">
        <f t="shared" si="28"/>
        <v>0</v>
      </c>
      <c r="S53" s="217"/>
      <c r="T53" s="218"/>
      <c r="U53" s="207"/>
      <c r="V53" s="219"/>
      <c r="W53" s="196">
        <f t="shared" si="21"/>
        <v>0</v>
      </c>
      <c r="X53" s="220"/>
      <c r="Y53" s="198">
        <f t="shared" si="22"/>
        <v>0</v>
      </c>
      <c r="Z53" s="199">
        <f t="shared" si="23"/>
        <v>0</v>
      </c>
      <c r="AA53" s="200">
        <f t="shared" si="24"/>
        <v>0</v>
      </c>
      <c r="AB53" s="170">
        <f t="shared" si="0"/>
        <v>-188.49000000000024</v>
      </c>
      <c r="AC53" s="171">
        <f t="shared" si="6"/>
        <v>-188.49000000000024</v>
      </c>
      <c r="AD53" s="129">
        <f t="shared" si="7"/>
        <v>-188.49000000000024</v>
      </c>
    </row>
    <row r="54" spans="1:33" ht="14.25" customHeight="1" x14ac:dyDescent="0.25">
      <c r="A54" s="201" t="s">
        <v>840</v>
      </c>
      <c r="B54" s="28" t="s">
        <v>237</v>
      </c>
      <c r="C54" s="202" t="s">
        <v>45</v>
      </c>
      <c r="D54" s="188"/>
      <c r="E54" s="189"/>
      <c r="F54" s="456">
        <v>178.6</v>
      </c>
      <c r="G54" s="490">
        <v>112.85</v>
      </c>
      <c r="H54" s="457">
        <f t="shared" si="27"/>
        <v>20155.009999999998</v>
      </c>
      <c r="I54" s="446">
        <v>119.88</v>
      </c>
      <c r="J54" s="447"/>
      <c r="K54" s="449"/>
      <c r="L54" s="476"/>
      <c r="M54" s="477"/>
      <c r="N54" s="475">
        <f t="shared" si="8"/>
        <v>0</v>
      </c>
      <c r="O54" s="464">
        <v>107.7</v>
      </c>
      <c r="P54" s="466">
        <f t="shared" si="11"/>
        <v>12911.075999999999</v>
      </c>
      <c r="Q54" s="190">
        <f t="shared" si="13"/>
        <v>70.899999999999991</v>
      </c>
      <c r="R54" s="203">
        <f t="shared" si="28"/>
        <v>8001.07</v>
      </c>
      <c r="S54" s="217"/>
      <c r="T54" s="218"/>
      <c r="U54" s="207"/>
      <c r="V54" s="219"/>
      <c r="W54" s="196">
        <f t="shared" si="21"/>
        <v>0</v>
      </c>
      <c r="X54" s="220"/>
      <c r="Y54" s="198">
        <f t="shared" si="22"/>
        <v>0</v>
      </c>
      <c r="Z54" s="199">
        <f t="shared" si="23"/>
        <v>70.899999999999991</v>
      </c>
      <c r="AA54" s="200">
        <f t="shared" si="24"/>
        <v>8001.07</v>
      </c>
      <c r="AB54" s="170">
        <f t="shared" si="0"/>
        <v>7243.9339999999993</v>
      </c>
      <c r="AC54" s="171">
        <f t="shared" si="6"/>
        <v>-757.13600000000042</v>
      </c>
      <c r="AD54" s="129">
        <f t="shared" si="7"/>
        <v>-757.13600000000042</v>
      </c>
    </row>
    <row r="55" spans="1:33" x14ac:dyDescent="0.25">
      <c r="A55" s="201" t="s">
        <v>841</v>
      </c>
      <c r="B55" s="28" t="s">
        <v>239</v>
      </c>
      <c r="C55" s="202" t="s">
        <v>345</v>
      </c>
      <c r="D55" s="188"/>
      <c r="E55" s="189"/>
      <c r="F55" s="456">
        <v>23.4</v>
      </c>
      <c r="G55" s="490">
        <v>126.59</v>
      </c>
      <c r="H55" s="457">
        <f t="shared" si="27"/>
        <v>2962.2059999999997</v>
      </c>
      <c r="I55" s="446">
        <v>133.62</v>
      </c>
      <c r="J55" s="447">
        <v>20.45</v>
      </c>
      <c r="K55" s="449">
        <f t="shared" si="10"/>
        <v>2732.529</v>
      </c>
      <c r="L55" s="476"/>
      <c r="M55" s="477"/>
      <c r="N55" s="475">
        <f t="shared" si="8"/>
        <v>0</v>
      </c>
      <c r="O55" s="464"/>
      <c r="P55" s="466"/>
      <c r="Q55" s="190">
        <f t="shared" si="13"/>
        <v>43.849999999999994</v>
      </c>
      <c r="R55" s="203">
        <f t="shared" si="28"/>
        <v>5550.97</v>
      </c>
      <c r="S55" s="217"/>
      <c r="T55" s="218"/>
      <c r="U55" s="207"/>
      <c r="V55" s="219"/>
      <c r="W55" s="196">
        <f t="shared" si="21"/>
        <v>0</v>
      </c>
      <c r="X55" s="220"/>
      <c r="Y55" s="198">
        <f t="shared" si="22"/>
        <v>0</v>
      </c>
      <c r="Z55" s="199">
        <f t="shared" si="23"/>
        <v>43.849999999999994</v>
      </c>
      <c r="AA55" s="200">
        <f t="shared" si="24"/>
        <v>5550.97</v>
      </c>
      <c r="AB55" s="170">
        <f t="shared" si="0"/>
        <v>5694.7349999999997</v>
      </c>
      <c r="AC55" s="171">
        <f t="shared" si="6"/>
        <v>143.76499999999942</v>
      </c>
      <c r="AD55" s="129">
        <f t="shared" si="7"/>
        <v>143.76499999999942</v>
      </c>
    </row>
    <row r="56" spans="1:33" s="210" customFormat="1" x14ac:dyDescent="0.25">
      <c r="A56" s="201" t="s">
        <v>842</v>
      </c>
      <c r="B56" s="28" t="s">
        <v>242</v>
      </c>
      <c r="C56" s="202" t="s">
        <v>45</v>
      </c>
      <c r="D56" s="188"/>
      <c r="E56" s="189"/>
      <c r="F56" s="458">
        <v>7.55</v>
      </c>
      <c r="G56" s="490">
        <v>369.77</v>
      </c>
      <c r="H56" s="457">
        <f t="shared" si="27"/>
        <v>2791.7635</v>
      </c>
      <c r="I56" s="446">
        <v>377.41</v>
      </c>
      <c r="J56" s="447"/>
      <c r="K56" s="449"/>
      <c r="L56" s="476"/>
      <c r="M56" s="477"/>
      <c r="N56" s="475">
        <f t="shared" si="8"/>
        <v>0</v>
      </c>
      <c r="O56" s="464">
        <v>7.55</v>
      </c>
      <c r="P56" s="466">
        <f t="shared" si="11"/>
        <v>2849.4455000000003</v>
      </c>
      <c r="Q56" s="190">
        <f t="shared" si="13"/>
        <v>0</v>
      </c>
      <c r="R56" s="203">
        <f t="shared" si="28"/>
        <v>0</v>
      </c>
      <c r="S56" s="217"/>
      <c r="T56" s="218"/>
      <c r="U56" s="207"/>
      <c r="V56" s="219"/>
      <c r="W56" s="196">
        <f t="shared" si="21"/>
        <v>0</v>
      </c>
      <c r="X56" s="220"/>
      <c r="Y56" s="198">
        <f t="shared" si="22"/>
        <v>0</v>
      </c>
      <c r="Z56" s="199">
        <f t="shared" si="23"/>
        <v>0</v>
      </c>
      <c r="AA56" s="200">
        <f t="shared" si="24"/>
        <v>0</v>
      </c>
      <c r="AB56" s="170">
        <f t="shared" si="0"/>
        <v>-57.682000000000244</v>
      </c>
      <c r="AC56" s="171">
        <f t="shared" si="6"/>
        <v>-57.682000000000244</v>
      </c>
      <c r="AD56" s="129">
        <f t="shared" si="7"/>
        <v>-57.682000000000244</v>
      </c>
    </row>
    <row r="57" spans="1:33" s="228" customFormat="1" ht="15.75" customHeight="1" x14ac:dyDescent="0.25">
      <c r="A57" s="201" t="s">
        <v>843</v>
      </c>
      <c r="B57" s="28" t="s">
        <v>245</v>
      </c>
      <c r="C57" s="202" t="s">
        <v>45</v>
      </c>
      <c r="D57" s="188"/>
      <c r="E57" s="189"/>
      <c r="F57" s="456">
        <v>158</v>
      </c>
      <c r="G57" s="490">
        <v>104.19</v>
      </c>
      <c r="H57" s="457">
        <f t="shared" si="27"/>
        <v>16462.02</v>
      </c>
      <c r="I57" s="446">
        <v>106.63</v>
      </c>
      <c r="J57" s="450"/>
      <c r="K57" s="449"/>
      <c r="L57" s="476"/>
      <c r="M57" s="477"/>
      <c r="N57" s="475">
        <f t="shared" si="8"/>
        <v>0</v>
      </c>
      <c r="O57" s="464">
        <v>88.2</v>
      </c>
      <c r="P57" s="466">
        <f t="shared" si="11"/>
        <v>9404.7659999999996</v>
      </c>
      <c r="Q57" s="190">
        <f t="shared" si="13"/>
        <v>69.8</v>
      </c>
      <c r="R57" s="203">
        <f t="shared" si="28"/>
        <v>7272.46</v>
      </c>
      <c r="S57" s="217"/>
      <c r="T57" s="218"/>
      <c r="U57" s="207"/>
      <c r="V57" s="219"/>
      <c r="W57" s="196">
        <f t="shared" si="21"/>
        <v>0</v>
      </c>
      <c r="X57" s="220"/>
      <c r="Y57" s="198">
        <f t="shared" si="22"/>
        <v>0</v>
      </c>
      <c r="Z57" s="199">
        <f t="shared" si="23"/>
        <v>69.8</v>
      </c>
      <c r="AA57" s="200">
        <f t="shared" si="24"/>
        <v>7272.46</v>
      </c>
      <c r="AB57" s="170">
        <f t="shared" si="0"/>
        <v>7057.2540000000008</v>
      </c>
      <c r="AC57" s="171">
        <f t="shared" si="6"/>
        <v>-215.20599999999922</v>
      </c>
      <c r="AD57" s="129">
        <f t="shared" si="7"/>
        <v>-215.20599999999922</v>
      </c>
    </row>
    <row r="58" spans="1:33" x14ac:dyDescent="0.25">
      <c r="A58" s="201" t="s">
        <v>844</v>
      </c>
      <c r="B58" s="28" t="s">
        <v>246</v>
      </c>
      <c r="C58" s="202" t="s">
        <v>345</v>
      </c>
      <c r="D58" s="188"/>
      <c r="E58" s="189"/>
      <c r="F58" s="456">
        <v>23.4</v>
      </c>
      <c r="G58" s="490">
        <v>106.63</v>
      </c>
      <c r="H58" s="457">
        <f t="shared" si="27"/>
        <v>2495.1419999999998</v>
      </c>
      <c r="I58" s="446">
        <v>136.32</v>
      </c>
      <c r="J58" s="447">
        <v>60.5</v>
      </c>
      <c r="K58" s="449">
        <f>+PRODUCT(I58:J58)</f>
        <v>8247.3599999999988</v>
      </c>
      <c r="L58" s="476"/>
      <c r="M58" s="477"/>
      <c r="N58" s="475">
        <f t="shared" si="8"/>
        <v>0</v>
      </c>
      <c r="O58" s="464"/>
      <c r="P58" s="466"/>
      <c r="Q58" s="190" t="e">
        <f>+F58+#REF!+L58-O58</f>
        <v>#REF!</v>
      </c>
      <c r="R58" s="203" t="e">
        <f t="shared" si="28"/>
        <v>#REF!</v>
      </c>
      <c r="S58" s="217"/>
      <c r="T58" s="218"/>
      <c r="U58" s="207"/>
      <c r="V58" s="219"/>
      <c r="W58" s="196">
        <f t="shared" si="21"/>
        <v>0</v>
      </c>
      <c r="X58" s="220"/>
      <c r="Y58" s="198">
        <f t="shared" si="22"/>
        <v>0</v>
      </c>
      <c r="Z58" s="199" t="e">
        <f t="shared" si="23"/>
        <v>#REF!</v>
      </c>
      <c r="AA58" s="200" t="e">
        <f t="shared" si="24"/>
        <v>#REF!</v>
      </c>
      <c r="AB58" s="170">
        <f t="shared" si="0"/>
        <v>10742.501999999999</v>
      </c>
      <c r="AC58" s="171" t="e">
        <f t="shared" si="6"/>
        <v>#REF!</v>
      </c>
      <c r="AD58" s="129" t="e">
        <f t="shared" si="7"/>
        <v>#REF!</v>
      </c>
    </row>
    <row r="59" spans="1:33" x14ac:dyDescent="0.25">
      <c r="A59" s="201" t="s">
        <v>845</v>
      </c>
      <c r="B59" s="110" t="s">
        <v>247</v>
      </c>
      <c r="C59" s="202" t="s">
        <v>45</v>
      </c>
      <c r="D59" s="188"/>
      <c r="E59" s="189"/>
      <c r="F59" s="456">
        <v>7.55</v>
      </c>
      <c r="G59" s="490">
        <v>162.41999999999999</v>
      </c>
      <c r="H59" s="457">
        <f t="shared" si="27"/>
        <v>1226.271</v>
      </c>
      <c r="I59" s="446">
        <v>162.41999999999999</v>
      </c>
      <c r="J59" s="450"/>
      <c r="K59" s="449"/>
      <c r="L59" s="476"/>
      <c r="M59" s="477"/>
      <c r="N59" s="475">
        <f t="shared" si="8"/>
        <v>0</v>
      </c>
      <c r="O59" s="464">
        <v>7.55</v>
      </c>
      <c r="P59" s="466">
        <f t="shared" si="11"/>
        <v>1226.271</v>
      </c>
      <c r="Q59" s="190">
        <f>+F59+J58+L59-O59</f>
        <v>60.5</v>
      </c>
      <c r="R59" s="203">
        <f>ROUND(Q59*$M59,2)</f>
        <v>0</v>
      </c>
      <c r="S59" s="217"/>
      <c r="T59" s="218"/>
      <c r="U59" s="207"/>
      <c r="V59" s="219"/>
      <c r="W59" s="196">
        <f t="shared" si="21"/>
        <v>0</v>
      </c>
      <c r="X59" s="220"/>
      <c r="Y59" s="198">
        <f t="shared" si="22"/>
        <v>0</v>
      </c>
      <c r="Z59" s="199"/>
      <c r="AA59" s="200">
        <f t="shared" si="24"/>
        <v>0</v>
      </c>
      <c r="AB59" s="170"/>
      <c r="AC59" s="171"/>
      <c r="AD59" s="129"/>
    </row>
    <row r="60" spans="1:33" x14ac:dyDescent="0.25">
      <c r="A60" s="201" t="s">
        <v>846</v>
      </c>
      <c r="B60" s="28" t="s">
        <v>226</v>
      </c>
      <c r="C60" s="202"/>
      <c r="D60" s="188"/>
      <c r="E60" s="189"/>
      <c r="F60" s="456">
        <v>20.6</v>
      </c>
      <c r="G60" s="490">
        <v>31.69</v>
      </c>
      <c r="H60" s="457">
        <f t="shared" si="27"/>
        <v>652.81400000000008</v>
      </c>
      <c r="I60" s="446">
        <v>31.69</v>
      </c>
      <c r="J60" s="450"/>
      <c r="K60" s="449"/>
      <c r="L60" s="476"/>
      <c r="M60" s="477"/>
      <c r="N60" s="475">
        <f t="shared" si="8"/>
        <v>0</v>
      </c>
      <c r="O60" s="464">
        <v>15.7</v>
      </c>
      <c r="P60" s="466">
        <f t="shared" si="11"/>
        <v>497.53300000000002</v>
      </c>
      <c r="Q60" s="190">
        <f t="shared" ref="Q60:Q99" si="29">+F60+J60+L60-O60</f>
        <v>4.9000000000000021</v>
      </c>
      <c r="R60" s="203">
        <f>ROUND(Q60*$M60,2)</f>
        <v>0</v>
      </c>
      <c r="S60" s="217"/>
      <c r="T60" s="218"/>
      <c r="U60" s="207"/>
      <c r="V60" s="219"/>
      <c r="W60" s="196">
        <f t="shared" si="21"/>
        <v>0</v>
      </c>
      <c r="X60" s="220"/>
      <c r="Y60" s="198">
        <f t="shared" si="22"/>
        <v>0</v>
      </c>
      <c r="Z60" s="199"/>
      <c r="AA60" s="200">
        <f t="shared" si="24"/>
        <v>0</v>
      </c>
      <c r="AB60" s="170"/>
      <c r="AC60" s="171"/>
      <c r="AD60" s="129"/>
    </row>
    <row r="61" spans="1:33" x14ac:dyDescent="0.25">
      <c r="A61" s="201" t="s">
        <v>847</v>
      </c>
      <c r="B61" s="28" t="s">
        <v>705</v>
      </c>
      <c r="C61" s="202" t="s">
        <v>45</v>
      </c>
      <c r="D61" s="188"/>
      <c r="E61" s="189"/>
      <c r="F61" s="456">
        <v>53.15</v>
      </c>
      <c r="G61" s="490">
        <v>150.19</v>
      </c>
      <c r="H61" s="457">
        <f t="shared" si="27"/>
        <v>7982.5985000000001</v>
      </c>
      <c r="I61" s="446">
        <v>158.75</v>
      </c>
      <c r="J61" s="447"/>
      <c r="K61" s="449"/>
      <c r="L61" s="476"/>
      <c r="M61" s="477"/>
      <c r="N61" s="475">
        <f t="shared" si="8"/>
        <v>0</v>
      </c>
      <c r="O61" s="464">
        <v>15.94</v>
      </c>
      <c r="P61" s="466">
        <f t="shared" si="11"/>
        <v>2530.4749999999999</v>
      </c>
      <c r="Q61" s="190">
        <f t="shared" si="29"/>
        <v>37.21</v>
      </c>
      <c r="R61" s="216" t="e">
        <f ca="1">+R62+R72+R88+R107+#REF!</f>
        <v>#REF!</v>
      </c>
      <c r="S61" s="217"/>
      <c r="T61" s="218"/>
      <c r="U61" s="207"/>
      <c r="V61" s="219"/>
      <c r="W61" s="196">
        <f t="shared" si="21"/>
        <v>0</v>
      </c>
      <c r="X61" s="220"/>
      <c r="Y61" s="198">
        <f t="shared" si="22"/>
        <v>0</v>
      </c>
      <c r="Z61" s="199">
        <f t="shared" si="23"/>
        <v>37.21</v>
      </c>
      <c r="AA61" s="200" t="e">
        <f ca="1">+R61+U61-Y61</f>
        <v>#REF!</v>
      </c>
      <c r="AB61" s="170">
        <f t="shared" si="0"/>
        <v>5452.1234999999997</v>
      </c>
      <c r="AC61" s="171">
        <f t="shared" ref="AC61:AC62" si="30">+H61+K61-P61</f>
        <v>5452.1234999999997</v>
      </c>
      <c r="AD61" s="129" t="e">
        <f ca="1">+H61+K61+N61-P61-R61</f>
        <v>#REF!</v>
      </c>
    </row>
    <row r="62" spans="1:33" x14ac:dyDescent="0.25">
      <c r="A62" s="201" t="s">
        <v>848</v>
      </c>
      <c r="B62" s="28" t="s">
        <v>250</v>
      </c>
      <c r="C62" s="202" t="s">
        <v>45</v>
      </c>
      <c r="D62" s="188"/>
      <c r="E62" s="189"/>
      <c r="F62" s="456">
        <v>92.149999999999991</v>
      </c>
      <c r="G62" s="490">
        <v>196.51</v>
      </c>
      <c r="H62" s="457">
        <f t="shared" si="27"/>
        <v>18108.396499999999</v>
      </c>
      <c r="I62" s="446">
        <v>205.07</v>
      </c>
      <c r="J62" s="447"/>
      <c r="K62" s="449"/>
      <c r="L62" s="476"/>
      <c r="M62" s="477"/>
      <c r="N62" s="475">
        <f t="shared" si="8"/>
        <v>0</v>
      </c>
      <c r="O62" s="464">
        <v>20.22</v>
      </c>
      <c r="P62" s="466">
        <f t="shared" si="11"/>
        <v>4146.5153999999993</v>
      </c>
      <c r="Q62" s="190">
        <f t="shared" si="29"/>
        <v>71.929999999999993</v>
      </c>
      <c r="R62" s="223">
        <f ca="1">+SUM(R63:R71)</f>
        <v>42430.380000000005</v>
      </c>
      <c r="S62" s="217"/>
      <c r="T62" s="218"/>
      <c r="U62" s="207"/>
      <c r="V62" s="219"/>
      <c r="W62" s="196">
        <f t="shared" si="21"/>
        <v>0</v>
      </c>
      <c r="X62" s="220"/>
      <c r="Y62" s="198">
        <f t="shared" si="22"/>
        <v>0</v>
      </c>
      <c r="Z62" s="199">
        <f t="shared" si="23"/>
        <v>71.929999999999993</v>
      </c>
      <c r="AA62" s="200">
        <f ca="1">+R62+U62-Y62</f>
        <v>42430.380000000005</v>
      </c>
      <c r="AB62" s="170">
        <f t="shared" si="0"/>
        <v>13961.881099999999</v>
      </c>
      <c r="AC62" s="171">
        <f t="shared" si="30"/>
        <v>13961.881099999999</v>
      </c>
      <c r="AD62" s="129">
        <f ca="1">+H62+K62+N62-P62-R62</f>
        <v>-28468.498900000006</v>
      </c>
      <c r="AE62" t="s">
        <v>581</v>
      </c>
    </row>
    <row r="63" spans="1:33" s="228" customFormat="1" x14ac:dyDescent="0.25">
      <c r="A63" s="201" t="s">
        <v>849</v>
      </c>
      <c r="B63" s="28" t="s">
        <v>251</v>
      </c>
      <c r="C63" s="202" t="s">
        <v>345</v>
      </c>
      <c r="D63" s="188"/>
      <c r="E63" s="189"/>
      <c r="F63" s="456">
        <v>14.5</v>
      </c>
      <c r="G63" s="490">
        <v>273.7</v>
      </c>
      <c r="H63" s="457">
        <f t="shared" si="27"/>
        <v>3968.6499999999996</v>
      </c>
      <c r="I63" s="446">
        <v>282.26</v>
      </c>
      <c r="J63" s="447">
        <v>9.65</v>
      </c>
      <c r="K63" s="449">
        <f t="shared" si="10"/>
        <v>2723.8090000000002</v>
      </c>
      <c r="L63" s="476"/>
      <c r="M63" s="477"/>
      <c r="N63" s="475">
        <f t="shared" si="8"/>
        <v>0</v>
      </c>
      <c r="O63" s="464"/>
      <c r="P63" s="466"/>
      <c r="Q63" s="190">
        <f t="shared" si="29"/>
        <v>24.15</v>
      </c>
      <c r="R63" s="203">
        <f>ROUND(Q63*$G63,2)</f>
        <v>6609.86</v>
      </c>
      <c r="S63" s="217"/>
      <c r="T63" s="218"/>
      <c r="U63" s="207"/>
      <c r="V63" s="219"/>
      <c r="W63" s="196">
        <f t="shared" si="21"/>
        <v>0</v>
      </c>
      <c r="X63" s="220"/>
      <c r="Y63" s="198">
        <f t="shared" si="22"/>
        <v>0</v>
      </c>
      <c r="Z63" s="199">
        <f t="shared" si="23"/>
        <v>24.15</v>
      </c>
      <c r="AA63" s="200">
        <f t="shared" si="24"/>
        <v>6609.86</v>
      </c>
      <c r="AB63" s="170">
        <f t="shared" si="0"/>
        <v>6692.4589999999998</v>
      </c>
      <c r="AC63" s="171">
        <f t="shared" si="6"/>
        <v>82.59900000000016</v>
      </c>
      <c r="AD63" s="129">
        <f t="shared" si="7"/>
        <v>82.59900000000016</v>
      </c>
      <c r="AE63" s="118" t="s">
        <v>582</v>
      </c>
    </row>
    <row r="64" spans="1:33" s="215" customFormat="1" x14ac:dyDescent="0.25">
      <c r="A64" s="201" t="s">
        <v>850</v>
      </c>
      <c r="B64" s="28" t="s">
        <v>252</v>
      </c>
      <c r="C64" s="202" t="s">
        <v>345</v>
      </c>
      <c r="D64" s="221"/>
      <c r="E64" s="189"/>
      <c r="F64" s="456">
        <v>126.99000000000001</v>
      </c>
      <c r="G64" s="490">
        <v>307.67</v>
      </c>
      <c r="H64" s="457">
        <f t="shared" si="27"/>
        <v>39071.013300000006</v>
      </c>
      <c r="I64" s="446">
        <v>316.23</v>
      </c>
      <c r="J64" s="447"/>
      <c r="K64" s="449"/>
      <c r="L64" s="476"/>
      <c r="M64" s="477"/>
      <c r="N64" s="475">
        <f t="shared" si="8"/>
        <v>0</v>
      </c>
      <c r="O64" s="464">
        <v>34.99</v>
      </c>
      <c r="P64" s="466">
        <f t="shared" si="11"/>
        <v>11064.887700000001</v>
      </c>
      <c r="Q64" s="190">
        <f t="shared" si="29"/>
        <v>92</v>
      </c>
      <c r="R64" s="203">
        <f>ROUNDUP(Q64*$G64,2)</f>
        <v>28305.64</v>
      </c>
      <c r="S64" s="211"/>
      <c r="T64" s="212"/>
      <c r="U64" s="180">
        <f>SUM(U66:U113)</f>
        <v>0</v>
      </c>
      <c r="V64" s="213"/>
      <c r="W64" s="182">
        <f>SUM(W66:W113)</f>
        <v>0</v>
      </c>
      <c r="X64" s="214"/>
      <c r="Y64" s="184">
        <f>SUM(Y66:Y113)</f>
        <v>0</v>
      </c>
      <c r="Z64" s="222"/>
      <c r="AA64" s="186">
        <f ca="1">SUM(AA66:AA113)</f>
        <v>78138.039999999994</v>
      </c>
      <c r="AB64" s="170">
        <f t="shared" si="0"/>
        <v>28006.125600000007</v>
      </c>
      <c r="AC64" s="171">
        <f t="shared" si="6"/>
        <v>-299.51439999999275</v>
      </c>
      <c r="AD64" s="129">
        <f t="shared" si="7"/>
        <v>-299.51439999999275</v>
      </c>
      <c r="AG64" s="229" t="s">
        <v>583</v>
      </c>
    </row>
    <row r="65" spans="1:30" x14ac:dyDescent="0.25">
      <c r="A65" s="201" t="s">
        <v>851</v>
      </c>
      <c r="B65" s="43" t="s">
        <v>253</v>
      </c>
      <c r="C65" s="202" t="s">
        <v>13</v>
      </c>
      <c r="D65" s="188"/>
      <c r="E65" s="189"/>
      <c r="F65" s="456">
        <v>9</v>
      </c>
      <c r="G65" s="490">
        <v>825.75</v>
      </c>
      <c r="H65" s="457">
        <f t="shared" si="27"/>
        <v>7431.75</v>
      </c>
      <c r="I65" s="446">
        <v>833.39</v>
      </c>
      <c r="J65" s="447"/>
      <c r="K65" s="449"/>
      <c r="L65" s="476"/>
      <c r="M65" s="477"/>
      <c r="N65" s="475">
        <f t="shared" si="8"/>
        <v>0</v>
      </c>
      <c r="O65" s="464">
        <v>7</v>
      </c>
      <c r="P65" s="466">
        <f t="shared" si="11"/>
        <v>5833.73</v>
      </c>
      <c r="Q65" s="190">
        <f t="shared" si="29"/>
        <v>2</v>
      </c>
      <c r="R65" s="203">
        <f t="shared" ref="R65:R87" si="31">ROUND(Q65*$G65,2)</f>
        <v>1651.5</v>
      </c>
      <c r="S65" s="192"/>
      <c r="T65" s="193"/>
      <c r="U65" s="194"/>
      <c r="V65" s="195"/>
      <c r="W65" s="196"/>
      <c r="X65" s="197"/>
      <c r="Y65" s="198"/>
      <c r="Z65" s="199"/>
      <c r="AA65" s="200"/>
      <c r="AB65" s="170">
        <f t="shared" si="0"/>
        <v>1598.0200000000004</v>
      </c>
      <c r="AC65" s="171">
        <f t="shared" si="6"/>
        <v>-53.479999999999563</v>
      </c>
      <c r="AD65" s="129">
        <f t="shared" si="7"/>
        <v>-53.479999999999563</v>
      </c>
    </row>
    <row r="66" spans="1:30" x14ac:dyDescent="0.25">
      <c r="A66" s="201" t="s">
        <v>852</v>
      </c>
      <c r="B66" s="43" t="s">
        <v>254</v>
      </c>
      <c r="C66" s="202" t="s">
        <v>13</v>
      </c>
      <c r="D66" s="188"/>
      <c r="E66" s="189"/>
      <c r="F66" s="456">
        <v>10</v>
      </c>
      <c r="G66" s="490">
        <v>710.08</v>
      </c>
      <c r="H66" s="457">
        <f t="shared" si="27"/>
        <v>7100.8</v>
      </c>
      <c r="I66" s="446">
        <v>720.38</v>
      </c>
      <c r="J66" s="447"/>
      <c r="K66" s="449"/>
      <c r="L66" s="476"/>
      <c r="M66" s="477"/>
      <c r="N66" s="475">
        <f t="shared" si="8"/>
        <v>0</v>
      </c>
      <c r="O66" s="464">
        <v>9</v>
      </c>
      <c r="P66" s="466">
        <f t="shared" si="11"/>
        <v>6483.42</v>
      </c>
      <c r="Q66" s="190">
        <f t="shared" si="29"/>
        <v>1</v>
      </c>
      <c r="R66" s="203">
        <f t="shared" si="31"/>
        <v>710.08</v>
      </c>
      <c r="S66" s="217"/>
      <c r="T66" s="218"/>
      <c r="U66" s="207"/>
      <c r="V66" s="219"/>
      <c r="W66" s="196">
        <f t="shared" ref="W66:W74" si="32">+V66*$G66</f>
        <v>0</v>
      </c>
      <c r="X66" s="220"/>
      <c r="Y66" s="198">
        <f t="shared" ref="Y66:Y74" si="33">+X66*$G66</f>
        <v>0</v>
      </c>
      <c r="Z66" s="199">
        <f t="shared" ref="Z66:Z67" si="34">Q66+S66-X66</f>
        <v>1</v>
      </c>
      <c r="AA66" s="200">
        <f t="shared" ref="AA66:AA67" si="35">+R66+U66-Y66</f>
        <v>710.08</v>
      </c>
      <c r="AB66" s="170">
        <f t="shared" si="0"/>
        <v>617.38000000000011</v>
      </c>
      <c r="AC66" s="171">
        <f t="shared" si="6"/>
        <v>-92.699999999999932</v>
      </c>
      <c r="AD66" s="129">
        <f t="shared" si="7"/>
        <v>-92.699999999999932</v>
      </c>
    </row>
    <row r="67" spans="1:30" s="228" customFormat="1" x14ac:dyDescent="0.25">
      <c r="A67" s="201" t="s">
        <v>853</v>
      </c>
      <c r="B67" s="28" t="s">
        <v>255</v>
      </c>
      <c r="C67" s="202" t="s">
        <v>13</v>
      </c>
      <c r="D67" s="188"/>
      <c r="E67" s="189"/>
      <c r="F67" s="456">
        <v>1</v>
      </c>
      <c r="G67" s="490">
        <v>5153.3</v>
      </c>
      <c r="H67" s="457">
        <f t="shared" si="27"/>
        <v>5153.3</v>
      </c>
      <c r="I67" s="446">
        <v>5225.45</v>
      </c>
      <c r="J67" s="447"/>
      <c r="K67" s="449"/>
      <c r="L67" s="476"/>
      <c r="M67" s="477"/>
      <c r="N67" s="475">
        <f t="shared" si="8"/>
        <v>0</v>
      </c>
      <c r="O67" s="464"/>
      <c r="P67" s="466"/>
      <c r="Q67" s="190">
        <f t="shared" si="29"/>
        <v>1</v>
      </c>
      <c r="R67" s="203">
        <f t="shared" si="31"/>
        <v>5153.3</v>
      </c>
      <c r="S67" s="217"/>
      <c r="T67" s="218"/>
      <c r="U67" s="207"/>
      <c r="V67" s="219"/>
      <c r="W67" s="196">
        <f t="shared" si="32"/>
        <v>0</v>
      </c>
      <c r="X67" s="220"/>
      <c r="Y67" s="198">
        <f t="shared" si="33"/>
        <v>0</v>
      </c>
      <c r="Z67" s="199">
        <f t="shared" si="34"/>
        <v>1</v>
      </c>
      <c r="AA67" s="200">
        <f t="shared" si="35"/>
        <v>5153.3</v>
      </c>
      <c r="AB67" s="170">
        <f t="shared" si="0"/>
        <v>5153.3</v>
      </c>
      <c r="AC67" s="171">
        <f t="shared" si="6"/>
        <v>0</v>
      </c>
      <c r="AD67" s="129">
        <f t="shared" si="7"/>
        <v>0</v>
      </c>
    </row>
    <row r="68" spans="1:30" x14ac:dyDescent="0.25">
      <c r="A68" s="201" t="s">
        <v>854</v>
      </c>
      <c r="B68" s="46" t="s">
        <v>440</v>
      </c>
      <c r="C68" s="202" t="s">
        <v>345</v>
      </c>
      <c r="D68" s="188"/>
      <c r="E68" s="189"/>
      <c r="F68" s="456">
        <v>0</v>
      </c>
      <c r="G68" s="456"/>
      <c r="H68" s="455">
        <f t="shared" si="27"/>
        <v>0</v>
      </c>
      <c r="I68" s="446"/>
      <c r="J68" s="447"/>
      <c r="K68" s="444">
        <f t="shared" si="10"/>
        <v>0</v>
      </c>
      <c r="L68" s="476">
        <f ca="1">+'MET_PLUVIAL BASE'!I77</f>
        <v>55.55</v>
      </c>
      <c r="M68" s="477">
        <v>175.78</v>
      </c>
      <c r="N68" s="478">
        <f t="shared" ref="N68:N74" ca="1" si="36">+PRODUCT(L68:M68)</f>
        <v>9764.5789999999997</v>
      </c>
      <c r="O68" s="464"/>
      <c r="P68" s="462">
        <f t="shared" si="11"/>
        <v>0</v>
      </c>
      <c r="Q68" s="190">
        <f t="shared" ref="Q68:Q74" ca="1" si="37">+F68+J68+L68-O68</f>
        <v>55.55</v>
      </c>
      <c r="R68" s="203">
        <f ca="1">ROUND(Q68*$G68,2)</f>
        <v>0</v>
      </c>
      <c r="S68" s="217"/>
      <c r="T68" s="218"/>
      <c r="U68" s="207"/>
      <c r="V68" s="225"/>
      <c r="W68" s="196">
        <f t="shared" si="32"/>
        <v>0</v>
      </c>
      <c r="X68" s="226"/>
      <c r="Y68" s="198">
        <f t="shared" si="33"/>
        <v>0</v>
      </c>
      <c r="Z68" s="199">
        <f t="shared" ref="Z68:Z74" ca="1" si="38">Q68+S68-X68</f>
        <v>55.55</v>
      </c>
      <c r="AA68" s="200">
        <f t="shared" ref="AA68:AA74" ca="1" si="39">+R68+U68-Y68</f>
        <v>0</v>
      </c>
      <c r="AB68" s="170">
        <f t="shared" ref="AB68:AB74" ca="1" si="40">+H68+K68+N68-P68</f>
        <v>9764.5789999999997</v>
      </c>
      <c r="AC68" s="171">
        <f ca="1">+AB68-R68</f>
        <v>9764.5789999999997</v>
      </c>
      <c r="AD68" s="129">
        <f t="shared" ref="AD68:AD74" ca="1" si="41">+H68+K68+N68-P68-R68</f>
        <v>9764.5789999999997</v>
      </c>
    </row>
    <row r="69" spans="1:30" x14ac:dyDescent="0.25">
      <c r="C69" s="202" t="s">
        <v>345</v>
      </c>
      <c r="D69" s="188"/>
      <c r="E69" s="189"/>
      <c r="F69" s="456">
        <v>0</v>
      </c>
      <c r="G69" s="456"/>
      <c r="H69" s="455">
        <f t="shared" si="27"/>
        <v>0</v>
      </c>
      <c r="I69" s="436"/>
      <c r="J69" s="447"/>
      <c r="K69" s="444">
        <f t="shared" si="10"/>
        <v>0</v>
      </c>
      <c r="L69" s="476">
        <f ca="1">+'MET_PLUVIAL BASE'!I78</f>
        <v>24.4</v>
      </c>
      <c r="M69" s="477">
        <v>198.43</v>
      </c>
      <c r="N69" s="478">
        <f t="shared" ca="1" si="36"/>
        <v>4841.692</v>
      </c>
      <c r="O69" s="464"/>
      <c r="P69" s="462">
        <f t="shared" si="11"/>
        <v>0</v>
      </c>
      <c r="Q69" s="190">
        <f t="shared" ca="1" si="37"/>
        <v>24.4</v>
      </c>
      <c r="R69" s="203">
        <f ca="1">ROUND(Q69*$G69,2)</f>
        <v>0</v>
      </c>
      <c r="S69" s="217"/>
      <c r="T69" s="218"/>
      <c r="U69" s="207"/>
      <c r="V69" s="225"/>
      <c r="W69" s="196">
        <f t="shared" si="32"/>
        <v>0</v>
      </c>
      <c r="X69" s="226"/>
      <c r="Y69" s="198">
        <f t="shared" si="33"/>
        <v>0</v>
      </c>
      <c r="Z69" s="199">
        <f t="shared" ca="1" si="38"/>
        <v>24.4</v>
      </c>
      <c r="AA69" s="200">
        <f t="shared" ca="1" si="39"/>
        <v>0</v>
      </c>
      <c r="AB69" s="170">
        <f t="shared" ca="1" si="40"/>
        <v>4841.692</v>
      </c>
      <c r="AC69" s="171">
        <f ca="1">+AB69-R69</f>
        <v>4841.692</v>
      </c>
      <c r="AD69" s="129">
        <f t="shared" ca="1" si="41"/>
        <v>4841.692</v>
      </c>
    </row>
    <row r="70" spans="1:30" s="228" customFormat="1" x14ac:dyDescent="0.25">
      <c r="A70" s="201" t="s">
        <v>856</v>
      </c>
      <c r="B70" s="46" t="s">
        <v>690</v>
      </c>
      <c r="C70" s="202" t="s">
        <v>345</v>
      </c>
      <c r="D70" s="188"/>
      <c r="E70" s="189"/>
      <c r="F70" s="456">
        <v>0</v>
      </c>
      <c r="G70" s="456"/>
      <c r="H70" s="455">
        <f t="shared" si="27"/>
        <v>0</v>
      </c>
      <c r="I70" s="436"/>
      <c r="J70" s="450"/>
      <c r="K70" s="444">
        <f t="shared" si="10"/>
        <v>0</v>
      </c>
      <c r="L70" s="476">
        <f ca="1">+'MET_PLUVIAL BASE'!I79</f>
        <v>24.4</v>
      </c>
      <c r="M70" s="477">
        <v>289.94</v>
      </c>
      <c r="N70" s="478">
        <f t="shared" ca="1" si="36"/>
        <v>7074.5359999999991</v>
      </c>
      <c r="O70" s="464"/>
      <c r="P70" s="462">
        <f t="shared" si="11"/>
        <v>0</v>
      </c>
      <c r="Q70" s="190">
        <f t="shared" ca="1" si="37"/>
        <v>24.4</v>
      </c>
      <c r="R70" s="203">
        <f ca="1">ROUND(Q70*$G70,2)</f>
        <v>0</v>
      </c>
      <c r="S70" s="217"/>
      <c r="T70" s="218"/>
      <c r="U70" s="207"/>
      <c r="V70" s="225"/>
      <c r="W70" s="196">
        <f t="shared" si="32"/>
        <v>0</v>
      </c>
      <c r="X70" s="226"/>
      <c r="Y70" s="198">
        <f t="shared" si="33"/>
        <v>0</v>
      </c>
      <c r="Z70" s="199">
        <f t="shared" ca="1" si="38"/>
        <v>24.4</v>
      </c>
      <c r="AA70" s="200">
        <f t="shared" ca="1" si="39"/>
        <v>0</v>
      </c>
      <c r="AB70" s="170">
        <f t="shared" ca="1" si="40"/>
        <v>7074.5359999999991</v>
      </c>
      <c r="AC70" s="171">
        <f ca="1">+AB70-R70</f>
        <v>7074.5359999999991</v>
      </c>
      <c r="AD70" s="129">
        <f t="shared" ca="1" si="41"/>
        <v>7074.5359999999991</v>
      </c>
    </row>
    <row r="71" spans="1:30" x14ac:dyDescent="0.25">
      <c r="A71" s="201" t="s">
        <v>857</v>
      </c>
      <c r="B71" s="43" t="s">
        <v>647</v>
      </c>
      <c r="C71" s="202" t="s">
        <v>13</v>
      </c>
      <c r="D71" s="188"/>
      <c r="E71" s="189"/>
      <c r="F71" s="456">
        <v>0</v>
      </c>
      <c r="G71" s="456"/>
      <c r="H71" s="455">
        <f t="shared" si="27"/>
        <v>0</v>
      </c>
      <c r="I71" s="436"/>
      <c r="J71" s="447"/>
      <c r="K71" s="444">
        <f t="shared" si="10"/>
        <v>0</v>
      </c>
      <c r="L71" s="476">
        <f ca="1">+'MET_PLUVIAL BASE'!I80</f>
        <v>7.7</v>
      </c>
      <c r="M71" s="477">
        <v>42.38</v>
      </c>
      <c r="N71" s="478">
        <f t="shared" ca="1" si="36"/>
        <v>326.32600000000002</v>
      </c>
      <c r="O71" s="464"/>
      <c r="P71" s="462">
        <f t="shared" si="11"/>
        <v>0</v>
      </c>
      <c r="Q71" s="190">
        <f t="shared" ca="1" si="37"/>
        <v>7.7</v>
      </c>
      <c r="R71" s="203">
        <f ca="1">ROUND(Q71*$G71,2)</f>
        <v>0</v>
      </c>
      <c r="S71" s="217"/>
      <c r="T71" s="218"/>
      <c r="U71" s="207"/>
      <c r="V71" s="225"/>
      <c r="W71" s="196">
        <f t="shared" si="32"/>
        <v>0</v>
      </c>
      <c r="X71" s="226"/>
      <c r="Y71" s="198">
        <f t="shared" si="33"/>
        <v>0</v>
      </c>
      <c r="Z71" s="199">
        <f t="shared" ca="1" si="38"/>
        <v>7.7</v>
      </c>
      <c r="AA71" s="200">
        <f t="shared" ca="1" si="39"/>
        <v>0</v>
      </c>
      <c r="AB71" s="170">
        <f t="shared" ca="1" si="40"/>
        <v>326.32600000000002</v>
      </c>
      <c r="AC71" s="171">
        <f ca="1">+AB71-R71</f>
        <v>326.32600000000002</v>
      </c>
      <c r="AD71" s="129">
        <f t="shared" ca="1" si="41"/>
        <v>326.32600000000002</v>
      </c>
    </row>
    <row r="72" spans="1:30" x14ac:dyDescent="0.25">
      <c r="A72" s="201" t="s">
        <v>858</v>
      </c>
      <c r="B72" s="43" t="s">
        <v>561</v>
      </c>
      <c r="C72" s="202" t="s">
        <v>13</v>
      </c>
      <c r="D72" s="188"/>
      <c r="E72" s="189"/>
      <c r="F72" s="456">
        <v>0</v>
      </c>
      <c r="G72" s="456"/>
      <c r="H72" s="455">
        <f t="shared" si="27"/>
        <v>0</v>
      </c>
      <c r="I72" s="436"/>
      <c r="J72" s="447"/>
      <c r="K72" s="444">
        <f t="shared" si="10"/>
        <v>0</v>
      </c>
      <c r="L72" s="476">
        <f ca="1">+'MET_PLUVIAL BASE'!I81</f>
        <v>6</v>
      </c>
      <c r="M72" s="477">
        <v>48.75</v>
      </c>
      <c r="N72" s="478">
        <f t="shared" ca="1" si="36"/>
        <v>292.5</v>
      </c>
      <c r="O72" s="464"/>
      <c r="P72" s="462">
        <f>+PRODUCT(I72,O72)</f>
        <v>0</v>
      </c>
      <c r="Q72" s="190">
        <f t="shared" ca="1" si="37"/>
        <v>6</v>
      </c>
      <c r="R72" s="223">
        <f ca="1">+SUM(R73:R87)</f>
        <v>0</v>
      </c>
      <c r="S72" s="217"/>
      <c r="T72" s="218"/>
      <c r="U72" s="207"/>
      <c r="V72" s="225"/>
      <c r="W72" s="196">
        <f t="shared" si="32"/>
        <v>0</v>
      </c>
      <c r="X72" s="226"/>
      <c r="Y72" s="198">
        <f t="shared" si="33"/>
        <v>0</v>
      </c>
      <c r="Z72" s="199">
        <f t="shared" ca="1" si="38"/>
        <v>6</v>
      </c>
      <c r="AA72" s="200">
        <f t="shared" ca="1" si="39"/>
        <v>0</v>
      </c>
      <c r="AB72" s="170">
        <f t="shared" ca="1" si="40"/>
        <v>292.5</v>
      </c>
      <c r="AC72" s="171">
        <f t="shared" ref="AC72" si="42">+H72+K72-P72</f>
        <v>0</v>
      </c>
      <c r="AD72" s="129">
        <f t="shared" ca="1" si="41"/>
        <v>292.5</v>
      </c>
    </row>
    <row r="73" spans="1:30" x14ac:dyDescent="0.25">
      <c r="A73" s="201" t="s">
        <v>859</v>
      </c>
      <c r="B73" s="43" t="s">
        <v>564</v>
      </c>
      <c r="C73" s="202" t="s">
        <v>345</v>
      </c>
      <c r="D73" s="188"/>
      <c r="E73" s="189"/>
      <c r="F73" s="456">
        <v>0</v>
      </c>
      <c r="G73" s="456"/>
      <c r="H73" s="455">
        <f t="shared" si="27"/>
        <v>0</v>
      </c>
      <c r="I73" s="436"/>
      <c r="J73" s="447"/>
      <c r="K73" s="444">
        <f t="shared" si="10"/>
        <v>0</v>
      </c>
      <c r="L73" s="476">
        <f ca="1">+'MET_PLUVIAL BASE'!I82</f>
        <v>0.89999999999999991</v>
      </c>
      <c r="M73" s="477">
        <v>87.85</v>
      </c>
      <c r="N73" s="478">
        <f t="shared" ca="1" si="36"/>
        <v>79.064999999999984</v>
      </c>
      <c r="O73" s="464"/>
      <c r="P73" s="462">
        <f t="shared" si="11"/>
        <v>0</v>
      </c>
      <c r="Q73" s="190">
        <f t="shared" ca="1" si="37"/>
        <v>0.89999999999999991</v>
      </c>
      <c r="R73" s="203">
        <f ca="1">ROUND(Q73*$G73,2)</f>
        <v>0</v>
      </c>
      <c r="S73" s="217"/>
      <c r="T73" s="218"/>
      <c r="U73" s="207"/>
      <c r="V73" s="219"/>
      <c r="W73" s="196">
        <f t="shared" si="32"/>
        <v>0</v>
      </c>
      <c r="X73" s="220"/>
      <c r="Y73" s="198">
        <f t="shared" si="33"/>
        <v>0</v>
      </c>
      <c r="Z73" s="199">
        <f t="shared" ca="1" si="38"/>
        <v>0.89999999999999991</v>
      </c>
      <c r="AA73" s="200">
        <f t="shared" ca="1" si="39"/>
        <v>0</v>
      </c>
      <c r="AB73" s="170">
        <f t="shared" ca="1" si="40"/>
        <v>79.064999999999984</v>
      </c>
      <c r="AC73" s="171">
        <f ca="1">+AB73-R73</f>
        <v>79.064999999999984</v>
      </c>
      <c r="AD73" s="129">
        <f t="shared" ca="1" si="41"/>
        <v>79.064999999999984</v>
      </c>
    </row>
    <row r="74" spans="1:30" s="228" customFormat="1" x14ac:dyDescent="0.25">
      <c r="A74" s="201" t="s">
        <v>860</v>
      </c>
      <c r="B74" s="43" t="s">
        <v>562</v>
      </c>
      <c r="C74" s="202" t="s">
        <v>345</v>
      </c>
      <c r="D74" s="188"/>
      <c r="E74" s="189"/>
      <c r="F74" s="456">
        <v>0</v>
      </c>
      <c r="G74" s="456"/>
      <c r="H74" s="455">
        <f t="shared" si="27"/>
        <v>0</v>
      </c>
      <c r="I74" s="436"/>
      <c r="J74" s="450"/>
      <c r="K74" s="444">
        <f t="shared" si="10"/>
        <v>0</v>
      </c>
      <c r="L74" s="476">
        <f ca="1">+'MET_PLUVIAL BASE'!I83</f>
        <v>1.5</v>
      </c>
      <c r="M74" s="477">
        <v>170.49</v>
      </c>
      <c r="N74" s="478">
        <f t="shared" ca="1" si="36"/>
        <v>255.73500000000001</v>
      </c>
      <c r="O74" s="464"/>
      <c r="P74" s="462">
        <f t="shared" si="11"/>
        <v>0</v>
      </c>
      <c r="Q74" s="190">
        <f t="shared" ca="1" si="37"/>
        <v>1.5</v>
      </c>
      <c r="R74" s="203">
        <f ca="1">ROUND(Q74*$G74,2)</f>
        <v>0</v>
      </c>
      <c r="S74" s="217"/>
      <c r="T74" s="218"/>
      <c r="U74" s="207"/>
      <c r="V74" s="219"/>
      <c r="W74" s="196">
        <f t="shared" si="32"/>
        <v>0</v>
      </c>
      <c r="X74" s="220"/>
      <c r="Y74" s="198">
        <f t="shared" si="33"/>
        <v>0</v>
      </c>
      <c r="Z74" s="199">
        <f t="shared" ca="1" si="38"/>
        <v>1.5</v>
      </c>
      <c r="AA74" s="200">
        <f t="shared" ca="1" si="39"/>
        <v>0</v>
      </c>
      <c r="AB74" s="170">
        <f t="shared" ca="1" si="40"/>
        <v>255.73500000000001</v>
      </c>
      <c r="AC74" s="171">
        <f ca="1">+AB74-R74</f>
        <v>255.73500000000001</v>
      </c>
      <c r="AD74" s="129">
        <f t="shared" ca="1" si="41"/>
        <v>255.73500000000001</v>
      </c>
    </row>
    <row r="75" spans="1:30" x14ac:dyDescent="0.25">
      <c r="A75" s="201" t="s">
        <v>861</v>
      </c>
      <c r="B75" s="43" t="s">
        <v>704</v>
      </c>
      <c r="C75" s="202" t="s">
        <v>345</v>
      </c>
      <c r="D75" s="188"/>
      <c r="E75" s="189"/>
      <c r="F75" s="456">
        <v>0</v>
      </c>
      <c r="G75" s="456"/>
      <c r="H75" s="455">
        <f t="shared" si="27"/>
        <v>0</v>
      </c>
      <c r="I75" s="436"/>
      <c r="J75" s="447"/>
      <c r="K75" s="444">
        <f>+PRODUCT(I75:J75)</f>
        <v>0</v>
      </c>
      <c r="L75" s="476">
        <v>0.7</v>
      </c>
      <c r="M75" s="477">
        <v>208.89</v>
      </c>
      <c r="N75" s="478">
        <f t="shared" ref="N75:N101" si="43">+PRODUCT(L75:M75)</f>
        <v>146.22299999999998</v>
      </c>
      <c r="O75" s="464"/>
      <c r="P75" s="462">
        <f t="shared" si="11"/>
        <v>0</v>
      </c>
      <c r="Q75" s="190">
        <f t="shared" si="29"/>
        <v>0.7</v>
      </c>
      <c r="R75" s="203">
        <f t="shared" si="31"/>
        <v>0</v>
      </c>
      <c r="S75" s="217"/>
      <c r="T75" s="218"/>
      <c r="U75" s="207"/>
      <c r="V75" s="219"/>
      <c r="W75" s="196"/>
      <c r="X75" s="220"/>
      <c r="Y75" s="198"/>
      <c r="Z75" s="199"/>
      <c r="AA75" s="200"/>
      <c r="AB75" s="170">
        <f t="shared" si="0"/>
        <v>146.22299999999998</v>
      </c>
      <c r="AC75" s="171">
        <f t="shared" si="6"/>
        <v>146.22299999999998</v>
      </c>
      <c r="AD75" s="129">
        <f t="shared" ref="AD75:AD99" si="44">+H75+K75+N75-P75-R75</f>
        <v>146.22299999999998</v>
      </c>
    </row>
    <row r="76" spans="1:30" x14ac:dyDescent="0.25">
      <c r="A76" s="201" t="s">
        <v>862</v>
      </c>
      <c r="B76" s="43" t="s">
        <v>628</v>
      </c>
      <c r="C76" s="202" t="s">
        <v>345</v>
      </c>
      <c r="D76" s="188"/>
      <c r="E76" s="189"/>
      <c r="F76" s="456">
        <v>0</v>
      </c>
      <c r="G76" s="456"/>
      <c r="H76" s="455">
        <f t="shared" si="27"/>
        <v>0</v>
      </c>
      <c r="I76" s="445"/>
      <c r="J76" s="451"/>
      <c r="K76" s="444">
        <f t="shared" si="10"/>
        <v>0</v>
      </c>
      <c r="L76" s="476">
        <f ca="1">+'MET_PLUVIAL BASE'!I85</f>
        <v>1.1000000000000001</v>
      </c>
      <c r="M76" s="477">
        <v>464.49</v>
      </c>
      <c r="N76" s="478">
        <f t="shared" ref="N76:N86" ca="1" si="45">+PRODUCT(L76:M76)</f>
        <v>510.93900000000008</v>
      </c>
      <c r="O76" s="464"/>
      <c r="P76" s="462">
        <f t="shared" ref="P76:P97" si="46">+PRODUCT(I76,O76)</f>
        <v>0</v>
      </c>
      <c r="Q76" s="190">
        <f t="shared" ref="Q76:Q86" ca="1" si="47">+F76+J76+L76-O76</f>
        <v>1.1000000000000001</v>
      </c>
      <c r="R76" s="203">
        <f t="shared" ref="R76:R86" ca="1" si="48">ROUND(Q76*$G76,2)</f>
        <v>0</v>
      </c>
      <c r="S76" s="217"/>
      <c r="T76" s="218"/>
      <c r="U76" s="207"/>
      <c r="V76" s="219"/>
      <c r="W76" s="196">
        <f t="shared" ref="W76:W84" si="49">+V76*$G76</f>
        <v>0</v>
      </c>
      <c r="X76" s="220"/>
      <c r="Y76" s="198">
        <f t="shared" ref="Y76:Y84" si="50">+X76*$G76</f>
        <v>0</v>
      </c>
      <c r="Z76" s="199">
        <f t="shared" ref="Z76:Z84" ca="1" si="51">Q76+S76-X76</f>
        <v>1.1000000000000001</v>
      </c>
      <c r="AA76" s="200">
        <f t="shared" ref="AA76:AA84" ca="1" si="52">+R76+U76-Y76</f>
        <v>0</v>
      </c>
      <c r="AB76" s="170">
        <f t="shared" ref="AB76:AB86" ca="1" si="53">+H76+K76+N76-P76</f>
        <v>510.93900000000008</v>
      </c>
      <c r="AC76" s="171">
        <f t="shared" ref="AC76:AC86" ca="1" si="54">+AB76-R76</f>
        <v>510.93900000000008</v>
      </c>
      <c r="AD76" s="129">
        <f t="shared" ref="AD76:AD86" ca="1" si="55">+H76+K76+N76-P76-R76</f>
        <v>510.93900000000008</v>
      </c>
    </row>
    <row r="77" spans="1:30" x14ac:dyDescent="0.25">
      <c r="A77" s="201" t="s">
        <v>863</v>
      </c>
      <c r="B77" s="43" t="s">
        <v>629</v>
      </c>
      <c r="C77" s="202" t="s">
        <v>345</v>
      </c>
      <c r="D77" s="188"/>
      <c r="E77" s="189"/>
      <c r="F77" s="456">
        <v>0</v>
      </c>
      <c r="G77" s="456"/>
      <c r="H77" s="455">
        <f t="shared" si="27"/>
        <v>0</v>
      </c>
      <c r="I77" s="436"/>
      <c r="J77" s="451"/>
      <c r="K77" s="444">
        <f t="shared" ref="K77:K90" si="56">+PRODUCT(I77:J77)</f>
        <v>0</v>
      </c>
      <c r="L77" s="476">
        <f ca="1">+'MET_PLUVIAL BASE'!I86</f>
        <v>5.7</v>
      </c>
      <c r="M77" s="477">
        <v>3350.89</v>
      </c>
      <c r="N77" s="478">
        <f t="shared" ca="1" si="45"/>
        <v>19100.073</v>
      </c>
      <c r="O77" s="464"/>
      <c r="P77" s="462">
        <f t="shared" si="46"/>
        <v>0</v>
      </c>
      <c r="Q77" s="190">
        <f t="shared" ca="1" si="47"/>
        <v>5.7</v>
      </c>
      <c r="R77" s="203">
        <f t="shared" ca="1" si="48"/>
        <v>0</v>
      </c>
      <c r="S77" s="217"/>
      <c r="T77" s="218"/>
      <c r="U77" s="207"/>
      <c r="V77" s="219"/>
      <c r="W77" s="196">
        <f t="shared" si="49"/>
        <v>0</v>
      </c>
      <c r="X77" s="220"/>
      <c r="Y77" s="198">
        <f t="shared" si="50"/>
        <v>0</v>
      </c>
      <c r="Z77" s="199">
        <f t="shared" ca="1" si="51"/>
        <v>5.7</v>
      </c>
      <c r="AA77" s="200">
        <f t="shared" ca="1" si="52"/>
        <v>0</v>
      </c>
      <c r="AB77" s="170">
        <f t="shared" ca="1" si="53"/>
        <v>19100.073</v>
      </c>
      <c r="AC77" s="171">
        <f t="shared" ca="1" si="54"/>
        <v>19100.073</v>
      </c>
      <c r="AD77" s="129">
        <f t="shared" ca="1" si="55"/>
        <v>19100.073</v>
      </c>
    </row>
    <row r="78" spans="1:30" s="228" customFormat="1" x14ac:dyDescent="0.25">
      <c r="A78" s="201" t="s">
        <v>864</v>
      </c>
      <c r="B78" s="25" t="s">
        <v>780</v>
      </c>
      <c r="C78" s="202" t="s">
        <v>345</v>
      </c>
      <c r="D78" s="188"/>
      <c r="E78" s="189"/>
      <c r="F78" s="456">
        <v>0</v>
      </c>
      <c r="G78" s="456"/>
      <c r="H78" s="455">
        <f t="shared" si="27"/>
        <v>0</v>
      </c>
      <c r="I78" s="436"/>
      <c r="J78" s="451"/>
      <c r="K78" s="444">
        <f t="shared" si="56"/>
        <v>0</v>
      </c>
      <c r="L78" s="476">
        <f ca="1">+'MET_PLUVIAL BASE'!I87</f>
        <v>108.88000000000001</v>
      </c>
      <c r="M78" s="477">
        <v>100.46</v>
      </c>
      <c r="N78" s="478">
        <f t="shared" ca="1" si="45"/>
        <v>10938.084800000001</v>
      </c>
      <c r="O78" s="464"/>
      <c r="P78" s="462">
        <f t="shared" si="46"/>
        <v>0</v>
      </c>
      <c r="Q78" s="190">
        <f t="shared" ca="1" si="47"/>
        <v>108.88000000000001</v>
      </c>
      <c r="R78" s="203">
        <f t="shared" ca="1" si="48"/>
        <v>0</v>
      </c>
      <c r="S78" s="217"/>
      <c r="T78" s="218"/>
      <c r="U78" s="207"/>
      <c r="V78" s="219"/>
      <c r="W78" s="196">
        <f t="shared" si="49"/>
        <v>0</v>
      </c>
      <c r="X78" s="220"/>
      <c r="Y78" s="198">
        <f t="shared" si="50"/>
        <v>0</v>
      </c>
      <c r="Z78" s="199">
        <f t="shared" ca="1" si="51"/>
        <v>108.88000000000001</v>
      </c>
      <c r="AA78" s="200">
        <f t="shared" ca="1" si="52"/>
        <v>0</v>
      </c>
      <c r="AB78" s="170">
        <f t="shared" ca="1" si="53"/>
        <v>10938.084800000001</v>
      </c>
      <c r="AC78" s="171">
        <f t="shared" ca="1" si="54"/>
        <v>10938.084800000001</v>
      </c>
      <c r="AD78" s="129">
        <f t="shared" ca="1" si="55"/>
        <v>10938.084800000001</v>
      </c>
    </row>
    <row r="79" spans="1:30" x14ac:dyDescent="0.25">
      <c r="A79" s="201" t="s">
        <v>865</v>
      </c>
      <c r="B79" s="25" t="s">
        <v>781</v>
      </c>
      <c r="C79" s="202" t="s">
        <v>345</v>
      </c>
      <c r="D79" s="188"/>
      <c r="E79" s="189"/>
      <c r="F79" s="456">
        <v>0</v>
      </c>
      <c r="G79" s="456"/>
      <c r="H79" s="455">
        <f t="shared" si="27"/>
        <v>0</v>
      </c>
      <c r="I79" s="436"/>
      <c r="J79" s="451"/>
      <c r="K79" s="444">
        <f t="shared" si="56"/>
        <v>0</v>
      </c>
      <c r="L79" s="476">
        <f ca="1">+'MET_PLUVIAL BASE'!I88</f>
        <v>57.9</v>
      </c>
      <c r="M79" s="477">
        <v>108.51</v>
      </c>
      <c r="N79" s="478">
        <f t="shared" ca="1" si="45"/>
        <v>6282.7290000000003</v>
      </c>
      <c r="O79" s="464"/>
      <c r="P79" s="462">
        <f t="shared" si="46"/>
        <v>0</v>
      </c>
      <c r="Q79" s="190">
        <f t="shared" ca="1" si="47"/>
        <v>57.9</v>
      </c>
      <c r="R79" s="203">
        <f t="shared" ca="1" si="48"/>
        <v>0</v>
      </c>
      <c r="S79" s="217"/>
      <c r="T79" s="218"/>
      <c r="U79" s="207"/>
      <c r="V79" s="219"/>
      <c r="W79" s="196">
        <f t="shared" si="49"/>
        <v>0</v>
      </c>
      <c r="X79" s="220"/>
      <c r="Y79" s="198">
        <f t="shared" si="50"/>
        <v>0</v>
      </c>
      <c r="Z79" s="199">
        <f t="shared" ca="1" si="51"/>
        <v>57.9</v>
      </c>
      <c r="AA79" s="200">
        <f t="shared" ca="1" si="52"/>
        <v>0</v>
      </c>
      <c r="AB79" s="170">
        <f t="shared" ca="1" si="53"/>
        <v>6282.7290000000003</v>
      </c>
      <c r="AC79" s="171">
        <f t="shared" ca="1" si="54"/>
        <v>6282.7290000000003</v>
      </c>
      <c r="AD79" s="129">
        <f t="shared" ca="1" si="55"/>
        <v>6282.7290000000003</v>
      </c>
    </row>
    <row r="80" spans="1:30" x14ac:dyDescent="0.25">
      <c r="A80" s="201" t="s">
        <v>866</v>
      </c>
      <c r="B80" s="427" t="s">
        <v>782</v>
      </c>
      <c r="C80" s="202" t="s">
        <v>345</v>
      </c>
      <c r="D80" s="188"/>
      <c r="E80" s="189"/>
      <c r="F80" s="456">
        <v>0</v>
      </c>
      <c r="G80" s="456"/>
      <c r="H80" s="455">
        <f t="shared" si="27"/>
        <v>0</v>
      </c>
      <c r="I80" s="436"/>
      <c r="J80" s="451"/>
      <c r="K80" s="444">
        <f t="shared" si="56"/>
        <v>0</v>
      </c>
      <c r="L80" s="476">
        <f ca="1">+'MET_PLUVIAL BASE'!I89</f>
        <v>74.06</v>
      </c>
      <c r="M80" s="477">
        <v>126.13</v>
      </c>
      <c r="N80" s="478">
        <f t="shared" ca="1" si="45"/>
        <v>9341.1877999999997</v>
      </c>
      <c r="O80" s="464"/>
      <c r="P80" s="462">
        <f t="shared" si="46"/>
        <v>0</v>
      </c>
      <c r="Q80" s="190">
        <f t="shared" ca="1" si="47"/>
        <v>74.06</v>
      </c>
      <c r="R80" s="203">
        <f t="shared" ca="1" si="48"/>
        <v>0</v>
      </c>
      <c r="S80" s="217"/>
      <c r="T80" s="218"/>
      <c r="U80" s="207"/>
      <c r="V80" s="219"/>
      <c r="W80" s="196">
        <f t="shared" si="49"/>
        <v>0</v>
      </c>
      <c r="X80" s="220"/>
      <c r="Y80" s="198">
        <f t="shared" si="50"/>
        <v>0</v>
      </c>
      <c r="Z80" s="199">
        <f t="shared" ca="1" si="51"/>
        <v>74.06</v>
      </c>
      <c r="AA80" s="200">
        <f t="shared" ca="1" si="52"/>
        <v>0</v>
      </c>
      <c r="AB80" s="170">
        <f t="shared" ca="1" si="53"/>
        <v>9341.1877999999997</v>
      </c>
      <c r="AC80" s="171">
        <f t="shared" ca="1" si="54"/>
        <v>9341.1877999999997</v>
      </c>
      <c r="AD80" s="129">
        <f t="shared" ca="1" si="55"/>
        <v>9341.1877999999997</v>
      </c>
    </row>
    <row r="81" spans="1:30" x14ac:dyDescent="0.25">
      <c r="A81" s="201" t="s">
        <v>867</v>
      </c>
      <c r="B81" s="28" t="s">
        <v>783</v>
      </c>
      <c r="C81" s="202" t="s">
        <v>13</v>
      </c>
      <c r="D81" s="188"/>
      <c r="E81" s="189"/>
      <c r="F81" s="456">
        <v>0</v>
      </c>
      <c r="G81" s="456"/>
      <c r="H81" s="455">
        <f t="shared" si="27"/>
        <v>0</v>
      </c>
      <c r="I81" s="436"/>
      <c r="J81" s="451"/>
      <c r="K81" s="444">
        <f t="shared" si="56"/>
        <v>0</v>
      </c>
      <c r="L81" s="476">
        <f ca="1">+'MET_PLUVIAL BASE'!I90</f>
        <v>125</v>
      </c>
      <c r="M81" s="477">
        <v>398.9</v>
      </c>
      <c r="N81" s="478">
        <f t="shared" ca="1" si="45"/>
        <v>49862.5</v>
      </c>
      <c r="O81" s="464"/>
      <c r="P81" s="462">
        <f t="shared" si="46"/>
        <v>0</v>
      </c>
      <c r="Q81" s="190">
        <f t="shared" ca="1" si="47"/>
        <v>125</v>
      </c>
      <c r="R81" s="203">
        <f t="shared" ca="1" si="48"/>
        <v>0</v>
      </c>
      <c r="S81" s="217"/>
      <c r="T81" s="218"/>
      <c r="U81" s="207"/>
      <c r="V81" s="219"/>
      <c r="W81" s="196">
        <f t="shared" si="49"/>
        <v>0</v>
      </c>
      <c r="X81" s="220"/>
      <c r="Y81" s="198">
        <f t="shared" si="50"/>
        <v>0</v>
      </c>
      <c r="Z81" s="199">
        <f t="shared" ca="1" si="51"/>
        <v>125</v>
      </c>
      <c r="AA81" s="200">
        <f t="shared" ca="1" si="52"/>
        <v>0</v>
      </c>
      <c r="AB81" s="170">
        <f t="shared" ca="1" si="53"/>
        <v>49862.5</v>
      </c>
      <c r="AC81" s="171">
        <f t="shared" ca="1" si="54"/>
        <v>49862.5</v>
      </c>
      <c r="AD81" s="129">
        <f t="shared" ca="1" si="55"/>
        <v>49862.5</v>
      </c>
    </row>
    <row r="82" spans="1:30" x14ac:dyDescent="0.25">
      <c r="A82" s="201" t="s">
        <v>868</v>
      </c>
      <c r="B82" s="43" t="s">
        <v>739</v>
      </c>
      <c r="C82" s="202" t="s">
        <v>13</v>
      </c>
      <c r="D82" s="188"/>
      <c r="E82" s="189"/>
      <c r="F82" s="456">
        <v>0</v>
      </c>
      <c r="G82" s="456"/>
      <c r="H82" s="455">
        <f t="shared" si="27"/>
        <v>0</v>
      </c>
      <c r="I82" s="436"/>
      <c r="J82" s="451"/>
      <c r="K82" s="444">
        <f t="shared" si="56"/>
        <v>0</v>
      </c>
      <c r="L82" s="476">
        <f ca="1">+'MET_PLUVIAL BASE'!I91</f>
        <v>3</v>
      </c>
      <c r="M82" s="477">
        <v>244.51</v>
      </c>
      <c r="N82" s="478">
        <f t="shared" ca="1" si="45"/>
        <v>733.53</v>
      </c>
      <c r="O82" s="464"/>
      <c r="P82" s="462">
        <f t="shared" si="46"/>
        <v>0</v>
      </c>
      <c r="Q82" s="190">
        <f t="shared" ca="1" si="47"/>
        <v>3</v>
      </c>
      <c r="R82" s="203">
        <f t="shared" ca="1" si="48"/>
        <v>0</v>
      </c>
      <c r="S82" s="217"/>
      <c r="T82" s="218"/>
      <c r="U82" s="207"/>
      <c r="V82" s="219"/>
      <c r="W82" s="196">
        <f t="shared" si="49"/>
        <v>0</v>
      </c>
      <c r="X82" s="220"/>
      <c r="Y82" s="198">
        <f t="shared" si="50"/>
        <v>0</v>
      </c>
      <c r="Z82" s="199">
        <f t="shared" ca="1" si="51"/>
        <v>3</v>
      </c>
      <c r="AA82" s="200">
        <f t="shared" ca="1" si="52"/>
        <v>0</v>
      </c>
      <c r="AB82" s="170">
        <f t="shared" ca="1" si="53"/>
        <v>733.53</v>
      </c>
      <c r="AC82" s="171">
        <f t="shared" ca="1" si="54"/>
        <v>733.53</v>
      </c>
      <c r="AD82" s="129">
        <f t="shared" ca="1" si="55"/>
        <v>733.53</v>
      </c>
    </row>
    <row r="83" spans="1:30" x14ac:dyDescent="0.25">
      <c r="A83" s="201" t="s">
        <v>869</v>
      </c>
      <c r="B83" s="28" t="s">
        <v>695</v>
      </c>
      <c r="C83" s="202" t="s">
        <v>345</v>
      </c>
      <c r="D83" s="188"/>
      <c r="E83" s="189"/>
      <c r="F83" s="456">
        <v>0</v>
      </c>
      <c r="G83" s="456"/>
      <c r="H83" s="455">
        <f t="shared" si="27"/>
        <v>0</v>
      </c>
      <c r="I83" s="436"/>
      <c r="J83" s="451"/>
      <c r="K83" s="444">
        <f t="shared" si="56"/>
        <v>0</v>
      </c>
      <c r="L83" s="476">
        <f ca="1">+'MET_PLUVIAL BASE'!I92</f>
        <v>11</v>
      </c>
      <c r="M83" s="477">
        <v>415.42</v>
      </c>
      <c r="N83" s="478">
        <f t="shared" ca="1" si="45"/>
        <v>4569.62</v>
      </c>
      <c r="O83" s="464"/>
      <c r="P83" s="462">
        <f t="shared" si="46"/>
        <v>0</v>
      </c>
      <c r="Q83" s="190">
        <f t="shared" ca="1" si="47"/>
        <v>11</v>
      </c>
      <c r="R83" s="203">
        <f t="shared" ca="1" si="48"/>
        <v>0</v>
      </c>
      <c r="S83" s="217"/>
      <c r="T83" s="218"/>
      <c r="U83" s="207"/>
      <c r="V83" s="219"/>
      <c r="W83" s="196">
        <f t="shared" si="49"/>
        <v>0</v>
      </c>
      <c r="X83" s="220"/>
      <c r="Y83" s="198">
        <f t="shared" si="50"/>
        <v>0</v>
      </c>
      <c r="Z83" s="199">
        <f t="shared" ca="1" si="51"/>
        <v>11</v>
      </c>
      <c r="AA83" s="200">
        <f t="shared" ca="1" si="52"/>
        <v>0</v>
      </c>
      <c r="AB83" s="170">
        <f t="shared" ca="1" si="53"/>
        <v>4569.62</v>
      </c>
      <c r="AC83" s="171">
        <f t="shared" ca="1" si="54"/>
        <v>4569.62</v>
      </c>
      <c r="AD83" s="129">
        <f t="shared" ca="1" si="55"/>
        <v>4569.62</v>
      </c>
    </row>
    <row r="84" spans="1:30" s="228" customFormat="1" x14ac:dyDescent="0.25">
      <c r="A84" s="201" t="s">
        <v>870</v>
      </c>
      <c r="B84" s="28" t="s">
        <v>655</v>
      </c>
      <c r="C84" s="202" t="s">
        <v>345</v>
      </c>
      <c r="D84" s="188"/>
      <c r="E84" s="189"/>
      <c r="F84" s="456">
        <v>0</v>
      </c>
      <c r="G84" s="456"/>
      <c r="H84" s="455">
        <f t="shared" si="27"/>
        <v>0</v>
      </c>
      <c r="I84" s="436"/>
      <c r="J84" s="451"/>
      <c r="K84" s="444">
        <f t="shared" si="56"/>
        <v>0</v>
      </c>
      <c r="L84" s="476">
        <f ca="1">+'MET_PLUVIAL BASE'!I93</f>
        <v>12</v>
      </c>
      <c r="M84" s="477">
        <v>536.37</v>
      </c>
      <c r="N84" s="478">
        <f t="shared" ca="1" si="45"/>
        <v>6436.4400000000005</v>
      </c>
      <c r="O84" s="464"/>
      <c r="P84" s="462">
        <f t="shared" si="46"/>
        <v>0</v>
      </c>
      <c r="Q84" s="190">
        <f t="shared" ca="1" si="47"/>
        <v>12</v>
      </c>
      <c r="R84" s="203">
        <f t="shared" ca="1" si="48"/>
        <v>0</v>
      </c>
      <c r="S84" s="217"/>
      <c r="T84" s="218"/>
      <c r="U84" s="207"/>
      <c r="V84" s="219"/>
      <c r="W84" s="196">
        <f t="shared" si="49"/>
        <v>0</v>
      </c>
      <c r="X84" s="220"/>
      <c r="Y84" s="198">
        <f t="shared" si="50"/>
        <v>0</v>
      </c>
      <c r="Z84" s="199">
        <f t="shared" ca="1" si="51"/>
        <v>12</v>
      </c>
      <c r="AA84" s="200">
        <f t="shared" ca="1" si="52"/>
        <v>0</v>
      </c>
      <c r="AB84" s="170">
        <f t="shared" ca="1" si="53"/>
        <v>6436.4400000000005</v>
      </c>
      <c r="AC84" s="171">
        <f t="shared" ca="1" si="54"/>
        <v>6436.4400000000005</v>
      </c>
      <c r="AD84" s="129">
        <f t="shared" ca="1" si="55"/>
        <v>6436.4400000000005</v>
      </c>
    </row>
    <row r="85" spans="1:30" x14ac:dyDescent="0.25">
      <c r="A85" s="201" t="s">
        <v>871</v>
      </c>
      <c r="B85" s="28" t="s">
        <v>740</v>
      </c>
      <c r="C85" s="202" t="s">
        <v>345</v>
      </c>
      <c r="D85" s="188"/>
      <c r="E85" s="189"/>
      <c r="F85" s="456">
        <v>0</v>
      </c>
      <c r="G85" s="456"/>
      <c r="H85" s="455">
        <f t="shared" si="27"/>
        <v>0</v>
      </c>
      <c r="I85" s="436"/>
      <c r="J85" s="451"/>
      <c r="K85" s="444">
        <f t="shared" si="56"/>
        <v>0</v>
      </c>
      <c r="L85" s="476">
        <f ca="1">+'MET_PLUVIAL BASE'!I94</f>
        <v>6</v>
      </c>
      <c r="M85" s="477">
        <v>639.25</v>
      </c>
      <c r="N85" s="478">
        <f t="shared" ca="1" si="45"/>
        <v>3835.5</v>
      </c>
      <c r="O85" s="464"/>
      <c r="P85" s="462">
        <f t="shared" si="46"/>
        <v>0</v>
      </c>
      <c r="Q85" s="190">
        <f t="shared" ca="1" si="47"/>
        <v>6</v>
      </c>
      <c r="R85" s="203">
        <f t="shared" ca="1" si="48"/>
        <v>0</v>
      </c>
      <c r="S85" s="192"/>
      <c r="T85" s="193"/>
      <c r="U85" s="194"/>
      <c r="V85" s="195"/>
      <c r="W85" s="196"/>
      <c r="X85" s="197"/>
      <c r="Y85" s="198"/>
      <c r="Z85" s="199"/>
      <c r="AA85" s="200"/>
      <c r="AB85" s="170">
        <f t="shared" ca="1" si="53"/>
        <v>3835.5</v>
      </c>
      <c r="AC85" s="171">
        <f t="shared" ca="1" si="54"/>
        <v>3835.5</v>
      </c>
      <c r="AD85" s="129">
        <f t="shared" ca="1" si="55"/>
        <v>3835.5</v>
      </c>
    </row>
    <row r="86" spans="1:30" s="228" customFormat="1" x14ac:dyDescent="0.25">
      <c r="A86" s="201" t="s">
        <v>872</v>
      </c>
      <c r="B86" s="28" t="s">
        <v>741</v>
      </c>
      <c r="C86" s="202"/>
      <c r="D86" s="188"/>
      <c r="E86" s="189"/>
      <c r="F86" s="456">
        <v>0</v>
      </c>
      <c r="G86" s="456"/>
      <c r="H86" s="455">
        <f t="shared" si="27"/>
        <v>0</v>
      </c>
      <c r="I86" s="445"/>
      <c r="J86" s="451"/>
      <c r="K86" s="444">
        <f t="shared" si="56"/>
        <v>0</v>
      </c>
      <c r="L86" s="476">
        <f ca="1">+'MET_PLUVIAL BASE'!I95</f>
        <v>1</v>
      </c>
      <c r="M86" s="477">
        <v>656.6</v>
      </c>
      <c r="N86" s="478">
        <f t="shared" ca="1" si="45"/>
        <v>656.6</v>
      </c>
      <c r="O86" s="464"/>
      <c r="P86" s="462">
        <f t="shared" si="46"/>
        <v>0</v>
      </c>
      <c r="Q86" s="190">
        <f t="shared" ca="1" si="47"/>
        <v>1</v>
      </c>
      <c r="R86" s="203">
        <f t="shared" ca="1" si="48"/>
        <v>0</v>
      </c>
      <c r="S86" s="217"/>
      <c r="T86" s="218"/>
      <c r="U86" s="207"/>
      <c r="V86" s="219"/>
      <c r="W86" s="196">
        <f t="shared" ref="W86:W95" si="57">+V86*$G86</f>
        <v>0</v>
      </c>
      <c r="X86" s="220"/>
      <c r="Y86" s="198">
        <f t="shared" ref="Y86:Y95" si="58">+X86*$G86</f>
        <v>0</v>
      </c>
      <c r="Z86" s="199">
        <f ca="1">Q86+S86-X86</f>
        <v>1</v>
      </c>
      <c r="AA86" s="200">
        <f ca="1">+R86+U86-Y86</f>
        <v>0</v>
      </c>
      <c r="AB86" s="170">
        <f t="shared" ca="1" si="53"/>
        <v>656.6</v>
      </c>
      <c r="AC86" s="171">
        <f t="shared" ca="1" si="54"/>
        <v>656.6</v>
      </c>
      <c r="AD86" s="129">
        <f t="shared" ca="1" si="55"/>
        <v>656.6</v>
      </c>
    </row>
    <row r="87" spans="1:30" x14ac:dyDescent="0.25">
      <c r="A87" s="201" t="s">
        <v>873</v>
      </c>
      <c r="B87" s="43" t="s">
        <v>759</v>
      </c>
      <c r="C87" s="202" t="s">
        <v>13</v>
      </c>
      <c r="D87" s="188"/>
      <c r="E87" s="189"/>
      <c r="F87" s="456">
        <v>0</v>
      </c>
      <c r="G87" s="456"/>
      <c r="H87" s="455">
        <f t="shared" si="27"/>
        <v>0</v>
      </c>
      <c r="I87" s="436"/>
      <c r="J87" s="451"/>
      <c r="K87" s="444">
        <f t="shared" si="56"/>
        <v>0</v>
      </c>
      <c r="L87" s="476">
        <v>0.38</v>
      </c>
      <c r="M87" s="477">
        <v>8404.26</v>
      </c>
      <c r="N87" s="478">
        <f t="shared" si="43"/>
        <v>3193.6188000000002</v>
      </c>
      <c r="O87" s="464"/>
      <c r="P87" s="462">
        <f t="shared" si="46"/>
        <v>0</v>
      </c>
      <c r="Q87" s="190">
        <f t="shared" si="29"/>
        <v>0.38</v>
      </c>
      <c r="R87" s="203">
        <f t="shared" si="31"/>
        <v>0</v>
      </c>
      <c r="S87" s="217"/>
      <c r="T87" s="218"/>
      <c r="U87" s="207"/>
      <c r="V87" s="219"/>
      <c r="W87" s="196">
        <f t="shared" si="57"/>
        <v>0</v>
      </c>
      <c r="X87" s="220"/>
      <c r="Y87" s="198">
        <f t="shared" si="58"/>
        <v>0</v>
      </c>
      <c r="Z87" s="199">
        <f t="shared" ref="Z87:Z94" si="59">Q87+S87-X87</f>
        <v>0.38</v>
      </c>
      <c r="AA87" s="200">
        <f t="shared" ref="AA87:AA99" si="60">+R87+U87-Y87</f>
        <v>0</v>
      </c>
      <c r="AB87" s="170">
        <f t="shared" ref="AB87:AB99" si="61">+H87+K87+N87-P87</f>
        <v>3193.6188000000002</v>
      </c>
      <c r="AC87" s="171">
        <f t="shared" ref="AC87:AC99" si="62">+AB87-R87</f>
        <v>3193.6188000000002</v>
      </c>
      <c r="AD87" s="129">
        <f t="shared" si="44"/>
        <v>3193.6188000000002</v>
      </c>
    </row>
    <row r="88" spans="1:30" x14ac:dyDescent="0.25">
      <c r="A88" s="201" t="s">
        <v>874</v>
      </c>
      <c r="B88" s="28" t="s">
        <v>735</v>
      </c>
      <c r="C88" s="202" t="s">
        <v>45</v>
      </c>
      <c r="D88" s="188"/>
      <c r="E88" s="189"/>
      <c r="F88" s="456">
        <v>0</v>
      </c>
      <c r="G88" s="456"/>
      <c r="H88" s="455">
        <f t="shared" si="27"/>
        <v>0</v>
      </c>
      <c r="I88" s="436"/>
      <c r="J88" s="451"/>
      <c r="K88" s="444">
        <f t="shared" si="56"/>
        <v>0</v>
      </c>
      <c r="L88" s="476">
        <f ca="1">+'MET_PLUVIAL BASE'!I97</f>
        <v>105.24000000000001</v>
      </c>
      <c r="M88" s="477">
        <v>39.799999999999997</v>
      </c>
      <c r="N88" s="478">
        <f ca="1">+PRODUCT(L88:M88)</f>
        <v>4188.5519999999997</v>
      </c>
      <c r="O88" s="464"/>
      <c r="P88" s="462">
        <f t="shared" si="46"/>
        <v>0</v>
      </c>
      <c r="Q88" s="190">
        <f ca="1">+F88+J88+L88-O88</f>
        <v>105.24000000000001</v>
      </c>
      <c r="R88" s="223">
        <f ca="1">+SUM(R89:R106)</f>
        <v>36137.329999999987</v>
      </c>
      <c r="S88" s="217"/>
      <c r="T88" s="218"/>
      <c r="U88" s="207"/>
      <c r="V88" s="219"/>
      <c r="W88" s="196">
        <f t="shared" si="57"/>
        <v>0</v>
      </c>
      <c r="X88" s="220"/>
      <c r="Y88" s="198">
        <f t="shared" si="58"/>
        <v>0</v>
      </c>
      <c r="Z88" s="199">
        <f ca="1">Q88+S88-X88</f>
        <v>105.24000000000001</v>
      </c>
      <c r="AA88" s="200">
        <f ca="1">+R88+U88-Y88</f>
        <v>36137.329999999987</v>
      </c>
      <c r="AB88" s="170">
        <f ca="1">+H88+K88+N88-P88</f>
        <v>4188.5519999999997</v>
      </c>
      <c r="AC88" s="171">
        <f ca="1">+AB88-R88</f>
        <v>-31948.777999999988</v>
      </c>
      <c r="AD88" s="129">
        <f ca="1">+H88+K88+N88-P88-R88</f>
        <v>-31948.777999999988</v>
      </c>
    </row>
    <row r="89" spans="1:30" s="228" customFormat="1" x14ac:dyDescent="0.25">
      <c r="A89" s="201" t="s">
        <v>875</v>
      </c>
      <c r="B89" s="28" t="s">
        <v>736</v>
      </c>
      <c r="C89" s="202" t="s">
        <v>45</v>
      </c>
      <c r="D89" s="188"/>
      <c r="E89" s="189"/>
      <c r="F89" s="456"/>
      <c r="G89" s="456"/>
      <c r="H89" s="455">
        <f t="shared" si="27"/>
        <v>0</v>
      </c>
      <c r="I89" s="436"/>
      <c r="J89" s="451"/>
      <c r="K89" s="444">
        <f t="shared" si="56"/>
        <v>0</v>
      </c>
      <c r="L89" s="476">
        <f ca="1">+'MET_PLUVIAL BASE'!I98</f>
        <v>256.66499999999996</v>
      </c>
      <c r="M89" s="477">
        <v>34.700000000000003</v>
      </c>
      <c r="N89" s="478">
        <f ca="1">+PRODUCT(L89:M89)</f>
        <v>8906.2754999999997</v>
      </c>
      <c r="O89" s="467"/>
      <c r="P89" s="462">
        <f t="shared" si="46"/>
        <v>0</v>
      </c>
      <c r="Q89" s="190">
        <f ca="1">+F89+J89+L89-O89</f>
        <v>256.66499999999996</v>
      </c>
      <c r="R89" s="203">
        <f ca="1">ROUNDUP(Q89*$G89,2)</f>
        <v>0</v>
      </c>
      <c r="S89" s="217"/>
      <c r="T89" s="218"/>
      <c r="U89" s="207"/>
      <c r="V89" s="219"/>
      <c r="W89" s="196">
        <f t="shared" si="57"/>
        <v>0</v>
      </c>
      <c r="X89" s="220"/>
      <c r="Y89" s="198">
        <f t="shared" si="58"/>
        <v>0</v>
      </c>
      <c r="Z89" s="199">
        <f ca="1">Q89+S89-X89</f>
        <v>256.66499999999996</v>
      </c>
      <c r="AA89" s="200">
        <f ca="1">+R89+U89-Y89</f>
        <v>0</v>
      </c>
      <c r="AB89" s="170">
        <f ca="1">+H89+K89+N89-P89</f>
        <v>8906.2754999999997</v>
      </c>
      <c r="AC89" s="171">
        <f ca="1">+AB89-R89</f>
        <v>8906.2754999999997</v>
      </c>
      <c r="AD89" s="129">
        <f ca="1">+H89+K89+N89-P89-R89</f>
        <v>8906.2754999999997</v>
      </c>
    </row>
    <row r="90" spans="1:30" x14ac:dyDescent="0.25">
      <c r="A90" s="201"/>
      <c r="B90" s="343"/>
      <c r="C90" s="202"/>
      <c r="D90" s="188"/>
      <c r="E90" s="189"/>
      <c r="F90" s="456"/>
      <c r="G90" s="456"/>
      <c r="H90" s="455">
        <f t="shared" si="27"/>
        <v>0</v>
      </c>
      <c r="I90" s="436"/>
      <c r="J90" s="451"/>
      <c r="K90" s="444">
        <f t="shared" si="56"/>
        <v>0</v>
      </c>
      <c r="L90" s="476"/>
      <c r="M90" s="477"/>
      <c r="N90" s="475">
        <f t="shared" si="43"/>
        <v>0</v>
      </c>
      <c r="O90" s="467"/>
      <c r="P90" s="462">
        <f t="shared" si="46"/>
        <v>0</v>
      </c>
      <c r="Q90" s="190">
        <f t="shared" si="29"/>
        <v>0</v>
      </c>
      <c r="R90" s="203">
        <f t="shared" ref="R90:R94" si="63">ROUNDUP(Q90*$G90,2)</f>
        <v>0</v>
      </c>
      <c r="S90" s="217"/>
      <c r="T90" s="218"/>
      <c r="U90" s="207"/>
      <c r="V90" s="219"/>
      <c r="W90" s="196">
        <f t="shared" si="57"/>
        <v>0</v>
      </c>
      <c r="X90" s="220"/>
      <c r="Y90" s="198">
        <f t="shared" si="58"/>
        <v>0</v>
      </c>
      <c r="Z90" s="199">
        <f t="shared" si="59"/>
        <v>0</v>
      </c>
      <c r="AA90" s="200">
        <f t="shared" si="60"/>
        <v>0</v>
      </c>
      <c r="AB90" s="170">
        <f t="shared" si="61"/>
        <v>0</v>
      </c>
      <c r="AC90" s="171">
        <f t="shared" si="62"/>
        <v>0</v>
      </c>
      <c r="AD90" s="129">
        <f t="shared" si="44"/>
        <v>0</v>
      </c>
    </row>
    <row r="91" spans="1:30" x14ac:dyDescent="0.25">
      <c r="A91" s="73" t="s">
        <v>876</v>
      </c>
      <c r="B91" s="74" t="s">
        <v>223</v>
      </c>
      <c r="C91" s="202"/>
      <c r="D91" s="188"/>
      <c r="E91" s="189"/>
      <c r="F91" s="456"/>
      <c r="G91" s="456"/>
      <c r="H91" s="455">
        <f t="shared" si="27"/>
        <v>0</v>
      </c>
      <c r="I91" s="436"/>
      <c r="J91" s="451"/>
      <c r="K91" s="444">
        <f>+PRODUCT(I91:J91)</f>
        <v>0</v>
      </c>
      <c r="L91" s="476"/>
      <c r="M91" s="477"/>
      <c r="N91" s="475">
        <f t="shared" si="43"/>
        <v>0</v>
      </c>
      <c r="O91" s="467"/>
      <c r="P91" s="462">
        <f t="shared" si="46"/>
        <v>0</v>
      </c>
      <c r="Q91" s="190">
        <f t="shared" si="29"/>
        <v>0</v>
      </c>
      <c r="R91" s="203">
        <f t="shared" si="63"/>
        <v>0</v>
      </c>
      <c r="S91" s="217"/>
      <c r="T91" s="218"/>
      <c r="U91" s="207"/>
      <c r="V91" s="219"/>
      <c r="W91" s="196">
        <f t="shared" si="57"/>
        <v>0</v>
      </c>
      <c r="X91" s="220"/>
      <c r="Y91" s="198">
        <f t="shared" si="58"/>
        <v>0</v>
      </c>
      <c r="Z91" s="199">
        <f t="shared" si="59"/>
        <v>0</v>
      </c>
      <c r="AA91" s="200">
        <f t="shared" si="60"/>
        <v>0</v>
      </c>
      <c r="AB91" s="170">
        <f t="shared" si="61"/>
        <v>0</v>
      </c>
      <c r="AC91" s="171">
        <f t="shared" si="62"/>
        <v>0</v>
      </c>
      <c r="AD91" s="129">
        <f t="shared" si="44"/>
        <v>0</v>
      </c>
    </row>
    <row r="92" spans="1:30" x14ac:dyDescent="0.25">
      <c r="A92" s="201" t="s">
        <v>877</v>
      </c>
      <c r="B92" s="28" t="s">
        <v>265</v>
      </c>
      <c r="C92" s="202" t="s">
        <v>13</v>
      </c>
      <c r="D92" s="188"/>
      <c r="E92" s="189"/>
      <c r="F92" s="456">
        <v>47</v>
      </c>
      <c r="G92" s="490">
        <v>319.26</v>
      </c>
      <c r="H92" s="457">
        <f t="shared" si="27"/>
        <v>15005.22</v>
      </c>
      <c r="I92" s="446">
        <v>329.54</v>
      </c>
      <c r="J92" s="451"/>
      <c r="K92" s="449"/>
      <c r="L92" s="476"/>
      <c r="M92" s="477"/>
      <c r="N92" s="475">
        <f t="shared" si="43"/>
        <v>0</v>
      </c>
      <c r="O92" s="467">
        <v>6</v>
      </c>
      <c r="P92" s="466">
        <f t="shared" si="46"/>
        <v>1977.2400000000002</v>
      </c>
      <c r="Q92" s="190">
        <f t="shared" si="29"/>
        <v>41</v>
      </c>
      <c r="R92" s="203">
        <f t="shared" si="63"/>
        <v>13089.66</v>
      </c>
      <c r="S92" s="217"/>
      <c r="T92" s="218"/>
      <c r="U92" s="207"/>
      <c r="V92" s="219"/>
      <c r="W92" s="196">
        <f t="shared" si="57"/>
        <v>0</v>
      </c>
      <c r="X92" s="220"/>
      <c r="Y92" s="198">
        <f t="shared" si="58"/>
        <v>0</v>
      </c>
      <c r="Z92" s="199">
        <f t="shared" si="59"/>
        <v>41</v>
      </c>
      <c r="AA92" s="200">
        <f t="shared" si="60"/>
        <v>13089.66</v>
      </c>
      <c r="AB92" s="170">
        <f t="shared" si="61"/>
        <v>13027.98</v>
      </c>
      <c r="AC92" s="171">
        <f t="shared" si="62"/>
        <v>-61.680000000000291</v>
      </c>
      <c r="AD92" s="129">
        <f t="shared" si="44"/>
        <v>-61.680000000000291</v>
      </c>
    </row>
    <row r="93" spans="1:30" x14ac:dyDescent="0.25">
      <c r="A93" s="201" t="s">
        <v>878</v>
      </c>
      <c r="B93" s="28" t="s">
        <v>272</v>
      </c>
      <c r="C93" s="202" t="s">
        <v>13</v>
      </c>
      <c r="D93" s="188"/>
      <c r="E93" s="189"/>
      <c r="F93" s="456">
        <v>54</v>
      </c>
      <c r="G93" s="490">
        <v>20.07</v>
      </c>
      <c r="H93" s="457">
        <f t="shared" si="27"/>
        <v>1083.78</v>
      </c>
      <c r="I93" s="446">
        <v>20.74</v>
      </c>
      <c r="J93" s="447">
        <v>234</v>
      </c>
      <c r="K93" s="449">
        <f t="shared" ref="K93:K100" si="64">+PRODUCT(I93:J93)</f>
        <v>4853.16</v>
      </c>
      <c r="L93" s="476"/>
      <c r="M93" s="477"/>
      <c r="N93" s="475">
        <f t="shared" si="43"/>
        <v>0</v>
      </c>
      <c r="O93" s="467"/>
      <c r="P93" s="462"/>
      <c r="Q93" s="190">
        <f t="shared" si="29"/>
        <v>288</v>
      </c>
      <c r="R93" s="203">
        <f t="shared" si="63"/>
        <v>5780.16</v>
      </c>
      <c r="S93" s="217"/>
      <c r="T93" s="218"/>
      <c r="U93" s="207"/>
      <c r="V93" s="219"/>
      <c r="W93" s="196">
        <f t="shared" si="57"/>
        <v>0</v>
      </c>
      <c r="X93" s="220"/>
      <c r="Y93" s="198">
        <f t="shared" si="58"/>
        <v>0</v>
      </c>
      <c r="Z93" s="199">
        <f t="shared" si="59"/>
        <v>288</v>
      </c>
      <c r="AA93" s="200">
        <f t="shared" si="60"/>
        <v>5780.16</v>
      </c>
      <c r="AB93" s="170">
        <f t="shared" si="61"/>
        <v>5936.94</v>
      </c>
      <c r="AC93" s="171">
        <f t="shared" si="62"/>
        <v>156.77999999999975</v>
      </c>
      <c r="AD93" s="129">
        <f t="shared" si="44"/>
        <v>156.77999999999975</v>
      </c>
    </row>
    <row r="94" spans="1:30" x14ac:dyDescent="0.25">
      <c r="A94" s="201" t="s">
        <v>879</v>
      </c>
      <c r="B94" s="28" t="s">
        <v>266</v>
      </c>
      <c r="C94" s="202" t="s">
        <v>13</v>
      </c>
      <c r="D94" s="188"/>
      <c r="E94" s="189"/>
      <c r="F94" s="456">
        <v>664</v>
      </c>
      <c r="G94" s="490">
        <v>21.47</v>
      </c>
      <c r="H94" s="457">
        <f t="shared" si="27"/>
        <v>14256.08</v>
      </c>
      <c r="I94" s="446">
        <v>22.14</v>
      </c>
      <c r="J94" s="447"/>
      <c r="K94" s="449"/>
      <c r="L94" s="476"/>
      <c r="M94" s="477"/>
      <c r="N94" s="475">
        <f t="shared" si="43"/>
        <v>0</v>
      </c>
      <c r="O94" s="467">
        <v>16</v>
      </c>
      <c r="P94" s="466">
        <f t="shared" si="46"/>
        <v>354.24</v>
      </c>
      <c r="Q94" s="190">
        <f t="shared" si="29"/>
        <v>648</v>
      </c>
      <c r="R94" s="203">
        <f t="shared" si="63"/>
        <v>13912.56</v>
      </c>
      <c r="S94" s="217"/>
      <c r="T94" s="218"/>
      <c r="U94" s="207"/>
      <c r="V94" s="219"/>
      <c r="W94" s="196">
        <f t="shared" si="57"/>
        <v>0</v>
      </c>
      <c r="X94" s="220"/>
      <c r="Y94" s="198">
        <f t="shared" si="58"/>
        <v>0</v>
      </c>
      <c r="Z94" s="199">
        <f t="shared" si="59"/>
        <v>648</v>
      </c>
      <c r="AA94" s="200">
        <f t="shared" si="60"/>
        <v>13912.56</v>
      </c>
      <c r="AB94" s="170">
        <f t="shared" si="61"/>
        <v>13901.84</v>
      </c>
      <c r="AC94" s="171">
        <f t="shared" si="62"/>
        <v>-10.719999999999345</v>
      </c>
      <c r="AD94" s="129">
        <f t="shared" si="44"/>
        <v>-10.719999999999345</v>
      </c>
    </row>
    <row r="95" spans="1:30" x14ac:dyDescent="0.25">
      <c r="A95" s="201" t="s">
        <v>880</v>
      </c>
      <c r="B95" s="28" t="s">
        <v>354</v>
      </c>
      <c r="C95" s="202" t="s">
        <v>13</v>
      </c>
      <c r="D95" s="188"/>
      <c r="E95" s="189"/>
      <c r="F95" s="456">
        <v>35</v>
      </c>
      <c r="G95" s="490">
        <v>49.05</v>
      </c>
      <c r="H95" s="457">
        <f t="shared" si="27"/>
        <v>1716.75</v>
      </c>
      <c r="I95" s="446">
        <v>49.72</v>
      </c>
      <c r="J95" s="447">
        <v>14</v>
      </c>
      <c r="K95" s="449">
        <f t="shared" si="64"/>
        <v>696.07999999999993</v>
      </c>
      <c r="L95" s="476"/>
      <c r="M95" s="477"/>
      <c r="N95" s="475">
        <f t="shared" si="43"/>
        <v>0</v>
      </c>
      <c r="O95" s="467"/>
      <c r="P95" s="462"/>
      <c r="Q95" s="190">
        <f t="shared" si="29"/>
        <v>49</v>
      </c>
      <c r="R95" s="203">
        <f>ROUNDUP(Q95*$G95,2)</f>
        <v>2403.4499999999998</v>
      </c>
      <c r="S95" s="217"/>
      <c r="T95" s="218"/>
      <c r="U95" s="207"/>
      <c r="V95" s="219"/>
      <c r="W95" s="196">
        <f t="shared" si="57"/>
        <v>0</v>
      </c>
      <c r="X95" s="220"/>
      <c r="Y95" s="198">
        <f t="shared" si="58"/>
        <v>0</v>
      </c>
      <c r="Z95" s="199"/>
      <c r="AA95" s="230">
        <f t="shared" si="60"/>
        <v>2403.4499999999998</v>
      </c>
      <c r="AB95" s="170">
        <f t="shared" si="61"/>
        <v>2412.83</v>
      </c>
      <c r="AC95" s="171">
        <f t="shared" si="62"/>
        <v>9.3800000000001091</v>
      </c>
      <c r="AD95" s="129">
        <f t="shared" si="44"/>
        <v>9.3800000000001091</v>
      </c>
    </row>
    <row r="96" spans="1:30" x14ac:dyDescent="0.25">
      <c r="A96" s="201" t="s">
        <v>881</v>
      </c>
      <c r="B96" s="28" t="s">
        <v>357</v>
      </c>
      <c r="C96" s="202" t="s">
        <v>13</v>
      </c>
      <c r="D96" s="188"/>
      <c r="E96" s="189"/>
      <c r="F96" s="456">
        <v>46</v>
      </c>
      <c r="G96" s="490">
        <v>7.22</v>
      </c>
      <c r="H96" s="457">
        <f t="shared" si="27"/>
        <v>332.12</v>
      </c>
      <c r="I96" s="446">
        <v>8</v>
      </c>
      <c r="J96" s="447"/>
      <c r="K96" s="449"/>
      <c r="L96" s="476"/>
      <c r="M96" s="477"/>
      <c r="N96" s="475">
        <f t="shared" si="43"/>
        <v>0</v>
      </c>
      <c r="O96" s="467">
        <v>4</v>
      </c>
      <c r="P96" s="466">
        <f t="shared" si="46"/>
        <v>32</v>
      </c>
      <c r="Q96" s="190">
        <f t="shared" si="29"/>
        <v>42</v>
      </c>
      <c r="R96" s="203">
        <f t="shared" ref="R96:R99" si="65">+Q96*$G96</f>
        <v>303.24</v>
      </c>
      <c r="S96" s="217"/>
      <c r="T96" s="218"/>
      <c r="U96" s="207"/>
      <c r="V96" s="225"/>
      <c r="W96" s="196">
        <f t="shared" ref="W96:W104" si="66">+V96*$G96</f>
        <v>0</v>
      </c>
      <c r="X96" s="226"/>
      <c r="Y96" s="198">
        <f t="shared" ref="Y96:Y104" si="67">+X96*$G96</f>
        <v>0</v>
      </c>
      <c r="Z96" s="199">
        <f t="shared" ref="Z96:Z99" si="68">Q96+S96-X96</f>
        <v>42</v>
      </c>
      <c r="AA96" s="200">
        <f t="shared" si="60"/>
        <v>303.24</v>
      </c>
      <c r="AB96" s="170">
        <f t="shared" si="61"/>
        <v>300.12</v>
      </c>
      <c r="AC96" s="171">
        <f t="shared" si="62"/>
        <v>-3.1200000000000045</v>
      </c>
      <c r="AD96" s="129">
        <f t="shared" si="44"/>
        <v>-3.1200000000000045</v>
      </c>
    </row>
    <row r="97" spans="1:30" x14ac:dyDescent="0.25">
      <c r="A97" s="201" t="s">
        <v>882</v>
      </c>
      <c r="B97" s="28" t="s">
        <v>263</v>
      </c>
      <c r="C97" s="202" t="s">
        <v>13</v>
      </c>
      <c r="D97" s="188"/>
      <c r="E97" s="189"/>
      <c r="F97" s="456">
        <v>9</v>
      </c>
      <c r="G97" s="490">
        <v>324.13</v>
      </c>
      <c r="H97" s="457">
        <f t="shared" si="27"/>
        <v>2917.17</v>
      </c>
      <c r="I97" s="446">
        <v>334.41</v>
      </c>
      <c r="J97" s="447"/>
      <c r="K97" s="449"/>
      <c r="L97" s="476"/>
      <c r="M97" s="477"/>
      <c r="N97" s="475">
        <f t="shared" si="43"/>
        <v>0</v>
      </c>
      <c r="O97" s="467">
        <v>8</v>
      </c>
      <c r="P97" s="466">
        <f t="shared" si="46"/>
        <v>2675.28</v>
      </c>
      <c r="Q97" s="190">
        <f t="shared" si="29"/>
        <v>1</v>
      </c>
      <c r="R97" s="203">
        <f t="shared" si="65"/>
        <v>324.13</v>
      </c>
      <c r="S97" s="217"/>
      <c r="T97" s="218"/>
      <c r="U97" s="207"/>
      <c r="V97" s="225"/>
      <c r="W97" s="196">
        <f t="shared" si="66"/>
        <v>0</v>
      </c>
      <c r="X97" s="226"/>
      <c r="Y97" s="198">
        <f t="shared" si="67"/>
        <v>0</v>
      </c>
      <c r="Z97" s="199">
        <f t="shared" si="68"/>
        <v>1</v>
      </c>
      <c r="AA97" s="200">
        <f t="shared" si="60"/>
        <v>324.13</v>
      </c>
      <c r="AB97" s="170">
        <f t="shared" si="61"/>
        <v>241.88999999999987</v>
      </c>
      <c r="AC97" s="171">
        <f t="shared" si="62"/>
        <v>-82.240000000000123</v>
      </c>
      <c r="AD97" s="129">
        <f t="shared" si="44"/>
        <v>-82.240000000000123</v>
      </c>
    </row>
    <row r="98" spans="1:30" s="187" customFormat="1" x14ac:dyDescent="0.25">
      <c r="A98" s="201" t="s">
        <v>883</v>
      </c>
      <c r="B98" s="28" t="s">
        <v>264</v>
      </c>
      <c r="C98" s="202" t="s">
        <v>13</v>
      </c>
      <c r="D98" s="188"/>
      <c r="E98" s="189"/>
      <c r="F98" s="456">
        <v>4</v>
      </c>
      <c r="G98" s="490">
        <v>324.13</v>
      </c>
      <c r="H98" s="457">
        <f t="shared" si="27"/>
        <v>1296.52</v>
      </c>
      <c r="I98" s="446">
        <v>334.41</v>
      </c>
      <c r="J98" s="450"/>
      <c r="K98" s="449"/>
      <c r="L98" s="476"/>
      <c r="M98" s="477"/>
      <c r="N98" s="475">
        <f t="shared" si="43"/>
        <v>0</v>
      </c>
      <c r="O98" s="467">
        <v>3</v>
      </c>
      <c r="P98" s="466">
        <f>+PRODUCT(I98,O98)</f>
        <v>1003.23</v>
      </c>
      <c r="Q98" s="190">
        <f t="shared" si="29"/>
        <v>1</v>
      </c>
      <c r="R98" s="203">
        <f t="shared" si="65"/>
        <v>324.13</v>
      </c>
      <c r="S98" s="217"/>
      <c r="T98" s="218"/>
      <c r="U98" s="207"/>
      <c r="V98" s="225"/>
      <c r="W98" s="196">
        <f t="shared" si="66"/>
        <v>0</v>
      </c>
      <c r="X98" s="226"/>
      <c r="Y98" s="198">
        <f t="shared" si="67"/>
        <v>0</v>
      </c>
      <c r="Z98" s="199">
        <f t="shared" si="68"/>
        <v>1</v>
      </c>
      <c r="AA98" s="200">
        <f t="shared" si="60"/>
        <v>324.13</v>
      </c>
      <c r="AB98" s="170">
        <f t="shared" si="61"/>
        <v>293.28999999999996</v>
      </c>
      <c r="AC98" s="171">
        <f t="shared" si="62"/>
        <v>-30.840000000000032</v>
      </c>
      <c r="AD98" s="129">
        <f t="shared" si="44"/>
        <v>-30.840000000000032</v>
      </c>
    </row>
    <row r="99" spans="1:30" s="210" customFormat="1" x14ac:dyDescent="0.25">
      <c r="A99" s="201" t="s">
        <v>884</v>
      </c>
      <c r="B99" s="417" t="s">
        <v>657</v>
      </c>
      <c r="C99" s="202" t="s">
        <v>13</v>
      </c>
      <c r="D99" s="188"/>
      <c r="E99" s="189"/>
      <c r="F99" s="456">
        <v>0</v>
      </c>
      <c r="G99" s="456"/>
      <c r="H99" s="455">
        <f t="shared" si="27"/>
        <v>0</v>
      </c>
      <c r="I99" s="436"/>
      <c r="J99" s="450"/>
      <c r="K99" s="444">
        <f t="shared" si="64"/>
        <v>0</v>
      </c>
      <c r="L99" s="476">
        <v>145</v>
      </c>
      <c r="M99" s="477">
        <v>38.04</v>
      </c>
      <c r="N99" s="478">
        <f t="shared" si="43"/>
        <v>5515.8</v>
      </c>
      <c r="O99" s="467"/>
      <c r="P99" s="462">
        <f t="shared" ref="P99:P113" si="69">+PRODUCT(I99,O99)</f>
        <v>0</v>
      </c>
      <c r="Q99" s="190">
        <f t="shared" si="29"/>
        <v>145</v>
      </c>
      <c r="R99" s="203">
        <f t="shared" si="65"/>
        <v>0</v>
      </c>
      <c r="S99" s="217"/>
      <c r="T99" s="218"/>
      <c r="U99" s="207"/>
      <c r="V99" s="225"/>
      <c r="W99" s="196">
        <f t="shared" si="66"/>
        <v>0</v>
      </c>
      <c r="X99" s="226"/>
      <c r="Y99" s="198">
        <f t="shared" si="67"/>
        <v>0</v>
      </c>
      <c r="Z99" s="199">
        <f t="shared" si="68"/>
        <v>145</v>
      </c>
      <c r="AA99" s="200">
        <f t="shared" si="60"/>
        <v>0</v>
      </c>
      <c r="AB99" s="170">
        <f t="shared" si="61"/>
        <v>5515.8</v>
      </c>
      <c r="AC99" s="171">
        <f t="shared" si="62"/>
        <v>5515.8</v>
      </c>
      <c r="AD99" s="129">
        <f t="shared" si="44"/>
        <v>5515.8</v>
      </c>
    </row>
    <row r="100" spans="1:30" x14ac:dyDescent="0.25">
      <c r="A100" s="201" t="s">
        <v>885</v>
      </c>
      <c r="B100" s="417" t="s">
        <v>670</v>
      </c>
      <c r="C100" s="202" t="s">
        <v>13</v>
      </c>
      <c r="D100" s="188"/>
      <c r="E100" s="189"/>
      <c r="F100" s="456">
        <v>0</v>
      </c>
      <c r="G100" s="456"/>
      <c r="H100" s="455">
        <f t="shared" si="27"/>
        <v>0</v>
      </c>
      <c r="I100" s="436"/>
      <c r="J100" s="447"/>
      <c r="K100" s="444">
        <f t="shared" si="64"/>
        <v>0</v>
      </c>
      <c r="L100" s="476">
        <f ca="1">+'MET_PLUVIAL BASE'!I109</f>
        <v>57</v>
      </c>
      <c r="M100" s="477">
        <v>47.04</v>
      </c>
      <c r="N100" s="478">
        <f ca="1">+PRODUCT(L100:M100)</f>
        <v>2681.2799999999997</v>
      </c>
      <c r="O100" s="467"/>
      <c r="P100" s="462">
        <f t="shared" si="69"/>
        <v>0</v>
      </c>
      <c r="Q100" s="190">
        <f ca="1">+F100+J100+L100-O100</f>
        <v>57</v>
      </c>
      <c r="R100" s="203">
        <f ca="1">+Q100*$G100</f>
        <v>0</v>
      </c>
      <c r="S100" s="217"/>
      <c r="T100" s="218"/>
      <c r="U100" s="207"/>
      <c r="V100" s="225"/>
      <c r="W100" s="196">
        <f t="shared" si="66"/>
        <v>0</v>
      </c>
      <c r="X100" s="226"/>
      <c r="Y100" s="198">
        <f t="shared" si="67"/>
        <v>0</v>
      </c>
      <c r="Z100" s="199">
        <f ca="1">Q100+S100-X100</f>
        <v>57</v>
      </c>
      <c r="AA100" s="200">
        <f ca="1">+R100+U100-Y100</f>
        <v>0</v>
      </c>
      <c r="AB100" s="170">
        <f ca="1">+H100+K100+N100-P100</f>
        <v>2681.2799999999997</v>
      </c>
      <c r="AC100" s="171">
        <f ca="1">+AB100-R100</f>
        <v>2681.2799999999997</v>
      </c>
      <c r="AD100" s="129">
        <f ca="1">+H100+K100+N100-P100-R100</f>
        <v>2681.2799999999997</v>
      </c>
    </row>
    <row r="101" spans="1:30" x14ac:dyDescent="0.25">
      <c r="A101" s="201" t="s">
        <v>886</v>
      </c>
      <c r="B101" s="417" t="s">
        <v>903</v>
      </c>
      <c r="C101" s="202" t="s">
        <v>13</v>
      </c>
      <c r="D101" s="188"/>
      <c r="E101" s="189"/>
      <c r="F101" s="456"/>
      <c r="G101" s="456"/>
      <c r="H101" s="455">
        <f t="shared" si="27"/>
        <v>0</v>
      </c>
      <c r="I101" s="436"/>
      <c r="J101" s="447"/>
      <c r="K101" s="444"/>
      <c r="L101" s="476">
        <v>2</v>
      </c>
      <c r="M101" s="477">
        <v>41.24</v>
      </c>
      <c r="N101" s="478">
        <f t="shared" si="43"/>
        <v>82.48</v>
      </c>
      <c r="O101" s="467"/>
      <c r="P101" s="462"/>
      <c r="Q101" s="190"/>
      <c r="R101" s="203"/>
      <c r="S101" s="217"/>
      <c r="T101" s="218"/>
      <c r="U101" s="207"/>
      <c r="V101" s="225"/>
      <c r="W101" s="196"/>
      <c r="X101" s="226"/>
      <c r="Y101" s="198"/>
      <c r="Z101" s="199"/>
      <c r="AA101" s="200"/>
      <c r="AB101" s="170"/>
      <c r="AC101" s="171"/>
      <c r="AD101" s="129"/>
    </row>
    <row r="102" spans="1:30" x14ac:dyDescent="0.25">
      <c r="A102" s="201" t="s">
        <v>887</v>
      </c>
      <c r="B102" s="417" t="s">
        <v>911</v>
      </c>
      <c r="C102" s="202" t="s">
        <v>13</v>
      </c>
      <c r="D102" s="188"/>
      <c r="E102" s="189"/>
      <c r="F102" s="456">
        <v>0</v>
      </c>
      <c r="G102" s="456"/>
      <c r="H102" s="455">
        <f t="shared" si="27"/>
        <v>0</v>
      </c>
      <c r="I102" s="436"/>
      <c r="J102" s="447"/>
      <c r="K102" s="444">
        <f>+PRODUCT(I102:J102)</f>
        <v>0</v>
      </c>
      <c r="L102" s="476">
        <f ca="1">+'MET_PLUVIAL BASE'!I110</f>
        <v>5</v>
      </c>
      <c r="M102" s="477">
        <v>30.75</v>
      </c>
      <c r="N102" s="478">
        <f t="shared" ref="N102:N113" ca="1" si="70">+PRODUCT(L102:M102)</f>
        <v>153.75</v>
      </c>
      <c r="O102" s="467"/>
      <c r="P102" s="462">
        <f t="shared" si="69"/>
        <v>0</v>
      </c>
      <c r="Q102" s="190">
        <f t="shared" ref="Q102:Q113" ca="1" si="71">+F102+J102+L102-O102</f>
        <v>5</v>
      </c>
      <c r="R102" s="203">
        <f ca="1">+Q102*$G102</f>
        <v>0</v>
      </c>
      <c r="S102" s="217"/>
      <c r="T102" s="218"/>
      <c r="U102" s="207"/>
      <c r="V102" s="225"/>
      <c r="W102" s="196">
        <f t="shared" si="66"/>
        <v>0</v>
      </c>
      <c r="X102" s="226"/>
      <c r="Y102" s="198">
        <f t="shared" si="67"/>
        <v>0</v>
      </c>
      <c r="Z102" s="199">
        <f ca="1">Q102+S102-X102</f>
        <v>5</v>
      </c>
      <c r="AA102" s="200">
        <f ca="1">+R102+U102-Y102</f>
        <v>0</v>
      </c>
      <c r="AB102" s="170">
        <f t="shared" ref="AB102:AB116" ca="1" si="72">+H102+K102+N102-P102</f>
        <v>153.75</v>
      </c>
      <c r="AC102" s="171">
        <f t="shared" ref="AC102:AC116" ca="1" si="73">+AB102-R102</f>
        <v>153.75</v>
      </c>
      <c r="AD102" s="129">
        <f t="shared" ref="AD102:AD115" ca="1" si="74">+H102+K102+N102-P102-R102</f>
        <v>153.75</v>
      </c>
    </row>
    <row r="103" spans="1:30" x14ac:dyDescent="0.25">
      <c r="A103" s="201" t="s">
        <v>888</v>
      </c>
      <c r="B103" s="417" t="s">
        <v>910</v>
      </c>
      <c r="C103" s="202" t="s">
        <v>13</v>
      </c>
      <c r="D103" s="188"/>
      <c r="E103" s="189"/>
      <c r="F103" s="456">
        <v>0</v>
      </c>
      <c r="G103" s="456"/>
      <c r="H103" s="455">
        <f t="shared" si="27"/>
        <v>0</v>
      </c>
      <c r="I103" s="436"/>
      <c r="J103" s="447"/>
      <c r="K103" s="444">
        <f t="shared" ref="K103:K113" si="75">+PRODUCT(I103:J103)</f>
        <v>0</v>
      </c>
      <c r="L103" s="476">
        <f ca="1">+'MET_PLUVIAL BASE'!I111</f>
        <v>7</v>
      </c>
      <c r="M103" s="477">
        <v>77.77</v>
      </c>
      <c r="N103" s="478">
        <f t="shared" ca="1" si="70"/>
        <v>544.39</v>
      </c>
      <c r="O103" s="467"/>
      <c r="P103" s="462">
        <f t="shared" si="69"/>
        <v>0</v>
      </c>
      <c r="Q103" s="190">
        <f t="shared" ca="1" si="71"/>
        <v>7</v>
      </c>
      <c r="R103" s="203">
        <f ca="1">+Q103*$G103</f>
        <v>0</v>
      </c>
      <c r="S103" s="217"/>
      <c r="T103" s="218"/>
      <c r="U103" s="207"/>
      <c r="V103" s="225"/>
      <c r="W103" s="196">
        <f t="shared" si="66"/>
        <v>0</v>
      </c>
      <c r="X103" s="226"/>
      <c r="Y103" s="198">
        <f t="shared" si="67"/>
        <v>0</v>
      </c>
      <c r="Z103" s="199">
        <f ca="1">Q103+S103-X103</f>
        <v>7</v>
      </c>
      <c r="AA103" s="200">
        <f ca="1">+R103+U103-Y103</f>
        <v>0</v>
      </c>
      <c r="AB103" s="170">
        <f t="shared" ca="1" si="72"/>
        <v>544.39</v>
      </c>
      <c r="AC103" s="171">
        <f t="shared" ca="1" si="73"/>
        <v>544.39</v>
      </c>
      <c r="AD103" s="129">
        <f t="shared" ca="1" si="74"/>
        <v>544.39</v>
      </c>
    </row>
    <row r="104" spans="1:30" x14ac:dyDescent="0.25">
      <c r="A104" s="201" t="s">
        <v>889</v>
      </c>
      <c r="B104" s="417" t="s">
        <v>912</v>
      </c>
      <c r="C104" s="202" t="s">
        <v>13</v>
      </c>
      <c r="D104" s="188"/>
      <c r="E104" s="189"/>
      <c r="F104" s="456">
        <v>0</v>
      </c>
      <c r="G104" s="456"/>
      <c r="H104" s="455">
        <f t="shared" si="27"/>
        <v>0</v>
      </c>
      <c r="I104" s="445"/>
      <c r="J104" s="447"/>
      <c r="K104" s="444">
        <f t="shared" si="75"/>
        <v>0</v>
      </c>
      <c r="L104" s="476">
        <f ca="1">+'MET_PLUVIAL BASE'!I112</f>
        <v>4</v>
      </c>
      <c r="M104" s="477">
        <v>98.14</v>
      </c>
      <c r="N104" s="478">
        <f t="shared" ca="1" si="70"/>
        <v>392.56</v>
      </c>
      <c r="O104" s="467"/>
      <c r="P104" s="462">
        <f t="shared" si="69"/>
        <v>0</v>
      </c>
      <c r="Q104" s="190">
        <f t="shared" ca="1" si="71"/>
        <v>4</v>
      </c>
      <c r="R104" s="203">
        <f ca="1">+Q104*$G104</f>
        <v>0</v>
      </c>
      <c r="S104" s="217"/>
      <c r="T104" s="218"/>
      <c r="U104" s="207"/>
      <c r="V104" s="225"/>
      <c r="W104" s="196">
        <f t="shared" si="66"/>
        <v>0</v>
      </c>
      <c r="X104" s="226"/>
      <c r="Y104" s="198">
        <f t="shared" si="67"/>
        <v>0</v>
      </c>
      <c r="Z104" s="199">
        <f ca="1">Q104+S104-X104</f>
        <v>4</v>
      </c>
      <c r="AA104" s="200">
        <f ca="1">+R104+U104-Y104</f>
        <v>0</v>
      </c>
      <c r="AB104" s="170">
        <f t="shared" ca="1" si="72"/>
        <v>392.56</v>
      </c>
      <c r="AC104" s="171">
        <f t="shared" ca="1" si="73"/>
        <v>392.56</v>
      </c>
      <c r="AD104" s="129">
        <f t="shared" ca="1" si="74"/>
        <v>392.56</v>
      </c>
    </row>
    <row r="105" spans="1:30" x14ac:dyDescent="0.25">
      <c r="A105" s="201" t="s">
        <v>890</v>
      </c>
      <c r="B105" s="417" t="s">
        <v>913</v>
      </c>
      <c r="C105" s="202" t="s">
        <v>13</v>
      </c>
      <c r="D105" s="188"/>
      <c r="E105" s="189"/>
      <c r="F105" s="456">
        <v>0</v>
      </c>
      <c r="G105" s="456"/>
      <c r="H105" s="455">
        <f t="shared" si="27"/>
        <v>0</v>
      </c>
      <c r="I105" s="436"/>
      <c r="J105" s="451"/>
      <c r="K105" s="444">
        <f t="shared" si="75"/>
        <v>0</v>
      </c>
      <c r="L105" s="476">
        <f ca="1">+'MET_PLUVIAL BASE'!I113</f>
        <v>1</v>
      </c>
      <c r="M105" s="477">
        <v>107.02</v>
      </c>
      <c r="N105" s="478">
        <f t="shared" ca="1" si="70"/>
        <v>107.02</v>
      </c>
      <c r="O105" s="467"/>
      <c r="P105" s="462">
        <f t="shared" si="69"/>
        <v>0</v>
      </c>
      <c r="Q105" s="190">
        <f t="shared" ca="1" si="71"/>
        <v>1</v>
      </c>
      <c r="R105" s="203">
        <f ca="1">+Q105*$G105</f>
        <v>0</v>
      </c>
      <c r="S105" s="217"/>
      <c r="T105" s="218"/>
      <c r="U105" s="207"/>
      <c r="V105" s="219"/>
      <c r="W105" s="196"/>
      <c r="X105" s="220"/>
      <c r="Y105" s="198"/>
      <c r="Z105" s="199"/>
      <c r="AA105" s="200"/>
      <c r="AB105" s="170">
        <f t="shared" ca="1" si="72"/>
        <v>107.02</v>
      </c>
      <c r="AC105" s="171">
        <f t="shared" ca="1" si="73"/>
        <v>107.02</v>
      </c>
      <c r="AD105" s="129">
        <f t="shared" ca="1" si="74"/>
        <v>107.02</v>
      </c>
    </row>
    <row r="106" spans="1:30" x14ac:dyDescent="0.25">
      <c r="A106" s="201" t="s">
        <v>891</v>
      </c>
      <c r="B106" s="417" t="s">
        <v>914</v>
      </c>
      <c r="C106" s="202" t="s">
        <v>13</v>
      </c>
      <c r="D106" s="188"/>
      <c r="E106" s="189"/>
      <c r="F106" s="456">
        <v>0</v>
      </c>
      <c r="G106" s="456"/>
      <c r="H106" s="455">
        <f t="shared" si="27"/>
        <v>0</v>
      </c>
      <c r="I106" s="436"/>
      <c r="J106" s="451"/>
      <c r="K106" s="444">
        <f t="shared" si="75"/>
        <v>0</v>
      </c>
      <c r="L106" s="476">
        <f ca="1">+'MET_PLUVIAL BASE'!I114</f>
        <v>2</v>
      </c>
      <c r="M106" s="477">
        <v>107.17</v>
      </c>
      <c r="N106" s="478">
        <f t="shared" ca="1" si="70"/>
        <v>214.34</v>
      </c>
      <c r="O106" s="467"/>
      <c r="P106" s="462">
        <f t="shared" si="69"/>
        <v>0</v>
      </c>
      <c r="Q106" s="190">
        <f t="shared" ca="1" si="71"/>
        <v>2</v>
      </c>
      <c r="R106" s="203">
        <f ca="1">+Q106*$G106</f>
        <v>0</v>
      </c>
      <c r="S106" s="217"/>
      <c r="T106" s="218"/>
      <c r="U106" s="207"/>
      <c r="V106" s="219"/>
      <c r="W106" s="196">
        <f t="shared" ref="W106:W113" si="76">+V106*$G106</f>
        <v>0</v>
      </c>
      <c r="X106" s="220"/>
      <c r="Y106" s="198">
        <f t="shared" ref="Y106:Y113" si="77">+X106*$G106</f>
        <v>0</v>
      </c>
      <c r="Z106" s="199">
        <f t="shared" ref="Z106:Z113" ca="1" si="78">Q106+S106-X106</f>
        <v>2</v>
      </c>
      <c r="AA106" s="200">
        <f t="shared" ref="AA106:AA113" ca="1" si="79">+R106+U106-Y106</f>
        <v>0</v>
      </c>
      <c r="AB106" s="170">
        <f t="shared" ca="1" si="72"/>
        <v>214.34</v>
      </c>
      <c r="AC106" s="171">
        <f t="shared" ca="1" si="73"/>
        <v>214.34</v>
      </c>
      <c r="AD106" s="129">
        <f t="shared" ca="1" si="74"/>
        <v>214.34</v>
      </c>
    </row>
    <row r="107" spans="1:30" x14ac:dyDescent="0.25">
      <c r="A107" s="201" t="s">
        <v>892</v>
      </c>
      <c r="B107" s="417" t="s">
        <v>915</v>
      </c>
      <c r="C107" s="202" t="s">
        <v>13</v>
      </c>
      <c r="D107" s="188"/>
      <c r="E107" s="189"/>
      <c r="F107" s="456">
        <v>0</v>
      </c>
      <c r="G107" s="456"/>
      <c r="H107" s="455">
        <f t="shared" si="27"/>
        <v>0</v>
      </c>
      <c r="I107" s="436"/>
      <c r="J107" s="451"/>
      <c r="K107" s="444">
        <f t="shared" si="75"/>
        <v>0</v>
      </c>
      <c r="L107" s="476">
        <f ca="1">+'MET_PLUVIAL BASE'!I115</f>
        <v>1</v>
      </c>
      <c r="M107" s="477">
        <v>178.5</v>
      </c>
      <c r="N107" s="478">
        <f t="shared" ca="1" si="70"/>
        <v>178.5</v>
      </c>
      <c r="O107" s="464"/>
      <c r="P107" s="462">
        <f t="shared" si="69"/>
        <v>0</v>
      </c>
      <c r="Q107" s="190">
        <f t="shared" ca="1" si="71"/>
        <v>1</v>
      </c>
      <c r="R107" s="223">
        <f ca="1">+SUM(R108:R113)</f>
        <v>0</v>
      </c>
      <c r="S107" s="217"/>
      <c r="T107" s="218"/>
      <c r="U107" s="207"/>
      <c r="V107" s="219"/>
      <c r="W107" s="196">
        <f t="shared" si="76"/>
        <v>0</v>
      </c>
      <c r="X107" s="220"/>
      <c r="Y107" s="198">
        <f t="shared" si="77"/>
        <v>0</v>
      </c>
      <c r="Z107" s="199">
        <f t="shared" ca="1" si="78"/>
        <v>1</v>
      </c>
      <c r="AA107" s="200">
        <f t="shared" ca="1" si="79"/>
        <v>0</v>
      </c>
      <c r="AB107" s="170">
        <f t="shared" ca="1" si="72"/>
        <v>178.5</v>
      </c>
      <c r="AC107" s="171">
        <f t="shared" ca="1" si="73"/>
        <v>178.5</v>
      </c>
      <c r="AD107" s="129">
        <f t="shared" ca="1" si="74"/>
        <v>178.5</v>
      </c>
    </row>
    <row r="108" spans="1:30" x14ac:dyDescent="0.25">
      <c r="A108" s="201" t="s">
        <v>893</v>
      </c>
      <c r="B108" s="417" t="s">
        <v>916</v>
      </c>
      <c r="C108" s="202" t="s">
        <v>13</v>
      </c>
      <c r="D108" s="188"/>
      <c r="E108" s="189"/>
      <c r="F108" s="456">
        <v>0</v>
      </c>
      <c r="G108" s="456"/>
      <c r="H108" s="455">
        <f t="shared" ref="H108:H113" si="80">+PRODUCT(F108:G108)</f>
        <v>0</v>
      </c>
      <c r="I108" s="436"/>
      <c r="J108" s="451"/>
      <c r="K108" s="444">
        <f t="shared" si="75"/>
        <v>0</v>
      </c>
      <c r="L108" s="476">
        <f ca="1">+'MET_PLUVIAL BASE'!I116</f>
        <v>4</v>
      </c>
      <c r="M108" s="477">
        <v>42.53</v>
      </c>
      <c r="N108" s="478">
        <f t="shared" ca="1" si="70"/>
        <v>170.12</v>
      </c>
      <c r="O108" s="467"/>
      <c r="P108" s="462">
        <f t="shared" si="69"/>
        <v>0</v>
      </c>
      <c r="Q108" s="190">
        <f t="shared" ca="1" si="71"/>
        <v>4</v>
      </c>
      <c r="R108" s="203">
        <f ca="1">+Q108*$G108</f>
        <v>0</v>
      </c>
      <c r="S108" s="217"/>
      <c r="T108" s="218"/>
      <c r="U108" s="207"/>
      <c r="V108" s="219"/>
      <c r="W108" s="196">
        <f t="shared" si="76"/>
        <v>0</v>
      </c>
      <c r="X108" s="220"/>
      <c r="Y108" s="198">
        <f t="shared" si="77"/>
        <v>0</v>
      </c>
      <c r="Z108" s="199">
        <f t="shared" ca="1" si="78"/>
        <v>4</v>
      </c>
      <c r="AA108" s="200">
        <f t="shared" ca="1" si="79"/>
        <v>0</v>
      </c>
      <c r="AB108" s="170">
        <f t="shared" ca="1" si="72"/>
        <v>170.12</v>
      </c>
      <c r="AC108" s="171">
        <f t="shared" ca="1" si="73"/>
        <v>170.12</v>
      </c>
      <c r="AD108" s="129">
        <f t="shared" ca="1" si="74"/>
        <v>170.12</v>
      </c>
    </row>
    <row r="109" spans="1:30" x14ac:dyDescent="0.25">
      <c r="A109" s="201" t="s">
        <v>894</v>
      </c>
      <c r="B109" s="417" t="s">
        <v>921</v>
      </c>
      <c r="C109" s="202" t="s">
        <v>13</v>
      </c>
      <c r="D109" s="188"/>
      <c r="E109" s="189"/>
      <c r="F109" s="456">
        <v>0</v>
      </c>
      <c r="G109" s="456"/>
      <c r="H109" s="455">
        <f t="shared" si="80"/>
        <v>0</v>
      </c>
      <c r="I109" s="436"/>
      <c r="J109" s="451"/>
      <c r="K109" s="444">
        <f t="shared" si="75"/>
        <v>0</v>
      </c>
      <c r="L109" s="476">
        <f ca="1">+'MET_PLUVIAL BASE'!I117</f>
        <v>23</v>
      </c>
      <c r="M109" s="477">
        <v>60.04</v>
      </c>
      <c r="N109" s="478">
        <f t="shared" ca="1" si="70"/>
        <v>1380.92</v>
      </c>
      <c r="O109" s="467"/>
      <c r="P109" s="462">
        <f t="shared" si="69"/>
        <v>0</v>
      </c>
      <c r="Q109" s="190">
        <f t="shared" ca="1" si="71"/>
        <v>23</v>
      </c>
      <c r="R109" s="203">
        <f ca="1">ROUNDUP(Q109*$G109,2)</f>
        <v>0</v>
      </c>
      <c r="S109" s="217"/>
      <c r="T109" s="218"/>
      <c r="U109" s="207"/>
      <c r="V109" s="219"/>
      <c r="W109" s="196">
        <f t="shared" si="76"/>
        <v>0</v>
      </c>
      <c r="X109" s="220"/>
      <c r="Y109" s="198">
        <f t="shared" si="77"/>
        <v>0</v>
      </c>
      <c r="Z109" s="199">
        <f t="shared" ca="1" si="78"/>
        <v>23</v>
      </c>
      <c r="AA109" s="200">
        <f t="shared" ca="1" si="79"/>
        <v>0</v>
      </c>
      <c r="AB109" s="170">
        <f t="shared" ca="1" si="72"/>
        <v>1380.92</v>
      </c>
      <c r="AC109" s="171">
        <f t="shared" ca="1" si="73"/>
        <v>1380.92</v>
      </c>
      <c r="AD109" s="129">
        <f t="shared" ca="1" si="74"/>
        <v>1380.92</v>
      </c>
    </row>
    <row r="110" spans="1:30" s="210" customFormat="1" x14ac:dyDescent="0.25">
      <c r="A110" s="201" t="s">
        <v>895</v>
      </c>
      <c r="B110" s="417" t="s">
        <v>917</v>
      </c>
      <c r="C110" s="202" t="s">
        <v>13</v>
      </c>
      <c r="D110" s="188"/>
      <c r="E110" s="189"/>
      <c r="F110" s="456">
        <v>0</v>
      </c>
      <c r="G110" s="456"/>
      <c r="H110" s="455">
        <f t="shared" si="80"/>
        <v>0</v>
      </c>
      <c r="I110" s="436"/>
      <c r="J110" s="451"/>
      <c r="K110" s="444">
        <f t="shared" si="75"/>
        <v>0</v>
      </c>
      <c r="L110" s="476">
        <f ca="1">+'MET_PLUVIAL BASE'!I118</f>
        <v>9</v>
      </c>
      <c r="M110" s="477">
        <v>97.77</v>
      </c>
      <c r="N110" s="478">
        <f t="shared" ca="1" si="70"/>
        <v>879.93</v>
      </c>
      <c r="O110" s="467"/>
      <c r="P110" s="462">
        <f t="shared" si="69"/>
        <v>0</v>
      </c>
      <c r="Q110" s="190">
        <f t="shared" ca="1" si="71"/>
        <v>9</v>
      </c>
      <c r="R110" s="203">
        <f ca="1">ROUNDUP(Q110*$G110,2)</f>
        <v>0</v>
      </c>
      <c r="S110" s="217"/>
      <c r="T110" s="218"/>
      <c r="U110" s="207"/>
      <c r="V110" s="219"/>
      <c r="W110" s="196">
        <f t="shared" si="76"/>
        <v>0</v>
      </c>
      <c r="X110" s="220"/>
      <c r="Y110" s="198">
        <f t="shared" si="77"/>
        <v>0</v>
      </c>
      <c r="Z110" s="199">
        <f t="shared" ca="1" si="78"/>
        <v>9</v>
      </c>
      <c r="AA110" s="200">
        <f t="shared" ca="1" si="79"/>
        <v>0</v>
      </c>
      <c r="AB110" s="170">
        <f t="shared" ca="1" si="72"/>
        <v>879.93</v>
      </c>
      <c r="AC110" s="171">
        <f t="shared" ca="1" si="73"/>
        <v>879.93</v>
      </c>
      <c r="AD110" s="129">
        <f t="shared" ca="1" si="74"/>
        <v>879.93</v>
      </c>
    </row>
    <row r="111" spans="1:30" x14ac:dyDescent="0.25">
      <c r="A111" s="201" t="s">
        <v>896</v>
      </c>
      <c r="B111" s="417" t="s">
        <v>918</v>
      </c>
      <c r="C111" s="202" t="s">
        <v>13</v>
      </c>
      <c r="D111" s="188"/>
      <c r="E111" s="189"/>
      <c r="F111" s="456">
        <v>0</v>
      </c>
      <c r="G111" s="456"/>
      <c r="H111" s="455">
        <f t="shared" si="80"/>
        <v>0</v>
      </c>
      <c r="I111" s="436"/>
      <c r="J111" s="451"/>
      <c r="K111" s="444">
        <f t="shared" si="75"/>
        <v>0</v>
      </c>
      <c r="L111" s="476">
        <f ca="1">+'MET_PLUVIAL BASE'!I119</f>
        <v>5</v>
      </c>
      <c r="M111" s="477">
        <v>32.53</v>
      </c>
      <c r="N111" s="478">
        <f t="shared" ca="1" si="70"/>
        <v>162.65</v>
      </c>
      <c r="O111" s="467"/>
      <c r="P111" s="462">
        <f t="shared" si="69"/>
        <v>0</v>
      </c>
      <c r="Q111" s="190">
        <f t="shared" ca="1" si="71"/>
        <v>5</v>
      </c>
      <c r="R111" s="203">
        <f ca="1">ROUNDUP(Q111*$G111,2)</f>
        <v>0</v>
      </c>
      <c r="S111" s="217"/>
      <c r="T111" s="218"/>
      <c r="U111" s="207"/>
      <c r="V111" s="219"/>
      <c r="W111" s="196">
        <f t="shared" si="76"/>
        <v>0</v>
      </c>
      <c r="X111" s="220"/>
      <c r="Y111" s="198">
        <f t="shared" si="77"/>
        <v>0</v>
      </c>
      <c r="Z111" s="199">
        <f t="shared" ca="1" si="78"/>
        <v>5</v>
      </c>
      <c r="AA111" s="200">
        <f t="shared" ca="1" si="79"/>
        <v>0</v>
      </c>
      <c r="AB111" s="170">
        <f t="shared" ca="1" si="72"/>
        <v>162.65</v>
      </c>
      <c r="AC111" s="171">
        <f t="shared" ca="1" si="73"/>
        <v>162.65</v>
      </c>
      <c r="AD111" s="129">
        <f t="shared" ca="1" si="74"/>
        <v>162.65</v>
      </c>
    </row>
    <row r="112" spans="1:30" x14ac:dyDescent="0.25">
      <c r="A112" s="201" t="s">
        <v>897</v>
      </c>
      <c r="B112" s="417" t="s">
        <v>919</v>
      </c>
      <c r="C112" s="202" t="s">
        <v>13</v>
      </c>
      <c r="D112" s="188"/>
      <c r="E112" s="189"/>
      <c r="F112" s="456">
        <v>0</v>
      </c>
      <c r="G112" s="456"/>
      <c r="H112" s="455">
        <f t="shared" si="80"/>
        <v>0</v>
      </c>
      <c r="I112" s="436"/>
      <c r="J112" s="451"/>
      <c r="K112" s="444">
        <f t="shared" si="75"/>
        <v>0</v>
      </c>
      <c r="L112" s="476">
        <f ca="1">+'MET_PLUVIAL BASE'!I120</f>
        <v>8</v>
      </c>
      <c r="M112" s="477">
        <v>37.770000000000003</v>
      </c>
      <c r="N112" s="478">
        <f t="shared" ca="1" si="70"/>
        <v>302.16000000000003</v>
      </c>
      <c r="O112" s="467"/>
      <c r="P112" s="462">
        <f t="shared" si="69"/>
        <v>0</v>
      </c>
      <c r="Q112" s="190">
        <f t="shared" ca="1" si="71"/>
        <v>8</v>
      </c>
      <c r="R112" s="203">
        <f ca="1">+Q112*$G112</f>
        <v>0</v>
      </c>
      <c r="S112" s="217"/>
      <c r="T112" s="218"/>
      <c r="U112" s="207"/>
      <c r="V112" s="219"/>
      <c r="W112" s="196">
        <f t="shared" si="76"/>
        <v>0</v>
      </c>
      <c r="X112" s="220"/>
      <c r="Y112" s="198">
        <f t="shared" si="77"/>
        <v>0</v>
      </c>
      <c r="Z112" s="199">
        <f t="shared" ca="1" si="78"/>
        <v>8</v>
      </c>
      <c r="AA112" s="200">
        <f t="shared" ca="1" si="79"/>
        <v>0</v>
      </c>
      <c r="AB112" s="170">
        <f t="shared" ca="1" si="72"/>
        <v>302.16000000000003</v>
      </c>
      <c r="AC112" s="171">
        <f t="shared" ca="1" si="73"/>
        <v>302.16000000000003</v>
      </c>
      <c r="AD112" s="129">
        <f t="shared" ca="1" si="74"/>
        <v>302.16000000000003</v>
      </c>
    </row>
    <row r="113" spans="1:30" ht="15.75" thickBot="1" x14ac:dyDescent="0.3">
      <c r="A113" s="201" t="s">
        <v>904</v>
      </c>
      <c r="B113" s="417" t="s">
        <v>920</v>
      </c>
      <c r="C113" s="433" t="s">
        <v>13</v>
      </c>
      <c r="D113" s="188"/>
      <c r="E113" s="189"/>
      <c r="F113" s="456">
        <v>0</v>
      </c>
      <c r="G113" s="456"/>
      <c r="H113" s="455">
        <f t="shared" si="80"/>
        <v>0</v>
      </c>
      <c r="I113" s="436"/>
      <c r="J113" s="451"/>
      <c r="K113" s="444">
        <f t="shared" si="75"/>
        <v>0</v>
      </c>
      <c r="L113" s="476">
        <f ca="1">+'MET_PLUVIAL BASE'!I121</f>
        <v>3</v>
      </c>
      <c r="M113" s="477">
        <v>54.77</v>
      </c>
      <c r="N113" s="478">
        <f t="shared" ca="1" si="70"/>
        <v>164.31</v>
      </c>
      <c r="O113" s="467"/>
      <c r="P113" s="462">
        <f t="shared" si="69"/>
        <v>0</v>
      </c>
      <c r="Q113" s="190">
        <f t="shared" ca="1" si="71"/>
        <v>3</v>
      </c>
      <c r="R113" s="203">
        <f ca="1">+Q113*$G113</f>
        <v>0</v>
      </c>
      <c r="S113" s="217"/>
      <c r="T113" s="218"/>
      <c r="U113" s="207"/>
      <c r="V113" s="219"/>
      <c r="W113" s="196">
        <f t="shared" si="76"/>
        <v>0</v>
      </c>
      <c r="X113" s="220"/>
      <c r="Y113" s="198">
        <f t="shared" si="77"/>
        <v>0</v>
      </c>
      <c r="Z113" s="199">
        <f t="shared" ca="1" si="78"/>
        <v>3</v>
      </c>
      <c r="AA113" s="200">
        <f t="shared" ca="1" si="79"/>
        <v>0</v>
      </c>
      <c r="AB113" s="170">
        <f t="shared" ca="1" si="72"/>
        <v>164.31</v>
      </c>
      <c r="AC113" s="171">
        <f t="shared" ca="1" si="73"/>
        <v>164.31</v>
      </c>
      <c r="AD113" s="129">
        <f t="shared" ca="1" si="74"/>
        <v>164.31</v>
      </c>
    </row>
    <row r="114" spans="1:30" ht="21.75" customHeight="1" thickBot="1" x14ac:dyDescent="0.3">
      <c r="A114" s="489"/>
      <c r="B114" s="479" t="s">
        <v>584</v>
      </c>
      <c r="C114" s="480"/>
      <c r="D114" s="481"/>
      <c r="E114" s="482"/>
      <c r="F114" s="483" t="s">
        <v>585</v>
      </c>
      <c r="G114" s="484"/>
      <c r="H114" s="485">
        <f>+SUM(H8:H113)</f>
        <v>315743.16080000001</v>
      </c>
      <c r="I114" s="486"/>
      <c r="J114" s="486"/>
      <c r="K114" s="485">
        <f>+SUM(K8:K113)</f>
        <v>53081.16350000001</v>
      </c>
      <c r="L114" s="487"/>
      <c r="M114" s="488"/>
      <c r="N114" s="485">
        <f ca="1">+SUM(N8:N113)</f>
        <v>228727.15396214038</v>
      </c>
      <c r="O114" s="488"/>
      <c r="P114" s="485">
        <f>+SUM(P8:P113)</f>
        <v>72047.574600000007</v>
      </c>
      <c r="Q114" s="232"/>
      <c r="R114" s="233" t="e">
        <f ca="1">ROUNDUP(R8+#REF!+#REF!,2)</f>
        <v>#REF!</v>
      </c>
      <c r="S114" s="234"/>
      <c r="T114" s="235"/>
      <c r="U114" s="236" t="e">
        <f>+#REF!+#REF!</f>
        <v>#REF!</v>
      </c>
      <c r="V114" s="237"/>
      <c r="W114" s="238" t="e">
        <f>+#REF!+#REF!+W8+#REF!</f>
        <v>#REF!</v>
      </c>
      <c r="X114" s="239"/>
      <c r="Y114" s="238" t="e">
        <f>+#REF!+#REF!+Y8</f>
        <v>#REF!</v>
      </c>
      <c r="Z114" s="240"/>
      <c r="AA114" s="241" t="e">
        <f ca="1">+#REF!+#REF!+AA8+#REF!+#REF!-0.003</f>
        <v>#REF!</v>
      </c>
      <c r="AB114" s="170">
        <f t="shared" ca="1" si="72"/>
        <v>525503.90366214036</v>
      </c>
      <c r="AC114" s="171" t="e">
        <f t="shared" ca="1" si="73"/>
        <v>#REF!</v>
      </c>
      <c r="AD114" s="129" t="e">
        <f t="shared" ca="1" si="74"/>
        <v>#REF!</v>
      </c>
    </row>
    <row r="115" spans="1:30" hidden="1" x14ac:dyDescent="0.25">
      <c r="A115" s="242"/>
      <c r="B115" s="243" t="s">
        <v>586</v>
      </c>
      <c r="C115" s="244"/>
      <c r="D115" s="244"/>
      <c r="E115" s="245"/>
      <c r="F115" s="246">
        <v>0.178784842</v>
      </c>
      <c r="G115" s="246"/>
      <c r="H115" s="247">
        <f>+H114*F115</f>
        <v>56450.091116208598</v>
      </c>
      <c r="I115" s="423"/>
      <c r="J115" s="248"/>
      <c r="K115" s="249">
        <f>+K114*F115</f>
        <v>9490.1074295236685</v>
      </c>
      <c r="L115" s="250"/>
      <c r="M115" s="251"/>
      <c r="N115" s="252">
        <f ca="1">+N114*F115</f>
        <v>40892.948082230942</v>
      </c>
      <c r="O115" s="253"/>
      <c r="P115" s="254">
        <f>+P114*F115</f>
        <v>12881.014241344214</v>
      </c>
      <c r="Q115" s="255" t="e">
        <f ca="1">+R115/R114</f>
        <v>#REF!</v>
      </c>
      <c r="R115" s="256">
        <f ca="1">+H115+K115+N115+-P115</f>
        <v>93952.132386619007</v>
      </c>
      <c r="S115" s="257"/>
      <c r="T115" s="258"/>
      <c r="U115" s="259">
        <f>SUM(S115:T115)</f>
        <v>0</v>
      </c>
      <c r="V115" s="260">
        <v>0</v>
      </c>
      <c r="W115" s="261">
        <f>SUM(U115:V115)</f>
        <v>0</v>
      </c>
      <c r="X115" s="262"/>
      <c r="Y115" s="259">
        <v>0</v>
      </c>
      <c r="Z115" s="263" t="e">
        <f ca="1">+AA115/AA114</f>
        <v>#REF!</v>
      </c>
      <c r="AA115" s="264">
        <f ca="1">R115+U115+W115-Y115</f>
        <v>93952.132386619007</v>
      </c>
      <c r="AB115" s="170">
        <f t="shared" ca="1" si="72"/>
        <v>93952.132386619007</v>
      </c>
      <c r="AC115" s="171">
        <f t="shared" ca="1" si="73"/>
        <v>0</v>
      </c>
      <c r="AD115" s="129">
        <f t="shared" ca="1" si="74"/>
        <v>0</v>
      </c>
    </row>
    <row r="116" spans="1:30" hidden="1" x14ac:dyDescent="0.25">
      <c r="A116" s="265"/>
      <c r="B116" s="266" t="s">
        <v>587</v>
      </c>
      <c r="C116" s="267"/>
      <c r="D116" s="267"/>
      <c r="E116" s="268"/>
      <c r="F116" s="269">
        <v>7.8499118000000007E-2</v>
      </c>
      <c r="G116" s="270"/>
      <c r="H116" s="247">
        <f>+H114*F116</f>
        <v>24785.559637332179</v>
      </c>
      <c r="I116" s="423"/>
      <c r="J116" s="271"/>
      <c r="K116" s="249">
        <f>+K114*F116</f>
        <v>4166.8245171637946</v>
      </c>
      <c r="L116" s="272"/>
      <c r="M116" s="273"/>
      <c r="N116" s="252">
        <f ca="1">+N114*F116</f>
        <v>17954.879848678225</v>
      </c>
      <c r="O116" s="274"/>
      <c r="P116" s="275">
        <f>+P114*F116</f>
        <v>5655.6710601392042</v>
      </c>
      <c r="Q116" s="255" t="e">
        <f ca="1">+R116/R114</f>
        <v>#REF!</v>
      </c>
      <c r="R116" s="256">
        <f ca="1">+H116+K116+N116+-P116</f>
        <v>41251.592943034993</v>
      </c>
      <c r="S116" s="276"/>
      <c r="T116" s="277"/>
      <c r="U116" s="198">
        <f>SUM(S116:T116)</f>
        <v>0</v>
      </c>
      <c r="V116" s="278"/>
      <c r="W116" s="196">
        <f>SUM(U116:V116)</f>
        <v>0</v>
      </c>
      <c r="X116" s="279">
        <v>0</v>
      </c>
      <c r="Y116" s="198">
        <f>SUM(W116:X116)</f>
        <v>0</v>
      </c>
      <c r="Z116" s="280" t="e">
        <f ca="1">+AA116/(AA114+AA115)</f>
        <v>#REF!</v>
      </c>
      <c r="AA116" s="200">
        <f ca="1">R116+U116+W116-Y116</f>
        <v>41251.592943034993</v>
      </c>
      <c r="AB116" s="170">
        <f t="shared" ca="1" si="72"/>
        <v>41251.592943034993</v>
      </c>
      <c r="AC116" s="171">
        <f t="shared" ca="1" si="73"/>
        <v>0</v>
      </c>
    </row>
    <row r="117" spans="1:30" hidden="1" x14ac:dyDescent="0.25">
      <c r="A117" s="265"/>
      <c r="B117" s="281" t="s">
        <v>588</v>
      </c>
      <c r="C117" s="267"/>
      <c r="D117" s="267"/>
      <c r="E117" s="268"/>
      <c r="F117" s="270">
        <v>0.103821199</v>
      </c>
      <c r="G117" s="270"/>
      <c r="H117" s="247">
        <f>+H114*F117</f>
        <v>32780.833530305805</v>
      </c>
      <c r="I117" s="423"/>
      <c r="J117" s="271"/>
      <c r="K117" s="282"/>
      <c r="L117" s="272"/>
      <c r="M117" s="283"/>
      <c r="N117" s="284"/>
      <c r="O117" s="274"/>
      <c r="P117" s="275"/>
      <c r="Q117" s="255" t="e">
        <f ca="1">+R117/R114</f>
        <v>#REF!</v>
      </c>
      <c r="R117" s="256">
        <f t="shared" ref="R117" si="81">+H117+K117+N117+-P117</f>
        <v>32780.833530305805</v>
      </c>
      <c r="S117" s="276"/>
      <c r="T117" s="285"/>
      <c r="U117" s="198">
        <f t="shared" ref="U117:U118" si="82">SUM(S117:T117)</f>
        <v>0</v>
      </c>
      <c r="V117" s="278"/>
      <c r="W117" s="196">
        <f t="shared" ref="W117:W118" si="83">SUM(U117:V117)</f>
        <v>0</v>
      </c>
      <c r="X117" s="285"/>
      <c r="Y117" s="198">
        <f>SUM(W117:X117)</f>
        <v>0</v>
      </c>
      <c r="Z117" s="286" t="e">
        <f ca="1">+AA117/AA114</f>
        <v>#REF!</v>
      </c>
      <c r="AA117" s="200">
        <f t="shared" ref="AA117" si="84">R117+U117+W117-Y117</f>
        <v>32780.833530305805</v>
      </c>
      <c r="AB117" s="170">
        <f t="shared" ref="AB117" si="85">+H117+K117+N117-P117</f>
        <v>32780.833530305805</v>
      </c>
      <c r="AC117" s="171">
        <f t="shared" ref="AC117" si="86">+AB117-R117</f>
        <v>0</v>
      </c>
    </row>
    <row r="118" spans="1:30" hidden="1" x14ac:dyDescent="0.25">
      <c r="A118" s="287"/>
      <c r="B118" s="281" t="s">
        <v>589</v>
      </c>
      <c r="C118" s="288"/>
      <c r="D118" s="288"/>
      <c r="E118" s="289"/>
      <c r="F118" s="290">
        <v>1.45489751E-2</v>
      </c>
      <c r="G118" s="290"/>
      <c r="H118" s="247">
        <f>+H114*F118</f>
        <v>4593.7393844744965</v>
      </c>
      <c r="I118" s="424"/>
      <c r="J118" s="291"/>
      <c r="K118" s="249">
        <f>+K114*F118</f>
        <v>772.27652604052901</v>
      </c>
      <c r="L118" s="292"/>
      <c r="M118" s="293"/>
      <c r="N118" s="294">
        <f ca="1">+N114*F118</f>
        <v>3327.7456676890465</v>
      </c>
      <c r="O118" s="295"/>
      <c r="P118" s="296">
        <f>+P114*F118</f>
        <v>1048.2183688707926</v>
      </c>
      <c r="Q118" s="255" t="e">
        <f ca="1">+R118/R114</f>
        <v>#REF!</v>
      </c>
      <c r="R118" s="256">
        <f ca="1">+H118+K118+N118+-P118</f>
        <v>7645.5432093332793</v>
      </c>
      <c r="S118" s="297"/>
      <c r="T118" s="298"/>
      <c r="U118" s="299">
        <f t="shared" si="82"/>
        <v>0</v>
      </c>
      <c r="V118" s="300"/>
      <c r="W118" s="301">
        <f t="shared" si="83"/>
        <v>0</v>
      </c>
      <c r="X118" s="298"/>
      <c r="Y118" s="299">
        <f>SUM(W118:X118)</f>
        <v>0</v>
      </c>
      <c r="Z118" s="302" t="e">
        <f ca="1">+AA118/AA114</f>
        <v>#REF!</v>
      </c>
      <c r="AA118" s="303">
        <f ca="1">R118+U118+W118-Y118</f>
        <v>7645.5432093332793</v>
      </c>
      <c r="AB118" s="170">
        <f ca="1">+H118+K118+N118-P118</f>
        <v>7645.5432093332793</v>
      </c>
      <c r="AC118" s="171">
        <f ca="1">+AB118-R118</f>
        <v>0</v>
      </c>
    </row>
    <row r="119" spans="1:30" ht="15.75" hidden="1" thickBot="1" x14ac:dyDescent="0.3">
      <c r="A119" s="304"/>
      <c r="B119" s="305" t="s">
        <v>590</v>
      </c>
      <c r="C119" s="306"/>
      <c r="D119" s="307"/>
      <c r="E119" s="308">
        <f>SUM(E114:E118)</f>
        <v>0</v>
      </c>
      <c r="F119" s="309" t="s">
        <v>585</v>
      </c>
      <c r="G119" s="310"/>
      <c r="H119" s="311">
        <f>SUM(H114:H118)</f>
        <v>434353.38446832111</v>
      </c>
      <c r="I119" s="425"/>
      <c r="J119" s="312"/>
      <c r="K119" s="313">
        <f>+SUM(K114:K118)</f>
        <v>67510.371972727997</v>
      </c>
      <c r="L119" s="314"/>
      <c r="M119" s="315"/>
      <c r="N119" s="316">
        <f ca="1">+SUM(N114:N118)</f>
        <v>290902.72756073863</v>
      </c>
      <c r="O119" s="317"/>
      <c r="P119" s="318">
        <f>+SUM(P114:P118)</f>
        <v>91632.478270354215</v>
      </c>
      <c r="Q119" s="319"/>
      <c r="R119" s="320" t="e">
        <f ca="1">+SUM(R114:R118)</f>
        <v>#REF!</v>
      </c>
      <c r="S119" s="321"/>
      <c r="T119" s="322"/>
      <c r="U119" s="323" t="e">
        <f>+SUM(U114:U118)</f>
        <v>#REF!</v>
      </c>
      <c r="V119" s="324"/>
      <c r="W119" s="325" t="e">
        <f>+SUM(W114:W118)</f>
        <v>#REF!</v>
      </c>
      <c r="X119" s="322"/>
      <c r="Y119" s="326" t="e">
        <f>+SUM(Y114:Y118)</f>
        <v>#REF!</v>
      </c>
      <c r="Z119" s="324"/>
      <c r="AA119" s="327" t="e">
        <f ca="1">+SUM(AA114:AA118)</f>
        <v>#REF!</v>
      </c>
      <c r="AB119" s="170">
        <f ca="1">+H119+K119+N119-P119</f>
        <v>701134.00573143351</v>
      </c>
      <c r="AC119" s="171" t="e">
        <f ca="1">+AB119-R119</f>
        <v>#REF!</v>
      </c>
    </row>
    <row r="120" spans="1:30" x14ac:dyDescent="0.25">
      <c r="A120" s="328"/>
      <c r="B120" s="328"/>
      <c r="C120" s="328"/>
      <c r="D120" s="328"/>
      <c r="E120" s="328"/>
      <c r="F120" s="328"/>
      <c r="G120" s="328"/>
      <c r="H120" s="329"/>
      <c r="I120" s="329"/>
      <c r="J120" s="328"/>
      <c r="K120" s="329"/>
      <c r="L120" s="328"/>
      <c r="M120" s="328"/>
      <c r="N120" s="329"/>
      <c r="O120" s="328"/>
      <c r="P120" s="330"/>
      <c r="Q120" s="331"/>
      <c r="R120" s="329"/>
      <c r="S120" s="328"/>
      <c r="T120" s="328"/>
      <c r="U120" s="329"/>
      <c r="V120" s="332"/>
      <c r="W120" s="333"/>
      <c r="X120" s="328"/>
      <c r="Y120" s="330"/>
      <c r="Z120" s="332"/>
      <c r="AA120" s="329"/>
      <c r="AB120" s="334"/>
    </row>
    <row r="121" spans="1:30" hidden="1" x14ac:dyDescent="0.25">
      <c r="J121" s="335"/>
      <c r="L121" s="231"/>
      <c r="M121" s="336">
        <f ca="1">+H114+K114+N114-P114</f>
        <v>525503.90366214036</v>
      </c>
      <c r="R121" s="337"/>
      <c r="AA121" s="337" t="e">
        <f ca="1">+R114-AA114</f>
        <v>#REF!</v>
      </c>
      <c r="AB121" s="334"/>
    </row>
    <row r="122" spans="1:30" hidden="1" x14ac:dyDescent="0.25">
      <c r="K122" s="337">
        <f ca="1">+K114+N114</f>
        <v>281808.3174621404</v>
      </c>
      <c r="L122" s="231"/>
      <c r="M122" s="338">
        <f ca="1">+K114+N114-P114</f>
        <v>209760.74286214041</v>
      </c>
      <c r="O122" s="337"/>
      <c r="R122" s="116"/>
      <c r="U122" s="116"/>
      <c r="W122" s="339"/>
      <c r="AA122" s="116"/>
      <c r="AB122" s="334"/>
      <c r="AC122" s="122"/>
    </row>
    <row r="123" spans="1:30" hidden="1" x14ac:dyDescent="0.25">
      <c r="H123" s="337"/>
      <c r="I123" s="337"/>
      <c r="K123" s="337"/>
      <c r="R123" s="52"/>
      <c r="AA123" s="52"/>
      <c r="AB123" s="334"/>
      <c r="AC123" s="122"/>
    </row>
    <row r="124" spans="1:30" hidden="1" x14ac:dyDescent="0.25">
      <c r="K124" s="231">
        <f ca="1">+H114+K114+N114-P114</f>
        <v>525503.90366214036</v>
      </c>
      <c r="M124" s="337">
        <f ca="1">+K124-M122</f>
        <v>315743.16079999995</v>
      </c>
      <c r="R124" s="337"/>
      <c r="AA124" s="337"/>
      <c r="AB124" s="334"/>
      <c r="AC124" s="122"/>
    </row>
    <row r="125" spans="1:30" hidden="1" x14ac:dyDescent="0.25">
      <c r="R125" s="122"/>
      <c r="AA125" s="122"/>
      <c r="AB125" s="334"/>
      <c r="AC125" s="122"/>
    </row>
    <row r="126" spans="1:30" x14ac:dyDescent="0.25">
      <c r="F126" t="s">
        <v>922</v>
      </c>
      <c r="M126" s="340"/>
      <c r="N126" s="52">
        <f ca="1">+N114++K114-P114</f>
        <v>209760.74286214041</v>
      </c>
      <c r="R126" s="52"/>
      <c r="AA126" s="52"/>
      <c r="AB126" s="334"/>
      <c r="AC126" s="122"/>
    </row>
    <row r="127" spans="1:30" x14ac:dyDescent="0.25">
      <c r="F127" s="435">
        <v>82206.080000000002</v>
      </c>
      <c r="H127" s="435">
        <f>+H114-F127</f>
        <v>233537.0808</v>
      </c>
      <c r="R127" s="122"/>
      <c r="AA127" s="122"/>
      <c r="AB127" s="334"/>
    </row>
    <row r="128" spans="1:30" x14ac:dyDescent="0.25">
      <c r="AB128" s="334"/>
    </row>
    <row r="129" spans="13:27" x14ac:dyDescent="0.25">
      <c r="M129" s="341"/>
      <c r="R129" s="122"/>
      <c r="AA129" s="116"/>
    </row>
    <row r="130" spans="13:27" x14ac:dyDescent="0.25">
      <c r="AA130" s="116"/>
    </row>
    <row r="132" spans="13:27" x14ac:dyDescent="0.25">
      <c r="R132" s="342"/>
    </row>
  </sheetData>
  <mergeCells count="26">
    <mergeCell ref="V5:W5"/>
    <mergeCell ref="Q4:R4"/>
    <mergeCell ref="S4:Y4"/>
    <mergeCell ref="Z4:AA4"/>
    <mergeCell ref="D5:D6"/>
    <mergeCell ref="E5:E6"/>
    <mergeCell ref="F5:F6"/>
    <mergeCell ref="G5:G6"/>
    <mergeCell ref="H5:H6"/>
    <mergeCell ref="X5:Y5"/>
    <mergeCell ref="Z5:Z6"/>
    <mergeCell ref="AA5:AA6"/>
    <mergeCell ref="L5:N5"/>
    <mergeCell ref="O5:P5"/>
    <mergeCell ref="Q5:Q6"/>
    <mergeCell ref="R5:R6"/>
    <mergeCell ref="S5:U5"/>
    <mergeCell ref="I5:I6"/>
    <mergeCell ref="I4:P4"/>
    <mergeCell ref="A3:P3"/>
    <mergeCell ref="J5:K5"/>
    <mergeCell ref="A4:A6"/>
    <mergeCell ref="B4:B6"/>
    <mergeCell ref="C4:C6"/>
    <mergeCell ref="D4:E4"/>
    <mergeCell ref="F4:H4"/>
  </mergeCells>
  <phoneticPr fontId="18" type="noConversion"/>
  <printOptions horizontalCentered="1"/>
  <pageMargins left="0.31496062992125984" right="0.19685039370078741" top="0.47244094488188981" bottom="0.55118110236220474" header="0.31496062992125984" footer="0.31496062992125984"/>
  <pageSetup paperSize="9" fitToHeight="8" orientation="landscape" horizontalDpi="4294967293" verticalDpi="4294967293" r:id="rId1"/>
  <rowBreaks count="1" manualBreakCount="1">
    <brk id="67" max="20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0C1DC-9AF7-4AB1-8B0B-47CB8122E790}">
  <sheetPr>
    <tabColor theme="5" tint="0.39997558519241921"/>
  </sheetPr>
  <dimension ref="B1:AH40"/>
  <sheetViews>
    <sheetView view="pageBreakPreview" topLeftCell="A12" zoomScale="60" zoomScaleNormal="100" workbookViewId="0">
      <selection activeCell="A32" sqref="A32:XFD32"/>
    </sheetView>
    <sheetView view="pageBreakPreview" topLeftCell="A10" zoomScale="60" zoomScaleNormal="100" workbookViewId="1">
      <selection activeCell="I36" sqref="I36"/>
    </sheetView>
  </sheetViews>
  <sheetFormatPr baseColWidth="10" defaultRowHeight="15" x14ac:dyDescent="0.25"/>
  <cols>
    <col min="1" max="1" width="2.140625" customWidth="1"/>
    <col min="2" max="2" width="15.7109375" style="1" customWidth="1"/>
    <col min="3" max="3" width="48.7109375" style="1" customWidth="1"/>
    <col min="4" max="4" width="11.42578125" style="1"/>
    <col min="5" max="5" width="8" style="1" customWidth="1"/>
    <col min="6" max="6" width="11.42578125" style="1" hidden="1" customWidth="1"/>
    <col min="7" max="7" width="20.42578125" style="1" hidden="1" customWidth="1"/>
    <col min="8" max="8" width="11.42578125" style="1" customWidth="1"/>
    <col min="9" max="9" width="12" style="1" bestFit="1" customWidth="1"/>
    <col min="10" max="10" width="16.7109375" style="1" customWidth="1"/>
    <col min="11" max="11" width="15.140625" style="1" bestFit="1" customWidth="1"/>
    <col min="12" max="12" width="8.85546875" style="1" customWidth="1"/>
    <col min="27" max="29" width="11.42578125" customWidth="1"/>
    <col min="30" max="30" width="16.5703125" bestFit="1" customWidth="1"/>
  </cols>
  <sheetData>
    <row r="1" spans="2:13" x14ac:dyDescent="0.25">
      <c r="C1" s="499" t="s">
        <v>37</v>
      </c>
      <c r="D1" s="499"/>
      <c r="E1" s="499"/>
      <c r="F1" s="499"/>
      <c r="G1" s="499"/>
      <c r="H1" s="499"/>
      <c r="I1" s="400"/>
    </row>
    <row r="2" spans="2:13" x14ac:dyDescent="0.25">
      <c r="C2" s="499" t="s">
        <v>38</v>
      </c>
      <c r="D2" s="499"/>
      <c r="E2" s="499"/>
      <c r="F2" s="499"/>
      <c r="G2" s="499"/>
      <c r="H2" s="499"/>
      <c r="I2" s="400"/>
    </row>
    <row r="3" spans="2:13" x14ac:dyDescent="0.25">
      <c r="C3" s="499" t="s">
        <v>39</v>
      </c>
      <c r="D3" s="499"/>
      <c r="E3" s="499"/>
      <c r="F3" s="499"/>
      <c r="G3" s="499"/>
      <c r="H3" s="499"/>
      <c r="I3" s="400"/>
    </row>
    <row r="4" spans="2:13" x14ac:dyDescent="0.25">
      <c r="C4" s="500" t="s">
        <v>40</v>
      </c>
      <c r="D4" s="500"/>
      <c r="E4" s="500"/>
      <c r="F4" s="500"/>
      <c r="G4" s="500"/>
      <c r="H4" s="500"/>
      <c r="I4" s="401"/>
    </row>
    <row r="5" spans="2:13" x14ac:dyDescent="0.25">
      <c r="C5" s="401"/>
      <c r="D5" s="401"/>
      <c r="E5" s="401"/>
      <c r="F5" s="401"/>
      <c r="G5" s="401"/>
      <c r="H5" s="401"/>
      <c r="I5" s="401"/>
    </row>
    <row r="6" spans="2:13" x14ac:dyDescent="0.25">
      <c r="B6" s="538" t="s">
        <v>28</v>
      </c>
      <c r="C6" s="539"/>
      <c r="D6" s="539"/>
      <c r="E6" s="539"/>
      <c r="F6" s="539"/>
      <c r="G6" s="539"/>
      <c r="H6" s="539"/>
      <c r="I6" s="539"/>
      <c r="J6" s="539"/>
      <c r="K6" s="539"/>
      <c r="L6" s="540"/>
    </row>
    <row r="8" spans="2:13" x14ac:dyDescent="0.25">
      <c r="B8" s="541" t="s">
        <v>817</v>
      </c>
      <c r="C8" s="541"/>
      <c r="D8" s="541"/>
      <c r="E8" s="541"/>
      <c r="F8" s="541"/>
      <c r="G8" s="541"/>
      <c r="H8" s="541"/>
      <c r="I8" s="541"/>
      <c r="J8" s="541"/>
      <c r="K8" s="541"/>
      <c r="L8" s="541"/>
    </row>
    <row r="9" spans="2:13" ht="15.75" thickBot="1" x14ac:dyDescent="0.3">
      <c r="B9" s="405"/>
      <c r="C9" s="405"/>
      <c r="D9" s="405"/>
      <c r="E9" s="405"/>
      <c r="F9" s="405"/>
      <c r="G9" s="405"/>
      <c r="H9" s="405"/>
      <c r="I9" s="405"/>
      <c r="J9" s="405"/>
      <c r="K9" s="405"/>
      <c r="L9" s="405"/>
    </row>
    <row r="10" spans="2:13" ht="31.5" customHeight="1" x14ac:dyDescent="0.25">
      <c r="B10" s="494" t="s">
        <v>27</v>
      </c>
      <c r="C10" s="495"/>
      <c r="D10" s="495"/>
      <c r="E10" s="495"/>
      <c r="F10" s="495"/>
      <c r="G10" s="495"/>
      <c r="H10" s="495"/>
      <c r="I10" s="495"/>
      <c r="J10" s="495"/>
      <c r="K10" s="495"/>
      <c r="L10" s="496"/>
    </row>
    <row r="11" spans="2:13" x14ac:dyDescent="0.25">
      <c r="B11" s="2" t="s">
        <v>35</v>
      </c>
      <c r="C11" s="3" t="s">
        <v>36</v>
      </c>
      <c r="D11" s="3"/>
      <c r="E11" s="4"/>
      <c r="F11" s="5"/>
      <c r="G11" s="6" t="s">
        <v>8</v>
      </c>
      <c r="H11" s="497">
        <v>42887</v>
      </c>
      <c r="I11" s="497"/>
      <c r="J11" s="497"/>
      <c r="K11" s="399"/>
      <c r="L11" s="7"/>
    </row>
    <row r="12" spans="2:13" x14ac:dyDescent="0.25">
      <c r="B12" s="2" t="s">
        <v>33</v>
      </c>
      <c r="C12" s="3" t="s">
        <v>29</v>
      </c>
      <c r="D12" s="8"/>
      <c r="E12" s="8"/>
      <c r="F12" s="3"/>
      <c r="G12" s="9" t="s">
        <v>32</v>
      </c>
      <c r="H12" s="4" t="s">
        <v>29</v>
      </c>
      <c r="I12" s="4"/>
      <c r="J12" s="10"/>
      <c r="K12" s="10"/>
      <c r="L12" s="11"/>
    </row>
    <row r="13" spans="2:13" x14ac:dyDescent="0.25">
      <c r="B13" s="2" t="s">
        <v>34</v>
      </c>
      <c r="C13" s="3" t="s">
        <v>29</v>
      </c>
      <c r="D13" s="8"/>
      <c r="E13" s="8"/>
      <c r="F13" s="3"/>
      <c r="G13" s="9" t="s">
        <v>30</v>
      </c>
      <c r="H13" s="4" t="s">
        <v>31</v>
      </c>
      <c r="I13" s="4"/>
      <c r="J13" s="10"/>
      <c r="K13" s="10"/>
      <c r="L13" s="11"/>
    </row>
    <row r="14" spans="2:13" ht="15.75" thickBot="1" x14ac:dyDescent="0.3">
      <c r="B14" s="12" t="s">
        <v>43</v>
      </c>
      <c r="C14" s="13" t="s">
        <v>44</v>
      </c>
      <c r="D14" s="14"/>
      <c r="E14" s="14"/>
      <c r="F14" s="13"/>
      <c r="G14" s="15" t="s">
        <v>41</v>
      </c>
      <c r="H14" s="16" t="s">
        <v>42</v>
      </c>
      <c r="I14" s="16"/>
      <c r="J14" s="17"/>
      <c r="K14" s="17"/>
      <c r="L14" s="18"/>
    </row>
    <row r="15" spans="2:13" x14ac:dyDescent="0.25">
      <c r="B15" s="19"/>
      <c r="C15" s="3"/>
      <c r="D15" s="8"/>
      <c r="E15" s="8"/>
      <c r="F15" s="3"/>
      <c r="G15" s="9"/>
      <c r="H15" s="4"/>
      <c r="I15" s="4"/>
      <c r="J15" s="10"/>
      <c r="K15" s="10"/>
      <c r="L15" s="20"/>
    </row>
    <row r="16" spans="2:13" ht="38.25" customHeight="1" x14ac:dyDescent="0.25">
      <c r="B16" s="47" t="s">
        <v>5</v>
      </c>
      <c r="C16" s="48" t="s">
        <v>0</v>
      </c>
      <c r="D16" s="49"/>
      <c r="E16" s="49"/>
      <c r="F16" s="49"/>
      <c r="G16" s="49"/>
      <c r="H16" s="50"/>
      <c r="I16" s="429" t="s">
        <v>906</v>
      </c>
      <c r="J16" s="428" t="s">
        <v>924</v>
      </c>
      <c r="K16" s="428" t="s">
        <v>905</v>
      </c>
      <c r="L16" s="51" t="s">
        <v>7</v>
      </c>
      <c r="M16" t="s">
        <v>552</v>
      </c>
    </row>
    <row r="17" spans="2:33" x14ac:dyDescent="0.25">
      <c r="B17" s="71">
        <v>4</v>
      </c>
      <c r="C17" s="72" t="s">
        <v>66</v>
      </c>
      <c r="D17" s="23"/>
      <c r="E17" s="23"/>
      <c r="F17" s="23"/>
      <c r="G17" s="23"/>
      <c r="H17" s="24"/>
      <c r="I17" s="24"/>
      <c r="J17" s="25"/>
      <c r="K17" s="25"/>
      <c r="L17" s="26"/>
    </row>
    <row r="18" spans="2:33" x14ac:dyDescent="0.25">
      <c r="B18" s="71">
        <f>+MET_MM!B18</f>
        <v>4.03</v>
      </c>
      <c r="C18" s="72" t="s">
        <v>222</v>
      </c>
      <c r="D18" s="23"/>
      <c r="E18" s="23"/>
      <c r="F18" s="23"/>
      <c r="G18" s="23"/>
      <c r="H18" s="24"/>
      <c r="I18" s="24"/>
      <c r="J18" s="25"/>
      <c r="K18" s="25"/>
      <c r="L18" s="26"/>
    </row>
    <row r="19" spans="2:33" x14ac:dyDescent="0.25">
      <c r="B19" s="73" t="str">
        <f>+MET_MM!B19</f>
        <v>04.03.01</v>
      </c>
      <c r="C19" s="74" t="s">
        <v>225</v>
      </c>
      <c r="D19" s="23"/>
      <c r="E19" s="23"/>
      <c r="F19" s="23"/>
      <c r="G19" s="23"/>
      <c r="H19" s="24"/>
      <c r="I19" s="24"/>
      <c r="J19" s="25"/>
      <c r="K19" s="25"/>
      <c r="L19" s="26"/>
      <c r="S19">
        <v>14.67</v>
      </c>
      <c r="T19">
        <v>40</v>
      </c>
    </row>
    <row r="20" spans="2:33" x14ac:dyDescent="0.25">
      <c r="B20" s="25" t="str">
        <f>+MET_MM!B20</f>
        <v>04.03.01.01</v>
      </c>
      <c r="C20" s="28" t="s">
        <v>359</v>
      </c>
      <c r="D20" s="23"/>
      <c r="E20" s="23"/>
      <c r="F20" s="23"/>
      <c r="G20" s="23"/>
      <c r="H20" s="551">
        <f>127-28.1</f>
        <v>98.9</v>
      </c>
      <c r="I20" s="24">
        <v>28.099999999999998</v>
      </c>
      <c r="J20" s="112">
        <f ca="1">+MET_MM!I20</f>
        <v>40.1</v>
      </c>
      <c r="K20" s="112">
        <f ca="1">+J20-I20</f>
        <v>12.000000000000004</v>
      </c>
      <c r="L20" s="26" t="s">
        <v>345</v>
      </c>
      <c r="M20">
        <v>28.099999999999998</v>
      </c>
      <c r="N20" s="52">
        <f ca="1">+J20-M20</f>
        <v>12.000000000000004</v>
      </c>
      <c r="O20">
        <v>28.1</v>
      </c>
      <c r="P20">
        <v>0</v>
      </c>
      <c r="T20">
        <v>50</v>
      </c>
    </row>
    <row r="21" spans="2:33" x14ac:dyDescent="0.25">
      <c r="B21" s="25" t="str">
        <f>+MET_MM!B21</f>
        <v>04.03.01.02</v>
      </c>
      <c r="C21" s="28" t="s">
        <v>235</v>
      </c>
      <c r="D21" s="23"/>
      <c r="E21" s="23"/>
      <c r="F21" s="23"/>
      <c r="G21" s="23"/>
      <c r="H21" s="24"/>
      <c r="I21" s="24">
        <v>416.9</v>
      </c>
      <c r="J21" s="25">
        <f ca="1">+MET_MM!I21</f>
        <v>552.29999999999995</v>
      </c>
      <c r="K21" s="25">
        <f t="shared" ref="K21:K33" ca="1" si="0">+J21-I21</f>
        <v>135.39999999999998</v>
      </c>
      <c r="L21" s="26" t="s">
        <v>345</v>
      </c>
      <c r="M21">
        <v>416.9</v>
      </c>
      <c r="N21" s="52">
        <f ca="1">+J21-M21</f>
        <v>135.39999999999998</v>
      </c>
      <c r="O21">
        <v>342.6</v>
      </c>
      <c r="P21">
        <v>74.299999999999955</v>
      </c>
      <c r="S21">
        <v>25.67</v>
      </c>
      <c r="T21">
        <v>70</v>
      </c>
    </row>
    <row r="22" spans="2:33" x14ac:dyDescent="0.25">
      <c r="B22" s="25" t="str">
        <f>+MET_MM!B22</f>
        <v>04.03.01.03</v>
      </c>
      <c r="C22" s="28" t="s">
        <v>236</v>
      </c>
      <c r="D22" s="23"/>
      <c r="E22" s="23"/>
      <c r="F22" s="23"/>
      <c r="G22" s="23"/>
      <c r="H22" s="24"/>
      <c r="I22" s="24">
        <v>103.6</v>
      </c>
      <c r="J22" s="25">
        <f ca="1">+MET_MM!I22</f>
        <v>137.25</v>
      </c>
      <c r="K22" s="25">
        <f t="shared" ca="1" si="0"/>
        <v>33.650000000000006</v>
      </c>
      <c r="L22" s="26" t="s">
        <v>345</v>
      </c>
      <c r="M22">
        <v>103.6</v>
      </c>
      <c r="N22" s="52">
        <f ca="1">+J22-M22</f>
        <v>33.650000000000006</v>
      </c>
      <c r="O22">
        <v>0</v>
      </c>
      <c r="P22">
        <v>103.6</v>
      </c>
    </row>
    <row r="23" spans="2:33" x14ac:dyDescent="0.25">
      <c r="B23" s="25" t="str">
        <f>+MET_MM!B23</f>
        <v>04.03.01.05</v>
      </c>
      <c r="C23" s="28" t="s">
        <v>347</v>
      </c>
      <c r="D23" s="23"/>
      <c r="E23" s="23"/>
      <c r="F23" s="23"/>
      <c r="G23" s="23"/>
      <c r="H23" s="24"/>
      <c r="I23" s="24">
        <v>118</v>
      </c>
      <c r="J23" s="25">
        <f ca="1">+MET_MM!I23</f>
        <v>267.5</v>
      </c>
      <c r="K23" s="25">
        <f t="shared" ca="1" si="0"/>
        <v>149.5</v>
      </c>
      <c r="L23" s="26" t="s">
        <v>345</v>
      </c>
      <c r="M23">
        <v>118</v>
      </c>
      <c r="N23" s="52">
        <f ca="1">+J23-M23</f>
        <v>149.5</v>
      </c>
      <c r="O23" s="1">
        <v>79.5</v>
      </c>
      <c r="P23">
        <v>38.5</v>
      </c>
      <c r="S23">
        <f>+(T20-T19)/(T21-T19)*(S21-S19)+S19</f>
        <v>18.336666666666666</v>
      </c>
    </row>
    <row r="24" spans="2:33" x14ac:dyDescent="0.25">
      <c r="B24" s="25" t="str">
        <f>+MET_MM!B24</f>
        <v>04.03.01.07</v>
      </c>
      <c r="C24" s="28" t="s">
        <v>271</v>
      </c>
      <c r="D24" s="23"/>
      <c r="E24" s="23"/>
      <c r="F24" s="23"/>
      <c r="G24" s="23"/>
      <c r="H24" s="24"/>
      <c r="I24" s="24">
        <v>45</v>
      </c>
      <c r="J24" s="25">
        <f ca="1">+MET_MM!I24</f>
        <v>63</v>
      </c>
      <c r="K24" s="25">
        <f t="shared" ca="1" si="0"/>
        <v>18</v>
      </c>
      <c r="L24" s="26" t="s">
        <v>13</v>
      </c>
      <c r="M24">
        <v>45</v>
      </c>
      <c r="N24" s="52">
        <f ca="1">+J24-M24</f>
        <v>18</v>
      </c>
      <c r="O24">
        <v>41</v>
      </c>
      <c r="P24">
        <v>4</v>
      </c>
    </row>
    <row r="25" spans="2:33" x14ac:dyDescent="0.25">
      <c r="B25" s="430"/>
      <c r="C25" s="8"/>
      <c r="D25" s="8"/>
      <c r="E25" s="8"/>
      <c r="F25" s="8"/>
      <c r="G25" s="8"/>
      <c r="H25" s="86"/>
      <c r="J25" s="25"/>
      <c r="K25" s="25"/>
    </row>
    <row r="26" spans="2:33" x14ac:dyDescent="0.25">
      <c r="B26" s="73" t="str">
        <f>+MET_MM!B26</f>
        <v>04.03.02</v>
      </c>
      <c r="C26" s="74" t="s">
        <v>224</v>
      </c>
      <c r="D26" s="23"/>
      <c r="E26" s="23"/>
      <c r="F26" s="23"/>
      <c r="G26" s="23"/>
      <c r="H26" s="24"/>
      <c r="I26" s="24"/>
      <c r="J26" s="25"/>
      <c r="K26" s="25"/>
      <c r="L26" s="26"/>
      <c r="N26" s="52"/>
    </row>
    <row r="27" spans="2:33" x14ac:dyDescent="0.25">
      <c r="B27" s="25" t="str">
        <f>+MET_MM!B27</f>
        <v>04.03.02.03</v>
      </c>
      <c r="C27" s="43" t="s">
        <v>239</v>
      </c>
      <c r="D27" s="23"/>
      <c r="E27" s="23"/>
      <c r="F27" s="23"/>
      <c r="G27" s="23"/>
      <c r="H27" s="551">
        <v>23.55</v>
      </c>
      <c r="I27" s="24">
        <v>23.4</v>
      </c>
      <c r="J27" s="112">
        <f ca="1">+MET_MM!I27</f>
        <v>43.85</v>
      </c>
      <c r="K27" s="112">
        <f t="shared" ca="1" si="0"/>
        <v>20.450000000000003</v>
      </c>
      <c r="L27" s="26" t="s">
        <v>345</v>
      </c>
      <c r="M27">
        <v>23.4</v>
      </c>
      <c r="N27" s="52">
        <f ca="1">+J27-M27</f>
        <v>20.450000000000003</v>
      </c>
      <c r="O27">
        <v>20</v>
      </c>
      <c r="P27">
        <v>3.3999999999999986</v>
      </c>
    </row>
    <row r="28" spans="2:33" x14ac:dyDescent="0.25">
      <c r="B28" s="25" t="str">
        <f>+MET_MM!B28</f>
        <v>04.03.02.06</v>
      </c>
      <c r="C28" s="28" t="s">
        <v>246</v>
      </c>
      <c r="D28" s="23"/>
      <c r="E28" s="23"/>
      <c r="F28" s="23"/>
      <c r="G28" s="23"/>
      <c r="H28" s="24"/>
      <c r="I28" s="24">
        <v>23.4</v>
      </c>
      <c r="J28" s="25">
        <f ca="1">+MET_MM!I28</f>
        <v>83.9</v>
      </c>
      <c r="K28" s="25">
        <f t="shared" ca="1" si="0"/>
        <v>60.500000000000007</v>
      </c>
      <c r="L28" s="26" t="s">
        <v>345</v>
      </c>
      <c r="M28">
        <v>23.4</v>
      </c>
      <c r="N28" s="52">
        <f ca="1">+J28-M28</f>
        <v>60.500000000000007</v>
      </c>
      <c r="O28">
        <v>0</v>
      </c>
      <c r="P28">
        <v>23.4</v>
      </c>
      <c r="W28" t="s">
        <v>651</v>
      </c>
      <c r="X28" t="s">
        <v>652</v>
      </c>
      <c r="Y28" t="s">
        <v>653</v>
      </c>
    </row>
    <row r="29" spans="2:33" x14ac:dyDescent="0.25">
      <c r="B29" s="25" t="str">
        <f>+MET_MM!B29</f>
        <v>04.03.02.11</v>
      </c>
      <c r="C29" s="28" t="s">
        <v>251</v>
      </c>
      <c r="D29" s="23"/>
      <c r="E29" s="23"/>
      <c r="F29" s="23"/>
      <c r="G29" s="23"/>
      <c r="H29" s="24"/>
      <c r="I29" s="24">
        <v>14.5</v>
      </c>
      <c r="J29" s="25">
        <f ca="1">+MET_MM!I29</f>
        <v>24.15</v>
      </c>
      <c r="K29" s="25">
        <f t="shared" ca="1" si="0"/>
        <v>9.6499999999999986</v>
      </c>
      <c r="L29" s="26" t="s">
        <v>345</v>
      </c>
      <c r="M29">
        <v>14.5</v>
      </c>
      <c r="N29" s="52">
        <f ca="1">+J29-M29</f>
        <v>9.6499999999999986</v>
      </c>
      <c r="O29">
        <v>0</v>
      </c>
      <c r="P29">
        <v>14.5</v>
      </c>
      <c r="Q29" s="52"/>
      <c r="S29" s="52">
        <f ca="1">+J29</f>
        <v>24.15</v>
      </c>
      <c r="T29">
        <v>12</v>
      </c>
      <c r="U29" t="e">
        <f ca="1">+S29*T29*#REF!</f>
        <v>#REF!</v>
      </c>
    </row>
    <row r="30" spans="2:33" x14ac:dyDescent="0.25">
      <c r="B30" s="107"/>
      <c r="C30" s="343"/>
      <c r="D30" s="23"/>
      <c r="E30" s="23"/>
      <c r="F30" s="23"/>
      <c r="G30" s="23"/>
      <c r="H30" s="24"/>
      <c r="I30" s="24"/>
      <c r="J30" s="25"/>
      <c r="K30" s="25"/>
      <c r="L30" s="26"/>
      <c r="N30" s="52"/>
    </row>
    <row r="31" spans="2:33" x14ac:dyDescent="0.25">
      <c r="B31" s="73" t="str">
        <f>+MET_MM!B31</f>
        <v>04.03.03</v>
      </c>
      <c r="C31" s="74" t="s">
        <v>223</v>
      </c>
      <c r="D31" s="23"/>
      <c r="E31" s="23"/>
      <c r="F31" s="23"/>
      <c r="G31" s="23"/>
      <c r="H31" s="24"/>
      <c r="I31" s="24"/>
      <c r="J31" s="25"/>
      <c r="K31" s="25"/>
      <c r="L31" s="26"/>
      <c r="N31" s="52"/>
      <c r="AB31">
        <v>2.36</v>
      </c>
      <c r="AC31">
        <v>2.1</v>
      </c>
    </row>
    <row r="32" spans="2:33" x14ac:dyDescent="0.25">
      <c r="B32" s="25" t="str">
        <f>+MET_MM!B32</f>
        <v>04.03.03.02</v>
      </c>
      <c r="C32" s="28" t="s">
        <v>272</v>
      </c>
      <c r="D32" s="23"/>
      <c r="E32" s="23"/>
      <c r="F32" s="23"/>
      <c r="G32" s="23"/>
      <c r="H32" s="551">
        <f>225-I32</f>
        <v>171</v>
      </c>
      <c r="I32" s="24">
        <v>54</v>
      </c>
      <c r="J32" s="112">
        <f ca="1">+MET_MM!I32</f>
        <v>224</v>
      </c>
      <c r="K32" s="112">
        <f ca="1">+J32-I32</f>
        <v>170</v>
      </c>
      <c r="L32" s="26" t="s">
        <v>13</v>
      </c>
      <c r="M32">
        <v>54</v>
      </c>
      <c r="N32" s="52">
        <f ca="1">+J32-M32</f>
        <v>170</v>
      </c>
      <c r="O32">
        <v>0</v>
      </c>
      <c r="P32">
        <v>54</v>
      </c>
      <c r="Q32" s="52"/>
      <c r="AB32">
        <v>1.45</v>
      </c>
      <c r="AC32">
        <v>1.51</v>
      </c>
      <c r="AE32">
        <v>2.41</v>
      </c>
      <c r="AF32">
        <f>+AE32+0.56</f>
        <v>2.97</v>
      </c>
      <c r="AG32">
        <f>+AE32+0.4</f>
        <v>2.81</v>
      </c>
    </row>
    <row r="33" spans="2:34" x14ac:dyDescent="0.25">
      <c r="B33" s="32" t="str">
        <f>+MET_MM!B33</f>
        <v>04.03.03.04</v>
      </c>
      <c r="C33" s="33" t="s">
        <v>354</v>
      </c>
      <c r="D33" s="431"/>
      <c r="E33" s="431"/>
      <c r="F33" s="431"/>
      <c r="G33" s="431"/>
      <c r="H33" s="550">
        <f>254-I33</f>
        <v>219</v>
      </c>
      <c r="I33" s="35">
        <v>35</v>
      </c>
      <c r="J33" s="552">
        <f ca="1">+MET_MM!I33</f>
        <v>82</v>
      </c>
      <c r="K33" s="552">
        <f t="shared" ca="1" si="0"/>
        <v>47</v>
      </c>
      <c r="L33" s="36" t="s">
        <v>13</v>
      </c>
      <c r="M33">
        <v>35</v>
      </c>
      <c r="N33" s="52">
        <f ca="1">+J33-M33</f>
        <v>47</v>
      </c>
      <c r="O33">
        <v>0</v>
      </c>
      <c r="P33">
        <v>35</v>
      </c>
      <c r="Q33" s="52"/>
      <c r="AB33">
        <v>0.27</v>
      </c>
      <c r="AC33">
        <v>0.4</v>
      </c>
      <c r="AE33">
        <v>1.43</v>
      </c>
      <c r="AF33">
        <f>+AE33+0.56</f>
        <v>1.99</v>
      </c>
      <c r="AG33">
        <f t="shared" ref="AG33" si="1">+AE33+0.4</f>
        <v>1.83</v>
      </c>
    </row>
    <row r="34" spans="2:34" x14ac:dyDescent="0.25">
      <c r="D34" s="23"/>
      <c r="E34" s="23"/>
      <c r="F34" s="23"/>
      <c r="G34" s="23"/>
      <c r="H34" s="23"/>
      <c r="I34" s="23"/>
      <c r="J34" s="23"/>
      <c r="K34" s="23"/>
      <c r="L34" s="67"/>
    </row>
    <row r="35" spans="2:34" x14ac:dyDescent="0.25">
      <c r="D35" s="23"/>
      <c r="E35" s="23"/>
      <c r="F35" s="23"/>
      <c r="G35" s="23"/>
      <c r="H35" s="23"/>
      <c r="I35" s="23"/>
      <c r="J35" s="23"/>
      <c r="K35" s="23"/>
      <c r="L35" s="67"/>
      <c r="Y35" t="s">
        <v>805</v>
      </c>
      <c r="AA35">
        <v>1</v>
      </c>
      <c r="AB35">
        <f>1.3+0.2+2.8+1.55</f>
        <v>5.85</v>
      </c>
      <c r="AC35">
        <v>1.3</v>
      </c>
      <c r="AD35">
        <v>0.3</v>
      </c>
      <c r="AE35">
        <f t="shared" ref="AE35" si="2">+PRODUCT(AA35:AD35)</f>
        <v>2.2814999999999999</v>
      </c>
    </row>
    <row r="36" spans="2:34" x14ac:dyDescent="0.25">
      <c r="D36" s="23"/>
      <c r="E36" s="23"/>
      <c r="F36" s="23"/>
      <c r="G36" s="23"/>
      <c r="H36" s="23"/>
      <c r="I36" s="23"/>
      <c r="J36" s="23"/>
      <c r="K36" s="23"/>
      <c r="L36" s="67"/>
      <c r="AE36" s="376">
        <f>+SUM(AE34:AE35)</f>
        <v>2.2814999999999999</v>
      </c>
      <c r="AF36" s="376" t="s">
        <v>804</v>
      </c>
      <c r="AG36" s="374">
        <f>+AE36*9.5</f>
        <v>21.674249999999997</v>
      </c>
      <c r="AH36" s="374" t="s">
        <v>815</v>
      </c>
    </row>
    <row r="37" spans="2:34" s="1" customFormat="1" ht="12.75" x14ac:dyDescent="0.2">
      <c r="B37" s="37"/>
      <c r="C37" s="38"/>
      <c r="D37" s="38"/>
      <c r="E37" s="38"/>
      <c r="F37" s="38"/>
      <c r="G37" s="38"/>
      <c r="H37" s="38"/>
      <c r="I37" s="38"/>
      <c r="J37" s="38"/>
      <c r="K37" s="38"/>
      <c r="L37" s="38"/>
    </row>
    <row r="38" spans="2:34" s="1" customFormat="1" x14ac:dyDescent="0.25">
      <c r="B38" s="37"/>
      <c r="C38" s="38"/>
      <c r="D38" s="38"/>
      <c r="E38" s="38"/>
      <c r="F38" s="38"/>
      <c r="G38" s="38"/>
      <c r="H38" s="38"/>
      <c r="I38" s="38"/>
      <c r="J38" s="38"/>
      <c r="K38" s="38"/>
      <c r="L38" s="38"/>
      <c r="Y38" s="1" t="s">
        <v>816</v>
      </c>
      <c r="AA38" s="1">
        <v>1</v>
      </c>
      <c r="AB38" s="1">
        <v>5.9</v>
      </c>
      <c r="AC38" s="1">
        <v>0.5</v>
      </c>
      <c r="AD38" s="1">
        <v>0.2</v>
      </c>
      <c r="AE38">
        <f t="shared" ref="AE38" si="3">+PRODUCT(AA38:AD38)</f>
        <v>0.59000000000000008</v>
      </c>
    </row>
    <row r="39" spans="2:34" s="1" customFormat="1" x14ac:dyDescent="0.25">
      <c r="B39" s="37"/>
      <c r="C39" s="38"/>
      <c r="D39" s="38"/>
      <c r="E39" s="38"/>
      <c r="F39" s="38"/>
      <c r="G39" s="38"/>
      <c r="I39" s="38"/>
      <c r="J39" s="38"/>
      <c r="K39" s="38"/>
      <c r="L39" s="38"/>
      <c r="AE39" s="1">
        <f>+SUM(AE36:AE38)</f>
        <v>2.8715000000000002</v>
      </c>
      <c r="AG39" s="374">
        <f>+AE39*9.5</f>
        <v>27.279250000000001</v>
      </c>
    </row>
    <row r="40" spans="2:34" s="1" customFormat="1" ht="12.75" x14ac:dyDescent="0.2">
      <c r="B40" s="37"/>
      <c r="C40" s="38"/>
      <c r="D40" s="38"/>
      <c r="E40" s="38"/>
      <c r="F40" s="38"/>
      <c r="G40" s="38"/>
      <c r="H40" s="38"/>
      <c r="I40" s="38"/>
      <c r="J40" s="38"/>
      <c r="K40" s="38"/>
      <c r="L40" s="38"/>
    </row>
  </sheetData>
  <mergeCells count="8">
    <mergeCell ref="B10:L10"/>
    <mergeCell ref="H11:J11"/>
    <mergeCell ref="C1:H1"/>
    <mergeCell ref="C2:H2"/>
    <mergeCell ref="C3:H3"/>
    <mergeCell ref="C4:H4"/>
    <mergeCell ref="B6:L6"/>
    <mergeCell ref="B8:L8"/>
  </mergeCells>
  <pageMargins left="0.70866141732283472" right="0.70866141732283472" top="0.74803149606299213" bottom="0.74803149606299213" header="0.31496062992125984" footer="0.31496062992125984"/>
  <pageSetup paperSize="9" scale="53" fitToWidth="0" fitToHeight="0" orientation="portrait" r:id="rId1"/>
  <colBreaks count="1" manualBreakCount="1">
    <brk id="12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B74BB-4E2D-4DD6-95F9-F7BB6B53CB52}">
  <sheetPr>
    <tabColor theme="5" tint="0.39997558519241921"/>
  </sheetPr>
  <dimension ref="B1:AH826"/>
  <sheetViews>
    <sheetView view="pageBreakPreview" zoomScale="60" zoomScaleNormal="100" workbookViewId="0">
      <selection activeCell="E324" sqref="E324"/>
    </sheetView>
    <sheetView topLeftCell="A13" workbookViewId="1"/>
  </sheetViews>
  <sheetFormatPr baseColWidth="10" defaultRowHeight="15" x14ac:dyDescent="0.25"/>
  <cols>
    <col min="1" max="1" width="2.140625" customWidth="1"/>
    <col min="2" max="2" width="15.7109375" style="1" customWidth="1"/>
    <col min="3" max="3" width="48.7109375" style="1" customWidth="1"/>
    <col min="4" max="4" width="11.42578125" style="1"/>
    <col min="5" max="5" width="8" style="1" customWidth="1"/>
    <col min="6" max="6" width="11.42578125" style="1" hidden="1" customWidth="1"/>
    <col min="7" max="7" width="20.42578125" style="1" hidden="1" customWidth="1"/>
    <col min="8" max="8" width="11.42578125" style="1" customWidth="1"/>
    <col min="9" max="9" width="16.7109375" style="1" customWidth="1"/>
    <col min="10" max="10" width="8.85546875" style="1" customWidth="1"/>
    <col min="25" max="27" width="11.42578125" customWidth="1"/>
    <col min="28" max="28" width="16.5703125" bestFit="1" customWidth="1"/>
  </cols>
  <sheetData>
    <row r="1" spans="2:11" x14ac:dyDescent="0.25">
      <c r="C1" s="499" t="s">
        <v>37</v>
      </c>
      <c r="D1" s="499"/>
      <c r="E1" s="499"/>
      <c r="F1" s="499"/>
      <c r="G1" s="499"/>
      <c r="H1" s="499"/>
    </row>
    <row r="2" spans="2:11" x14ac:dyDescent="0.25">
      <c r="C2" s="499" t="s">
        <v>38</v>
      </c>
      <c r="D2" s="499"/>
      <c r="E2" s="499"/>
      <c r="F2" s="499"/>
      <c r="G2" s="499"/>
      <c r="H2" s="499"/>
    </row>
    <row r="3" spans="2:11" x14ac:dyDescent="0.25">
      <c r="C3" s="499" t="s">
        <v>39</v>
      </c>
      <c r="D3" s="499"/>
      <c r="E3" s="499"/>
      <c r="F3" s="499"/>
      <c r="G3" s="499"/>
      <c r="H3" s="499"/>
    </row>
    <row r="4" spans="2:11" x14ac:dyDescent="0.25">
      <c r="C4" s="500" t="s">
        <v>40</v>
      </c>
      <c r="D4" s="500"/>
      <c r="E4" s="500"/>
      <c r="F4" s="500"/>
      <c r="G4" s="500"/>
      <c r="H4" s="500"/>
    </row>
    <row r="5" spans="2:11" x14ac:dyDescent="0.25">
      <c r="C5" s="385"/>
      <c r="D5" s="385"/>
      <c r="E5" s="385"/>
      <c r="F5" s="385"/>
      <c r="G5" s="385"/>
      <c r="H5" s="385"/>
    </row>
    <row r="6" spans="2:11" x14ac:dyDescent="0.25">
      <c r="B6" s="538" t="s">
        <v>28</v>
      </c>
      <c r="C6" s="539"/>
      <c r="D6" s="539"/>
      <c r="E6" s="539"/>
      <c r="F6" s="539"/>
      <c r="G6" s="539"/>
      <c r="H6" s="539"/>
      <c r="I6" s="539"/>
      <c r="J6" s="540"/>
    </row>
    <row r="8" spans="2:11" x14ac:dyDescent="0.25">
      <c r="B8" s="541" t="s">
        <v>817</v>
      </c>
      <c r="C8" s="541"/>
      <c r="D8" s="541"/>
      <c r="E8" s="541"/>
      <c r="F8" s="541"/>
      <c r="G8" s="541"/>
      <c r="H8" s="541"/>
      <c r="I8" s="541"/>
      <c r="J8" s="541"/>
    </row>
    <row r="9" spans="2:11" ht="15.75" thickBot="1" x14ac:dyDescent="0.3">
      <c r="B9" s="389"/>
      <c r="C9" s="389"/>
      <c r="D9" s="389"/>
      <c r="E9" s="389"/>
      <c r="F9" s="389"/>
      <c r="G9" s="389"/>
      <c r="H9" s="389"/>
      <c r="I9" s="389"/>
      <c r="J9" s="389"/>
    </row>
    <row r="10" spans="2:11" ht="31.5" customHeight="1" x14ac:dyDescent="0.25">
      <c r="B10" s="494" t="s">
        <v>27</v>
      </c>
      <c r="C10" s="495"/>
      <c r="D10" s="495"/>
      <c r="E10" s="495"/>
      <c r="F10" s="495"/>
      <c r="G10" s="495"/>
      <c r="H10" s="495"/>
      <c r="I10" s="495"/>
      <c r="J10" s="496"/>
    </row>
    <row r="11" spans="2:11" x14ac:dyDescent="0.25">
      <c r="B11" s="2" t="s">
        <v>35</v>
      </c>
      <c r="C11" s="3" t="s">
        <v>36</v>
      </c>
      <c r="D11" s="3"/>
      <c r="E11" s="4"/>
      <c r="F11" s="5"/>
      <c r="G11" s="6" t="s">
        <v>8</v>
      </c>
      <c r="H11" s="497">
        <v>42887</v>
      </c>
      <c r="I11" s="497"/>
      <c r="J11" s="7"/>
    </row>
    <row r="12" spans="2:11" x14ac:dyDescent="0.25">
      <c r="B12" s="2" t="s">
        <v>33</v>
      </c>
      <c r="C12" s="3" t="s">
        <v>29</v>
      </c>
      <c r="D12" s="8"/>
      <c r="E12" s="8"/>
      <c r="F12" s="3"/>
      <c r="G12" s="9" t="s">
        <v>32</v>
      </c>
      <c r="H12" s="4" t="s">
        <v>29</v>
      </c>
      <c r="I12" s="10"/>
      <c r="J12" s="11"/>
    </row>
    <row r="13" spans="2:11" x14ac:dyDescent="0.25">
      <c r="B13" s="2" t="s">
        <v>34</v>
      </c>
      <c r="C13" s="3" t="s">
        <v>29</v>
      </c>
      <c r="D13" s="8"/>
      <c r="E13" s="8"/>
      <c r="F13" s="3"/>
      <c r="G13" s="9" t="s">
        <v>30</v>
      </c>
      <c r="H13" s="4" t="s">
        <v>31</v>
      </c>
      <c r="I13" s="10"/>
      <c r="J13" s="11"/>
    </row>
    <row r="14" spans="2:11" ht="15.75" thickBot="1" x14ac:dyDescent="0.3">
      <c r="B14" s="12" t="s">
        <v>43</v>
      </c>
      <c r="C14" s="13" t="s">
        <v>44</v>
      </c>
      <c r="D14" s="14"/>
      <c r="E14" s="14"/>
      <c r="F14" s="13"/>
      <c r="G14" s="15" t="s">
        <v>41</v>
      </c>
      <c r="H14" s="16" t="s">
        <v>42</v>
      </c>
      <c r="I14" s="17"/>
      <c r="J14" s="18"/>
    </row>
    <row r="15" spans="2:11" x14ac:dyDescent="0.25">
      <c r="B15" s="19"/>
      <c r="C15" s="3"/>
      <c r="D15" s="8"/>
      <c r="E15" s="8"/>
      <c r="F15" s="3"/>
      <c r="G15" s="9"/>
      <c r="H15" s="4"/>
      <c r="I15" s="10"/>
      <c r="J15" s="20"/>
    </row>
    <row r="16" spans="2:11" x14ac:dyDescent="0.25">
      <c r="B16" s="47" t="s">
        <v>5</v>
      </c>
      <c r="C16" s="48" t="s">
        <v>0</v>
      </c>
      <c r="D16" s="49"/>
      <c r="E16" s="49"/>
      <c r="F16" s="49"/>
      <c r="G16" s="49"/>
      <c r="H16" s="50"/>
      <c r="I16" s="51" t="s">
        <v>6</v>
      </c>
      <c r="J16" s="51" t="s">
        <v>7</v>
      </c>
      <c r="K16" t="s">
        <v>552</v>
      </c>
    </row>
    <row r="17" spans="2:31" x14ac:dyDescent="0.25">
      <c r="B17" s="71">
        <v>4</v>
      </c>
      <c r="C17" s="72" t="s">
        <v>66</v>
      </c>
      <c r="D17" s="23"/>
      <c r="E17" s="23"/>
      <c r="F17" s="23"/>
      <c r="G17" s="23"/>
      <c r="H17" s="24"/>
      <c r="I17" s="25"/>
      <c r="J17" s="26"/>
    </row>
    <row r="18" spans="2:31" x14ac:dyDescent="0.25">
      <c r="B18" s="71">
        <f>+B57</f>
        <v>4.03</v>
      </c>
      <c r="C18" s="72" t="s">
        <v>222</v>
      </c>
      <c r="D18" s="23"/>
      <c r="E18" s="23"/>
      <c r="F18" s="23"/>
      <c r="G18" s="23"/>
      <c r="H18" s="24"/>
      <c r="I18" s="25"/>
      <c r="J18" s="26"/>
    </row>
    <row r="19" spans="2:31" x14ac:dyDescent="0.25">
      <c r="B19" s="73" t="str">
        <f>+B58</f>
        <v>04.03.01</v>
      </c>
      <c r="C19" s="74" t="s">
        <v>225</v>
      </c>
      <c r="D19" s="23"/>
      <c r="E19" s="23"/>
      <c r="F19" s="23"/>
      <c r="G19" s="23"/>
      <c r="H19" s="24"/>
      <c r="I19" s="25"/>
      <c r="J19" s="26"/>
      <c r="Q19">
        <v>14.67</v>
      </c>
      <c r="R19">
        <v>40</v>
      </c>
    </row>
    <row r="20" spans="2:31" x14ac:dyDescent="0.25">
      <c r="B20" s="25" t="str">
        <f>+B59</f>
        <v>04.03.01.01</v>
      </c>
      <c r="C20" s="28" t="s">
        <v>359</v>
      </c>
      <c r="D20" s="23"/>
      <c r="E20" s="23"/>
      <c r="F20" s="23"/>
      <c r="G20" s="23"/>
      <c r="H20" s="24"/>
      <c r="I20" s="25">
        <f ca="1">SUMIF($B$57:$J$823,B20,$I$57:$I$823)</f>
        <v>40.1</v>
      </c>
      <c r="J20" s="26" t="str">
        <f>VLOOKUP(B20,$B$57:$J$823,9)</f>
        <v>ml</v>
      </c>
      <c r="K20">
        <v>28.099999999999998</v>
      </c>
      <c r="L20" s="52">
        <f ca="1">+I20-K20</f>
        <v>12.000000000000004</v>
      </c>
      <c r="M20">
        <v>28.1</v>
      </c>
      <c r="N20">
        <v>0</v>
      </c>
      <c r="R20">
        <v>50</v>
      </c>
    </row>
    <row r="21" spans="2:31" x14ac:dyDescent="0.25">
      <c r="B21" s="25" t="str">
        <f>+B61</f>
        <v>04.03.01.02</v>
      </c>
      <c r="C21" s="28" t="s">
        <v>235</v>
      </c>
      <c r="D21" s="23"/>
      <c r="E21" s="23"/>
      <c r="F21" s="23"/>
      <c r="G21" s="23"/>
      <c r="H21" s="24"/>
      <c r="I21" s="25">
        <f ca="1">SUMIF($B$57:$J$823,B21,$I$57:$I$823)</f>
        <v>552.29999999999995</v>
      </c>
      <c r="J21" s="26" t="str">
        <f>VLOOKUP(B21,$B$57:$J$823,9)</f>
        <v>ml</v>
      </c>
      <c r="K21">
        <v>416.9</v>
      </c>
      <c r="L21" s="52">
        <f ca="1">+I21-K21</f>
        <v>135.39999999999998</v>
      </c>
      <c r="M21">
        <v>342.6</v>
      </c>
      <c r="N21">
        <v>74.299999999999955</v>
      </c>
      <c r="Q21">
        <v>25.67</v>
      </c>
      <c r="R21">
        <v>70</v>
      </c>
    </row>
    <row r="22" spans="2:31" x14ac:dyDescent="0.25">
      <c r="B22" s="25" t="str">
        <f>+B65</f>
        <v>04.03.01.03</v>
      </c>
      <c r="C22" s="28" t="s">
        <v>236</v>
      </c>
      <c r="D22" s="23"/>
      <c r="E22" s="23"/>
      <c r="F22" s="23"/>
      <c r="G22" s="23"/>
      <c r="H22" s="24"/>
      <c r="I22" s="25">
        <f ca="1">SUMIF($B$57:$J$823,B22,$I$57:$I$823)</f>
        <v>137.25</v>
      </c>
      <c r="J22" s="26" t="str">
        <f>VLOOKUP(B22,$B$57:$J$823,9)</f>
        <v>ml</v>
      </c>
      <c r="K22">
        <v>103.6</v>
      </c>
      <c r="L22" s="52">
        <f ca="1">+I22-K22</f>
        <v>33.650000000000006</v>
      </c>
      <c r="M22">
        <v>0</v>
      </c>
      <c r="N22">
        <v>103.6</v>
      </c>
    </row>
    <row r="23" spans="2:31" x14ac:dyDescent="0.25">
      <c r="B23" s="25" t="str">
        <f>+B67</f>
        <v>04.03.01.05</v>
      </c>
      <c r="C23" s="28" t="s">
        <v>347</v>
      </c>
      <c r="D23" s="23"/>
      <c r="E23" s="23"/>
      <c r="F23" s="23"/>
      <c r="G23" s="23"/>
      <c r="H23" s="24"/>
      <c r="I23" s="112">
        <f ca="1">SUMIF($B$57:$J$823,B23,$I$57:$I$823)</f>
        <v>267.5</v>
      </c>
      <c r="J23" s="26" t="s">
        <v>345</v>
      </c>
      <c r="K23">
        <v>118</v>
      </c>
      <c r="L23" s="52">
        <f ca="1">+I23-K23</f>
        <v>149.5</v>
      </c>
      <c r="M23" s="1">
        <v>79.5</v>
      </c>
      <c r="N23">
        <v>38.5</v>
      </c>
      <c r="Q23">
        <f>+(R20-R19)/(R21-R19)*(Q21-Q19)+Q19</f>
        <v>18.336666666666666</v>
      </c>
    </row>
    <row r="24" spans="2:31" x14ac:dyDescent="0.25">
      <c r="B24" s="25" t="str">
        <f>+B69</f>
        <v>04.03.01.07</v>
      </c>
      <c r="C24" s="28" t="s">
        <v>271</v>
      </c>
      <c r="D24" s="23"/>
      <c r="E24" s="23"/>
      <c r="F24" s="23"/>
      <c r="G24" s="23"/>
      <c r="H24" s="24"/>
      <c r="I24" s="25">
        <f ca="1">SUMIF($B$57:$J$823,B24,$I$57:$I$823)</f>
        <v>63</v>
      </c>
      <c r="J24" s="26" t="str">
        <f>VLOOKUP(B24,$B$57:$J$823,9)</f>
        <v>und</v>
      </c>
      <c r="K24">
        <v>45</v>
      </c>
      <c r="L24" s="52">
        <f ca="1">+I24-K24</f>
        <v>18</v>
      </c>
      <c r="M24">
        <v>41</v>
      </c>
      <c r="N24">
        <v>4</v>
      </c>
    </row>
    <row r="25" spans="2:31" x14ac:dyDescent="0.25">
      <c r="I25" s="430"/>
    </row>
    <row r="26" spans="2:31" x14ac:dyDescent="0.25">
      <c r="B26" s="73" t="str">
        <f>+B73</f>
        <v>04.03.02</v>
      </c>
      <c r="C26" s="74" t="s">
        <v>224</v>
      </c>
      <c r="D26" s="23"/>
      <c r="E26" s="23"/>
      <c r="F26" s="23"/>
      <c r="G26" s="23"/>
      <c r="H26" s="24"/>
      <c r="I26" s="25"/>
      <c r="J26" s="26"/>
      <c r="L26" s="52"/>
    </row>
    <row r="27" spans="2:31" x14ac:dyDescent="0.25">
      <c r="B27" s="25" t="str">
        <f>+B74</f>
        <v>04.03.02.03</v>
      </c>
      <c r="C27" s="43" t="s">
        <v>239</v>
      </c>
      <c r="D27" s="23"/>
      <c r="E27" s="23"/>
      <c r="F27" s="23"/>
      <c r="G27" s="23"/>
      <c r="H27" s="24"/>
      <c r="I27" s="25">
        <f ca="1">SUMIF($B$57:$J$823,B27,$I$57:$I$823)</f>
        <v>43.85</v>
      </c>
      <c r="J27" s="26" t="s">
        <v>345</v>
      </c>
      <c r="K27">
        <v>23.4</v>
      </c>
      <c r="L27" s="52">
        <f ca="1">+I27-K27</f>
        <v>20.450000000000003</v>
      </c>
      <c r="M27">
        <v>20</v>
      </c>
      <c r="N27">
        <v>3.3999999999999986</v>
      </c>
    </row>
    <row r="28" spans="2:31" x14ac:dyDescent="0.25">
      <c r="B28" s="25" t="str">
        <f>+B76</f>
        <v>04.03.02.06</v>
      </c>
      <c r="C28" s="28" t="s">
        <v>246</v>
      </c>
      <c r="D28" s="23"/>
      <c r="E28" s="23"/>
      <c r="F28" s="23"/>
      <c r="G28" s="23"/>
      <c r="H28" s="24"/>
      <c r="I28" s="25">
        <f ca="1">SUMIF($B$57:$J$823,B28,$I$57:$I$823)</f>
        <v>83.9</v>
      </c>
      <c r="J28" s="26" t="s">
        <v>345</v>
      </c>
      <c r="K28">
        <v>23.4</v>
      </c>
      <c r="L28" s="52">
        <f ca="1">+I28-K28</f>
        <v>60.500000000000007</v>
      </c>
      <c r="M28">
        <v>0</v>
      </c>
      <c r="N28">
        <v>23.4</v>
      </c>
      <c r="U28" t="s">
        <v>651</v>
      </c>
      <c r="V28" t="s">
        <v>652</v>
      </c>
      <c r="W28" t="s">
        <v>653</v>
      </c>
    </row>
    <row r="29" spans="2:31" x14ac:dyDescent="0.25">
      <c r="B29" s="25" t="str">
        <f>+B78</f>
        <v>04.03.02.11</v>
      </c>
      <c r="C29" s="28" t="s">
        <v>251</v>
      </c>
      <c r="D29" s="23"/>
      <c r="E29" s="23"/>
      <c r="F29" s="23"/>
      <c r="G29" s="23"/>
      <c r="H29" s="24"/>
      <c r="I29" s="25">
        <f ca="1">SUMIF($B$57:$J$823,B29,$I$57:$I$823)</f>
        <v>24.15</v>
      </c>
      <c r="J29" s="26" t="str">
        <f>VLOOKUP(B29,$B$57:$J$823,9)</f>
        <v>ml</v>
      </c>
      <c r="K29">
        <v>14.5</v>
      </c>
      <c r="L29" s="52">
        <f ca="1">+I29-K29</f>
        <v>9.6499999999999986</v>
      </c>
      <c r="M29">
        <v>0</v>
      </c>
      <c r="N29">
        <v>14.5</v>
      </c>
      <c r="O29" s="52"/>
      <c r="Q29" s="52">
        <f ca="1">+I29</f>
        <v>24.15</v>
      </c>
      <c r="R29">
        <v>12</v>
      </c>
      <c r="S29" t="e">
        <f ca="1">+Q29*R29*#REF!</f>
        <v>#REF!</v>
      </c>
    </row>
    <row r="30" spans="2:31" x14ac:dyDescent="0.25">
      <c r="B30" s="25"/>
      <c r="C30" s="28"/>
      <c r="D30" s="23"/>
      <c r="E30" s="23"/>
      <c r="F30" s="23"/>
      <c r="G30" s="23"/>
      <c r="H30" s="24"/>
      <c r="I30" s="25"/>
      <c r="J30" s="26"/>
      <c r="L30" s="52"/>
    </row>
    <row r="31" spans="2:31" x14ac:dyDescent="0.25">
      <c r="B31" s="73" t="str">
        <f>+B81</f>
        <v>04.03.03</v>
      </c>
      <c r="C31" s="74" t="s">
        <v>223</v>
      </c>
      <c r="D31" s="23"/>
      <c r="E31" s="23"/>
      <c r="F31" s="23"/>
      <c r="G31" s="23"/>
      <c r="H31" s="24"/>
      <c r="I31" s="25"/>
      <c r="J31" s="26"/>
      <c r="L31" s="52"/>
      <c r="Z31">
        <v>2.36</v>
      </c>
      <c r="AA31">
        <v>2.1</v>
      </c>
    </row>
    <row r="32" spans="2:31" x14ac:dyDescent="0.25">
      <c r="B32" s="25" t="str">
        <f>+B82</f>
        <v>04.03.03.02</v>
      </c>
      <c r="C32" s="28" t="s">
        <v>272</v>
      </c>
      <c r="D32" s="23"/>
      <c r="E32" s="23"/>
      <c r="F32" s="23"/>
      <c r="G32" s="23"/>
      <c r="H32" s="24"/>
      <c r="I32" s="25">
        <f ca="1">SUMIF($B$57:$J$823,B32,$I$57:$I$823)</f>
        <v>224</v>
      </c>
      <c r="J32" s="26">
        <f>VLOOKUP(B32,$B$57:$J$823,9)</f>
        <v>0</v>
      </c>
      <c r="K32">
        <v>54</v>
      </c>
      <c r="L32" s="52">
        <f ca="1">+I32-K32</f>
        <v>170</v>
      </c>
      <c r="M32">
        <v>0</v>
      </c>
      <c r="N32">
        <v>54</v>
      </c>
      <c r="O32" s="52"/>
      <c r="Z32">
        <v>1.45</v>
      </c>
      <c r="AA32">
        <v>1.51</v>
      </c>
      <c r="AC32">
        <v>2.41</v>
      </c>
      <c r="AD32">
        <f>+AC32+0.56</f>
        <v>2.97</v>
      </c>
      <c r="AE32">
        <f>+AC32+0.4</f>
        <v>2.81</v>
      </c>
    </row>
    <row r="33" spans="2:34" x14ac:dyDescent="0.25">
      <c r="B33" s="32" t="str">
        <f>+B86</f>
        <v>04.03.03.04</v>
      </c>
      <c r="C33" s="33" t="s">
        <v>354</v>
      </c>
      <c r="D33" s="431"/>
      <c r="E33" s="431"/>
      <c r="F33" s="431"/>
      <c r="G33" s="431"/>
      <c r="H33" s="432"/>
      <c r="I33" s="32">
        <f ca="1">SUMIF($B$57:$J$823,B33,$I$57:$I$823)</f>
        <v>82</v>
      </c>
      <c r="J33" s="36" t="str">
        <f>VLOOKUP(B33,$B$57:$J$823,9)</f>
        <v>und</v>
      </c>
      <c r="K33">
        <v>35</v>
      </c>
      <c r="L33" s="52">
        <f ca="1">+I33-K33</f>
        <v>47</v>
      </c>
      <c r="M33">
        <v>0</v>
      </c>
      <c r="N33">
        <v>35</v>
      </c>
      <c r="O33" s="52"/>
      <c r="Z33">
        <v>0.27</v>
      </c>
      <c r="AA33">
        <v>0.4</v>
      </c>
      <c r="AC33">
        <v>1.43</v>
      </c>
      <c r="AD33">
        <f>+AC33+0.56</f>
        <v>1.99</v>
      </c>
      <c r="AE33">
        <f t="shared" ref="AE33" si="0">+AC33+0.4</f>
        <v>1.83</v>
      </c>
    </row>
    <row r="34" spans="2:34" x14ac:dyDescent="0.25">
      <c r="D34" s="23"/>
      <c r="E34" s="23"/>
      <c r="F34" s="23"/>
      <c r="G34" s="23"/>
      <c r="H34" s="23"/>
      <c r="I34" s="23"/>
      <c r="J34" s="67"/>
    </row>
    <row r="35" spans="2:34" x14ac:dyDescent="0.25">
      <c r="C35" s="23"/>
      <c r="D35" s="23"/>
      <c r="E35" s="23"/>
      <c r="F35" s="23"/>
      <c r="G35" s="23"/>
      <c r="H35" s="23"/>
      <c r="I35" s="23"/>
      <c r="J35" s="67"/>
      <c r="W35" t="s">
        <v>805</v>
      </c>
      <c r="Y35">
        <v>1</v>
      </c>
      <c r="Z35">
        <f>1.3+0.2+2.8+1.55</f>
        <v>5.85</v>
      </c>
      <c r="AA35">
        <v>1.3</v>
      </c>
      <c r="AB35">
        <v>0.3</v>
      </c>
      <c r="AC35">
        <f t="shared" ref="AC35" si="1">+PRODUCT(Y35:AB35)</f>
        <v>2.2814999999999999</v>
      </c>
    </row>
    <row r="36" spans="2:34" x14ac:dyDescent="0.25">
      <c r="D36" s="23"/>
      <c r="E36" s="23"/>
      <c r="F36" s="23"/>
      <c r="G36" s="23"/>
      <c r="H36" s="23"/>
      <c r="I36" s="23"/>
      <c r="J36" s="67"/>
      <c r="AC36" s="376">
        <f>+SUM(AC34:AC35)</f>
        <v>2.2814999999999999</v>
      </c>
      <c r="AD36" s="376" t="s">
        <v>804</v>
      </c>
      <c r="AE36" s="374">
        <f>+AC36*9.5</f>
        <v>21.674249999999997</v>
      </c>
      <c r="AF36" s="374" t="s">
        <v>815</v>
      </c>
    </row>
    <row r="37" spans="2:34" s="1" customFormat="1" ht="12.75" x14ac:dyDescent="0.2">
      <c r="B37" s="37"/>
      <c r="C37" s="38"/>
      <c r="D37" s="38"/>
      <c r="E37" s="38"/>
      <c r="F37" s="38"/>
      <c r="G37" s="38"/>
      <c r="H37" s="38"/>
      <c r="I37" s="38"/>
      <c r="J37" s="38"/>
    </row>
    <row r="38" spans="2:34" s="1" customFormat="1" x14ac:dyDescent="0.25">
      <c r="B38" s="37"/>
      <c r="C38" s="38"/>
      <c r="D38" s="38"/>
      <c r="E38" s="38"/>
      <c r="F38" s="38"/>
      <c r="G38" s="38"/>
      <c r="H38" s="38"/>
      <c r="I38" s="38"/>
      <c r="J38" s="38"/>
      <c r="W38" s="1" t="s">
        <v>816</v>
      </c>
      <c r="Y38" s="1">
        <v>1</v>
      </c>
      <c r="Z38" s="1">
        <v>5.9</v>
      </c>
      <c r="AA38" s="1">
        <v>0.5</v>
      </c>
      <c r="AB38" s="1">
        <v>0.2</v>
      </c>
      <c r="AC38">
        <f t="shared" ref="AC38" si="2">+PRODUCT(Y38:AB38)</f>
        <v>0.59000000000000008</v>
      </c>
    </row>
    <row r="39" spans="2:34" s="1" customFormat="1" x14ac:dyDescent="0.25">
      <c r="B39" s="37"/>
      <c r="C39" s="38"/>
      <c r="D39" s="38"/>
      <c r="E39" s="38"/>
      <c r="F39" s="38"/>
      <c r="G39" s="38"/>
      <c r="H39" s="38"/>
      <c r="I39" s="38"/>
      <c r="J39" s="38"/>
      <c r="AC39" s="1">
        <f>+SUM(AC36:AC38)</f>
        <v>2.8715000000000002</v>
      </c>
      <c r="AE39" s="374">
        <f>+AC39*9.5</f>
        <v>27.279250000000001</v>
      </c>
    </row>
    <row r="40" spans="2:34" s="1" customFormat="1" ht="12.75" x14ac:dyDescent="0.2">
      <c r="B40" s="37"/>
      <c r="C40" s="38"/>
      <c r="D40" s="38"/>
      <c r="E40" s="38"/>
      <c r="F40" s="38"/>
      <c r="G40" s="38"/>
      <c r="H40" s="38"/>
      <c r="I40" s="38"/>
      <c r="J40" s="38"/>
    </row>
    <row r="41" spans="2:34" s="1" customFormat="1" ht="12.75" x14ac:dyDescent="0.2">
      <c r="B41" s="37"/>
      <c r="C41" s="38"/>
      <c r="D41" s="38"/>
      <c r="E41" s="38"/>
      <c r="F41" s="38"/>
      <c r="G41" s="38"/>
      <c r="H41" s="38"/>
      <c r="I41" s="38"/>
      <c r="J41" s="38"/>
      <c r="Y41" s="1" t="s">
        <v>808</v>
      </c>
      <c r="Z41" s="1" t="s">
        <v>809</v>
      </c>
      <c r="AA41" s="1" t="s">
        <v>810</v>
      </c>
      <c r="AB41" s="1" t="s">
        <v>811</v>
      </c>
      <c r="AD41" s="1" t="s">
        <v>811</v>
      </c>
      <c r="AE41" s="1" t="s">
        <v>812</v>
      </c>
      <c r="AF41" s="1" t="s">
        <v>813</v>
      </c>
      <c r="AG41" s="1" t="s">
        <v>814</v>
      </c>
      <c r="AH41" s="1">
        <v>5.7</v>
      </c>
    </row>
    <row r="42" spans="2:34" s="1" customFormat="1" ht="12.75" x14ac:dyDescent="0.2">
      <c r="C42" s="499" t="s">
        <v>37</v>
      </c>
      <c r="D42" s="499"/>
      <c r="E42" s="499"/>
      <c r="F42" s="499"/>
      <c r="G42" s="499"/>
      <c r="H42" s="499"/>
      <c r="Y42" s="395">
        <f>0.3*1</f>
        <v>0.3</v>
      </c>
      <c r="Z42" s="1">
        <f>0.4*1</f>
        <v>0.4</v>
      </c>
      <c r="AA42" s="1">
        <f>0.7*1</f>
        <v>0.7</v>
      </c>
      <c r="AB42" s="1">
        <f>+AE42</f>
        <v>0.35</v>
      </c>
      <c r="AC42" s="1">
        <f>+AG42</f>
        <v>7.9799999999999995</v>
      </c>
      <c r="AD42" s="1">
        <f>0.3*0.3</f>
        <v>0.09</v>
      </c>
      <c r="AE42" s="1">
        <f>0.5*0.7</f>
        <v>0.35</v>
      </c>
      <c r="AF42" s="1">
        <f>0.7*1.1</f>
        <v>0.77</v>
      </c>
      <c r="AG42" s="1">
        <f>1.4*5.7</f>
        <v>7.9799999999999995</v>
      </c>
    </row>
    <row r="43" spans="2:34" s="1" customFormat="1" ht="12.75" x14ac:dyDescent="0.2">
      <c r="C43" s="499" t="s">
        <v>38</v>
      </c>
      <c r="D43" s="499"/>
      <c r="E43" s="499"/>
      <c r="F43" s="499"/>
      <c r="G43" s="499"/>
      <c r="H43" s="499"/>
    </row>
    <row r="44" spans="2:34" s="1" customFormat="1" x14ac:dyDescent="0.25">
      <c r="C44" s="499" t="s">
        <v>39</v>
      </c>
      <c r="D44" s="499"/>
      <c r="E44" s="499"/>
      <c r="F44" s="499"/>
      <c r="G44" s="499"/>
      <c r="H44" s="499"/>
      <c r="X44" s="1" t="s">
        <v>756</v>
      </c>
      <c r="Y44" s="1">
        <v>0.5</v>
      </c>
      <c r="Z44" s="1">
        <v>0.5</v>
      </c>
      <c r="AA44" s="1">
        <v>0.5</v>
      </c>
      <c r="AB44">
        <f>+(($AB$42-$Y$42)/($Z$42-$Y$42))*(Z44-Y44)+Y44</f>
        <v>0.5</v>
      </c>
      <c r="AC44">
        <f>+(($AC$42-$AA$42)/($AB$42-$AA$42))*(AB44-AA44)+AA44</f>
        <v>0.5</v>
      </c>
      <c r="AD44" s="1">
        <v>0.5</v>
      </c>
      <c r="AE44" s="1">
        <v>0.5</v>
      </c>
      <c r="AF44" s="1">
        <v>0.5</v>
      </c>
      <c r="AG44" s="1">
        <v>0.5</v>
      </c>
    </row>
    <row r="45" spans="2:34" s="1" customFormat="1" x14ac:dyDescent="0.25">
      <c r="C45" s="500" t="s">
        <v>40</v>
      </c>
      <c r="D45" s="500"/>
      <c r="E45" s="500"/>
      <c r="F45" s="500"/>
      <c r="G45" s="500"/>
      <c r="H45" s="500"/>
      <c r="X45" s="1" t="s">
        <v>757</v>
      </c>
      <c r="Y45" s="1">
        <v>10</v>
      </c>
      <c r="Z45" s="1">
        <v>14.67</v>
      </c>
      <c r="AA45" s="1">
        <v>25.67</v>
      </c>
      <c r="AB45">
        <f t="shared" ref="AB45:AB46" si="3">+(($AB$42-$Y$42)/($Z$42-$Y$42))*(Z45-Y45)+Y45</f>
        <v>12.334999999999999</v>
      </c>
      <c r="AC45">
        <f>+(($AC$42-$Z$42)/($AA$42-$Z$42))*(AA45-Z45)+Z45</f>
        <v>292.60333333333341</v>
      </c>
      <c r="AD45" s="1">
        <v>0.19300000000000317</v>
      </c>
      <c r="AE45" s="1">
        <v>12.334999999999999</v>
      </c>
      <c r="AF45" s="1">
        <v>28.236666666666672</v>
      </c>
      <c r="AG45" s="1">
        <v>292.60333333333341</v>
      </c>
    </row>
    <row r="46" spans="2:34" s="1" customFormat="1" x14ac:dyDescent="0.25">
      <c r="C46" s="385"/>
      <c r="D46" s="385"/>
      <c r="E46" s="385"/>
      <c r="F46" s="385"/>
      <c r="G46" s="385"/>
      <c r="H46" s="385"/>
      <c r="X46" s="1" t="s">
        <v>807</v>
      </c>
      <c r="Y46" s="1">
        <v>2.1</v>
      </c>
      <c r="Z46" s="1">
        <v>2.1</v>
      </c>
      <c r="AA46" s="1">
        <v>2.1</v>
      </c>
      <c r="AB46">
        <f t="shared" si="3"/>
        <v>2.1</v>
      </c>
      <c r="AC46">
        <f>+(($AC$42-$AA$42)/($AB$42-$AA$42))*(AB46-AA46)+AA46</f>
        <v>2.1</v>
      </c>
      <c r="AD46" s="1">
        <v>2.1</v>
      </c>
      <c r="AE46" s="1">
        <v>2.1</v>
      </c>
      <c r="AF46" s="1">
        <v>2.1</v>
      </c>
      <c r="AG46" s="1">
        <v>2.1</v>
      </c>
    </row>
    <row r="47" spans="2:34" s="1" customFormat="1" ht="15.75" x14ac:dyDescent="0.2">
      <c r="B47" s="501" t="s">
        <v>65</v>
      </c>
      <c r="C47" s="502"/>
      <c r="D47" s="502"/>
      <c r="E47" s="502"/>
      <c r="F47" s="502"/>
      <c r="G47" s="502"/>
      <c r="H47" s="502"/>
      <c r="I47" s="502"/>
      <c r="J47" s="503"/>
    </row>
    <row r="48" spans="2:34" s="1" customFormat="1" ht="20.25" x14ac:dyDescent="0.2">
      <c r="B48" s="543" t="s">
        <v>179</v>
      </c>
      <c r="C48" s="544"/>
      <c r="D48" s="544"/>
      <c r="E48" s="544"/>
      <c r="F48" s="544"/>
      <c r="G48" s="544"/>
      <c r="H48" s="544"/>
      <c r="I48" s="544"/>
      <c r="J48" s="545"/>
    </row>
    <row r="49" spans="2:11" s="1" customFormat="1" ht="13.5" thickBot="1" x14ac:dyDescent="0.25">
      <c r="B49" s="389"/>
      <c r="C49" s="389"/>
      <c r="D49" s="389"/>
      <c r="E49" s="389"/>
      <c r="F49" s="389"/>
      <c r="G49" s="389"/>
      <c r="H49" s="389"/>
      <c r="I49" s="389"/>
      <c r="J49" s="389"/>
    </row>
    <row r="50" spans="2:11" s="1" customFormat="1" ht="24.75" customHeight="1" x14ac:dyDescent="0.2">
      <c r="B50" s="494" t="s">
        <v>27</v>
      </c>
      <c r="C50" s="495"/>
      <c r="D50" s="495"/>
      <c r="E50" s="495"/>
      <c r="F50" s="495"/>
      <c r="G50" s="495"/>
      <c r="H50" s="495"/>
      <c r="I50" s="495"/>
      <c r="J50" s="496"/>
    </row>
    <row r="51" spans="2:11" s="1" customFormat="1" ht="12.75" x14ac:dyDescent="0.2">
      <c r="B51" s="2" t="s">
        <v>35</v>
      </c>
      <c r="C51" s="3" t="s">
        <v>36</v>
      </c>
      <c r="D51" s="3"/>
      <c r="E51" s="4"/>
      <c r="F51" s="5"/>
      <c r="G51" s="6" t="s">
        <v>8</v>
      </c>
      <c r="H51" s="497">
        <v>42879</v>
      </c>
      <c r="I51" s="497"/>
      <c r="J51" s="7"/>
    </row>
    <row r="52" spans="2:11" s="1" customFormat="1" ht="12.75" x14ac:dyDescent="0.2">
      <c r="B52" s="2" t="s">
        <v>33</v>
      </c>
      <c r="C52" s="3" t="s">
        <v>29</v>
      </c>
      <c r="D52" s="8"/>
      <c r="E52" s="8"/>
      <c r="F52" s="3"/>
      <c r="G52" s="9" t="s">
        <v>32</v>
      </c>
      <c r="H52" s="4" t="s">
        <v>29</v>
      </c>
      <c r="I52" s="10"/>
      <c r="J52" s="11"/>
    </row>
    <row r="53" spans="2:11" s="1" customFormat="1" ht="12.75" x14ac:dyDescent="0.2">
      <c r="B53" s="2" t="s">
        <v>34</v>
      </c>
      <c r="C53" s="3" t="s">
        <v>29</v>
      </c>
      <c r="D53" s="8"/>
      <c r="E53" s="8"/>
      <c r="F53" s="3"/>
      <c r="G53" s="9" t="s">
        <v>30</v>
      </c>
      <c r="H53" s="4" t="s">
        <v>31</v>
      </c>
      <c r="I53" s="10"/>
      <c r="J53" s="11"/>
    </row>
    <row r="54" spans="2:11" s="1" customFormat="1" ht="13.5" thickBot="1" x14ac:dyDescent="0.25">
      <c r="B54" s="12" t="s">
        <v>43</v>
      </c>
      <c r="C54" s="13" t="s">
        <v>44</v>
      </c>
      <c r="D54" s="14"/>
      <c r="E54" s="14"/>
      <c r="F54" s="13"/>
      <c r="G54" s="15" t="s">
        <v>41</v>
      </c>
      <c r="H54" s="16" t="s">
        <v>42</v>
      </c>
      <c r="I54" s="17"/>
      <c r="J54" s="18"/>
    </row>
    <row r="55" spans="2:11" s="1" customFormat="1" ht="12.75" x14ac:dyDescent="0.2">
      <c r="B55" s="389"/>
      <c r="C55" s="389"/>
      <c r="D55" s="389"/>
      <c r="E55" s="389"/>
      <c r="F55" s="389"/>
      <c r="G55" s="389"/>
      <c r="H55" s="389"/>
      <c r="I55" s="389"/>
      <c r="J55" s="389"/>
    </row>
    <row r="56" spans="2:11" s="1" customFormat="1" ht="12.75" x14ac:dyDescent="0.2">
      <c r="B56" s="21" t="s">
        <v>5</v>
      </c>
      <c r="C56" s="22" t="s">
        <v>0</v>
      </c>
      <c r="D56" s="22" t="s">
        <v>9</v>
      </c>
      <c r="E56" s="22" t="s">
        <v>10</v>
      </c>
      <c r="F56" s="22" t="s">
        <v>1</v>
      </c>
      <c r="G56" s="22" t="s">
        <v>2</v>
      </c>
      <c r="H56" s="22" t="s">
        <v>11</v>
      </c>
      <c r="I56" s="22" t="s">
        <v>6</v>
      </c>
      <c r="J56" s="22" t="s">
        <v>7</v>
      </c>
    </row>
    <row r="57" spans="2:11" s="1" customFormat="1" ht="12.75" x14ac:dyDescent="0.2">
      <c r="B57" s="55">
        <v>4.03</v>
      </c>
      <c r="C57" s="56" t="s">
        <v>222</v>
      </c>
      <c r="D57" s="60"/>
      <c r="E57" s="40"/>
      <c r="F57" s="40"/>
      <c r="G57" s="40"/>
      <c r="H57" s="40"/>
      <c r="I57" s="40"/>
      <c r="J57" s="41"/>
    </row>
    <row r="58" spans="2:11" s="1" customFormat="1" ht="14.25" customHeight="1" x14ac:dyDescent="0.2">
      <c r="B58" s="57" t="s">
        <v>14</v>
      </c>
      <c r="C58" s="58" t="s">
        <v>225</v>
      </c>
      <c r="D58" s="60"/>
      <c r="E58" s="40"/>
      <c r="F58" s="40"/>
      <c r="G58" s="40"/>
      <c r="H58" s="40"/>
      <c r="I58" s="40"/>
      <c r="J58" s="41"/>
    </row>
    <row r="59" spans="2:11" s="1" customFormat="1" ht="12.75" x14ac:dyDescent="0.2">
      <c r="B59" s="43" t="s">
        <v>15</v>
      </c>
      <c r="C59" s="43" t="s">
        <v>359</v>
      </c>
      <c r="D59" s="60"/>
      <c r="E59" s="40"/>
      <c r="F59" s="40"/>
      <c r="G59" s="40"/>
      <c r="H59" s="40"/>
      <c r="I59" s="44">
        <f>SUM(H60:H60)</f>
        <v>0</v>
      </c>
      <c r="J59" s="45" t="s">
        <v>345</v>
      </c>
    </row>
    <row r="60" spans="2:11" s="1" customFormat="1" ht="12.75" x14ac:dyDescent="0.2">
      <c r="B60" s="43"/>
      <c r="C60" s="39"/>
      <c r="D60" s="60"/>
      <c r="E60" s="40"/>
      <c r="F60" s="40"/>
      <c r="G60" s="40"/>
      <c r="H60" s="40">
        <f>IF(AND(F60=0,G60=0),D60*E60,IF(AND(E60=0,G60=0),D60*F60,IF(AND(E60=0,F60=0),D60*G60,IF(AND(E60=0),D60*F60*G60,IF(AND(F60=0),D60*E60*G60,IF(AND(G60=0),D60*E60*F60,D60*E60*F60*G60))))))</f>
        <v>0</v>
      </c>
      <c r="I60" s="40"/>
      <c r="J60" s="41"/>
    </row>
    <row r="61" spans="2:11" s="1" customFormat="1" ht="12.75" x14ac:dyDescent="0.2">
      <c r="B61" s="43" t="s">
        <v>232</v>
      </c>
      <c r="C61" s="43" t="s">
        <v>235</v>
      </c>
      <c r="D61" s="60"/>
      <c r="E61" s="40"/>
      <c r="F61" s="40"/>
      <c r="G61" s="40"/>
      <c r="H61" s="40"/>
      <c r="I61" s="44">
        <f>SUM(H62:H63)</f>
        <v>26.799999999999997</v>
      </c>
      <c r="J61" s="45" t="s">
        <v>345</v>
      </c>
    </row>
    <row r="62" spans="2:11" s="1" customFormat="1" ht="12.75" x14ac:dyDescent="0.2">
      <c r="B62" s="57"/>
      <c r="C62" s="39" t="s">
        <v>378</v>
      </c>
      <c r="D62" s="40">
        <v>2</v>
      </c>
      <c r="E62" s="40">
        <v>10.6</v>
      </c>
      <c r="F62" s="40"/>
      <c r="G62" s="40"/>
      <c r="H62" s="40">
        <f>IF(AND(F62=0,G62=0),D62*E62,IF(AND(E62=0,G62=0),D62*F62,IF(AND(E62=0,F62=0),D62*G62,IF(AND(E62=0),D62*F62*G62,IF(AND(F62=0),D62*E62*G62,IF(AND(G62=0),D62*E62*F62,D62*E62*F62*G62))))))</f>
        <v>21.2</v>
      </c>
      <c r="I62" s="40"/>
      <c r="J62" s="41"/>
    </row>
    <row r="63" spans="2:11" s="1" customFormat="1" ht="12.75" x14ac:dyDescent="0.2">
      <c r="B63" s="57"/>
      <c r="C63" s="39" t="s">
        <v>379</v>
      </c>
      <c r="D63" s="40">
        <v>1</v>
      </c>
      <c r="E63" s="40">
        <v>5.6</v>
      </c>
      <c r="F63" s="40"/>
      <c r="G63" s="40"/>
      <c r="H63" s="40">
        <f>IF(AND(F63=0,G63=0),D63*E63,IF(AND(E63=0,G63=0),D63*F63,IF(AND(E63=0,F63=0),D63*G63,IF(AND(E63=0),D63*F63*G63,IF(AND(F63=0),D63*E63*G63,IF(AND(G63=0),D63*E63*F63,D63*E63*F63*G63))))))</f>
        <v>5.6</v>
      </c>
      <c r="I63" s="40"/>
      <c r="J63" s="41"/>
    </row>
    <row r="64" spans="2:11" s="1" customFormat="1" ht="12.75" x14ac:dyDescent="0.2">
      <c r="B64" s="57"/>
      <c r="C64" s="39"/>
      <c r="D64" s="60"/>
      <c r="E64" s="40"/>
      <c r="F64" s="40"/>
      <c r="G64" s="40"/>
      <c r="H64" s="40"/>
      <c r="I64" s="40"/>
      <c r="J64" s="41"/>
      <c r="K64" s="1">
        <f>+E178+E179+D245*E245+E246+E247+D306*E306+E307+E308+E366+E367+E368+E369+E426+E427+E603+E604</f>
        <v>248.20000000000005</v>
      </c>
    </row>
    <row r="65" spans="2:10" s="1" customFormat="1" ht="12.75" x14ac:dyDescent="0.2">
      <c r="B65" s="43" t="s">
        <v>233</v>
      </c>
      <c r="C65" s="43" t="s">
        <v>236</v>
      </c>
      <c r="D65" s="60"/>
      <c r="E65" s="40"/>
      <c r="F65" s="40"/>
      <c r="G65" s="40"/>
      <c r="H65" s="40"/>
      <c r="I65" s="44">
        <f>SUM(H66:H66)</f>
        <v>0</v>
      </c>
      <c r="J65" s="45" t="s">
        <v>345</v>
      </c>
    </row>
    <row r="66" spans="2:10" s="1" customFormat="1" ht="12.75" x14ac:dyDescent="0.2">
      <c r="B66" s="57"/>
      <c r="C66" s="39"/>
      <c r="D66" s="40"/>
      <c r="E66" s="40"/>
      <c r="F66" s="40"/>
      <c r="G66" s="40"/>
      <c r="H66" s="40">
        <f>IF(AND(F66=0,G66=0),D66*E66,IF(AND(E66=0,G66=0),D66*F66,IF(AND(E66=0,F66=0),D66*G66,IF(AND(E66=0),D66*F66*G66,IF(AND(F66=0),D66*E66*G66,IF(AND(G66=0),D66*E66*F66,D66*E66*F66*G66))))))</f>
        <v>0</v>
      </c>
      <c r="I66" s="40"/>
      <c r="J66" s="41"/>
    </row>
    <row r="67" spans="2:10" s="1" customFormat="1" ht="12.75" x14ac:dyDescent="0.2">
      <c r="B67" s="43" t="s">
        <v>268</v>
      </c>
      <c r="C67" s="43" t="s">
        <v>347</v>
      </c>
      <c r="D67" s="60"/>
      <c r="E67" s="40"/>
      <c r="F67" s="40"/>
      <c r="G67" s="40"/>
      <c r="H67" s="40"/>
      <c r="I67" s="44">
        <f>SUM(H68:H68)</f>
        <v>0</v>
      </c>
      <c r="J67" s="45" t="s">
        <v>345</v>
      </c>
    </row>
    <row r="68" spans="2:10" s="1" customFormat="1" ht="12.75" x14ac:dyDescent="0.2">
      <c r="B68" s="43"/>
      <c r="C68" s="39"/>
      <c r="D68" s="40"/>
      <c r="E68" s="40"/>
      <c r="F68" s="40"/>
      <c r="G68" s="40"/>
      <c r="H68" s="40">
        <f>IF(AND(F68=0,G68=0),D68*E68,IF(AND(E68=0,G68=0),D68*F68,IF(AND(E68=0,F68=0),D68*G68,IF(AND(E68=0),D68*F68*G68,IF(AND(F68=0),D68*E68*G68,IF(AND(G68=0),D68*E68*F68,D68*E68*F68*G68))))))</f>
        <v>0</v>
      </c>
      <c r="I68" s="40"/>
      <c r="J68" s="41"/>
    </row>
    <row r="69" spans="2:10" s="1" customFormat="1" ht="12.75" x14ac:dyDescent="0.2">
      <c r="B69" s="43" t="s">
        <v>342</v>
      </c>
      <c r="C69" s="43" t="s">
        <v>271</v>
      </c>
      <c r="D69" s="60"/>
      <c r="E69" s="40"/>
      <c r="F69" s="40"/>
      <c r="G69" s="40"/>
      <c r="H69" s="40"/>
      <c r="I69" s="44">
        <f>SUM(H70:H71)</f>
        <v>7</v>
      </c>
      <c r="J69" s="45" t="s">
        <v>13</v>
      </c>
    </row>
    <row r="70" spans="2:10" s="1" customFormat="1" ht="12.75" x14ac:dyDescent="0.2">
      <c r="B70" s="43"/>
      <c r="C70" s="39" t="s">
        <v>452</v>
      </c>
      <c r="D70" s="60">
        <v>3</v>
      </c>
      <c r="E70" s="40"/>
      <c r="F70" s="40"/>
      <c r="G70" s="40"/>
      <c r="H70" s="40">
        <f>+D70</f>
        <v>3</v>
      </c>
      <c r="I70" s="40"/>
      <c r="J70" s="45"/>
    </row>
    <row r="71" spans="2:10" s="1" customFormat="1" ht="12.75" x14ac:dyDescent="0.2">
      <c r="B71" s="43"/>
      <c r="C71" s="39" t="s">
        <v>453</v>
      </c>
      <c r="D71" s="40">
        <v>4</v>
      </c>
      <c r="E71" s="40"/>
      <c r="F71" s="40"/>
      <c r="G71" s="40"/>
      <c r="H71" s="40">
        <f>+D71</f>
        <v>4</v>
      </c>
      <c r="I71" s="44"/>
      <c r="J71" s="45"/>
    </row>
    <row r="72" spans="2:10" s="1" customFormat="1" ht="12.75" x14ac:dyDescent="0.2">
      <c r="B72" s="57"/>
      <c r="C72" s="39"/>
      <c r="D72" s="40"/>
      <c r="E72" s="40"/>
      <c r="F72" s="40"/>
      <c r="G72" s="40"/>
      <c r="H72" s="40"/>
      <c r="I72" s="40"/>
      <c r="J72" s="41"/>
    </row>
    <row r="73" spans="2:10" s="1" customFormat="1" ht="12.75" x14ac:dyDescent="0.2">
      <c r="B73" s="57" t="s">
        <v>16</v>
      </c>
      <c r="C73" s="58" t="s">
        <v>224</v>
      </c>
      <c r="D73" s="60"/>
      <c r="E73" s="40"/>
      <c r="F73" s="40"/>
      <c r="G73" s="40"/>
      <c r="H73" s="40"/>
      <c r="I73" s="40"/>
      <c r="J73" s="41"/>
    </row>
    <row r="74" spans="2:10" s="1" customFormat="1" ht="12.75" x14ac:dyDescent="0.2">
      <c r="B74" s="43" t="s">
        <v>241</v>
      </c>
      <c r="C74" s="43" t="s">
        <v>239</v>
      </c>
      <c r="D74" s="60"/>
      <c r="E74" s="40"/>
      <c r="F74" s="40"/>
      <c r="G74" s="40"/>
      <c r="H74" s="40"/>
      <c r="I74" s="44">
        <f>SUM(H75:H75)</f>
        <v>0</v>
      </c>
      <c r="J74" s="45" t="s">
        <v>345</v>
      </c>
    </row>
    <row r="75" spans="2:10" s="1" customFormat="1" ht="12.75" x14ac:dyDescent="0.2">
      <c r="B75" s="57"/>
      <c r="C75" s="39"/>
      <c r="D75" s="40"/>
      <c r="E75" s="40"/>
      <c r="F75" s="40"/>
      <c r="G75" s="40"/>
      <c r="H75" s="40">
        <v>0</v>
      </c>
      <c r="I75" s="40"/>
      <c r="J75" s="41"/>
    </row>
    <row r="76" spans="2:10" s="1" customFormat="1" ht="12.75" x14ac:dyDescent="0.2">
      <c r="B76" s="43" t="s">
        <v>248</v>
      </c>
      <c r="C76" s="43" t="s">
        <v>246</v>
      </c>
      <c r="D76" s="60"/>
      <c r="E76" s="40"/>
      <c r="F76" s="40"/>
      <c r="G76" s="40"/>
      <c r="H76" s="40"/>
      <c r="I76" s="44">
        <f>SUM(H77:H77)</f>
        <v>0</v>
      </c>
      <c r="J76" s="45" t="str">
        <f>+J77</f>
        <v>ml</v>
      </c>
    </row>
    <row r="77" spans="2:10" s="1" customFormat="1" ht="12.75" x14ac:dyDescent="0.2">
      <c r="B77" s="57"/>
      <c r="C77" s="39"/>
      <c r="D77" s="40"/>
      <c r="E77" s="40"/>
      <c r="F77" s="40"/>
      <c r="G77" s="40"/>
      <c r="H77" s="40">
        <f>IF(AND(F77=0,G77=0),D77*E77,IF(AND(E77=0,G77=0),D77*F77,IF(AND(E77=0,F77=0),D77*G77,IF(AND(E77=0),D77*F77*G77,IF(AND(F77=0),D77*E77*G77,IF(AND(G77=0),D77*E77*F77,D77*E77*F77*G77))))))</f>
        <v>0</v>
      </c>
      <c r="I77" s="40"/>
      <c r="J77" s="41" t="str">
        <f>IF(AND(E77=0,F77&lt;&gt;0,G77&lt;&gt;0),"m2",IF(AND(F77=0,E77&lt;&gt;0,G77&lt;&gt;0),"m2",IF(AND(G77=0,E77&lt;&gt;0,F77&lt;&gt;0),"m2",IF(AND(F77=0,G77=0),"ml",IF(AND(E77=0,G77=0),"ml",IF(AND(E77=0,F77=0),"ml",IF(AND(E77&lt;&gt;0,F77&lt;&gt;0,G77&lt;&gt;0),"m3",0)))))))</f>
        <v>ml</v>
      </c>
    </row>
    <row r="78" spans="2:10" s="1" customFormat="1" ht="12.75" x14ac:dyDescent="0.2">
      <c r="B78" s="43" t="s">
        <v>259</v>
      </c>
      <c r="C78" s="43" t="s">
        <v>251</v>
      </c>
      <c r="D78" s="60"/>
      <c r="E78" s="40"/>
      <c r="F78" s="40"/>
      <c r="G78" s="40"/>
      <c r="H78" s="40"/>
      <c r="I78" s="44">
        <f>SUM(H79:H79)</f>
        <v>0</v>
      </c>
      <c r="J78" s="45" t="str">
        <f>+J79</f>
        <v>ml</v>
      </c>
    </row>
    <row r="79" spans="2:10" s="1" customFormat="1" ht="12.75" x14ac:dyDescent="0.2">
      <c r="B79" s="57"/>
      <c r="C79" s="39"/>
      <c r="D79" s="40"/>
      <c r="E79" s="40"/>
      <c r="F79" s="40"/>
      <c r="G79" s="40"/>
      <c r="H79" s="40">
        <f>IF(AND(F79=0,G79=0),D79*E79,IF(AND(E79=0,G79=0),D79*F79,IF(AND(E79=0,F79=0),D79*G79,IF(AND(E79=0),D79*F79*G79,IF(AND(F79=0),D79*E79*G79,IF(AND(G79=0),D79*E79*F79,D79*E79*F79*G79))))))</f>
        <v>0</v>
      </c>
      <c r="I79" s="40"/>
      <c r="J79" s="41" t="str">
        <f>IF(AND(E79=0,F79&lt;&gt;0,G79&lt;&gt;0),"m2",IF(AND(F79=0,E79&lt;&gt;0,G79&lt;&gt;0),"m2",IF(AND(G79=0,E79&lt;&gt;0,F79&lt;&gt;0),"m2",IF(AND(F79=0,G79=0),"ml",IF(AND(E79=0,G79=0),"ml",IF(AND(E79=0,F79=0),"ml",IF(AND(E79&lt;&gt;0,F79&lt;&gt;0,G79&lt;&gt;0),"m3",0)))))))</f>
        <v>ml</v>
      </c>
    </row>
    <row r="80" spans="2:10" s="1" customFormat="1" ht="12.75" x14ac:dyDescent="0.2">
      <c r="C80" s="39"/>
      <c r="D80" s="60"/>
      <c r="E80" s="40"/>
      <c r="F80" s="40"/>
      <c r="G80" s="40"/>
      <c r="H80" s="40"/>
      <c r="I80" s="40"/>
      <c r="J80" s="41"/>
    </row>
    <row r="81" spans="2:10" s="1" customFormat="1" ht="12.75" x14ac:dyDescent="0.2">
      <c r="B81" s="57" t="s">
        <v>18</v>
      </c>
      <c r="C81" s="58" t="s">
        <v>223</v>
      </c>
      <c r="D81" s="60"/>
      <c r="E81" s="40"/>
      <c r="F81" s="40"/>
      <c r="G81" s="40"/>
      <c r="H81" s="40"/>
      <c r="I81" s="40"/>
      <c r="J81" s="41"/>
    </row>
    <row r="82" spans="2:10" s="1" customFormat="1" ht="12.75" x14ac:dyDescent="0.2">
      <c r="B82" s="43" t="s">
        <v>20</v>
      </c>
      <c r="C82" s="43" t="s">
        <v>272</v>
      </c>
      <c r="D82" s="60"/>
      <c r="E82" s="40"/>
      <c r="F82" s="40"/>
      <c r="G82" s="40"/>
      <c r="H82" s="40"/>
      <c r="I82" s="44">
        <f>SUM(H83:H84)</f>
        <v>0</v>
      </c>
      <c r="J82" s="45" t="s">
        <v>13</v>
      </c>
    </row>
    <row r="83" spans="2:10" s="1" customFormat="1" ht="12.75" x14ac:dyDescent="0.2">
      <c r="B83" s="43"/>
      <c r="C83" s="39" t="s">
        <v>452</v>
      </c>
      <c r="D83" s="60">
        <v>0</v>
      </c>
      <c r="E83" s="40">
        <v>0</v>
      </c>
      <c r="F83" s="40"/>
      <c r="G83" s="40"/>
      <c r="H83" s="40">
        <f>IF(AND(F83=0,G83=0),D83*E83,IF(AND(E83=0,G83=0),D83*F83,IF(AND(E83=0,F83=0),D83*G83,IF(AND(E83=0),D83*F83*G83,IF(AND(F83=0),D83*E83*G83,IF(AND(G83=0),D83*E83*F83,D83*E83*F83*G83))))))</f>
        <v>0</v>
      </c>
      <c r="I83" s="44"/>
      <c r="J83" s="45"/>
    </row>
    <row r="84" spans="2:10" s="1" customFormat="1" ht="12.75" x14ac:dyDescent="0.2">
      <c r="B84" s="43"/>
      <c r="C84" s="39" t="s">
        <v>453</v>
      </c>
      <c r="D84" s="40">
        <v>0</v>
      </c>
      <c r="E84" s="40">
        <v>0</v>
      </c>
      <c r="F84" s="40"/>
      <c r="G84" s="40"/>
      <c r="H84" s="40">
        <f>IF(AND(F84=0,G84=0),D84*E84,IF(AND(E84=0,G84=0),D84*F84,IF(AND(E84=0,F84=0),D84*G84,IF(AND(E84=0),D84*F84*G84,IF(AND(F84=0),D84*E84*G84,IF(AND(G84=0),D84*E84*F84,D84*E84*F84*G84))))))</f>
        <v>0</v>
      </c>
      <c r="I84" s="40"/>
      <c r="J84" s="41"/>
    </row>
    <row r="85" spans="2:10" s="1" customFormat="1" ht="12.75" x14ac:dyDescent="0.2">
      <c r="B85" s="43"/>
      <c r="C85" s="43"/>
      <c r="D85" s="60"/>
      <c r="E85" s="40"/>
      <c r="F85" s="40"/>
      <c r="G85" s="40"/>
      <c r="H85" s="40"/>
      <c r="I85" s="44"/>
      <c r="J85" s="45"/>
    </row>
    <row r="86" spans="2:10" s="1" customFormat="1" ht="12.75" x14ac:dyDescent="0.2">
      <c r="B86" s="43" t="s">
        <v>273</v>
      </c>
      <c r="C86" s="43" t="s">
        <v>354</v>
      </c>
      <c r="D86" s="60"/>
      <c r="E86" s="40"/>
      <c r="F86" s="40"/>
      <c r="G86" s="40"/>
      <c r="H86" s="40"/>
      <c r="I86" s="44">
        <f>SUM(H87:H87)</f>
        <v>0</v>
      </c>
      <c r="J86" s="45" t="s">
        <v>13</v>
      </c>
    </row>
    <row r="87" spans="2:10" s="1" customFormat="1" ht="12.75" x14ac:dyDescent="0.2">
      <c r="B87" s="43"/>
      <c r="C87" s="39"/>
      <c r="D87" s="60"/>
      <c r="E87" s="40"/>
      <c r="F87" s="40"/>
      <c r="G87" s="40"/>
      <c r="H87" s="40">
        <f>+D87</f>
        <v>0</v>
      </c>
      <c r="I87" s="44"/>
      <c r="J87" s="45"/>
    </row>
    <row r="88" spans="2:10" s="1" customFormat="1" ht="12.75" x14ac:dyDescent="0.2">
      <c r="B88" s="46"/>
      <c r="C88" s="59"/>
      <c r="D88" s="60"/>
      <c r="E88" s="40"/>
      <c r="F88" s="40"/>
      <c r="G88" s="40"/>
      <c r="H88" s="40"/>
      <c r="I88" s="44"/>
      <c r="J88" s="41"/>
    </row>
    <row r="89" spans="2:10" s="1" customFormat="1" ht="12.75" x14ac:dyDescent="0.2">
      <c r="B89" s="46"/>
      <c r="C89" s="59"/>
      <c r="D89" s="60"/>
      <c r="E89" s="40"/>
      <c r="F89" s="40"/>
      <c r="G89" s="40"/>
      <c r="H89" s="40"/>
      <c r="I89" s="40"/>
      <c r="J89" s="41"/>
    </row>
    <row r="90" spans="2:10" s="1" customFormat="1" ht="12.75" x14ac:dyDescent="0.2">
      <c r="B90" s="46"/>
      <c r="C90" s="59"/>
      <c r="D90" s="60"/>
      <c r="E90" s="40"/>
      <c r="F90" s="40"/>
      <c r="G90" s="40"/>
      <c r="H90" s="40"/>
      <c r="I90" s="40"/>
      <c r="J90" s="41"/>
    </row>
    <row r="91" spans="2:10" s="1" customFormat="1" ht="12.75" x14ac:dyDescent="0.2">
      <c r="B91" s="46"/>
      <c r="C91" s="59"/>
      <c r="D91" s="60"/>
      <c r="E91" s="40"/>
      <c r="F91" s="40"/>
      <c r="G91" s="40"/>
      <c r="H91" s="40"/>
      <c r="I91" s="40"/>
      <c r="J91" s="41"/>
    </row>
    <row r="92" spans="2:10" s="1" customFormat="1" ht="12.75" x14ac:dyDescent="0.2">
      <c r="B92" s="46"/>
      <c r="C92" s="59"/>
      <c r="D92" s="60"/>
      <c r="E92" s="40"/>
      <c r="F92" s="40"/>
      <c r="G92" s="40"/>
      <c r="H92" s="40"/>
      <c r="I92" s="40"/>
      <c r="J92" s="41"/>
    </row>
    <row r="93" spans="2:10" s="1" customFormat="1" ht="12.75" x14ac:dyDescent="0.2">
      <c r="B93" s="46"/>
      <c r="C93" s="59"/>
      <c r="D93" s="60"/>
      <c r="E93" s="40"/>
      <c r="F93" s="40"/>
      <c r="G93" s="40"/>
      <c r="H93" s="40"/>
      <c r="I93" s="40"/>
      <c r="J93" s="41"/>
    </row>
    <row r="94" spans="2:10" s="1" customFormat="1" ht="12.75" x14ac:dyDescent="0.2">
      <c r="B94" s="46"/>
      <c r="C94" s="59"/>
      <c r="D94" s="60"/>
      <c r="E94" s="40"/>
      <c r="F94" s="40"/>
      <c r="G94" s="40"/>
      <c r="H94" s="40"/>
      <c r="I94" s="40"/>
      <c r="J94" s="41"/>
    </row>
    <row r="95" spans="2:10" s="1" customFormat="1" ht="12.75" x14ac:dyDescent="0.2">
      <c r="B95" s="46"/>
      <c r="C95" s="59"/>
      <c r="D95" s="60"/>
      <c r="E95" s="40"/>
      <c r="F95" s="40"/>
      <c r="G95" s="40"/>
      <c r="H95" s="40"/>
      <c r="I95" s="40"/>
      <c r="J95" s="41"/>
    </row>
    <row r="96" spans="2:10" s="1" customFormat="1" ht="12.75" x14ac:dyDescent="0.2">
      <c r="B96" s="46"/>
      <c r="C96" s="59"/>
      <c r="D96" s="60"/>
      <c r="E96" s="40"/>
      <c r="F96" s="40"/>
      <c r="G96" s="40"/>
      <c r="H96" s="40"/>
      <c r="I96" s="40"/>
      <c r="J96" s="41"/>
    </row>
    <row r="97" spans="2:10" s="1" customFormat="1" ht="12.75" x14ac:dyDescent="0.2">
      <c r="B97" s="46"/>
      <c r="C97" s="59"/>
      <c r="D97" s="60"/>
      <c r="E97" s="40"/>
      <c r="F97" s="40"/>
      <c r="G97" s="40"/>
      <c r="H97" s="40"/>
      <c r="I97" s="40"/>
      <c r="J97" s="41"/>
    </row>
    <row r="98" spans="2:10" s="1" customFormat="1" ht="12.75" x14ac:dyDescent="0.2">
      <c r="B98" s="46"/>
      <c r="C98" s="59"/>
      <c r="D98" s="60"/>
      <c r="E98" s="40"/>
      <c r="F98" s="40"/>
      <c r="G98" s="40"/>
      <c r="H98" s="40"/>
      <c r="I98" s="40"/>
      <c r="J98" s="41"/>
    </row>
    <row r="99" spans="2:10" s="1" customFormat="1" ht="12.75" x14ac:dyDescent="0.2">
      <c r="B99" s="46"/>
      <c r="C99" s="59"/>
      <c r="D99" s="60"/>
      <c r="E99" s="40"/>
      <c r="F99" s="40"/>
      <c r="G99" s="40"/>
      <c r="H99" s="40"/>
      <c r="I99" s="40"/>
      <c r="J99" s="41"/>
    </row>
    <row r="100" spans="2:10" s="1" customFormat="1" ht="12.75" x14ac:dyDescent="0.2">
      <c r="B100" s="46"/>
      <c r="C100" s="59"/>
      <c r="D100" s="60"/>
      <c r="E100" s="40"/>
      <c r="F100" s="40"/>
      <c r="G100" s="40"/>
      <c r="H100" s="40"/>
      <c r="I100" s="40"/>
      <c r="J100" s="41"/>
    </row>
    <row r="101" spans="2:10" s="1" customFormat="1" ht="12.75" x14ac:dyDescent="0.2">
      <c r="B101" s="37"/>
      <c r="C101" s="38"/>
      <c r="D101" s="38"/>
      <c r="E101" s="38"/>
      <c r="F101" s="38"/>
      <c r="G101" s="38"/>
      <c r="H101" s="38"/>
      <c r="I101" s="38"/>
      <c r="J101" s="38"/>
    </row>
    <row r="102" spans="2:10" s="1" customFormat="1" ht="12.75" x14ac:dyDescent="0.2">
      <c r="C102" s="499" t="s">
        <v>37</v>
      </c>
      <c r="D102" s="499"/>
      <c r="E102" s="499"/>
      <c r="F102" s="499"/>
      <c r="G102" s="499"/>
      <c r="H102" s="499"/>
    </row>
    <row r="103" spans="2:10" s="1" customFormat="1" ht="12.75" x14ac:dyDescent="0.2">
      <c r="C103" s="499" t="s">
        <v>38</v>
      </c>
      <c r="D103" s="499"/>
      <c r="E103" s="499"/>
      <c r="F103" s="499"/>
      <c r="G103" s="499"/>
      <c r="H103" s="499"/>
    </row>
    <row r="104" spans="2:10" s="1" customFormat="1" ht="12.75" x14ac:dyDescent="0.2">
      <c r="C104" s="499" t="s">
        <v>39</v>
      </c>
      <c r="D104" s="499"/>
      <c r="E104" s="499"/>
      <c r="F104" s="499"/>
      <c r="G104" s="499"/>
      <c r="H104" s="499"/>
    </row>
    <row r="105" spans="2:10" s="1" customFormat="1" ht="12.75" x14ac:dyDescent="0.2">
      <c r="C105" s="500" t="s">
        <v>40</v>
      </c>
      <c r="D105" s="500"/>
      <c r="E105" s="500"/>
      <c r="F105" s="500"/>
      <c r="G105" s="500"/>
      <c r="H105" s="500"/>
    </row>
    <row r="106" spans="2:10" s="1" customFormat="1" ht="12.75" x14ac:dyDescent="0.2">
      <c r="C106" s="385"/>
      <c r="D106" s="385"/>
      <c r="E106" s="385"/>
      <c r="F106" s="385"/>
      <c r="G106" s="385"/>
      <c r="H106" s="385"/>
    </row>
    <row r="107" spans="2:10" s="1" customFormat="1" ht="27" customHeight="1" x14ac:dyDescent="0.2">
      <c r="B107" s="386" t="s">
        <v>65</v>
      </c>
      <c r="C107" s="387"/>
      <c r="D107" s="387"/>
      <c r="E107" s="387"/>
      <c r="F107" s="387"/>
      <c r="G107" s="387"/>
      <c r="H107" s="387"/>
      <c r="I107" s="387"/>
      <c r="J107" s="388"/>
    </row>
    <row r="108" spans="2:10" s="1" customFormat="1" ht="20.25" x14ac:dyDescent="0.2">
      <c r="B108" s="390" t="s">
        <v>360</v>
      </c>
      <c r="C108" s="391"/>
      <c r="D108" s="391"/>
      <c r="E108" s="391"/>
      <c r="F108" s="391"/>
      <c r="G108" s="391"/>
      <c r="H108" s="391"/>
      <c r="I108" s="391"/>
      <c r="J108" s="392"/>
    </row>
    <row r="109" spans="2:10" s="1" customFormat="1" ht="13.5" thickBot="1" x14ac:dyDescent="0.25">
      <c r="B109" s="389"/>
      <c r="C109" s="389"/>
      <c r="D109" s="389"/>
      <c r="E109" s="389"/>
      <c r="F109" s="389"/>
      <c r="G109" s="389"/>
      <c r="H109" s="389"/>
      <c r="I109" s="389"/>
      <c r="J109" s="389"/>
    </row>
    <row r="110" spans="2:10" s="1" customFormat="1" ht="24.75" customHeight="1" x14ac:dyDescent="0.2">
      <c r="B110" s="494" t="s">
        <v>27</v>
      </c>
      <c r="C110" s="495"/>
      <c r="D110" s="495"/>
      <c r="E110" s="495"/>
      <c r="F110" s="495"/>
      <c r="G110" s="495"/>
      <c r="H110" s="495"/>
      <c r="I110" s="495"/>
      <c r="J110" s="496"/>
    </row>
    <row r="111" spans="2:10" s="1" customFormat="1" ht="12.75" x14ac:dyDescent="0.2">
      <c r="B111" s="2" t="s">
        <v>35</v>
      </c>
      <c r="C111" s="3" t="s">
        <v>36</v>
      </c>
      <c r="D111" s="3"/>
      <c r="E111" s="4"/>
      <c r="F111" s="5"/>
      <c r="G111" s="6" t="s">
        <v>8</v>
      </c>
      <c r="H111" s="497">
        <v>42879</v>
      </c>
      <c r="I111" s="497"/>
      <c r="J111" s="7"/>
    </row>
    <row r="112" spans="2:10" s="1" customFormat="1" ht="12.75" x14ac:dyDescent="0.2">
      <c r="B112" s="2" t="s">
        <v>33</v>
      </c>
      <c r="C112" s="3" t="s">
        <v>29</v>
      </c>
      <c r="D112" s="8"/>
      <c r="E112" s="8"/>
      <c r="F112" s="3"/>
      <c r="G112" s="9" t="s">
        <v>32</v>
      </c>
      <c r="H112" s="4" t="s">
        <v>29</v>
      </c>
      <c r="I112" s="10"/>
      <c r="J112" s="11"/>
    </row>
    <row r="113" spans="2:10" s="1" customFormat="1" ht="12.75" x14ac:dyDescent="0.2">
      <c r="B113" s="2" t="s">
        <v>34</v>
      </c>
      <c r="C113" s="3" t="s">
        <v>29</v>
      </c>
      <c r="D113" s="8"/>
      <c r="E113" s="8"/>
      <c r="F113" s="3"/>
      <c r="G113" s="9" t="s">
        <v>30</v>
      </c>
      <c r="H113" s="4" t="s">
        <v>31</v>
      </c>
      <c r="I113" s="10"/>
      <c r="J113" s="11"/>
    </row>
    <row r="114" spans="2:10" s="1" customFormat="1" ht="13.5" thickBot="1" x14ac:dyDescent="0.25">
      <c r="B114" s="12" t="s">
        <v>43</v>
      </c>
      <c r="C114" s="13" t="s">
        <v>44</v>
      </c>
      <c r="D114" s="14"/>
      <c r="E114" s="14"/>
      <c r="F114" s="13"/>
      <c r="G114" s="15" t="s">
        <v>41</v>
      </c>
      <c r="H114" s="16" t="s">
        <v>42</v>
      </c>
      <c r="I114" s="17"/>
      <c r="J114" s="18"/>
    </row>
    <row r="115" spans="2:10" s="1" customFormat="1" ht="12.75" x14ac:dyDescent="0.2">
      <c r="B115" s="389"/>
      <c r="C115" s="389"/>
      <c r="D115" s="389"/>
      <c r="E115" s="389"/>
      <c r="F115" s="389"/>
      <c r="G115" s="389"/>
      <c r="H115" s="389"/>
      <c r="I115" s="389"/>
      <c r="J115" s="389"/>
    </row>
    <row r="116" spans="2:10" s="1" customFormat="1" ht="12.75" x14ac:dyDescent="0.2">
      <c r="B116" s="21" t="s">
        <v>5</v>
      </c>
      <c r="C116" s="22" t="s">
        <v>0</v>
      </c>
      <c r="D116" s="22" t="s">
        <v>9</v>
      </c>
      <c r="E116" s="22" t="s">
        <v>10</v>
      </c>
      <c r="F116" s="22" t="s">
        <v>1</v>
      </c>
      <c r="G116" s="22" t="s">
        <v>2</v>
      </c>
      <c r="H116" s="22" t="s">
        <v>11</v>
      </c>
      <c r="I116" s="22" t="s">
        <v>6</v>
      </c>
      <c r="J116" s="22" t="s">
        <v>7</v>
      </c>
    </row>
    <row r="117" spans="2:10" s="1" customFormat="1" ht="12.75" x14ac:dyDescent="0.2">
      <c r="B117" s="55">
        <v>4.03</v>
      </c>
      <c r="C117" s="56" t="s">
        <v>222</v>
      </c>
      <c r="D117" s="60"/>
      <c r="E117" s="40"/>
      <c r="F117" s="40"/>
      <c r="G117" s="40"/>
      <c r="H117" s="40"/>
      <c r="I117" s="40"/>
      <c r="J117" s="41"/>
    </row>
    <row r="118" spans="2:10" s="1" customFormat="1" ht="12.75" x14ac:dyDescent="0.2">
      <c r="B118" s="57" t="s">
        <v>14</v>
      </c>
      <c r="C118" s="58" t="s">
        <v>225</v>
      </c>
      <c r="D118" s="60"/>
      <c r="E118" s="40"/>
      <c r="F118" s="40"/>
      <c r="G118" s="40"/>
      <c r="H118" s="40"/>
      <c r="I118" s="40"/>
      <c r="J118" s="41"/>
    </row>
    <row r="119" spans="2:10" s="1" customFormat="1" ht="12.75" x14ac:dyDescent="0.2">
      <c r="B119" s="43" t="s">
        <v>15</v>
      </c>
      <c r="C119" s="43" t="s">
        <v>359</v>
      </c>
      <c r="D119" s="60"/>
      <c r="E119" s="40"/>
      <c r="F119" s="40"/>
      <c r="G119" s="40"/>
      <c r="H119" s="40"/>
      <c r="I119" s="44">
        <f>SUM(H120:H120)</f>
        <v>0</v>
      </c>
      <c r="J119" s="45" t="s">
        <v>345</v>
      </c>
    </row>
    <row r="120" spans="2:10" s="1" customFormat="1" ht="12.75" x14ac:dyDescent="0.2">
      <c r="B120" s="43"/>
      <c r="C120" s="39"/>
      <c r="D120" s="60"/>
      <c r="E120" s="40"/>
      <c r="F120" s="40"/>
      <c r="G120" s="40"/>
      <c r="H120" s="40">
        <f>IF(AND(F120=0,G120=0),D120*E120,IF(AND(E120=0,G120=0),D120*F120,IF(AND(E120=0,F120=0),D120*G120,IF(AND(E120=0),D120*F120*G120,IF(AND(F120=0),D120*E120*G120,IF(AND(G120=0),D120*E120*F120,D120*E120*F120*G120))))))</f>
        <v>0</v>
      </c>
      <c r="I120" s="40"/>
      <c r="J120" s="41"/>
    </row>
    <row r="121" spans="2:10" s="1" customFormat="1" ht="12.75" x14ac:dyDescent="0.2">
      <c r="B121" s="43" t="s">
        <v>232</v>
      </c>
      <c r="C121" s="43" t="s">
        <v>235</v>
      </c>
      <c r="D121" s="60"/>
      <c r="E121" s="40"/>
      <c r="F121" s="40"/>
      <c r="G121" s="40"/>
      <c r="H121" s="40"/>
      <c r="I121" s="44">
        <f>SUM(H122:H123)</f>
        <v>103</v>
      </c>
      <c r="J121" s="45" t="str">
        <f>+J122</f>
        <v>ml</v>
      </c>
    </row>
    <row r="122" spans="2:10" s="1" customFormat="1" ht="12.75" x14ac:dyDescent="0.2">
      <c r="B122" s="57"/>
      <c r="C122" s="39" t="s">
        <v>378</v>
      </c>
      <c r="D122" s="40">
        <v>7</v>
      </c>
      <c r="E122" s="40">
        <v>10.6</v>
      </c>
      <c r="F122" s="40"/>
      <c r="G122" s="40"/>
      <c r="H122" s="40">
        <f>IF(AND(F122=0,G122=0),D122*E122,IF(AND(E122=0,G122=0),D122*F122,IF(AND(E122=0,F122=0),D122*G122,IF(AND(E122=0),D122*F122*G122,IF(AND(F122=0),D122*E122*G122,IF(AND(G122=0),D122*E122*F122,D122*E122*F122*G122))))))</f>
        <v>74.2</v>
      </c>
      <c r="I122" s="40"/>
      <c r="J122" s="41" t="str">
        <f>IF(AND(E122=0,F122&lt;&gt;0,G122&lt;&gt;0),"m2",IF(AND(F122=0,E122&lt;&gt;0,G122&lt;&gt;0),"m2",IF(AND(G122=0,E122&lt;&gt;0,F122&lt;&gt;0),"m2",IF(AND(F122=0,G122=0),"ml",IF(AND(E122=0,G122=0),"ml",IF(AND(E122=0,F122=0),"ml",IF(AND(E122&lt;&gt;0,F122&lt;&gt;0,G122&lt;&gt;0),"m3",0)))))))</f>
        <v>ml</v>
      </c>
    </row>
    <row r="123" spans="2:10" s="1" customFormat="1" ht="12.75" x14ac:dyDescent="0.2">
      <c r="B123" s="57"/>
      <c r="C123" s="39" t="s">
        <v>379</v>
      </c>
      <c r="D123" s="40">
        <v>1</v>
      </c>
      <c r="E123" s="40">
        <v>28.8</v>
      </c>
      <c r="F123" s="40"/>
      <c r="G123" s="40"/>
      <c r="H123" s="40">
        <f>IF(AND(F123=0,G123=0),D123*E123,IF(AND(E123=0,G123=0),D123*F123,IF(AND(E123=0,F123=0),D123*G123,IF(AND(E123=0),D123*F123*G123,IF(AND(F123=0),D123*E123*G123,IF(AND(G123=0),D123*E123*F123,D123*E123*F123*G123))))))</f>
        <v>28.8</v>
      </c>
      <c r="I123" s="40"/>
      <c r="J123" s="41" t="str">
        <f>IF(AND(E123=0,F123&lt;&gt;0,G123&lt;&gt;0),"m2",IF(AND(F123=0,E123&lt;&gt;0,G123&lt;&gt;0),"m2",IF(AND(G123=0,E123&lt;&gt;0,F123&lt;&gt;0),"m2",IF(AND(F123=0,G123=0),"ml",IF(AND(E123=0,G123=0),"ml",IF(AND(E123=0,F123=0),"ml",IF(AND(E123&lt;&gt;0,F123&lt;&gt;0,G123&lt;&gt;0),"m3",0)))))))</f>
        <v>ml</v>
      </c>
    </row>
    <row r="124" spans="2:10" s="1" customFormat="1" ht="12.75" x14ac:dyDescent="0.2">
      <c r="B124" s="43" t="s">
        <v>233</v>
      </c>
      <c r="C124" s="43" t="s">
        <v>236</v>
      </c>
      <c r="D124" s="60"/>
      <c r="E124" s="40"/>
      <c r="F124" s="40"/>
      <c r="G124" s="40"/>
      <c r="H124" s="40"/>
      <c r="I124" s="44">
        <f>SUM(H125:H125)</f>
        <v>0</v>
      </c>
      <c r="J124" s="45" t="str">
        <f>+J125</f>
        <v>ml</v>
      </c>
    </row>
    <row r="125" spans="2:10" s="1" customFormat="1" ht="12.75" x14ac:dyDescent="0.2">
      <c r="B125" s="57"/>
      <c r="C125" s="39"/>
      <c r="D125" s="40"/>
      <c r="E125" s="40"/>
      <c r="F125" s="40"/>
      <c r="G125" s="40"/>
      <c r="H125" s="40">
        <f>IF(AND(F125=0,G125=0),D125*E125,IF(AND(E125=0,G125=0),D125*F125,IF(AND(E125=0,F125=0),D125*G125,IF(AND(E125=0),D125*F125*G125,IF(AND(F125=0),D125*E125*G125,IF(AND(G125=0),D125*E125*F125,D125*E125*F125*G125))))))</f>
        <v>0</v>
      </c>
      <c r="I125" s="40"/>
      <c r="J125" s="41" t="str">
        <f>IF(AND(E125=0,F125&lt;&gt;0,G125&lt;&gt;0),"m2",IF(AND(F125=0,E125&lt;&gt;0,G125&lt;&gt;0),"m2",IF(AND(G125=0,E125&lt;&gt;0,F125&lt;&gt;0),"m2",IF(AND(F125=0,G125=0),"ml",IF(AND(E125=0,G125=0),"ml",IF(AND(E125=0,F125=0),"ml",IF(AND(E125&lt;&gt;0,F125&lt;&gt;0,G125&lt;&gt;0),"m3",0)))))))</f>
        <v>ml</v>
      </c>
    </row>
    <row r="126" spans="2:10" s="1" customFormat="1" ht="12.75" x14ac:dyDescent="0.2">
      <c r="B126" s="43" t="s">
        <v>268</v>
      </c>
      <c r="C126" s="43" t="s">
        <v>347</v>
      </c>
      <c r="D126" s="60"/>
      <c r="E126" s="40"/>
      <c r="F126" s="40"/>
      <c r="G126" s="40"/>
      <c r="H126" s="40"/>
      <c r="I126" s="44">
        <f>SUM(H127:H127)</f>
        <v>0</v>
      </c>
      <c r="J126" s="45" t="str">
        <f>+J127</f>
        <v>ml</v>
      </c>
    </row>
    <row r="127" spans="2:10" s="1" customFormat="1" ht="12.75" x14ac:dyDescent="0.2">
      <c r="B127" s="57"/>
      <c r="C127" s="39"/>
      <c r="D127" s="40"/>
      <c r="E127" s="40"/>
      <c r="F127" s="40"/>
      <c r="G127" s="40"/>
      <c r="H127" s="40">
        <f>IF(AND(F127=0,G127=0),D127*E127,IF(AND(E127=0,G127=0),D127*F127,IF(AND(E127=0,F127=0),D127*G127,IF(AND(E127=0),D127*F127*G127,IF(AND(F127=0),D127*E127*G127,IF(AND(G127=0),D127*E127*F127,D127*E127*F127*G127))))))</f>
        <v>0</v>
      </c>
      <c r="I127" s="40"/>
      <c r="J127" s="41" t="str">
        <f>IF(AND(E127=0,F127&lt;&gt;0,G127&lt;&gt;0),"m2",IF(AND(F127=0,E127&lt;&gt;0,G127&lt;&gt;0),"m2",IF(AND(G127=0,E127&lt;&gt;0,F127&lt;&gt;0),"m2",IF(AND(F127=0,G127=0),"ml",IF(AND(E127=0,G127=0),"ml",IF(AND(E127=0,F127=0),"ml",IF(AND(E127&lt;&gt;0,F127&lt;&gt;0,G127&lt;&gt;0),"m3",0)))))))</f>
        <v>ml</v>
      </c>
    </row>
    <row r="128" spans="2:10" s="1" customFormat="1" ht="12.75" x14ac:dyDescent="0.2">
      <c r="B128" s="43" t="s">
        <v>342</v>
      </c>
      <c r="C128" s="43" t="s">
        <v>271</v>
      </c>
      <c r="D128" s="60"/>
      <c r="E128" s="40"/>
      <c r="F128" s="40"/>
      <c r="G128" s="40"/>
      <c r="H128" s="40"/>
      <c r="I128" s="44">
        <f>SUM(H129)</f>
        <v>0</v>
      </c>
      <c r="J128" s="45" t="s">
        <v>13</v>
      </c>
    </row>
    <row r="129" spans="2:10" s="1" customFormat="1" ht="12.75" x14ac:dyDescent="0.2">
      <c r="B129" s="57"/>
      <c r="C129" s="39"/>
      <c r="D129" s="60"/>
      <c r="E129" s="40"/>
      <c r="F129" s="40"/>
      <c r="G129" s="40"/>
      <c r="H129" s="40">
        <f>IF(AND(F129=0,G129=0),D129*E129,IF(AND(E129=0,G129=0),D129*F129,IF(AND(E129=0,F129=0),D129*G129,IF(AND(E129=0),D129*F129*G129,IF(AND(F129=0),D129*E129*G129,IF(AND(G129=0),D129*E129*F129,D129*E129*F129*G129))))))</f>
        <v>0</v>
      </c>
      <c r="I129" s="40"/>
      <c r="J129" s="41"/>
    </row>
    <row r="130" spans="2:10" s="1" customFormat="1" ht="12.75" x14ac:dyDescent="0.2">
      <c r="B130" s="57" t="s">
        <v>16</v>
      </c>
      <c r="C130" s="58" t="s">
        <v>224</v>
      </c>
      <c r="D130" s="60"/>
      <c r="E130" s="40"/>
      <c r="F130" s="40"/>
      <c r="G130" s="40"/>
      <c r="H130" s="40"/>
      <c r="I130" s="40"/>
      <c r="J130" s="41"/>
    </row>
    <row r="131" spans="2:10" s="1" customFormat="1" ht="12.75" x14ac:dyDescent="0.2">
      <c r="B131" s="43" t="s">
        <v>241</v>
      </c>
      <c r="C131" s="43" t="s">
        <v>239</v>
      </c>
      <c r="D131" s="60"/>
      <c r="E131" s="40"/>
      <c r="F131" s="40"/>
      <c r="G131" s="40"/>
      <c r="H131" s="40"/>
      <c r="I131" s="44">
        <f>SUM(H132:H132)</f>
        <v>4.1500000000000004</v>
      </c>
      <c r="J131" s="45" t="s">
        <v>345</v>
      </c>
    </row>
    <row r="132" spans="2:10" s="1" customFormat="1" ht="12.75" x14ac:dyDescent="0.2">
      <c r="B132" s="57"/>
      <c r="C132" s="39" t="s">
        <v>439</v>
      </c>
      <c r="D132" s="60">
        <v>1</v>
      </c>
      <c r="E132" s="40">
        <v>4.1500000000000004</v>
      </c>
      <c r="F132" s="40"/>
      <c r="G132" s="40"/>
      <c r="H132" s="40">
        <f>+E132</f>
        <v>4.1500000000000004</v>
      </c>
      <c r="I132" s="40"/>
      <c r="J132" s="41"/>
    </row>
    <row r="133" spans="2:10" s="1" customFormat="1" ht="12.75" x14ac:dyDescent="0.2">
      <c r="B133" s="43" t="s">
        <v>248</v>
      </c>
      <c r="C133" s="43" t="s">
        <v>246</v>
      </c>
      <c r="D133" s="60"/>
      <c r="E133" s="40"/>
      <c r="F133" s="40"/>
      <c r="G133" s="40"/>
      <c r="H133" s="40"/>
      <c r="I133" s="44">
        <f>SUM(H134:H134)</f>
        <v>4.1500000000000004</v>
      </c>
      <c r="J133" s="45" t="str">
        <f>+J134</f>
        <v>ml</v>
      </c>
    </row>
    <row r="134" spans="2:10" s="1" customFormat="1" ht="12.75" x14ac:dyDescent="0.2">
      <c r="B134" s="57"/>
      <c r="C134" s="39" t="s">
        <v>439</v>
      </c>
      <c r="D134" s="60">
        <v>1</v>
      </c>
      <c r="E134" s="40">
        <v>4.1500000000000004</v>
      </c>
      <c r="F134" s="40"/>
      <c r="G134" s="40"/>
      <c r="H134" s="40">
        <f>IF(AND(F134=0,G134=0),D134*E134,IF(AND(E134=0,G134=0),D134*F134,IF(AND(E134=0,F134=0),D134*G134,IF(AND(E134=0),D134*F134*G134,IF(AND(F134=0),D134*E134*G134,IF(AND(G134=0),D134*E134*F134,D134*E134*F134*G134))))))</f>
        <v>4.1500000000000004</v>
      </c>
      <c r="I134" s="40"/>
      <c r="J134" s="41" t="str">
        <f>IF(AND(E134=0,F134&lt;&gt;0,G134&lt;&gt;0),"m2",IF(AND(F134=0,E134&lt;&gt;0,G134&lt;&gt;0),"m2",IF(AND(G134=0,E134&lt;&gt;0,F134&lt;&gt;0),"m2",IF(AND(F134=0,G134=0),"ml",IF(AND(E134=0,G134=0),"ml",IF(AND(E134=0,F134=0),"ml",IF(AND(E134&lt;&gt;0,F134&lt;&gt;0,G134&lt;&gt;0),"m3",0)))))))</f>
        <v>ml</v>
      </c>
    </row>
    <row r="135" spans="2:10" s="1" customFormat="1" ht="12.75" x14ac:dyDescent="0.2">
      <c r="B135" s="43" t="s">
        <v>259</v>
      </c>
      <c r="C135" s="43" t="s">
        <v>251</v>
      </c>
      <c r="D135" s="60"/>
      <c r="E135" s="40"/>
      <c r="F135" s="40"/>
      <c r="G135" s="40"/>
      <c r="H135" s="40"/>
      <c r="I135" s="44">
        <f>SUM(H136:H136)</f>
        <v>0</v>
      </c>
      <c r="J135" s="45" t="str">
        <f>+J136</f>
        <v>ml</v>
      </c>
    </row>
    <row r="136" spans="2:10" s="1" customFormat="1" ht="12.75" x14ac:dyDescent="0.2">
      <c r="B136" s="57"/>
      <c r="C136" s="39"/>
      <c r="D136" s="40"/>
      <c r="E136" s="40"/>
      <c r="F136" s="40"/>
      <c r="G136" s="40"/>
      <c r="H136" s="40">
        <f>IF(AND(F136=0,G136=0),D136*E136,IF(AND(E136=0,G136=0),D136*F136,IF(AND(E136=0,F136=0),D136*G136,IF(AND(E136=0),D136*F136*G136,IF(AND(F136=0),D136*E136*G136,IF(AND(G136=0),D136*E136*F136,D136*E136*F136*G136))))))</f>
        <v>0</v>
      </c>
      <c r="I136" s="40"/>
      <c r="J136" s="41" t="str">
        <f>IF(AND(E136=0,F136&lt;&gt;0,G136&lt;&gt;0),"m2",IF(AND(F136=0,E136&lt;&gt;0,G136&lt;&gt;0),"m2",IF(AND(G136=0,E136&lt;&gt;0,F136&lt;&gt;0),"m2",IF(AND(F136=0,G136=0),"ml",IF(AND(E136=0,G136=0),"ml",IF(AND(E136=0,F136=0),"ml",IF(AND(E136&lt;&gt;0,F136&lt;&gt;0,G136&lt;&gt;0),"m3",0)))))))</f>
        <v>ml</v>
      </c>
    </row>
    <row r="137" spans="2:10" s="1" customFormat="1" ht="12.75" x14ac:dyDescent="0.2">
      <c r="C137" s="39"/>
      <c r="D137" s="60"/>
      <c r="E137" s="40"/>
      <c r="F137" s="40"/>
      <c r="G137" s="40"/>
      <c r="H137" s="40"/>
      <c r="I137" s="40"/>
      <c r="J137" s="41"/>
    </row>
    <row r="138" spans="2:10" s="1" customFormat="1" ht="12.75" x14ac:dyDescent="0.2">
      <c r="B138" s="57" t="s">
        <v>18</v>
      </c>
      <c r="C138" s="58" t="s">
        <v>223</v>
      </c>
      <c r="D138" s="60"/>
      <c r="E138" s="40"/>
      <c r="F138" s="40"/>
      <c r="G138" s="40"/>
      <c r="H138" s="40"/>
      <c r="I138" s="40"/>
      <c r="J138" s="41"/>
    </row>
    <row r="139" spans="2:10" s="1" customFormat="1" ht="12.75" x14ac:dyDescent="0.2">
      <c r="B139" s="43" t="s">
        <v>20</v>
      </c>
      <c r="C139" s="43" t="s">
        <v>272</v>
      </c>
      <c r="D139" s="60"/>
      <c r="E139" s="40"/>
      <c r="F139" s="40"/>
      <c r="G139" s="40"/>
      <c r="H139" s="40"/>
      <c r="I139" s="44">
        <f>SUM(H140:H140)</f>
        <v>0</v>
      </c>
      <c r="J139" s="45" t="str">
        <f>+J140</f>
        <v>und</v>
      </c>
    </row>
    <row r="140" spans="2:10" s="1" customFormat="1" ht="12.75" x14ac:dyDescent="0.2">
      <c r="B140" s="46"/>
      <c r="C140" s="39"/>
      <c r="D140" s="40"/>
      <c r="E140" s="40"/>
      <c r="F140" s="40"/>
      <c r="G140" s="40"/>
      <c r="H140" s="40"/>
      <c r="I140" s="40"/>
      <c r="J140" s="41" t="s">
        <v>13</v>
      </c>
    </row>
    <row r="141" spans="2:10" s="1" customFormat="1" ht="12.75" x14ac:dyDescent="0.2">
      <c r="B141" s="43" t="s">
        <v>273</v>
      </c>
      <c r="C141" s="43" t="s">
        <v>354</v>
      </c>
      <c r="D141" s="60"/>
      <c r="E141" s="40"/>
      <c r="F141" s="40"/>
      <c r="G141" s="40"/>
      <c r="H141" s="40"/>
      <c r="I141" s="44">
        <f>SUM(H142:H142)</f>
        <v>0</v>
      </c>
      <c r="J141" s="45" t="str">
        <f>+J142</f>
        <v>und</v>
      </c>
    </row>
    <row r="142" spans="2:10" s="1" customFormat="1" ht="12.75" x14ac:dyDescent="0.2">
      <c r="B142" s="43"/>
      <c r="C142" s="39"/>
      <c r="D142" s="40"/>
      <c r="E142" s="40"/>
      <c r="F142" s="40"/>
      <c r="G142" s="40"/>
      <c r="H142" s="40">
        <f>IF(AND(F142=0,G142=0),D142*E142,IF(AND(E142=0,G142=0),D142*F142,IF(AND(E142=0,F142=0),D142*G142,IF(AND(E142=0),D142*F142*G142,IF(AND(F142=0),D142*E142*G142,IF(AND(G142=0),D142*E142*F142,D142*E142*F142*G142))))))</f>
        <v>0</v>
      </c>
      <c r="I142" s="40"/>
      <c r="J142" s="41" t="s">
        <v>13</v>
      </c>
    </row>
    <row r="143" spans="2:10" s="1" customFormat="1" ht="12.75" x14ac:dyDescent="0.2">
      <c r="B143" s="46"/>
      <c r="C143" s="59"/>
      <c r="D143" s="60"/>
      <c r="E143" s="40"/>
      <c r="F143" s="40"/>
      <c r="G143" s="40"/>
      <c r="H143" s="40"/>
      <c r="I143" s="40"/>
      <c r="J143" s="41"/>
    </row>
    <row r="144" spans="2:10" s="1" customFormat="1" ht="12.75" x14ac:dyDescent="0.2">
      <c r="B144" s="46"/>
      <c r="C144" s="59"/>
      <c r="D144" s="60"/>
      <c r="E144" s="40"/>
      <c r="F144" s="40"/>
      <c r="G144" s="40"/>
      <c r="H144" s="40"/>
      <c r="I144" s="40"/>
      <c r="J144" s="41"/>
    </row>
    <row r="145" spans="2:10" s="1" customFormat="1" ht="12.75" x14ac:dyDescent="0.2">
      <c r="B145" s="46"/>
      <c r="C145" s="59"/>
      <c r="D145" s="60"/>
      <c r="E145" s="40"/>
      <c r="F145" s="40"/>
      <c r="G145" s="40"/>
      <c r="H145" s="40"/>
      <c r="I145" s="40"/>
      <c r="J145" s="41"/>
    </row>
    <row r="146" spans="2:10" s="1" customFormat="1" ht="12.75" x14ac:dyDescent="0.2">
      <c r="B146" s="46"/>
      <c r="C146" s="59"/>
      <c r="D146" s="60"/>
      <c r="E146" s="40"/>
      <c r="F146" s="40"/>
      <c r="G146" s="40"/>
      <c r="H146" s="40"/>
      <c r="I146" s="40"/>
      <c r="J146" s="41"/>
    </row>
    <row r="147" spans="2:10" s="1" customFormat="1" ht="12.75" x14ac:dyDescent="0.2">
      <c r="B147" s="46"/>
      <c r="C147" s="59"/>
      <c r="D147" s="60"/>
      <c r="E147" s="40"/>
      <c r="F147" s="40"/>
      <c r="G147" s="40"/>
      <c r="H147" s="40"/>
      <c r="I147" s="40"/>
      <c r="J147" s="41"/>
    </row>
    <row r="148" spans="2:10" s="1" customFormat="1" ht="12.75" x14ac:dyDescent="0.2">
      <c r="B148" s="46"/>
      <c r="C148" s="59"/>
      <c r="D148" s="60"/>
      <c r="E148" s="40"/>
      <c r="F148" s="40"/>
      <c r="G148" s="40"/>
      <c r="H148" s="40"/>
      <c r="I148" s="40"/>
      <c r="J148" s="41"/>
    </row>
    <row r="149" spans="2:10" s="1" customFormat="1" ht="12.75" x14ac:dyDescent="0.2">
      <c r="B149" s="46"/>
      <c r="C149" s="59"/>
      <c r="D149" s="60"/>
      <c r="E149" s="40"/>
      <c r="F149" s="40"/>
      <c r="G149" s="40"/>
      <c r="H149" s="40"/>
      <c r="I149" s="40"/>
      <c r="J149" s="41"/>
    </row>
    <row r="150" spans="2:10" s="1" customFormat="1" ht="12.75" x14ac:dyDescent="0.2">
      <c r="B150" s="46"/>
      <c r="C150" s="59"/>
      <c r="D150" s="60"/>
      <c r="E150" s="40"/>
      <c r="F150" s="40"/>
      <c r="G150" s="40"/>
      <c r="H150" s="40"/>
      <c r="I150" s="40"/>
      <c r="J150" s="41"/>
    </row>
    <row r="151" spans="2:10" s="1" customFormat="1" ht="12.75" x14ac:dyDescent="0.2">
      <c r="B151" s="46"/>
      <c r="C151" s="59"/>
      <c r="D151" s="60"/>
      <c r="E151" s="40"/>
      <c r="F151" s="40"/>
      <c r="G151" s="40"/>
      <c r="H151" s="40"/>
      <c r="I151" s="40"/>
      <c r="J151" s="41"/>
    </row>
    <row r="152" spans="2:10" s="1" customFormat="1" ht="12.75" x14ac:dyDescent="0.2">
      <c r="B152" s="37"/>
      <c r="C152" s="38"/>
      <c r="D152" s="38"/>
      <c r="E152" s="38"/>
      <c r="F152" s="38"/>
      <c r="G152" s="38"/>
      <c r="H152" s="38"/>
      <c r="I152" s="38"/>
      <c r="J152" s="38"/>
    </row>
    <row r="153" spans="2:10" s="1" customFormat="1" ht="12.75" x14ac:dyDescent="0.2">
      <c r="C153" s="499" t="s">
        <v>37</v>
      </c>
      <c r="D153" s="499"/>
      <c r="E153" s="499"/>
      <c r="F153" s="499"/>
      <c r="G153" s="499"/>
      <c r="H153" s="499"/>
    </row>
    <row r="154" spans="2:10" s="1" customFormat="1" ht="12.75" x14ac:dyDescent="0.2">
      <c r="C154" s="499" t="s">
        <v>38</v>
      </c>
      <c r="D154" s="499"/>
      <c r="E154" s="499"/>
      <c r="F154" s="499"/>
      <c r="G154" s="499"/>
      <c r="H154" s="499"/>
    </row>
    <row r="155" spans="2:10" s="1" customFormat="1" ht="12.75" x14ac:dyDescent="0.2">
      <c r="C155" s="499" t="s">
        <v>39</v>
      </c>
      <c r="D155" s="499"/>
      <c r="E155" s="499"/>
      <c r="F155" s="499"/>
      <c r="G155" s="499"/>
      <c r="H155" s="499"/>
    </row>
    <row r="156" spans="2:10" s="1" customFormat="1" ht="12.75" x14ac:dyDescent="0.2">
      <c r="C156" s="500" t="s">
        <v>40</v>
      </c>
      <c r="D156" s="500"/>
      <c r="E156" s="500"/>
      <c r="F156" s="500"/>
      <c r="G156" s="500"/>
      <c r="H156" s="500"/>
    </row>
    <row r="157" spans="2:10" s="1" customFormat="1" ht="12.75" x14ac:dyDescent="0.2">
      <c r="C157" s="385"/>
      <c r="D157" s="385"/>
      <c r="E157" s="385"/>
      <c r="F157" s="385"/>
      <c r="G157" s="385"/>
      <c r="H157" s="385"/>
    </row>
    <row r="158" spans="2:10" s="1" customFormat="1" ht="33.75" customHeight="1" x14ac:dyDescent="0.2">
      <c r="B158" s="386" t="s">
        <v>65</v>
      </c>
      <c r="C158" s="387"/>
      <c r="D158" s="387"/>
      <c r="E158" s="387"/>
      <c r="F158" s="387"/>
      <c r="G158" s="387"/>
      <c r="H158" s="387"/>
      <c r="I158" s="387"/>
      <c r="J158" s="388"/>
    </row>
    <row r="159" spans="2:10" s="1" customFormat="1" ht="20.25" x14ac:dyDescent="0.2">
      <c r="B159" s="390" t="s">
        <v>362</v>
      </c>
      <c r="C159" s="391"/>
      <c r="D159" s="391"/>
      <c r="E159" s="391"/>
      <c r="F159" s="391"/>
      <c r="G159" s="391"/>
      <c r="H159" s="391"/>
      <c r="I159" s="391"/>
      <c r="J159" s="392"/>
    </row>
    <row r="160" spans="2:10" s="1" customFormat="1" ht="13.5" thickBot="1" x14ac:dyDescent="0.25">
      <c r="B160" s="389"/>
      <c r="C160" s="389"/>
      <c r="D160" s="389"/>
      <c r="E160" s="389"/>
      <c r="F160" s="389"/>
      <c r="G160" s="389"/>
      <c r="H160" s="389"/>
      <c r="I160" s="389"/>
      <c r="J160" s="389"/>
    </row>
    <row r="161" spans="2:10" s="1" customFormat="1" ht="24.75" customHeight="1" x14ac:dyDescent="0.2">
      <c r="B161" s="494" t="s">
        <v>27</v>
      </c>
      <c r="C161" s="495"/>
      <c r="D161" s="495"/>
      <c r="E161" s="495"/>
      <c r="F161" s="495"/>
      <c r="G161" s="495"/>
      <c r="H161" s="495"/>
      <c r="I161" s="495"/>
      <c r="J161" s="496"/>
    </row>
    <row r="162" spans="2:10" s="1" customFormat="1" ht="12.75" x14ac:dyDescent="0.2">
      <c r="B162" s="2" t="s">
        <v>35</v>
      </c>
      <c r="C162" s="3" t="s">
        <v>36</v>
      </c>
      <c r="D162" s="3"/>
      <c r="E162" s="4"/>
      <c r="F162" s="5"/>
      <c r="G162" s="6" t="s">
        <v>8</v>
      </c>
      <c r="H162" s="497">
        <v>42879</v>
      </c>
      <c r="I162" s="497"/>
      <c r="J162" s="7"/>
    </row>
    <row r="163" spans="2:10" s="1" customFormat="1" ht="12.75" x14ac:dyDescent="0.2">
      <c r="B163" s="2" t="s">
        <v>33</v>
      </c>
      <c r="C163" s="3" t="s">
        <v>29</v>
      </c>
      <c r="D163" s="8"/>
      <c r="E163" s="8"/>
      <c r="F163" s="3"/>
      <c r="G163" s="9" t="s">
        <v>32</v>
      </c>
      <c r="H163" s="4" t="s">
        <v>29</v>
      </c>
      <c r="I163" s="10"/>
      <c r="J163" s="11"/>
    </row>
    <row r="164" spans="2:10" s="1" customFormat="1" ht="12.75" x14ac:dyDescent="0.2">
      <c r="B164" s="2" t="s">
        <v>34</v>
      </c>
      <c r="C164" s="3" t="s">
        <v>29</v>
      </c>
      <c r="D164" s="8"/>
      <c r="E164" s="8"/>
      <c r="F164" s="3"/>
      <c r="G164" s="9" t="s">
        <v>30</v>
      </c>
      <c r="H164" s="4" t="s">
        <v>31</v>
      </c>
      <c r="I164" s="10"/>
      <c r="J164" s="11"/>
    </row>
    <row r="165" spans="2:10" s="1" customFormat="1" ht="13.5" thickBot="1" x14ac:dyDescent="0.25">
      <c r="B165" s="12" t="s">
        <v>43</v>
      </c>
      <c r="C165" s="13" t="s">
        <v>44</v>
      </c>
      <c r="D165" s="14"/>
      <c r="E165" s="14"/>
      <c r="F165" s="13"/>
      <c r="G165" s="15" t="s">
        <v>41</v>
      </c>
      <c r="H165" s="16" t="s">
        <v>42</v>
      </c>
      <c r="I165" s="17"/>
      <c r="J165" s="18"/>
    </row>
    <row r="166" spans="2:10" s="1" customFormat="1" ht="12.75" x14ac:dyDescent="0.2">
      <c r="B166" s="389"/>
      <c r="C166" s="389"/>
      <c r="D166" s="389"/>
      <c r="E166" s="389"/>
      <c r="F166" s="389"/>
      <c r="G166" s="389"/>
      <c r="H166" s="389"/>
      <c r="I166" s="389"/>
      <c r="J166" s="389"/>
    </row>
    <row r="167" spans="2:10" s="1" customFormat="1" ht="12.75" x14ac:dyDescent="0.2">
      <c r="B167" s="21" t="s">
        <v>5</v>
      </c>
      <c r="C167" s="22" t="s">
        <v>0</v>
      </c>
      <c r="D167" s="22" t="s">
        <v>9</v>
      </c>
      <c r="E167" s="22" t="s">
        <v>10</v>
      </c>
      <c r="F167" s="22" t="s">
        <v>1</v>
      </c>
      <c r="G167" s="22" t="s">
        <v>2</v>
      </c>
      <c r="H167" s="22" t="s">
        <v>11</v>
      </c>
      <c r="I167" s="22" t="s">
        <v>6</v>
      </c>
      <c r="J167" s="22" t="s">
        <v>7</v>
      </c>
    </row>
    <row r="168" spans="2:10" s="1" customFormat="1" ht="12.75" x14ac:dyDescent="0.2">
      <c r="B168" s="55">
        <v>4.03</v>
      </c>
      <c r="C168" s="56" t="s">
        <v>222</v>
      </c>
      <c r="D168" s="60"/>
      <c r="E168" s="40"/>
      <c r="F168" s="40"/>
      <c r="G168" s="40"/>
      <c r="H168" s="40"/>
      <c r="I168" s="40"/>
      <c r="J168" s="41"/>
    </row>
    <row r="169" spans="2:10" s="1" customFormat="1" ht="12.75" x14ac:dyDescent="0.2">
      <c r="B169" s="57" t="s">
        <v>14</v>
      </c>
      <c r="C169" s="58" t="s">
        <v>225</v>
      </c>
      <c r="D169" s="60"/>
      <c r="E169" s="40"/>
      <c r="F169" s="40"/>
      <c r="G169" s="40"/>
      <c r="H169" s="40"/>
      <c r="I169" s="40"/>
      <c r="J169" s="41"/>
    </row>
    <row r="170" spans="2:10" s="1" customFormat="1" ht="12.75" x14ac:dyDescent="0.2">
      <c r="B170" s="43" t="s">
        <v>15</v>
      </c>
      <c r="C170" s="43" t="s">
        <v>359</v>
      </c>
      <c r="D170" s="60"/>
      <c r="E170" s="40"/>
      <c r="F170" s="40"/>
      <c r="G170" s="40"/>
      <c r="H170" s="40"/>
      <c r="I170" s="44">
        <f>SUM(H171:H171)</f>
        <v>6.8</v>
      </c>
      <c r="J170" s="45" t="str">
        <f>+J171</f>
        <v>ml</v>
      </c>
    </row>
    <row r="171" spans="2:10" s="1" customFormat="1" ht="12.75" x14ac:dyDescent="0.2">
      <c r="B171" s="43"/>
      <c r="C171" s="39" t="s">
        <v>457</v>
      </c>
      <c r="D171" s="60">
        <v>1</v>
      </c>
      <c r="E171" s="40">
        <v>6.8</v>
      </c>
      <c r="F171" s="40"/>
      <c r="G171" s="40"/>
      <c r="H171" s="40">
        <f>IF(AND(F171=0,G171=0),D171*E171,IF(AND(E171=0,G171=0),D171*F171,IF(AND(E171=0,F171=0),D171*G171,IF(AND(E171=0),D171*F171*G171,IF(AND(F171=0),D171*E171*G171,IF(AND(G171=0),D171*E171*F171,D171*E171*F171*G171))))))</f>
        <v>6.8</v>
      </c>
      <c r="I171" s="40"/>
      <c r="J171" s="41" t="str">
        <f>IF(AND(E171=0,F171&lt;&gt;0,G171&lt;&gt;0),"m2",IF(AND(F171=0,E171&lt;&gt;0,G171&lt;&gt;0),"m2",IF(AND(G171=0,E171&lt;&gt;0,F171&lt;&gt;0),"m2",IF(AND(F171=0,G171=0),"ml",IF(AND(E171=0,G171=0),"ml",IF(AND(E171=0,F171=0),"ml",IF(AND(E171&lt;&gt;0,F171&lt;&gt;0,G171&lt;&gt;0),"m3",0)))))))</f>
        <v>ml</v>
      </c>
    </row>
    <row r="172" spans="2:10" s="1" customFormat="1" ht="12.75" x14ac:dyDescent="0.2">
      <c r="B172" s="43" t="s">
        <v>232</v>
      </c>
      <c r="C172" s="43" t="s">
        <v>235</v>
      </c>
      <c r="D172" s="60"/>
      <c r="E172" s="40"/>
      <c r="F172" s="40"/>
      <c r="G172" s="40"/>
      <c r="H172" s="40"/>
      <c r="I172" s="44">
        <f>SUM(H173:H174)</f>
        <v>11</v>
      </c>
      <c r="J172" s="45" t="str">
        <f>+J173</f>
        <v>ml</v>
      </c>
    </row>
    <row r="173" spans="2:10" s="1" customFormat="1" ht="12.75" x14ac:dyDescent="0.2">
      <c r="B173" s="57"/>
      <c r="C173" s="39" t="s">
        <v>378</v>
      </c>
      <c r="D173" s="40">
        <v>2</v>
      </c>
      <c r="E173" s="40">
        <v>3.5</v>
      </c>
      <c r="F173" s="40"/>
      <c r="G173" s="40"/>
      <c r="H173" s="40">
        <f>IF(AND(F173=0,G173=0),D173*E173,IF(AND(E173=0,G173=0),D173*F173,IF(AND(E173=0,F173=0),D173*G173,IF(AND(E173=0),D173*F173*G173,IF(AND(F173=0),D173*E173*G173,IF(AND(G173=0),D173*E173*F173,D173*E173*F173*G173))))))</f>
        <v>7</v>
      </c>
      <c r="I173" s="40"/>
      <c r="J173" s="41" t="str">
        <f>IF(AND(E173=0,F173&lt;&gt;0,G173&lt;&gt;0),"m2",IF(AND(F173=0,E173&lt;&gt;0,G173&lt;&gt;0),"m2",IF(AND(G173=0,E173&lt;&gt;0,F173&lt;&gt;0),"m2",IF(AND(F173=0,G173=0),"ml",IF(AND(E173=0,G173=0),"ml",IF(AND(E173=0,F173=0),"ml",IF(AND(E173&lt;&gt;0,F173&lt;&gt;0,G173&lt;&gt;0),"m3",0)))))))</f>
        <v>ml</v>
      </c>
    </row>
    <row r="174" spans="2:10" s="1" customFormat="1" ht="12.75" x14ac:dyDescent="0.2">
      <c r="B174" s="57"/>
      <c r="C174" s="39" t="s">
        <v>379</v>
      </c>
      <c r="D174" s="40">
        <v>1</v>
      </c>
      <c r="E174" s="40">
        <v>4</v>
      </c>
      <c r="F174" s="40"/>
      <c r="G174" s="40"/>
      <c r="H174" s="40">
        <f>IF(AND(F174=0,G174=0),D174*E174,IF(AND(E174=0,G174=0),D174*F174,IF(AND(E174=0,F174=0),D174*G174,IF(AND(E174=0),D174*F174*G174,IF(AND(F174=0),D174*E174*G174,IF(AND(G174=0),D174*E174*F174,D174*E174*F174*G174))))))</f>
        <v>4</v>
      </c>
      <c r="I174" s="40"/>
      <c r="J174" s="41" t="str">
        <f>IF(AND(E174=0,F174&lt;&gt;0,G174&lt;&gt;0),"m2",IF(AND(F174=0,E174&lt;&gt;0,G174&lt;&gt;0),"m2",IF(AND(G174=0,E174&lt;&gt;0,F174&lt;&gt;0),"m2",IF(AND(F174=0,G174=0),"ml",IF(AND(E174=0,G174=0),"ml",IF(AND(E174=0,F174=0),"ml",IF(AND(E174&lt;&gt;0,F174&lt;&gt;0,G174&lt;&gt;0),"m3",0)))))))</f>
        <v>ml</v>
      </c>
    </row>
    <row r="175" spans="2:10" s="1" customFormat="1" ht="12.75" x14ac:dyDescent="0.2">
      <c r="B175" s="43" t="s">
        <v>233</v>
      </c>
      <c r="C175" s="43" t="s">
        <v>236</v>
      </c>
      <c r="D175" s="60"/>
      <c r="E175" s="40"/>
      <c r="F175" s="40"/>
      <c r="G175" s="40"/>
      <c r="H175" s="40"/>
      <c r="I175" s="44">
        <f>SUM(H176:H176)</f>
        <v>0</v>
      </c>
      <c r="J175" s="45" t="str">
        <f>+J176</f>
        <v>ml</v>
      </c>
    </row>
    <row r="176" spans="2:10" s="1" customFormat="1" ht="12.75" x14ac:dyDescent="0.2">
      <c r="B176" s="57"/>
      <c r="C176" s="39"/>
      <c r="D176" s="40"/>
      <c r="E176" s="40"/>
      <c r="F176" s="40"/>
      <c r="G176" s="40"/>
      <c r="H176" s="40">
        <f>IF(AND(F176=0,G176=0),D176*E176,IF(AND(E176=0,G176=0),D176*F176,IF(AND(E176=0,F176=0),D176*G176,IF(AND(E176=0),D176*F176*G176,IF(AND(F176=0),D176*E176*G176,IF(AND(G176=0),D176*E176*F176,D176*E176*F176*G176))))))</f>
        <v>0</v>
      </c>
      <c r="I176" s="40"/>
      <c r="J176" s="41" t="str">
        <f>IF(AND(E176=0,F176&lt;&gt;0,G176&lt;&gt;0),"m2",IF(AND(F176=0,E176&lt;&gt;0,G176&lt;&gt;0),"m2",IF(AND(G176=0,E176&lt;&gt;0,F176&lt;&gt;0),"m2",IF(AND(F176=0,G176=0),"ml",IF(AND(E176=0,G176=0),"ml",IF(AND(E176=0,F176=0),"ml",IF(AND(E176&lt;&gt;0,F176&lt;&gt;0,G176&lt;&gt;0),"m3",0)))))))</f>
        <v>ml</v>
      </c>
    </row>
    <row r="177" spans="2:10" s="1" customFormat="1" ht="12.75" x14ac:dyDescent="0.2">
      <c r="B177" s="43" t="s">
        <v>268</v>
      </c>
      <c r="C177" s="43" t="s">
        <v>347</v>
      </c>
      <c r="D177" s="60"/>
      <c r="E177" s="40"/>
      <c r="F177" s="40"/>
      <c r="G177" s="40"/>
      <c r="H177" s="40"/>
      <c r="I177" s="44">
        <f>SUM(H178:H179)</f>
        <v>16.05</v>
      </c>
      <c r="J177" s="45" t="s">
        <v>345</v>
      </c>
    </row>
    <row r="178" spans="2:10" s="1" customFormat="1" ht="12.75" x14ac:dyDescent="0.2">
      <c r="B178" s="43"/>
      <c r="C178" s="39" t="s">
        <v>528</v>
      </c>
      <c r="D178" s="60">
        <v>1</v>
      </c>
      <c r="E178" s="89">
        <v>14.55</v>
      </c>
      <c r="F178" s="40"/>
      <c r="G178" s="40"/>
      <c r="H178" s="40">
        <f>IF(AND(F178=0,G178=0),D178*E178,IF(AND(E178=0,G178=0),D178*F178,IF(AND(E178=0,F178=0),D178*G178,IF(AND(E178=0),D178*F178*G178,IF(AND(F178=0),D178*E178*G178,IF(AND(G178=0),D178*E178*F178,D178*E178*F178*G178))))))</f>
        <v>14.55</v>
      </c>
      <c r="I178" s="40"/>
      <c r="J178" s="41"/>
    </row>
    <row r="179" spans="2:10" s="1" customFormat="1" ht="12.75" x14ac:dyDescent="0.2">
      <c r="B179" s="57"/>
      <c r="C179" s="39" t="s">
        <v>656</v>
      </c>
      <c r="D179" s="40">
        <v>1</v>
      </c>
      <c r="E179" s="40">
        <v>1.5</v>
      </c>
      <c r="F179" s="40"/>
      <c r="G179" s="40"/>
      <c r="H179" s="40">
        <f>IF(AND(F179=0,G179=0),D179*E179,IF(AND(E179=0,G179=0),D179*F179,IF(AND(E179=0,F179=0),D179*G179,IF(AND(E179=0),D179*F179*G179,IF(AND(F179=0),D179*E179*G179,IF(AND(G179=0),D179*E179*F179,D179*E179*F179*G179))))))</f>
        <v>1.5</v>
      </c>
      <c r="I179" s="40"/>
      <c r="J179" s="41"/>
    </row>
    <row r="180" spans="2:10" s="1" customFormat="1" ht="12.75" x14ac:dyDescent="0.2">
      <c r="B180" s="57"/>
      <c r="C180" s="39"/>
      <c r="D180" s="60"/>
      <c r="E180" s="40"/>
      <c r="F180" s="40"/>
      <c r="G180" s="40"/>
      <c r="H180" s="40"/>
      <c r="I180" s="40"/>
      <c r="J180" s="41"/>
    </row>
    <row r="181" spans="2:10" s="1" customFormat="1" ht="12.75" x14ac:dyDescent="0.2">
      <c r="B181" s="43" t="s">
        <v>342</v>
      </c>
      <c r="C181" s="43" t="s">
        <v>271</v>
      </c>
      <c r="D181" s="60"/>
      <c r="E181" s="40"/>
      <c r="F181" s="40"/>
      <c r="G181" s="40"/>
      <c r="H181" s="40"/>
      <c r="I181" s="44">
        <f>SUM(H182:H183)</f>
        <v>5</v>
      </c>
      <c r="J181" s="45" t="str">
        <f>+J182</f>
        <v>und</v>
      </c>
    </row>
    <row r="182" spans="2:10" s="1" customFormat="1" ht="12.75" x14ac:dyDescent="0.2">
      <c r="B182" s="57"/>
      <c r="C182" s="39" t="s">
        <v>370</v>
      </c>
      <c r="D182" s="40">
        <v>4</v>
      </c>
      <c r="E182" s="40"/>
      <c r="F182" s="40"/>
      <c r="G182" s="40"/>
      <c r="H182" s="40">
        <f>+D182</f>
        <v>4</v>
      </c>
      <c r="I182" s="40"/>
      <c r="J182" s="41" t="s">
        <v>13</v>
      </c>
    </row>
    <row r="183" spans="2:10" s="1" customFormat="1" ht="12.75" x14ac:dyDescent="0.2">
      <c r="B183" s="57"/>
      <c r="C183" s="39" t="s">
        <v>640</v>
      </c>
      <c r="D183" s="60">
        <v>1</v>
      </c>
      <c r="E183" s="40"/>
      <c r="F183" s="40"/>
      <c r="G183" s="40"/>
      <c r="H183" s="40">
        <f>+D183</f>
        <v>1</v>
      </c>
      <c r="I183" s="40"/>
      <c r="J183" s="41"/>
    </row>
    <row r="184" spans="2:10" s="1" customFormat="1" ht="12.75" x14ac:dyDescent="0.2">
      <c r="B184" s="57" t="s">
        <v>16</v>
      </c>
      <c r="C184" s="58" t="s">
        <v>224</v>
      </c>
      <c r="D184" s="60"/>
      <c r="E184" s="40"/>
      <c r="F184" s="40"/>
      <c r="G184" s="40"/>
      <c r="H184" s="40"/>
      <c r="I184" s="40"/>
      <c r="J184" s="41"/>
    </row>
    <row r="185" spans="2:10" s="1" customFormat="1" ht="12.75" x14ac:dyDescent="0.2">
      <c r="B185" s="43" t="s">
        <v>241</v>
      </c>
      <c r="C185" s="43" t="s">
        <v>239</v>
      </c>
      <c r="D185" s="60"/>
      <c r="E185" s="40"/>
      <c r="F185" s="40"/>
      <c r="G185" s="40"/>
      <c r="H185" s="40"/>
      <c r="I185" s="44">
        <f>SUM(H186:H186)</f>
        <v>0</v>
      </c>
      <c r="J185" s="45" t="str">
        <f>+J186</f>
        <v>ml</v>
      </c>
    </row>
    <row r="186" spans="2:10" s="1" customFormat="1" ht="12.75" x14ac:dyDescent="0.2">
      <c r="B186" s="57"/>
      <c r="C186" s="39" t="s">
        <v>238</v>
      </c>
      <c r="D186" s="40"/>
      <c r="E186" s="40"/>
      <c r="F186" s="40"/>
      <c r="G186" s="40"/>
      <c r="H186" s="40">
        <f>IF(AND(F186=0,G186=0),D186*E186,IF(AND(E186=0,G186=0),D186*F186,IF(AND(E186=0,F186=0),D186*G186,IF(AND(E186=0),D186*F186*G186,IF(AND(F186=0),D186*E186*G186,IF(AND(G186=0),D186*E186*F186,D186*E186*F186*G186))))))</f>
        <v>0</v>
      </c>
      <c r="I186" s="40"/>
      <c r="J186" s="41" t="str">
        <f>IF(AND(E186=0,F186&lt;&gt;0,G186&lt;&gt;0),"m2",IF(AND(F186=0,E186&lt;&gt;0,G186&lt;&gt;0),"m2",IF(AND(G186=0,E186&lt;&gt;0,F186&lt;&gt;0),"m2",IF(AND(F186=0,G186=0),"ml",IF(AND(E186=0,G186=0),"ml",IF(AND(E186=0,F186=0),"ml",IF(AND(E186&lt;&gt;0,F186&lt;&gt;0,G186&lt;&gt;0),"m3",0)))))))</f>
        <v>ml</v>
      </c>
    </row>
    <row r="187" spans="2:10" s="1" customFormat="1" ht="12.75" x14ac:dyDescent="0.2">
      <c r="B187" s="43" t="s">
        <v>248</v>
      </c>
      <c r="C187" s="43" t="s">
        <v>246</v>
      </c>
      <c r="D187" s="60"/>
      <c r="E187" s="40"/>
      <c r="F187" s="40"/>
      <c r="G187" s="40"/>
      <c r="H187" s="40"/>
      <c r="I187" s="44">
        <f>SUM(H188:H188)</f>
        <v>0</v>
      </c>
      <c r="J187" s="45" t="str">
        <f>+J188</f>
        <v>ml</v>
      </c>
    </row>
    <row r="188" spans="2:10" s="1" customFormat="1" ht="12.75" x14ac:dyDescent="0.2">
      <c r="B188" s="57"/>
      <c r="C188" s="39" t="s">
        <v>238</v>
      </c>
      <c r="D188" s="40"/>
      <c r="E188" s="40"/>
      <c r="F188" s="40"/>
      <c r="G188" s="40"/>
      <c r="H188" s="40">
        <f>IF(AND(F188=0,G188=0),D188*E188,IF(AND(E188=0,G188=0),D188*F188,IF(AND(E188=0,F188=0),D188*G188,IF(AND(E188=0),D188*F188*G188,IF(AND(F188=0),D188*E188*G188,IF(AND(G188=0),D188*E188*F188,D188*E188*F188*G188))))))</f>
        <v>0</v>
      </c>
      <c r="I188" s="40"/>
      <c r="J188" s="41" t="str">
        <f>IF(AND(E188=0,F188&lt;&gt;0,G188&lt;&gt;0),"m2",IF(AND(F188=0,E188&lt;&gt;0,G188&lt;&gt;0),"m2",IF(AND(G188=0,E188&lt;&gt;0,F188&lt;&gt;0),"m2",IF(AND(F188=0,G188=0),"ml",IF(AND(E188=0,G188=0),"ml",IF(AND(E188=0,F188=0),"ml",IF(AND(E188&lt;&gt;0,F188&lt;&gt;0,G188&lt;&gt;0),"m3",0)))))))</f>
        <v>ml</v>
      </c>
    </row>
    <row r="189" spans="2:10" s="1" customFormat="1" ht="12.75" x14ac:dyDescent="0.2">
      <c r="B189" s="43" t="s">
        <v>249</v>
      </c>
      <c r="C189" s="43" t="s">
        <v>247</v>
      </c>
      <c r="D189" s="60"/>
      <c r="E189" s="40"/>
      <c r="F189" s="40"/>
      <c r="G189" s="40"/>
      <c r="H189" s="40"/>
      <c r="I189" s="44">
        <f>SUM(H190:H190)</f>
        <v>0</v>
      </c>
      <c r="J189" s="45" t="str">
        <f>+J190</f>
        <v>ml</v>
      </c>
    </row>
    <row r="190" spans="2:10" s="1" customFormat="1" ht="12.75" x14ac:dyDescent="0.2">
      <c r="B190" s="57"/>
      <c r="C190" s="39" t="s">
        <v>238</v>
      </c>
      <c r="D190" s="40"/>
      <c r="E190" s="40"/>
      <c r="F190" s="40"/>
      <c r="G190" s="40"/>
      <c r="H190" s="40">
        <f>IF(AND(F190=0,G190=0),D190*E190,IF(AND(E190=0,G190=0),D190*F190,IF(AND(E190=0,F190=0),D190*G190,IF(AND(E190=0),D190*F190*G190,IF(AND(F190=0),D190*E190*G190,IF(AND(G190=0),D190*E190*F190,D190*E190*F190*G190))))))</f>
        <v>0</v>
      </c>
      <c r="I190" s="40"/>
      <c r="J190" s="41" t="str">
        <f>IF(AND(E190=0,F190&lt;&gt;0,G190&lt;&gt;0),"m2",IF(AND(F190=0,E190&lt;&gt;0,G190&lt;&gt;0),"m2",IF(AND(G190=0,E190&lt;&gt;0,F190&lt;&gt;0),"m2",IF(AND(F190=0,G190=0),"ml",IF(AND(E190=0,G190=0),"ml",IF(AND(E190=0,F190=0),"ml",IF(AND(E190&lt;&gt;0,F190&lt;&gt;0,G190&lt;&gt;0),"m3",0)))))))</f>
        <v>ml</v>
      </c>
    </row>
    <row r="191" spans="2:10" s="1" customFormat="1" ht="12.75" x14ac:dyDescent="0.2">
      <c r="B191" s="43" t="s">
        <v>259</v>
      </c>
      <c r="C191" s="43" t="s">
        <v>251</v>
      </c>
      <c r="D191" s="60"/>
      <c r="E191" s="40"/>
      <c r="F191" s="40"/>
      <c r="G191" s="40"/>
      <c r="H191" s="40"/>
      <c r="I191" s="44">
        <f>SUM(H192:H192)</f>
        <v>0</v>
      </c>
      <c r="J191" s="45" t="str">
        <f>+J192</f>
        <v>ml</v>
      </c>
    </row>
    <row r="192" spans="2:10" s="1" customFormat="1" ht="12.75" x14ac:dyDescent="0.2">
      <c r="B192" s="57"/>
      <c r="C192" s="39" t="s">
        <v>238</v>
      </c>
      <c r="D192" s="40"/>
      <c r="E192" s="40"/>
      <c r="F192" s="40"/>
      <c r="G192" s="40"/>
      <c r="H192" s="40">
        <f>IF(AND(F192=0,G192=0),D192*E192,IF(AND(E192=0,G192=0),D192*F192,IF(AND(E192=0,F192=0),D192*G192,IF(AND(E192=0),D192*F192*G192,IF(AND(F192=0),D192*E192*G192,IF(AND(G192=0),D192*E192*F192,D192*E192*F192*G192))))))</f>
        <v>0</v>
      </c>
      <c r="I192" s="40"/>
      <c r="J192" s="41" t="str">
        <f>IF(AND(E192=0,F192&lt;&gt;0,G192&lt;&gt;0),"m2",IF(AND(F192=0,E192&lt;&gt;0,G192&lt;&gt;0),"m2",IF(AND(G192=0,E192&lt;&gt;0,F192&lt;&gt;0),"m2",IF(AND(F192=0,G192=0),"ml",IF(AND(E192=0,G192=0),"ml",IF(AND(E192=0,F192=0),"ml",IF(AND(E192&lt;&gt;0,F192&lt;&gt;0,G192&lt;&gt;0),"m3",0)))))))</f>
        <v>ml</v>
      </c>
    </row>
    <row r="193" spans="2:10" s="1" customFormat="1" ht="12.75" x14ac:dyDescent="0.2">
      <c r="C193" s="39"/>
      <c r="D193" s="60"/>
      <c r="E193" s="40"/>
      <c r="F193" s="40"/>
      <c r="G193" s="40"/>
      <c r="H193" s="40"/>
      <c r="I193" s="40"/>
      <c r="J193" s="41"/>
    </row>
    <row r="194" spans="2:10" s="1" customFormat="1" ht="12.75" x14ac:dyDescent="0.2">
      <c r="B194" s="57" t="s">
        <v>18</v>
      </c>
      <c r="C194" s="58" t="s">
        <v>223</v>
      </c>
      <c r="D194" s="60"/>
      <c r="E194" s="40"/>
      <c r="F194" s="40"/>
      <c r="G194" s="40"/>
      <c r="H194" s="40"/>
      <c r="I194" s="40"/>
      <c r="J194" s="41"/>
    </row>
    <row r="195" spans="2:10" s="1" customFormat="1" ht="12.75" x14ac:dyDescent="0.2">
      <c r="B195" s="43" t="s">
        <v>20</v>
      </c>
      <c r="C195" s="43" t="s">
        <v>529</v>
      </c>
      <c r="D195" s="60"/>
      <c r="E195" s="40"/>
      <c r="F195" s="40"/>
      <c r="G195" s="40"/>
      <c r="H195" s="40"/>
      <c r="I195" s="44">
        <f>SUM(H196:H196)</f>
        <v>15</v>
      </c>
      <c r="J195" s="45" t="str">
        <f>+J196</f>
        <v>und</v>
      </c>
    </row>
    <row r="196" spans="2:10" s="1" customFormat="1" ht="12.75" x14ac:dyDescent="0.2">
      <c r="B196" s="46"/>
      <c r="C196" s="39" t="s">
        <v>528</v>
      </c>
      <c r="D196" s="89">
        <f>+ROUNDUP((14.55)/1,0)</f>
        <v>15</v>
      </c>
      <c r="E196" s="40"/>
      <c r="F196" s="40"/>
      <c r="G196" s="40"/>
      <c r="H196" s="40">
        <f>+D196</f>
        <v>15</v>
      </c>
      <c r="I196" s="40"/>
      <c r="J196" s="41" t="s">
        <v>13</v>
      </c>
    </row>
    <row r="197" spans="2:10" s="1" customFormat="1" ht="12.75" x14ac:dyDescent="0.2">
      <c r="B197" s="43"/>
      <c r="C197" s="39"/>
      <c r="D197" s="60"/>
      <c r="E197" s="40"/>
      <c r="F197" s="40"/>
      <c r="G197" s="40"/>
      <c r="H197" s="40"/>
      <c r="I197" s="44"/>
      <c r="J197" s="45"/>
    </row>
    <row r="198" spans="2:10" s="1" customFormat="1" ht="12.75" x14ac:dyDescent="0.2">
      <c r="B198" s="43" t="s">
        <v>273</v>
      </c>
      <c r="C198" s="43" t="s">
        <v>354</v>
      </c>
      <c r="D198" s="60"/>
      <c r="E198" s="40"/>
      <c r="F198" s="40"/>
      <c r="G198" s="40"/>
      <c r="H198" s="40"/>
      <c r="I198" s="44">
        <f>SUM(H199:H199)</f>
        <v>14</v>
      </c>
      <c r="J198" s="45" t="s">
        <v>13</v>
      </c>
    </row>
    <row r="199" spans="2:10" s="1" customFormat="1" ht="12.75" x14ac:dyDescent="0.2">
      <c r="B199" s="43"/>
      <c r="C199" s="39" t="s">
        <v>457</v>
      </c>
      <c r="D199" s="60">
        <v>1</v>
      </c>
      <c r="E199" s="40">
        <f>+ROUNDUP(E171/0.5,0)</f>
        <v>14</v>
      </c>
      <c r="F199" s="40"/>
      <c r="G199" s="40"/>
      <c r="H199" s="40">
        <f>IF(AND(F199=0,G199=0),D199*E199,IF(AND(E199=0,G199=0),D199*F199,IF(AND(E199=0,F199=0),D199*G199,IF(AND(E199=0),D199*F199*G199,IF(AND(F199=0),D199*E199*G199,IF(AND(G199=0),D199*E199*F199,D199*E199*F199*G199))))))</f>
        <v>14</v>
      </c>
      <c r="I199" s="40"/>
      <c r="J199" s="41"/>
    </row>
    <row r="200" spans="2:10" s="1" customFormat="1" ht="12.75" x14ac:dyDescent="0.2">
      <c r="B200" s="46"/>
      <c r="C200" s="59"/>
      <c r="D200" s="60"/>
      <c r="E200" s="40"/>
      <c r="F200" s="40"/>
      <c r="G200" s="40"/>
      <c r="H200" s="40"/>
      <c r="I200" s="40"/>
      <c r="J200" s="41"/>
    </row>
    <row r="201" spans="2:10" s="1" customFormat="1" ht="12.75" x14ac:dyDescent="0.2">
      <c r="B201" s="46"/>
      <c r="C201" s="59"/>
      <c r="D201" s="60"/>
      <c r="E201" s="40"/>
      <c r="F201" s="40"/>
      <c r="G201" s="40"/>
      <c r="H201" s="40"/>
      <c r="I201" s="40"/>
      <c r="J201" s="41"/>
    </row>
    <row r="202" spans="2:10" s="1" customFormat="1" ht="12.75" x14ac:dyDescent="0.2">
      <c r="B202" s="46"/>
      <c r="C202" s="59"/>
      <c r="D202" s="60"/>
      <c r="E202" s="40"/>
      <c r="F202" s="40"/>
      <c r="G202" s="40"/>
      <c r="H202" s="40"/>
      <c r="I202" s="40"/>
      <c r="J202" s="41"/>
    </row>
    <row r="203" spans="2:10" s="1" customFormat="1" ht="12.75" x14ac:dyDescent="0.2">
      <c r="B203" s="46"/>
      <c r="C203" s="59"/>
      <c r="D203" s="60"/>
      <c r="E203" s="40"/>
      <c r="F203" s="40"/>
      <c r="G203" s="40"/>
      <c r="H203" s="40"/>
      <c r="I203" s="40"/>
      <c r="J203" s="41"/>
    </row>
    <row r="204" spans="2:10" s="1" customFormat="1" ht="12.75" x14ac:dyDescent="0.2">
      <c r="B204" s="46"/>
      <c r="C204" s="59"/>
      <c r="D204" s="60"/>
      <c r="E204" s="40"/>
      <c r="F204" s="40"/>
      <c r="G204" s="40"/>
      <c r="H204" s="40"/>
      <c r="I204" s="40"/>
      <c r="J204" s="41"/>
    </row>
    <row r="205" spans="2:10" s="1" customFormat="1" ht="12.75" x14ac:dyDescent="0.2">
      <c r="B205" s="46"/>
      <c r="C205" s="59"/>
      <c r="D205" s="60"/>
      <c r="E205" s="40"/>
      <c r="F205" s="40"/>
      <c r="G205" s="40"/>
      <c r="H205" s="40"/>
      <c r="I205" s="40"/>
      <c r="J205" s="41"/>
    </row>
    <row r="206" spans="2:10" s="1" customFormat="1" ht="12.75" x14ac:dyDescent="0.2">
      <c r="B206" s="46"/>
      <c r="C206" s="59"/>
      <c r="D206" s="60"/>
      <c r="E206" s="40"/>
      <c r="F206" s="40"/>
      <c r="G206" s="40"/>
      <c r="H206" s="40"/>
      <c r="I206" s="40"/>
      <c r="J206" s="41"/>
    </row>
    <row r="207" spans="2:10" s="1" customFormat="1" ht="12.75" x14ac:dyDescent="0.2">
      <c r="B207" s="46"/>
      <c r="C207" s="59"/>
      <c r="D207" s="60"/>
      <c r="E207" s="40"/>
      <c r="F207" s="40"/>
      <c r="G207" s="40"/>
      <c r="H207" s="40"/>
      <c r="I207" s="40"/>
      <c r="J207" s="41"/>
    </row>
    <row r="208" spans="2:10" s="1" customFormat="1" ht="12.75" x14ac:dyDescent="0.2">
      <c r="B208" s="46"/>
      <c r="C208" s="59"/>
      <c r="D208" s="60"/>
      <c r="E208" s="40"/>
      <c r="F208" s="40"/>
      <c r="G208" s="40"/>
      <c r="H208" s="40"/>
      <c r="I208" s="40"/>
      <c r="J208" s="41"/>
    </row>
    <row r="209" spans="2:10" s="1" customFormat="1" ht="12.75" x14ac:dyDescent="0.2">
      <c r="B209" s="46"/>
      <c r="C209" s="59"/>
      <c r="D209" s="60"/>
      <c r="E209" s="40"/>
      <c r="F209" s="40"/>
      <c r="G209" s="40"/>
      <c r="H209" s="40"/>
      <c r="I209" s="40"/>
      <c r="J209" s="41"/>
    </row>
    <row r="210" spans="2:10" s="1" customFormat="1" ht="12.75" x14ac:dyDescent="0.2">
      <c r="B210" s="46"/>
      <c r="C210" s="59"/>
      <c r="D210" s="60"/>
      <c r="E210" s="40"/>
      <c r="F210" s="40"/>
      <c r="G210" s="40"/>
      <c r="H210" s="40"/>
      <c r="I210" s="40"/>
      <c r="J210" s="41"/>
    </row>
    <row r="211" spans="2:10" s="1" customFormat="1" ht="12.75" x14ac:dyDescent="0.2">
      <c r="B211" s="46"/>
      <c r="C211" s="59"/>
      <c r="D211" s="60"/>
      <c r="E211" s="40"/>
      <c r="F211" s="40"/>
      <c r="G211" s="40"/>
      <c r="H211" s="40"/>
      <c r="I211" s="40"/>
      <c r="J211" s="41"/>
    </row>
    <row r="212" spans="2:10" s="1" customFormat="1" ht="12.75" x14ac:dyDescent="0.2">
      <c r="B212" s="46"/>
      <c r="C212" s="59"/>
      <c r="D212" s="60"/>
      <c r="E212" s="40"/>
      <c r="F212" s="40"/>
      <c r="G212" s="40"/>
      <c r="H212" s="40"/>
      <c r="I212" s="40"/>
      <c r="J212" s="41"/>
    </row>
    <row r="213" spans="2:10" s="1" customFormat="1" ht="12.75" x14ac:dyDescent="0.2">
      <c r="B213" s="46"/>
      <c r="C213" s="59"/>
      <c r="D213" s="60"/>
      <c r="E213" s="40"/>
      <c r="F213" s="40"/>
      <c r="G213" s="40"/>
      <c r="H213" s="40"/>
      <c r="I213" s="40"/>
      <c r="J213" s="41"/>
    </row>
    <row r="214" spans="2:10" s="1" customFormat="1" ht="12.75" x14ac:dyDescent="0.2">
      <c r="B214" s="46"/>
      <c r="C214" s="59"/>
      <c r="D214" s="60"/>
      <c r="E214" s="40"/>
      <c r="F214" s="40"/>
      <c r="G214" s="40"/>
      <c r="H214" s="40"/>
      <c r="I214" s="40"/>
      <c r="J214" s="41"/>
    </row>
    <row r="215" spans="2:10" s="1" customFormat="1" ht="12.75" x14ac:dyDescent="0.2">
      <c r="B215" s="46"/>
      <c r="C215" s="59"/>
      <c r="D215" s="60"/>
      <c r="E215" s="40"/>
      <c r="F215" s="40"/>
      <c r="G215" s="40"/>
      <c r="H215" s="40"/>
      <c r="I215" s="40"/>
      <c r="J215" s="41"/>
    </row>
    <row r="216" spans="2:10" s="1" customFormat="1" ht="12.75" x14ac:dyDescent="0.2">
      <c r="B216" s="46"/>
      <c r="C216" s="59"/>
      <c r="D216" s="60"/>
      <c r="E216" s="40"/>
      <c r="F216" s="40"/>
      <c r="G216" s="40"/>
      <c r="H216" s="40"/>
      <c r="I216" s="40"/>
      <c r="J216" s="41"/>
    </row>
    <row r="217" spans="2:10" s="1" customFormat="1" ht="12.75" x14ac:dyDescent="0.2">
      <c r="B217" s="46"/>
      <c r="C217" s="59"/>
      <c r="D217" s="60"/>
      <c r="E217" s="40"/>
      <c r="F217" s="40"/>
      <c r="G217" s="40"/>
      <c r="H217" s="40"/>
      <c r="I217" s="40"/>
      <c r="J217" s="41"/>
    </row>
    <row r="218" spans="2:10" s="1" customFormat="1" ht="12.75" x14ac:dyDescent="0.2">
      <c r="B218" s="46"/>
      <c r="C218" s="59"/>
      <c r="D218" s="60"/>
      <c r="E218" s="40"/>
      <c r="F218" s="40"/>
      <c r="G218" s="40"/>
      <c r="H218" s="40"/>
      <c r="I218" s="40"/>
      <c r="J218" s="41"/>
    </row>
    <row r="219" spans="2:10" s="1" customFormat="1" ht="12.75" x14ac:dyDescent="0.2">
      <c r="C219" s="542" t="s">
        <v>37</v>
      </c>
      <c r="D219" s="542"/>
      <c r="E219" s="542"/>
      <c r="F219" s="542"/>
      <c r="G219" s="542"/>
      <c r="H219" s="542"/>
    </row>
    <row r="220" spans="2:10" s="1" customFormat="1" ht="12.75" x14ac:dyDescent="0.2">
      <c r="C220" s="499" t="s">
        <v>38</v>
      </c>
      <c r="D220" s="499"/>
      <c r="E220" s="499"/>
      <c r="F220" s="499"/>
      <c r="G220" s="499"/>
      <c r="H220" s="499"/>
    </row>
    <row r="221" spans="2:10" s="1" customFormat="1" ht="12.75" x14ac:dyDescent="0.2">
      <c r="C221" s="499" t="s">
        <v>39</v>
      </c>
      <c r="D221" s="499"/>
      <c r="E221" s="499"/>
      <c r="F221" s="499"/>
      <c r="G221" s="499"/>
      <c r="H221" s="499"/>
    </row>
    <row r="222" spans="2:10" s="1" customFormat="1" ht="12.75" x14ac:dyDescent="0.2">
      <c r="C222" s="500" t="s">
        <v>40</v>
      </c>
      <c r="D222" s="500"/>
      <c r="E222" s="500"/>
      <c r="F222" s="500"/>
      <c r="G222" s="500"/>
      <c r="H222" s="500"/>
    </row>
    <row r="223" spans="2:10" s="1" customFormat="1" ht="12.75" x14ac:dyDescent="0.2">
      <c r="C223" s="385"/>
      <c r="D223" s="385"/>
      <c r="E223" s="385"/>
      <c r="F223" s="385"/>
      <c r="G223" s="385"/>
      <c r="H223" s="385"/>
    </row>
    <row r="224" spans="2:10" s="1" customFormat="1" ht="26.25" customHeight="1" x14ac:dyDescent="0.2">
      <c r="B224" s="386" t="s">
        <v>65</v>
      </c>
      <c r="C224" s="387"/>
      <c r="D224" s="387"/>
      <c r="E224" s="387"/>
      <c r="F224" s="387"/>
      <c r="G224" s="387"/>
      <c r="H224" s="387"/>
      <c r="I224" s="387"/>
      <c r="J224" s="388"/>
    </row>
    <row r="225" spans="2:10" s="1" customFormat="1" ht="20.25" x14ac:dyDescent="0.2">
      <c r="B225" s="390" t="s">
        <v>363</v>
      </c>
      <c r="C225" s="391"/>
      <c r="D225" s="391"/>
      <c r="E225" s="391"/>
      <c r="F225" s="391"/>
      <c r="G225" s="391"/>
      <c r="H225" s="391"/>
      <c r="I225" s="391"/>
      <c r="J225" s="392"/>
    </row>
    <row r="226" spans="2:10" s="1" customFormat="1" ht="13.5" thickBot="1" x14ac:dyDescent="0.25">
      <c r="B226" s="389"/>
      <c r="C226" s="389"/>
      <c r="D226" s="389"/>
      <c r="E226" s="389"/>
      <c r="F226" s="389"/>
      <c r="G226" s="389"/>
      <c r="H226" s="389"/>
      <c r="I226" s="389"/>
      <c r="J226" s="389"/>
    </row>
    <row r="227" spans="2:10" s="1" customFormat="1" ht="24.75" customHeight="1" x14ac:dyDescent="0.2">
      <c r="B227" s="494" t="s">
        <v>27</v>
      </c>
      <c r="C227" s="495"/>
      <c r="D227" s="495"/>
      <c r="E227" s="495"/>
      <c r="F227" s="495"/>
      <c r="G227" s="495"/>
      <c r="H227" s="495"/>
      <c r="I227" s="495"/>
      <c r="J227" s="496"/>
    </row>
    <row r="228" spans="2:10" s="1" customFormat="1" ht="12.75" x14ac:dyDescent="0.2">
      <c r="B228" s="2" t="s">
        <v>35</v>
      </c>
      <c r="C228" s="3" t="s">
        <v>36</v>
      </c>
      <c r="D228" s="3"/>
      <c r="E228" s="4"/>
      <c r="F228" s="5"/>
      <c r="G228" s="6" t="s">
        <v>8</v>
      </c>
      <c r="H228" s="383">
        <v>42879</v>
      </c>
      <c r="I228" s="383"/>
      <c r="J228" s="7"/>
    </row>
    <row r="229" spans="2:10" s="1" customFormat="1" ht="12.75" x14ac:dyDescent="0.2">
      <c r="B229" s="2" t="s">
        <v>33</v>
      </c>
      <c r="C229" s="3" t="s">
        <v>29</v>
      </c>
      <c r="D229" s="8"/>
      <c r="E229" s="8"/>
      <c r="F229" s="3"/>
      <c r="G229" s="9" t="s">
        <v>32</v>
      </c>
      <c r="H229" s="4" t="s">
        <v>29</v>
      </c>
      <c r="I229" s="10"/>
      <c r="J229" s="11"/>
    </row>
    <row r="230" spans="2:10" s="1" customFormat="1" ht="12.75" x14ac:dyDescent="0.2">
      <c r="B230" s="2" t="s">
        <v>34</v>
      </c>
      <c r="C230" s="3" t="s">
        <v>29</v>
      </c>
      <c r="D230" s="8"/>
      <c r="E230" s="8"/>
      <c r="F230" s="3"/>
      <c r="G230" s="9" t="s">
        <v>30</v>
      </c>
      <c r="H230" s="4" t="s">
        <v>31</v>
      </c>
      <c r="I230" s="10"/>
      <c r="J230" s="11"/>
    </row>
    <row r="231" spans="2:10" s="1" customFormat="1" ht="13.5" thickBot="1" x14ac:dyDescent="0.25">
      <c r="B231" s="12" t="s">
        <v>43</v>
      </c>
      <c r="C231" s="13" t="s">
        <v>44</v>
      </c>
      <c r="D231" s="14"/>
      <c r="E231" s="14"/>
      <c r="F231" s="13"/>
      <c r="G231" s="15" t="s">
        <v>41</v>
      </c>
      <c r="H231" s="16" t="s">
        <v>42</v>
      </c>
      <c r="I231" s="17"/>
      <c r="J231" s="18"/>
    </row>
    <row r="232" spans="2:10" s="1" customFormat="1" ht="12.75" x14ac:dyDescent="0.2">
      <c r="B232" s="389"/>
      <c r="C232" s="389"/>
      <c r="D232" s="389"/>
      <c r="E232" s="389"/>
      <c r="F232" s="389"/>
      <c r="G232" s="389"/>
      <c r="H232" s="389"/>
      <c r="I232" s="389"/>
      <c r="J232" s="389"/>
    </row>
    <row r="233" spans="2:10" s="1" customFormat="1" ht="12.75" x14ac:dyDescent="0.2">
      <c r="B233" s="21" t="s">
        <v>5</v>
      </c>
      <c r="C233" s="22" t="s">
        <v>0</v>
      </c>
      <c r="D233" s="22" t="s">
        <v>9</v>
      </c>
      <c r="E233" s="22" t="s">
        <v>10</v>
      </c>
      <c r="F233" s="22" t="s">
        <v>1</v>
      </c>
      <c r="G233" s="22" t="s">
        <v>2</v>
      </c>
      <c r="H233" s="22" t="s">
        <v>11</v>
      </c>
      <c r="I233" s="22" t="s">
        <v>6</v>
      </c>
      <c r="J233" s="22" t="s">
        <v>7</v>
      </c>
    </row>
    <row r="234" spans="2:10" s="1" customFormat="1" ht="12.75" x14ac:dyDescent="0.2">
      <c r="B234" s="55">
        <v>4.03</v>
      </c>
      <c r="C234" s="56" t="s">
        <v>222</v>
      </c>
      <c r="D234" s="60"/>
      <c r="E234" s="40"/>
      <c r="F234" s="40"/>
      <c r="G234" s="40"/>
      <c r="H234" s="40"/>
      <c r="I234" s="40"/>
      <c r="J234" s="41"/>
    </row>
    <row r="235" spans="2:10" s="1" customFormat="1" ht="12.75" x14ac:dyDescent="0.2">
      <c r="B235" s="57" t="s">
        <v>14</v>
      </c>
      <c r="C235" s="58" t="s">
        <v>225</v>
      </c>
      <c r="D235" s="60"/>
      <c r="E235" s="40"/>
      <c r="F235" s="40"/>
      <c r="G235" s="40"/>
      <c r="H235" s="40"/>
      <c r="I235" s="40"/>
      <c r="J235" s="41"/>
    </row>
    <row r="236" spans="2:10" s="1" customFormat="1" ht="12.75" x14ac:dyDescent="0.2">
      <c r="B236" s="43" t="s">
        <v>15</v>
      </c>
      <c r="C236" s="43" t="s">
        <v>359</v>
      </c>
      <c r="D236" s="60"/>
      <c r="E236" s="40"/>
      <c r="F236" s="40"/>
      <c r="G236" s="40"/>
      <c r="H236" s="40"/>
      <c r="I236" s="44">
        <f>SUM(H237:H237)</f>
        <v>6.15</v>
      </c>
      <c r="J236" s="45" t="str">
        <f>+J237</f>
        <v>ml</v>
      </c>
    </row>
    <row r="237" spans="2:10" s="1" customFormat="1" ht="12.75" x14ac:dyDescent="0.2">
      <c r="B237" s="43"/>
      <c r="C237" s="39" t="s">
        <v>458</v>
      </c>
      <c r="D237" s="60">
        <v>1</v>
      </c>
      <c r="E237" s="40">
        <v>6.15</v>
      </c>
      <c r="F237" s="40"/>
      <c r="G237" s="40"/>
      <c r="H237" s="40">
        <f>IF(AND(F237=0,G237=0),D237*E237,IF(AND(E237=0,G237=0),D237*F237,IF(AND(E237=0,F237=0),D237*G237,IF(AND(E237=0),D237*F237*G237,IF(AND(F237=0),D237*E237*G237,IF(AND(G237=0),D237*E237*F237,D237*E237*F237*G237))))))</f>
        <v>6.15</v>
      </c>
      <c r="I237" s="40"/>
      <c r="J237" s="41" t="str">
        <f>IF(AND(E237=0,F237&lt;&gt;0,G237&lt;&gt;0),"m2",IF(AND(F237=0,E237&lt;&gt;0,G237&lt;&gt;0),"m2",IF(AND(G237=0,E237&lt;&gt;0,F237&lt;&gt;0),"m2",IF(AND(F237=0,G237=0),"ml",IF(AND(E237=0,G237=0),"ml",IF(AND(E237=0,F237=0),"ml",IF(AND(E237&lt;&gt;0,F237&lt;&gt;0,G237&lt;&gt;0),"m3",0)))))))</f>
        <v>ml</v>
      </c>
    </row>
    <row r="238" spans="2:10" s="1" customFormat="1" ht="12.75" x14ac:dyDescent="0.2">
      <c r="B238" s="43"/>
      <c r="C238" s="39"/>
      <c r="D238" s="40"/>
      <c r="E238" s="40"/>
      <c r="F238" s="40"/>
      <c r="G238" s="40"/>
      <c r="H238" s="40"/>
      <c r="I238" s="40"/>
      <c r="J238" s="41" t="str">
        <f>IF(AND(E238=0,F238&lt;&gt;0,G238&lt;&gt;0),"m2",IF(AND(F238=0,E238&lt;&gt;0,G238&lt;&gt;0),"m2",IF(AND(G238=0,E238&lt;&gt;0,F238&lt;&gt;0),"m2",IF(AND(F238=0,G238=0),"ml",IF(AND(E238=0,G238=0),"ml",IF(AND(E238=0,F238=0),"ml",IF(AND(E238&lt;&gt;0,F238&lt;&gt;0,G238&lt;&gt;0),"m3",0)))))))</f>
        <v>ml</v>
      </c>
    </row>
    <row r="239" spans="2:10" s="1" customFormat="1" ht="12.75" x14ac:dyDescent="0.2">
      <c r="B239" s="43" t="s">
        <v>232</v>
      </c>
      <c r="C239" s="43" t="s">
        <v>235</v>
      </c>
      <c r="D239" s="60"/>
      <c r="E239" s="40"/>
      <c r="F239" s="40"/>
      <c r="G239" s="40"/>
      <c r="H239" s="40"/>
      <c r="I239" s="44">
        <f>SUM(H240:H241)</f>
        <v>89.9</v>
      </c>
      <c r="J239" s="45" t="str">
        <f>+J240</f>
        <v>ml</v>
      </c>
    </row>
    <row r="240" spans="2:10" s="1" customFormat="1" ht="12.75" x14ac:dyDescent="0.2">
      <c r="B240" s="57"/>
      <c r="C240" s="39" t="s">
        <v>378</v>
      </c>
      <c r="D240" s="40">
        <v>2</v>
      </c>
      <c r="E240" s="40">
        <v>40.200000000000003</v>
      </c>
      <c r="F240" s="40"/>
      <c r="G240" s="40"/>
      <c r="H240" s="40">
        <f>IF(AND(F240=0,G240=0),D240*E240,IF(AND(E240=0,G240=0),D240*F240,IF(AND(E240=0,F240=0),D240*G240,IF(AND(E240=0),D240*F240*G240,IF(AND(F240=0),D240*E240*G240,IF(AND(G240=0),D240*E240*F240,D240*E240*F240*G240))))))</f>
        <v>80.400000000000006</v>
      </c>
      <c r="I240" s="40"/>
      <c r="J240" s="41" t="str">
        <f>IF(AND(E240=0,F240&lt;&gt;0,G240&lt;&gt;0),"m2",IF(AND(F240=0,E240&lt;&gt;0,G240&lt;&gt;0),"m2",IF(AND(G240=0,E240&lt;&gt;0,F240&lt;&gt;0),"m2",IF(AND(F240=0,G240=0),"ml",IF(AND(E240=0,G240=0),"ml",IF(AND(E240=0,F240=0),"ml",IF(AND(E240&lt;&gt;0,F240&lt;&gt;0,G240&lt;&gt;0),"m3",0)))))))</f>
        <v>ml</v>
      </c>
    </row>
    <row r="241" spans="2:10" s="1" customFormat="1" ht="12.75" x14ac:dyDescent="0.2">
      <c r="B241" s="57"/>
      <c r="C241" s="39" t="s">
        <v>379</v>
      </c>
      <c r="D241" s="40">
        <v>1</v>
      </c>
      <c r="E241" s="40">
        <v>9.5</v>
      </c>
      <c r="F241" s="40"/>
      <c r="G241" s="40"/>
      <c r="H241" s="40">
        <f>IF(AND(F241=0,G241=0),D241*E241,IF(AND(E241=0,G241=0),D241*F241,IF(AND(E241=0,F241=0),D241*G241,IF(AND(E241=0),D241*F241*G241,IF(AND(F241=0),D241*E241*G241,IF(AND(G241=0),D241*E241*F241,D241*E241*F241*G241))))))</f>
        <v>9.5</v>
      </c>
      <c r="I241" s="40"/>
      <c r="J241" s="41" t="str">
        <f>IF(AND(E241=0,F241&lt;&gt;0,G241&lt;&gt;0),"m2",IF(AND(F241=0,E241&lt;&gt;0,G241&lt;&gt;0),"m2",IF(AND(G241=0,E241&lt;&gt;0,F241&lt;&gt;0),"m2",IF(AND(F241=0,G241=0),"ml",IF(AND(E241=0,G241=0),"ml",IF(AND(E241=0,F241=0),"ml",IF(AND(E241&lt;&gt;0,F241&lt;&gt;0,G241&lt;&gt;0),"m3",0)))))))</f>
        <v>ml</v>
      </c>
    </row>
    <row r="242" spans="2:10" s="1" customFormat="1" ht="12.75" x14ac:dyDescent="0.2">
      <c r="B242" s="43" t="s">
        <v>233</v>
      </c>
      <c r="C242" s="43" t="s">
        <v>236</v>
      </c>
      <c r="D242" s="60"/>
      <c r="E242" s="40"/>
      <c r="F242" s="40"/>
      <c r="G242" s="40"/>
      <c r="H242" s="40"/>
      <c r="I242" s="44">
        <f>SUM(H243:H243)</f>
        <v>0</v>
      </c>
      <c r="J242" s="45" t="str">
        <f>+J243</f>
        <v>ml</v>
      </c>
    </row>
    <row r="243" spans="2:10" s="1" customFormat="1" ht="12.75" x14ac:dyDescent="0.2">
      <c r="B243" s="57"/>
      <c r="C243" s="39" t="s">
        <v>231</v>
      </c>
      <c r="D243" s="40"/>
      <c r="E243" s="40"/>
      <c r="F243" s="40"/>
      <c r="G243" s="40"/>
      <c r="H243" s="40">
        <f>IF(AND(F243=0,G243=0),D243*E243,IF(AND(E243=0,G243=0),D243*F243,IF(AND(E243=0,F243=0),D243*G243,IF(AND(E243=0),D243*F243*G243,IF(AND(F243=0),D243*E243*G243,IF(AND(G243=0),D243*E243*F243,D243*E243*F243*G243))))))</f>
        <v>0</v>
      </c>
      <c r="I243" s="40"/>
      <c r="J243" s="41" t="str">
        <f>IF(AND(E243=0,F243&lt;&gt;0,G243&lt;&gt;0),"m2",IF(AND(F243=0,E243&lt;&gt;0,G243&lt;&gt;0),"m2",IF(AND(G243=0,E243&lt;&gt;0,F243&lt;&gt;0),"m2",IF(AND(F243=0,G243=0),"ml",IF(AND(E243=0,G243=0),"ml",IF(AND(E243=0,F243=0),"ml",IF(AND(E243&lt;&gt;0,F243&lt;&gt;0,G243&lt;&gt;0),"m3",0)))))))</f>
        <v>ml</v>
      </c>
    </row>
    <row r="244" spans="2:10" s="1" customFormat="1" ht="12.75" x14ac:dyDescent="0.2">
      <c r="B244" s="43" t="s">
        <v>268</v>
      </c>
      <c r="C244" s="43" t="s">
        <v>347</v>
      </c>
      <c r="D244" s="60"/>
      <c r="E244" s="40"/>
      <c r="F244" s="40"/>
      <c r="G244" s="40"/>
      <c r="H244" s="40"/>
      <c r="I244" s="44">
        <f>SUM(H245:H247)</f>
        <v>81.999999999999986</v>
      </c>
      <c r="J244" s="45" t="s">
        <v>345</v>
      </c>
    </row>
    <row r="245" spans="2:10" s="1" customFormat="1" ht="12.75" x14ac:dyDescent="0.2">
      <c r="B245" s="43"/>
      <c r="C245" s="39" t="s">
        <v>456</v>
      </c>
      <c r="D245" s="60">
        <v>6</v>
      </c>
      <c r="E245" s="40">
        <f>9.5+1.2</f>
        <v>10.7</v>
      </c>
      <c r="F245" s="40"/>
      <c r="G245" s="40"/>
      <c r="H245" s="40">
        <f t="shared" ref="H245:H247" si="4">IF(AND(F245=0,G245=0),D245*E245,IF(AND(E245=0,G245=0),D245*F245,IF(AND(E245=0,F245=0),D245*G245,IF(AND(E245=0),D245*F245*G245,IF(AND(F245=0),D245*E245*G245,IF(AND(G245=0),D245*E245*F245,D245*E245*F245*G245))))))</f>
        <v>64.199999999999989</v>
      </c>
      <c r="I245" s="40"/>
      <c r="J245" s="41"/>
    </row>
    <row r="246" spans="2:10" s="1" customFormat="1" ht="12.75" x14ac:dyDescent="0.2">
      <c r="B246" s="57"/>
      <c r="C246" s="39" t="s">
        <v>531</v>
      </c>
      <c r="D246" s="60">
        <v>1</v>
      </c>
      <c r="E246" s="89">
        <v>10.7</v>
      </c>
      <c r="F246" s="40"/>
      <c r="G246" s="40"/>
      <c r="H246" s="40">
        <f t="shared" si="4"/>
        <v>10.7</v>
      </c>
      <c r="I246" s="40"/>
      <c r="J246" s="41"/>
    </row>
    <row r="247" spans="2:10" s="1" customFormat="1" ht="12.75" x14ac:dyDescent="0.2">
      <c r="B247" s="57"/>
      <c r="C247" s="59" t="s">
        <v>658</v>
      </c>
      <c r="D247" s="60">
        <v>1</v>
      </c>
      <c r="E247" s="40">
        <f>2.1+5</f>
        <v>7.1</v>
      </c>
      <c r="F247" s="40"/>
      <c r="G247" s="40"/>
      <c r="H247" s="40">
        <f t="shared" si="4"/>
        <v>7.1</v>
      </c>
      <c r="I247" s="40"/>
      <c r="J247" s="41"/>
    </row>
    <row r="248" spans="2:10" s="1" customFormat="1" ht="12.75" x14ac:dyDescent="0.2">
      <c r="B248" s="43" t="s">
        <v>342</v>
      </c>
      <c r="C248" s="43" t="s">
        <v>271</v>
      </c>
      <c r="D248" s="60"/>
      <c r="E248" s="40"/>
      <c r="F248" s="40"/>
      <c r="G248" s="40"/>
      <c r="H248" s="40"/>
      <c r="I248" s="44">
        <f>SUM(H249:H250)</f>
        <v>7</v>
      </c>
      <c r="J248" s="45" t="str">
        <f>+J249</f>
        <v>und</v>
      </c>
    </row>
    <row r="249" spans="2:10" s="1" customFormat="1" ht="12.75" x14ac:dyDescent="0.2">
      <c r="B249" s="57"/>
      <c r="C249" s="39" t="s">
        <v>370</v>
      </c>
      <c r="D249" s="40">
        <v>6</v>
      </c>
      <c r="E249" s="40"/>
      <c r="F249" s="40"/>
      <c r="G249" s="40"/>
      <c r="H249" s="40">
        <f>+D249</f>
        <v>6</v>
      </c>
      <c r="I249" s="40"/>
      <c r="J249" s="41" t="s">
        <v>13</v>
      </c>
    </row>
    <row r="250" spans="2:10" s="1" customFormat="1" ht="12.75" x14ac:dyDescent="0.2">
      <c r="B250" s="57"/>
      <c r="C250" s="39" t="s">
        <v>641</v>
      </c>
      <c r="D250" s="60">
        <v>1</v>
      </c>
      <c r="E250" s="40"/>
      <c r="F250" s="40"/>
      <c r="G250" s="40"/>
      <c r="H250" s="40">
        <v>1</v>
      </c>
      <c r="I250" s="40"/>
      <c r="J250" s="41"/>
    </row>
    <row r="251" spans="2:10" s="1" customFormat="1" ht="12.75" x14ac:dyDescent="0.2">
      <c r="B251" s="57" t="s">
        <v>16</v>
      </c>
      <c r="C251" s="58" t="s">
        <v>224</v>
      </c>
      <c r="D251" s="60"/>
      <c r="E251" s="40"/>
      <c r="F251" s="40"/>
      <c r="G251" s="40"/>
      <c r="H251" s="40"/>
      <c r="I251" s="40"/>
      <c r="J251" s="41"/>
    </row>
    <row r="252" spans="2:10" s="1" customFormat="1" ht="12.75" x14ac:dyDescent="0.2">
      <c r="B252" s="43" t="s">
        <v>241</v>
      </c>
      <c r="C252" s="43" t="s">
        <v>239</v>
      </c>
      <c r="D252" s="60"/>
      <c r="E252" s="40"/>
      <c r="F252" s="40"/>
      <c r="G252" s="40"/>
      <c r="H252" s="40"/>
      <c r="I252" s="44">
        <f>SUM(H253:H253)</f>
        <v>3</v>
      </c>
      <c r="J252" s="45" t="str">
        <f>+J253</f>
        <v>ml</v>
      </c>
    </row>
    <row r="253" spans="2:10" s="1" customFormat="1" ht="12.75" x14ac:dyDescent="0.2">
      <c r="B253" s="57"/>
      <c r="C253" s="39" t="s">
        <v>444</v>
      </c>
      <c r="D253" s="60">
        <v>1</v>
      </c>
      <c r="E253" s="1">
        <v>3</v>
      </c>
      <c r="F253" s="40"/>
      <c r="G253" s="40"/>
      <c r="H253" s="40">
        <f>IF(AND(F253=0,G253=0),D253*E253,IF(AND(E253=0,G253=0),D253*F253,IF(AND(E253=0,F253=0),D253*G253,IF(AND(E253=0),D253*F253*G253,IF(AND(F253=0),D253*E253*G253,IF(AND(G253=0),D253*E253*F253,D253*E253*F253*G253))))))</f>
        <v>3</v>
      </c>
      <c r="I253" s="40"/>
      <c r="J253" s="41" t="str">
        <f>IF(AND(E253=0,F253&lt;&gt;0,G253&lt;&gt;0),"m2",IF(AND(F253=0,E253&lt;&gt;0,G253&lt;&gt;0),"m2",IF(AND(G253=0,E253&lt;&gt;0,F253&lt;&gt;0),"m2",IF(AND(F253=0,G253=0),"ml",IF(AND(E253=0,G253=0),"ml",IF(AND(E253=0,F253=0),"ml",IF(AND(E253&lt;&gt;0,F253&lt;&gt;0,G253&lt;&gt;0),"m3",0)))))))</f>
        <v>ml</v>
      </c>
    </row>
    <row r="254" spans="2:10" s="1" customFormat="1" ht="12.75" x14ac:dyDescent="0.2">
      <c r="B254" s="57"/>
      <c r="C254" s="39"/>
      <c r="D254" s="60"/>
      <c r="E254" s="86"/>
      <c r="F254" s="40"/>
      <c r="G254" s="40"/>
      <c r="H254" s="40"/>
      <c r="I254" s="40"/>
      <c r="J254" s="41"/>
    </row>
    <row r="255" spans="2:10" s="1" customFormat="1" ht="12.75" x14ac:dyDescent="0.2">
      <c r="B255" s="43" t="s">
        <v>248</v>
      </c>
      <c r="C255" s="43" t="s">
        <v>246</v>
      </c>
      <c r="D255" s="60"/>
      <c r="E255" s="40"/>
      <c r="F255" s="40"/>
      <c r="G255" s="40"/>
      <c r="H255" s="40"/>
      <c r="I255" s="44">
        <f>+SUM(H256:H259)</f>
        <v>26.349999999999998</v>
      </c>
      <c r="J255" s="45" t="s">
        <v>345</v>
      </c>
    </row>
    <row r="256" spans="2:10" s="1" customFormat="1" ht="12.75" x14ac:dyDescent="0.2">
      <c r="B256" s="57"/>
      <c r="C256" s="39" t="s">
        <v>444</v>
      </c>
      <c r="D256" s="60">
        <v>1</v>
      </c>
      <c r="E256" s="1">
        <v>3</v>
      </c>
      <c r="F256" s="40"/>
      <c r="G256" s="40"/>
      <c r="H256" s="40">
        <f>IF(AND(F256=0,G256=0),D256*E256,IF(AND(E256=0,G256=0),D256*F256,IF(AND(E256=0,F256=0),D256*G256,IF(AND(E256=0),D256*F256*G256,IF(AND(F256=0),D256*E256*G256,IF(AND(G256=0),D256*E256*F256,D256*E256*F256*G256))))))</f>
        <v>3</v>
      </c>
      <c r="I256" s="40"/>
      <c r="J256" s="41" t="str">
        <f>IF(AND(E256=0,F256&lt;&gt;0,G256&lt;&gt;0),"m2",IF(AND(F256=0,E256&lt;&gt;0,G256&lt;&gt;0),"m2",IF(AND(G256=0,E256&lt;&gt;0,F256&lt;&gt;0),"m2",IF(AND(F256=0,G256=0),"ml",IF(AND(E256=0,G256=0),"ml",IF(AND(E256=0,F256=0),"ml",IF(AND(E256&lt;&gt;0,F256&lt;&gt;0,G256&lt;&gt;0),"m3",0)))))))</f>
        <v>ml</v>
      </c>
    </row>
    <row r="257" spans="2:10" s="1" customFormat="1" ht="12.75" x14ac:dyDescent="0.2">
      <c r="B257" s="57"/>
      <c r="C257" s="39" t="s">
        <v>442</v>
      </c>
      <c r="D257" s="8">
        <v>1</v>
      </c>
      <c r="E257" s="86">
        <f>3.5+14.4</f>
        <v>17.899999999999999</v>
      </c>
      <c r="F257" s="40"/>
      <c r="G257" s="40"/>
      <c r="H257" s="40">
        <f>IF(AND(F257=0,G257=0),D257*E257,IF(AND(E257=0,G257=0),D257*F257,IF(AND(E257=0,F257=0),D257*G257,IF(AND(E257=0),D257*F257*G257,IF(AND(F257=0),D257*E257*G257,IF(AND(G257=0),D257*E257*F257,D257*E257*F257*G257))))))</f>
        <v>17.899999999999999</v>
      </c>
      <c r="I257" s="40"/>
      <c r="J257" s="41"/>
    </row>
    <row r="258" spans="2:10" s="1" customFormat="1" ht="12.75" x14ac:dyDescent="0.2">
      <c r="B258" s="46"/>
      <c r="C258" s="59" t="s">
        <v>646</v>
      </c>
      <c r="D258" s="60">
        <v>1</v>
      </c>
      <c r="E258" s="40">
        <v>2</v>
      </c>
      <c r="F258" s="40"/>
      <c r="G258" s="40"/>
      <c r="H258" s="40">
        <f>IF(AND(F258=0,G258=0),D258*E258,IF(AND(E258=0,G258=0),D258*F258,IF(AND(E258=0,F258=0),D258*G258,IF(AND(E258=0),D258*F258*G258,IF(AND(F258=0),D258*E258*G258,IF(AND(G258=0),D258*E258*F258,D258*E258*F258*G258))))))</f>
        <v>2</v>
      </c>
    </row>
    <row r="259" spans="2:10" s="1" customFormat="1" ht="12.75" x14ac:dyDescent="0.2">
      <c r="B259" s="46"/>
      <c r="C259" s="59" t="s">
        <v>646</v>
      </c>
      <c r="D259" s="60">
        <v>1</v>
      </c>
      <c r="E259" s="40">
        <v>3.45</v>
      </c>
      <c r="F259" s="40"/>
      <c r="G259" s="40"/>
      <c r="H259" s="40">
        <f>IF(AND(F259=0,G259=0),D259*E259,IF(AND(E259=0,G259=0),D259*F259,IF(AND(E259=0,F259=0),D259*G259,IF(AND(E259=0),D259*F259*G259,IF(AND(F259=0),D259*E259*G259,IF(AND(G259=0),D259*E259*F259,D259*E259*F259*G259))))))</f>
        <v>3.45</v>
      </c>
      <c r="I259" s="40"/>
      <c r="J259" s="41"/>
    </row>
    <row r="260" spans="2:10" s="1" customFormat="1" ht="14.25" customHeight="1" x14ac:dyDescent="0.2">
      <c r="B260" s="46"/>
      <c r="C260" s="59"/>
      <c r="D260" s="60"/>
      <c r="E260" s="40"/>
      <c r="F260" s="40"/>
      <c r="G260" s="40"/>
      <c r="H260" s="40"/>
      <c r="I260" s="40"/>
      <c r="J260" s="41"/>
    </row>
    <row r="261" spans="2:10" s="1" customFormat="1" ht="12.75" x14ac:dyDescent="0.2">
      <c r="B261" s="43" t="s">
        <v>259</v>
      </c>
      <c r="C261" s="43" t="s">
        <v>251</v>
      </c>
      <c r="D261" s="60"/>
      <c r="E261" s="40"/>
      <c r="F261" s="40"/>
      <c r="G261" s="40"/>
      <c r="H261" s="40"/>
      <c r="I261" s="44">
        <f>SUM(H262:H262)</f>
        <v>24.15</v>
      </c>
      <c r="J261" s="45" t="str">
        <f>+J262</f>
        <v>ml</v>
      </c>
    </row>
    <row r="262" spans="2:10" s="1" customFormat="1" ht="12.75" x14ac:dyDescent="0.2">
      <c r="B262" s="57"/>
      <c r="C262" s="39" t="s">
        <v>485</v>
      </c>
      <c r="D262" s="40">
        <v>1</v>
      </c>
      <c r="E262" s="40">
        <v>24.15</v>
      </c>
      <c r="F262" s="40"/>
      <c r="G262" s="40"/>
      <c r="H262" s="40">
        <f>IF(AND(F262=0,G262=0),D262*E262,IF(AND(E262=0,G262=0),D262*F262,IF(AND(E262=0,F262=0),D262*G262,IF(AND(E262=0),D262*F262*G262,IF(AND(F262=0),D262*E262*G262,IF(AND(G262=0),D262*E262*F262,D262*E262*F262*G262))))))</f>
        <v>24.15</v>
      </c>
      <c r="I262" s="40"/>
      <c r="J262" s="41" t="str">
        <f>IF(AND(E262=0,F262&lt;&gt;0,G262&lt;&gt;0),"m2",IF(AND(F262=0,E262&lt;&gt;0,G262&lt;&gt;0),"m2",IF(AND(G262=0,E262&lt;&gt;0,F262&lt;&gt;0),"m2",IF(AND(F262=0,G262=0),"ml",IF(AND(E262=0,G262=0),"ml",IF(AND(E262=0,F262=0),"ml",IF(AND(E262&lt;&gt;0,F262&lt;&gt;0,G262&lt;&gt;0),"m3",0)))))))</f>
        <v>ml</v>
      </c>
    </row>
    <row r="263" spans="2:10" s="1" customFormat="1" ht="12.75" x14ac:dyDescent="0.2">
      <c r="B263" s="57"/>
      <c r="C263" s="39"/>
      <c r="D263" s="60"/>
      <c r="E263" s="40"/>
      <c r="F263" s="40"/>
      <c r="G263" s="40"/>
      <c r="H263" s="40"/>
      <c r="I263" s="40"/>
      <c r="J263" s="41"/>
    </row>
    <row r="264" spans="2:10" s="1" customFormat="1" ht="12.75" x14ac:dyDescent="0.2">
      <c r="B264" s="57" t="s">
        <v>18</v>
      </c>
      <c r="C264" s="58" t="s">
        <v>223</v>
      </c>
      <c r="D264" s="60"/>
      <c r="E264" s="40"/>
      <c r="F264" s="40"/>
      <c r="G264" s="40"/>
      <c r="H264" s="40"/>
      <c r="I264" s="40"/>
      <c r="J264" s="41"/>
    </row>
    <row r="265" spans="2:10" s="1" customFormat="1" ht="12.75" x14ac:dyDescent="0.2">
      <c r="B265" s="43" t="s">
        <v>20</v>
      </c>
      <c r="C265" s="43" t="s">
        <v>532</v>
      </c>
      <c r="D265" s="60"/>
      <c r="E265" s="40"/>
      <c r="F265" s="40"/>
      <c r="G265" s="40"/>
      <c r="H265" s="40"/>
      <c r="I265" s="44">
        <f>SUM(H266:H267)</f>
        <v>77</v>
      </c>
      <c r="J265" s="45" t="str">
        <f>+J266</f>
        <v>und</v>
      </c>
    </row>
    <row r="266" spans="2:10" s="1" customFormat="1" ht="12.75" x14ac:dyDescent="0.2">
      <c r="B266" s="46"/>
      <c r="C266" s="39" t="s">
        <v>531</v>
      </c>
      <c r="D266" s="89">
        <f>+ROUNDUP(10.7/1,0)</f>
        <v>11</v>
      </c>
      <c r="E266" s="40"/>
      <c r="F266" s="40"/>
      <c r="G266" s="40"/>
      <c r="H266" s="40">
        <f>+D266</f>
        <v>11</v>
      </c>
      <c r="I266" s="40"/>
      <c r="J266" s="41" t="s">
        <v>13</v>
      </c>
    </row>
    <row r="267" spans="2:10" s="1" customFormat="1" ht="12.75" x14ac:dyDescent="0.2">
      <c r="B267" s="43"/>
      <c r="C267" s="39" t="s">
        <v>456</v>
      </c>
      <c r="D267" s="60">
        <f>6*ROUNDUP(10.7/1,0)</f>
        <v>66</v>
      </c>
      <c r="E267" s="40"/>
      <c r="F267" s="40"/>
      <c r="G267" s="40"/>
      <c r="H267" s="40">
        <f>+D267</f>
        <v>66</v>
      </c>
      <c r="I267" s="40"/>
      <c r="J267" s="41"/>
    </row>
    <row r="268" spans="2:10" s="1" customFormat="1" ht="12.75" x14ac:dyDescent="0.2">
      <c r="B268" s="43" t="s">
        <v>273</v>
      </c>
      <c r="C268" s="43" t="s">
        <v>354</v>
      </c>
      <c r="D268" s="60"/>
      <c r="E268" s="40"/>
      <c r="F268" s="40"/>
      <c r="G268" s="40"/>
      <c r="H268" s="40"/>
      <c r="I268" s="44">
        <f>SUM(H269)</f>
        <v>13</v>
      </c>
      <c r="J268" s="45" t="str">
        <f>+J269</f>
        <v>und</v>
      </c>
    </row>
    <row r="269" spans="2:10" s="1" customFormat="1" ht="12.75" x14ac:dyDescent="0.2">
      <c r="B269" s="43"/>
      <c r="C269" s="39" t="s">
        <v>458</v>
      </c>
      <c r="D269" s="60">
        <v>1</v>
      </c>
      <c r="E269" s="40">
        <f>+ROUNDUP(E237/0.5,0)</f>
        <v>13</v>
      </c>
      <c r="F269" s="40"/>
      <c r="G269" s="40"/>
      <c r="H269" s="40">
        <f t="shared" ref="H269" si="5">IF(AND(F269=0,G269=0),D269*E269,IF(AND(E269=0,G269=0),D269*F269,IF(AND(E269=0,F269=0),D269*G269,IF(AND(E269=0),D269*F269*G269,IF(AND(F269=0),D269*E269*G269,IF(AND(G269=0),D269*E269*F269,D269*E269*F269*G269))))))</f>
        <v>13</v>
      </c>
      <c r="I269" s="40"/>
      <c r="J269" s="41" t="s">
        <v>13</v>
      </c>
    </row>
    <row r="270" spans="2:10" s="1" customFormat="1" ht="12.75" x14ac:dyDescent="0.2">
      <c r="B270" s="46"/>
      <c r="C270" s="59"/>
      <c r="D270" s="60"/>
      <c r="E270" s="40"/>
      <c r="F270" s="40"/>
      <c r="G270" s="40"/>
      <c r="H270" s="40"/>
      <c r="I270" s="40"/>
      <c r="J270" s="41"/>
    </row>
    <row r="271" spans="2:10" s="1" customFormat="1" ht="12.75" x14ac:dyDescent="0.2">
      <c r="B271" s="46"/>
      <c r="C271" s="59"/>
      <c r="D271" s="60"/>
      <c r="E271" s="40"/>
      <c r="F271" s="40"/>
      <c r="G271" s="40"/>
      <c r="H271" s="40"/>
      <c r="I271" s="40"/>
      <c r="J271" s="41"/>
    </row>
    <row r="272" spans="2:10" s="1" customFormat="1" ht="12.75" x14ac:dyDescent="0.2">
      <c r="B272" s="46"/>
      <c r="C272" s="59"/>
      <c r="D272" s="60"/>
      <c r="E272" s="40"/>
      <c r="F272" s="40"/>
      <c r="G272" s="40"/>
      <c r="H272" s="40"/>
      <c r="I272" s="40"/>
      <c r="J272" s="41"/>
    </row>
    <row r="273" spans="2:10" s="1" customFormat="1" ht="12.75" x14ac:dyDescent="0.2">
      <c r="B273" s="46"/>
      <c r="C273" s="59"/>
      <c r="D273" s="60"/>
      <c r="E273" s="40"/>
      <c r="F273" s="40"/>
      <c r="G273" s="40"/>
      <c r="H273" s="40"/>
      <c r="I273" s="40"/>
      <c r="J273" s="41"/>
    </row>
    <row r="274" spans="2:10" s="1" customFormat="1" ht="12.75" x14ac:dyDescent="0.2">
      <c r="B274" s="46"/>
      <c r="C274" s="59"/>
      <c r="D274" s="60"/>
      <c r="E274" s="40"/>
      <c r="F274" s="40"/>
      <c r="G274" s="40"/>
      <c r="H274" s="40"/>
      <c r="I274" s="40"/>
      <c r="J274" s="41"/>
    </row>
    <row r="275" spans="2:10" s="1" customFormat="1" ht="12.75" x14ac:dyDescent="0.2">
      <c r="B275" s="46"/>
      <c r="C275" s="59"/>
      <c r="D275" s="60"/>
      <c r="E275" s="40"/>
      <c r="F275" s="40"/>
      <c r="G275" s="40"/>
      <c r="H275" s="40"/>
      <c r="I275" s="40"/>
      <c r="J275" s="41"/>
    </row>
    <row r="276" spans="2:10" s="1" customFormat="1" ht="14.25" customHeight="1" x14ac:dyDescent="0.2">
      <c r="B276" s="46"/>
      <c r="C276" s="59"/>
      <c r="D276" s="60"/>
      <c r="E276" s="40"/>
      <c r="F276" s="40"/>
      <c r="G276" s="40"/>
      <c r="H276" s="40"/>
      <c r="I276" s="40"/>
      <c r="J276" s="41"/>
    </row>
    <row r="277" spans="2:10" s="1" customFormat="1" ht="14.25" customHeight="1" x14ac:dyDescent="0.2">
      <c r="B277" s="46"/>
      <c r="C277" s="59"/>
      <c r="D277" s="60"/>
      <c r="E277" s="40"/>
      <c r="F277" s="40"/>
      <c r="G277" s="40"/>
      <c r="H277" s="40"/>
      <c r="I277" s="40"/>
      <c r="J277" s="41"/>
    </row>
    <row r="278" spans="2:10" s="1" customFormat="1" ht="14.25" customHeight="1" x14ac:dyDescent="0.2">
      <c r="B278" s="46"/>
      <c r="C278" s="59"/>
      <c r="D278" s="60"/>
      <c r="E278" s="40"/>
      <c r="F278" s="40"/>
      <c r="G278" s="40"/>
      <c r="H278" s="40"/>
      <c r="I278" s="40"/>
      <c r="J278" s="41"/>
    </row>
    <row r="279" spans="2:10" s="1" customFormat="1" ht="12.75" x14ac:dyDescent="0.2">
      <c r="C279" s="542" t="s">
        <v>37</v>
      </c>
      <c r="D279" s="542"/>
      <c r="E279" s="542"/>
      <c r="F279" s="542"/>
      <c r="G279" s="542"/>
      <c r="H279" s="542"/>
    </row>
    <row r="280" spans="2:10" s="1" customFormat="1" ht="12.75" x14ac:dyDescent="0.2">
      <c r="C280" s="499" t="s">
        <v>38</v>
      </c>
      <c r="D280" s="499"/>
      <c r="E280" s="499"/>
      <c r="F280" s="499"/>
      <c r="G280" s="499"/>
      <c r="H280" s="499"/>
    </row>
    <row r="281" spans="2:10" s="1" customFormat="1" ht="12.75" x14ac:dyDescent="0.2">
      <c r="C281" s="499" t="s">
        <v>39</v>
      </c>
      <c r="D281" s="499"/>
      <c r="E281" s="499"/>
      <c r="F281" s="499"/>
      <c r="G281" s="499"/>
      <c r="H281" s="499"/>
    </row>
    <row r="282" spans="2:10" s="1" customFormat="1" ht="12.75" x14ac:dyDescent="0.2">
      <c r="C282" s="500" t="s">
        <v>40</v>
      </c>
      <c r="D282" s="500"/>
      <c r="E282" s="500"/>
      <c r="F282" s="500"/>
      <c r="G282" s="500"/>
      <c r="H282" s="500"/>
    </row>
    <row r="283" spans="2:10" s="1" customFormat="1" ht="12.75" x14ac:dyDescent="0.2">
      <c r="C283" s="385"/>
      <c r="D283" s="385"/>
      <c r="E283" s="385"/>
      <c r="F283" s="385"/>
      <c r="G283" s="385"/>
      <c r="H283" s="385"/>
    </row>
    <row r="284" spans="2:10" s="1" customFormat="1" ht="32.25" customHeight="1" x14ac:dyDescent="0.2">
      <c r="B284" s="386" t="s">
        <v>65</v>
      </c>
      <c r="C284" s="387"/>
      <c r="D284" s="387"/>
      <c r="E284" s="387"/>
      <c r="F284" s="387"/>
      <c r="G284" s="387"/>
      <c r="H284" s="387"/>
      <c r="I284" s="387"/>
      <c r="J284" s="388"/>
    </row>
    <row r="285" spans="2:10" s="1" customFormat="1" ht="20.25" x14ac:dyDescent="0.2">
      <c r="B285" s="390" t="s">
        <v>364</v>
      </c>
      <c r="C285" s="391"/>
      <c r="D285" s="391"/>
      <c r="E285" s="391"/>
      <c r="F285" s="391"/>
      <c r="G285" s="391"/>
      <c r="H285" s="391"/>
      <c r="I285" s="391"/>
      <c r="J285" s="392"/>
    </row>
    <row r="286" spans="2:10" s="1" customFormat="1" ht="13.5" thickBot="1" x14ac:dyDescent="0.25">
      <c r="B286" s="389"/>
      <c r="C286" s="389"/>
      <c r="D286" s="389"/>
      <c r="E286" s="389"/>
      <c r="F286" s="389"/>
      <c r="G286" s="389"/>
      <c r="H286" s="389"/>
      <c r="I286" s="389"/>
      <c r="J286" s="389"/>
    </row>
    <row r="287" spans="2:10" s="1" customFormat="1" ht="24.75" customHeight="1" x14ac:dyDescent="0.2">
      <c r="B287" s="494" t="s">
        <v>27</v>
      </c>
      <c r="C287" s="495"/>
      <c r="D287" s="495"/>
      <c r="E287" s="495"/>
      <c r="F287" s="495"/>
      <c r="G287" s="495"/>
      <c r="H287" s="495"/>
      <c r="I287" s="495"/>
      <c r="J287" s="496"/>
    </row>
    <row r="288" spans="2:10" s="1" customFormat="1" ht="12.75" x14ac:dyDescent="0.2">
      <c r="B288" s="2" t="s">
        <v>35</v>
      </c>
      <c r="C288" s="3" t="s">
        <v>36</v>
      </c>
      <c r="D288" s="3"/>
      <c r="E288" s="4"/>
      <c r="F288" s="5"/>
      <c r="G288" s="6" t="s">
        <v>8</v>
      </c>
      <c r="H288" s="383">
        <v>42879</v>
      </c>
      <c r="I288" s="383"/>
      <c r="J288" s="7"/>
    </row>
    <row r="289" spans="2:10" s="1" customFormat="1" ht="12.75" x14ac:dyDescent="0.2">
      <c r="B289" s="2" t="s">
        <v>33</v>
      </c>
      <c r="C289" s="3" t="s">
        <v>29</v>
      </c>
      <c r="D289" s="8"/>
      <c r="E289" s="8"/>
      <c r="F289" s="3"/>
      <c r="G289" s="9" t="s">
        <v>32</v>
      </c>
      <c r="H289" s="4" t="s">
        <v>29</v>
      </c>
      <c r="I289" s="10"/>
      <c r="J289" s="11"/>
    </row>
    <row r="290" spans="2:10" s="1" customFormat="1" ht="12.75" x14ac:dyDescent="0.2">
      <c r="B290" s="2" t="s">
        <v>34</v>
      </c>
      <c r="C290" s="3" t="s">
        <v>29</v>
      </c>
      <c r="D290" s="8"/>
      <c r="E290" s="8"/>
      <c r="F290" s="3"/>
      <c r="G290" s="9" t="s">
        <v>30</v>
      </c>
      <c r="H290" s="4" t="s">
        <v>31</v>
      </c>
      <c r="I290" s="10"/>
      <c r="J290" s="11"/>
    </row>
    <row r="291" spans="2:10" s="1" customFormat="1" ht="13.5" thickBot="1" x14ac:dyDescent="0.25">
      <c r="B291" s="12" t="s">
        <v>43</v>
      </c>
      <c r="C291" s="13" t="s">
        <v>44</v>
      </c>
      <c r="D291" s="14"/>
      <c r="E291" s="14"/>
      <c r="F291" s="13"/>
      <c r="G291" s="15" t="s">
        <v>41</v>
      </c>
      <c r="H291" s="16" t="s">
        <v>42</v>
      </c>
      <c r="I291" s="17"/>
      <c r="J291" s="18"/>
    </row>
    <row r="292" spans="2:10" s="1" customFormat="1" ht="12.75" x14ac:dyDescent="0.2">
      <c r="B292" s="389"/>
      <c r="C292" s="389"/>
      <c r="D292" s="389"/>
      <c r="E292" s="389"/>
      <c r="F292" s="389"/>
      <c r="G292" s="389"/>
      <c r="H292" s="389"/>
      <c r="I292" s="389"/>
      <c r="J292" s="389"/>
    </row>
    <row r="293" spans="2:10" s="1" customFormat="1" ht="12.75" x14ac:dyDescent="0.2">
      <c r="B293" s="21" t="s">
        <v>5</v>
      </c>
      <c r="C293" s="22" t="s">
        <v>0</v>
      </c>
      <c r="D293" s="22" t="s">
        <v>9</v>
      </c>
      <c r="E293" s="22" t="s">
        <v>10</v>
      </c>
      <c r="F293" s="22" t="s">
        <v>1</v>
      </c>
      <c r="G293" s="22" t="s">
        <v>2</v>
      </c>
      <c r="H293" s="22" t="s">
        <v>11</v>
      </c>
      <c r="I293" s="22" t="s">
        <v>6</v>
      </c>
      <c r="J293" s="22" t="s">
        <v>7</v>
      </c>
    </row>
    <row r="294" spans="2:10" s="1" customFormat="1" ht="12.75" x14ac:dyDescent="0.2">
      <c r="B294" s="55">
        <v>4.03</v>
      </c>
      <c r="C294" s="56" t="s">
        <v>222</v>
      </c>
      <c r="D294" s="60"/>
      <c r="E294" s="40"/>
      <c r="F294" s="40"/>
      <c r="G294" s="40"/>
      <c r="H294" s="40"/>
      <c r="I294" s="40"/>
      <c r="J294" s="41"/>
    </row>
    <row r="295" spans="2:10" s="1" customFormat="1" ht="12.75" x14ac:dyDescent="0.2">
      <c r="B295" s="57" t="s">
        <v>14</v>
      </c>
      <c r="C295" s="58" t="s">
        <v>225</v>
      </c>
      <c r="D295" s="60"/>
      <c r="E295" s="40"/>
      <c r="F295" s="40"/>
      <c r="G295" s="40"/>
      <c r="H295" s="40"/>
      <c r="I295" s="40"/>
      <c r="J295" s="41"/>
    </row>
    <row r="296" spans="2:10" s="1" customFormat="1" ht="12.75" x14ac:dyDescent="0.2">
      <c r="B296" s="43" t="s">
        <v>15</v>
      </c>
      <c r="C296" s="43" t="s">
        <v>359</v>
      </c>
      <c r="D296" s="60"/>
      <c r="E296" s="40"/>
      <c r="F296" s="40"/>
      <c r="G296" s="40"/>
      <c r="H296" s="40"/>
      <c r="I296" s="44">
        <f>SUM(H297:H297)</f>
        <v>3.8</v>
      </c>
      <c r="J296" s="45" t="str">
        <f>+J297</f>
        <v>ml</v>
      </c>
    </row>
    <row r="297" spans="2:10" s="1" customFormat="1" ht="12.75" x14ac:dyDescent="0.2">
      <c r="B297" s="43"/>
      <c r="C297" s="39" t="s">
        <v>459</v>
      </c>
      <c r="D297" s="60">
        <v>1</v>
      </c>
      <c r="E297" s="40">
        <v>3.8</v>
      </c>
      <c r="F297" s="40"/>
      <c r="G297" s="40"/>
      <c r="H297" s="40">
        <f>IF(AND(F297=0,G297=0),D297*E297,IF(AND(E297=0,G297=0),D297*F297,IF(AND(E297=0,F297=0),D297*G297,IF(AND(E297=0),D297*F297*G297,IF(AND(F297=0),D297*E297*G297,IF(AND(G297=0),D297*E297*F297,D297*E297*F297*G297))))))</f>
        <v>3.8</v>
      </c>
      <c r="I297" s="40"/>
      <c r="J297" s="41" t="str">
        <f>IF(AND(E297=0,F297&lt;&gt;0,G297&lt;&gt;0),"m2",IF(AND(F297=0,E297&lt;&gt;0,G297&lt;&gt;0),"m2",IF(AND(G297=0,E297&lt;&gt;0,F297&lt;&gt;0),"m2",IF(AND(F297=0,G297=0),"ml",IF(AND(E297=0,G297=0),"ml",IF(AND(E297=0,F297=0),"ml",IF(AND(E297&lt;&gt;0,F297&lt;&gt;0,G297&lt;&gt;0),"m3",0)))))))</f>
        <v>ml</v>
      </c>
    </row>
    <row r="298" spans="2:10" s="1" customFormat="1" ht="12.75" x14ac:dyDescent="0.2">
      <c r="B298" s="43"/>
      <c r="C298" s="39"/>
      <c r="D298" s="40"/>
      <c r="E298" s="40"/>
      <c r="F298" s="40"/>
      <c r="G298" s="40"/>
      <c r="H298" s="40"/>
      <c r="I298" s="40"/>
      <c r="J298" s="41" t="str">
        <f>IF(AND(E298=0,F298&lt;&gt;0,G298&lt;&gt;0),"m2",IF(AND(F298=0,E298&lt;&gt;0,G298&lt;&gt;0),"m2",IF(AND(G298=0,E298&lt;&gt;0,F298&lt;&gt;0),"m2",IF(AND(F298=0,G298=0),"ml",IF(AND(E298=0,G298=0),"ml",IF(AND(E298=0,F298=0),"ml",IF(AND(E298&lt;&gt;0,F298&lt;&gt;0,G298&lt;&gt;0),"m3",0)))))))</f>
        <v>ml</v>
      </c>
    </row>
    <row r="299" spans="2:10" s="1" customFormat="1" ht="12.75" x14ac:dyDescent="0.2">
      <c r="B299" s="43" t="s">
        <v>232</v>
      </c>
      <c r="C299" s="43" t="s">
        <v>235</v>
      </c>
      <c r="D299" s="60"/>
      <c r="E299" s="40"/>
      <c r="F299" s="40"/>
      <c r="G299" s="40"/>
      <c r="H299" s="40"/>
      <c r="I299" s="44">
        <f>SUM(H300:H301)</f>
        <v>0</v>
      </c>
      <c r="J299" s="45" t="str">
        <f>+J300</f>
        <v>ml</v>
      </c>
    </row>
    <row r="300" spans="2:10" s="1" customFormat="1" ht="12.75" x14ac:dyDescent="0.2">
      <c r="B300" s="57"/>
      <c r="C300" s="39" t="s">
        <v>378</v>
      </c>
      <c r="D300" s="40"/>
      <c r="E300" s="40"/>
      <c r="F300" s="40"/>
      <c r="G300" s="40"/>
      <c r="H300" s="40">
        <f>IF(AND(F300=0,G300=0),D300*E300,IF(AND(E300=0,G300=0),D300*F300,IF(AND(E300=0,F300=0),D300*G300,IF(AND(E300=0),D300*F300*G300,IF(AND(F300=0),D300*E300*G300,IF(AND(G300=0),D300*E300*F300,D300*E300*F300*G300))))))</f>
        <v>0</v>
      </c>
      <c r="I300" s="40"/>
      <c r="J300" s="41" t="str">
        <f>IF(AND(E300=0,F300&lt;&gt;0,G300&lt;&gt;0),"m2",IF(AND(F300=0,E300&lt;&gt;0,G300&lt;&gt;0),"m2",IF(AND(G300=0,E300&lt;&gt;0,F300&lt;&gt;0),"m2",IF(AND(F300=0,G300=0),"ml",IF(AND(E300=0,G300=0),"ml",IF(AND(E300=0,F300=0),"ml",IF(AND(E300&lt;&gt;0,F300&lt;&gt;0,G300&lt;&gt;0),"m3",0)))))))</f>
        <v>ml</v>
      </c>
    </row>
    <row r="301" spans="2:10" s="1" customFormat="1" ht="12.75" x14ac:dyDescent="0.2">
      <c r="B301" s="57"/>
      <c r="C301" s="39" t="s">
        <v>379</v>
      </c>
      <c r="D301" s="40"/>
      <c r="E301" s="40"/>
      <c r="F301" s="40"/>
      <c r="G301" s="40"/>
      <c r="H301" s="40">
        <f>IF(AND(F301=0,G301=0),D301*E301,IF(AND(E301=0,G301=0),D301*F301,IF(AND(E301=0,F301=0),D301*G301,IF(AND(E301=0),D301*F301*G301,IF(AND(F301=0),D301*E301*G301,IF(AND(G301=0),D301*E301*F301,D301*E301*F301*G301))))))</f>
        <v>0</v>
      </c>
      <c r="I301" s="40"/>
      <c r="J301" s="41" t="str">
        <f>IF(AND(E301=0,F301&lt;&gt;0,G301&lt;&gt;0),"m2",IF(AND(F301=0,E301&lt;&gt;0,G301&lt;&gt;0),"m2",IF(AND(G301=0,E301&lt;&gt;0,F301&lt;&gt;0),"m2",IF(AND(F301=0,G301=0),"ml",IF(AND(E301=0,G301=0),"ml",IF(AND(E301=0,F301=0),"ml",IF(AND(E301&lt;&gt;0,F301&lt;&gt;0,G301&lt;&gt;0),"m3",0)))))))</f>
        <v>ml</v>
      </c>
    </row>
    <row r="302" spans="2:10" s="1" customFormat="1" ht="12.75" x14ac:dyDescent="0.2">
      <c r="B302" s="43" t="s">
        <v>233</v>
      </c>
      <c r="C302" s="43" t="s">
        <v>236</v>
      </c>
      <c r="D302" s="60"/>
      <c r="E302" s="40"/>
      <c r="F302" s="40"/>
      <c r="G302" s="40"/>
      <c r="H302" s="40"/>
      <c r="I302" s="44">
        <f>SUM(H303:H304)</f>
        <v>137.25</v>
      </c>
      <c r="J302" s="45" t="str">
        <f>+J303</f>
        <v>ml</v>
      </c>
    </row>
    <row r="303" spans="2:10" s="1" customFormat="1" ht="12.75" x14ac:dyDescent="0.2">
      <c r="B303" s="57"/>
      <c r="C303" s="39" t="s">
        <v>378</v>
      </c>
      <c r="D303" s="40">
        <v>8</v>
      </c>
      <c r="E303" s="40">
        <v>12.95</v>
      </c>
      <c r="F303" s="40"/>
      <c r="G303" s="40"/>
      <c r="H303" s="40">
        <f>IF(AND(F303=0,G303=0),D303*E303,IF(AND(E303=0,G303=0),D303*F303,IF(AND(E303=0,F303=0),D303*G303,IF(AND(E303=0),D303*F303*G303,IF(AND(F303=0),D303*E303*G303,IF(AND(G303=0),D303*E303*F303,D303*E303*F303*G303))))))</f>
        <v>103.6</v>
      </c>
      <c r="I303" s="40"/>
      <c r="J303" s="41" t="str">
        <f>IF(AND(E303=0,F303&lt;&gt;0,G303&lt;&gt;0),"m2",IF(AND(F303=0,E303&lt;&gt;0,G303&lt;&gt;0),"m2",IF(AND(G303=0,E303&lt;&gt;0,F303&lt;&gt;0),"m2",IF(AND(F303=0,G303=0),"ml",IF(AND(E303=0,G303=0),"ml",IF(AND(E303=0,F303=0),"ml",IF(AND(E303&lt;&gt;0,F303&lt;&gt;0,G303&lt;&gt;0),"m3",0)))))))</f>
        <v>ml</v>
      </c>
    </row>
    <row r="304" spans="2:10" s="1" customFormat="1" ht="12.75" x14ac:dyDescent="0.2">
      <c r="B304" s="57"/>
      <c r="C304" s="39" t="s">
        <v>379</v>
      </c>
      <c r="D304" s="40">
        <v>1</v>
      </c>
      <c r="E304" s="40">
        <v>33.65</v>
      </c>
      <c r="F304" s="40"/>
      <c r="G304" s="40"/>
      <c r="H304" s="40">
        <f>IF(AND(F304=0,G304=0),D304*E304,IF(AND(E304=0,G304=0),D304*F304,IF(AND(E304=0,F304=0),D304*G304,IF(AND(E304=0),D304*F304*G304,IF(AND(F304=0),D304*E304*G304,IF(AND(G304=0),D304*E304*F304,D304*E304*F304*G304))))))</f>
        <v>33.65</v>
      </c>
      <c r="I304" s="40"/>
      <c r="J304" s="41" t="str">
        <f>IF(AND(E304=0,F304&lt;&gt;0,G304&lt;&gt;0),"m2",IF(AND(F304=0,E304&lt;&gt;0,G304&lt;&gt;0),"m2",IF(AND(G304=0,E304&lt;&gt;0,F304&lt;&gt;0),"m2",IF(AND(F304=0,G304=0),"ml",IF(AND(E304=0,G304=0),"ml",IF(AND(E304=0,F304=0),"ml",IF(AND(E304&lt;&gt;0,F304&lt;&gt;0,G304&lt;&gt;0),"m3",0)))))))</f>
        <v>ml</v>
      </c>
    </row>
    <row r="305" spans="2:10" s="1" customFormat="1" ht="12.75" x14ac:dyDescent="0.2">
      <c r="B305" s="43" t="s">
        <v>268</v>
      </c>
      <c r="C305" s="43" t="s">
        <v>347</v>
      </c>
      <c r="D305" s="60"/>
      <c r="E305" s="40"/>
      <c r="F305" s="40"/>
      <c r="G305" s="40"/>
      <c r="H305" s="40"/>
      <c r="I305" s="44">
        <f>SUM(H306:H308)</f>
        <v>80.150000000000006</v>
      </c>
      <c r="J305" s="45" t="s">
        <v>345</v>
      </c>
    </row>
    <row r="306" spans="2:10" s="1" customFormat="1" ht="12.75" x14ac:dyDescent="0.2">
      <c r="B306" s="57"/>
      <c r="C306" s="39" t="s">
        <v>772</v>
      </c>
      <c r="D306" s="60">
        <v>4</v>
      </c>
      <c r="E306" s="40">
        <v>14.8</v>
      </c>
      <c r="F306" s="40"/>
      <c r="G306" s="40"/>
      <c r="H306" s="40">
        <f t="shared" ref="H306:H308" si="6">IF(AND(F306=0,G306=0),D306*E306,IF(AND(E306=0,G306=0),D306*F306,IF(AND(E306=0,F306=0),D306*G306,IF(AND(E306=0),D306*F306*G306,IF(AND(F306=0),D306*E306*G306,IF(AND(G306=0),D306*E306*F306,D306*E306*F306*G306))))))</f>
        <v>59.2</v>
      </c>
      <c r="I306" s="40"/>
      <c r="J306" s="41" t="s">
        <v>345</v>
      </c>
    </row>
    <row r="307" spans="2:10" s="1" customFormat="1" ht="12.75" x14ac:dyDescent="0.2">
      <c r="B307" s="57"/>
      <c r="C307" s="39" t="s">
        <v>451</v>
      </c>
      <c r="D307" s="60">
        <v>1</v>
      </c>
      <c r="E307" s="89">
        <v>11.3</v>
      </c>
      <c r="F307" s="40"/>
      <c r="G307" s="40"/>
      <c r="H307" s="40">
        <f t="shared" si="6"/>
        <v>11.3</v>
      </c>
      <c r="I307" s="40"/>
      <c r="J307" s="41" t="s">
        <v>345</v>
      </c>
    </row>
    <row r="308" spans="2:10" s="1" customFormat="1" ht="12.75" x14ac:dyDescent="0.2">
      <c r="B308" s="57"/>
      <c r="C308" s="39" t="s">
        <v>660</v>
      </c>
      <c r="D308" s="60">
        <v>1</v>
      </c>
      <c r="E308" s="89">
        <f>4.65+5</f>
        <v>9.65</v>
      </c>
      <c r="F308" s="40"/>
      <c r="G308" s="40"/>
      <c r="H308" s="40">
        <f t="shared" si="6"/>
        <v>9.65</v>
      </c>
      <c r="I308" s="40"/>
      <c r="J308" s="41"/>
    </row>
    <row r="309" spans="2:10" s="1" customFormat="1" ht="12.75" x14ac:dyDescent="0.2">
      <c r="B309" s="57"/>
      <c r="C309" s="39"/>
      <c r="D309" s="60"/>
      <c r="E309" s="40"/>
      <c r="F309" s="40"/>
      <c r="G309" s="40"/>
      <c r="H309" s="40"/>
      <c r="I309" s="40"/>
      <c r="J309" s="41"/>
    </row>
    <row r="310" spans="2:10" s="1" customFormat="1" ht="12.75" x14ac:dyDescent="0.2">
      <c r="B310" s="43" t="s">
        <v>342</v>
      </c>
      <c r="C310" s="43" t="s">
        <v>271</v>
      </c>
      <c r="D310" s="60"/>
      <c r="E310" s="40"/>
      <c r="F310" s="40"/>
      <c r="G310" s="40"/>
      <c r="H310" s="40"/>
      <c r="I310" s="44">
        <f>SUM(H311:H312)</f>
        <v>5</v>
      </c>
      <c r="J310" s="45" t="str">
        <f>+J311</f>
        <v>und</v>
      </c>
    </row>
    <row r="311" spans="2:10" s="1" customFormat="1" ht="12.75" x14ac:dyDescent="0.2">
      <c r="B311" s="57"/>
      <c r="C311" s="39" t="s">
        <v>370</v>
      </c>
      <c r="D311" s="40">
        <v>4</v>
      </c>
      <c r="E311" s="40"/>
      <c r="F311" s="40"/>
      <c r="G311" s="40"/>
      <c r="H311" s="40">
        <f>+D311</f>
        <v>4</v>
      </c>
      <c r="I311" s="40"/>
      <c r="J311" s="41" t="s">
        <v>13</v>
      </c>
    </row>
    <row r="312" spans="2:10" s="1" customFormat="1" ht="12.75" x14ac:dyDescent="0.2">
      <c r="B312" s="57"/>
      <c r="C312" s="39" t="s">
        <v>642</v>
      </c>
      <c r="D312" s="60">
        <v>1</v>
      </c>
      <c r="E312" s="40"/>
      <c r="F312" s="40"/>
      <c r="G312" s="40"/>
      <c r="H312" s="40">
        <v>1</v>
      </c>
      <c r="I312" s="40"/>
      <c r="J312" s="41"/>
    </row>
    <row r="313" spans="2:10" s="1" customFormat="1" ht="12.75" x14ac:dyDescent="0.2">
      <c r="B313" s="57"/>
      <c r="C313" s="39"/>
      <c r="D313" s="60"/>
      <c r="E313" s="40"/>
      <c r="F313" s="40"/>
      <c r="G313" s="40"/>
      <c r="H313" s="40"/>
      <c r="I313" s="40"/>
      <c r="J313" s="41"/>
    </row>
    <row r="314" spans="2:10" s="1" customFormat="1" ht="12.75" x14ac:dyDescent="0.2">
      <c r="B314" s="57" t="s">
        <v>16</v>
      </c>
      <c r="C314" s="58" t="s">
        <v>224</v>
      </c>
      <c r="D314" s="60"/>
      <c r="E314" s="40"/>
      <c r="F314" s="40"/>
      <c r="G314" s="40"/>
      <c r="H314" s="40"/>
      <c r="I314" s="40"/>
      <c r="J314" s="41"/>
    </row>
    <row r="315" spans="2:10" s="1" customFormat="1" ht="12.75" x14ac:dyDescent="0.2">
      <c r="B315" s="43" t="s">
        <v>241</v>
      </c>
      <c r="C315" s="43" t="s">
        <v>239</v>
      </c>
      <c r="D315" s="60"/>
      <c r="E315" s="40"/>
      <c r="F315" s="40"/>
      <c r="G315" s="40"/>
      <c r="H315" s="40"/>
      <c r="I315" s="44">
        <f>SUM(H316:H316)</f>
        <v>2</v>
      </c>
      <c r="J315" s="45" t="s">
        <v>345</v>
      </c>
    </row>
    <row r="316" spans="2:10" s="1" customFormat="1" ht="12.75" x14ac:dyDescent="0.2">
      <c r="B316" s="57"/>
      <c r="C316" s="39" t="s">
        <v>435</v>
      </c>
      <c r="D316" s="60">
        <v>1</v>
      </c>
      <c r="E316" s="40">
        <v>2</v>
      </c>
      <c r="F316" s="40"/>
      <c r="G316" s="40"/>
      <c r="H316" s="40">
        <f>IF(AND(F316=0,G316=0),D316*E316,IF(AND(E316=0,G316=0),D316*F316,IF(AND(E316=0,F316=0),D316*G316,IF(AND(E316=0),D316*F316*G316,IF(AND(F316=0),D316*E316*G316,IF(AND(G316=0),D316*E316*F316,D316*E316*F316*G316))))))</f>
        <v>2</v>
      </c>
      <c r="I316" s="40"/>
      <c r="J316" s="41" t="str">
        <f>IF(AND(E316=0,F316&lt;&gt;0,G316&lt;&gt;0),"m2",IF(AND(F316=0,E316&lt;&gt;0,G316&lt;&gt;0),"m2",IF(AND(G316=0,E316&lt;&gt;0,F316&lt;&gt;0),"m2",IF(AND(F316=0,G316=0),"ml",IF(AND(E316=0,G316=0),"ml",IF(AND(E316=0,F316=0),"ml",IF(AND(E316&lt;&gt;0,F316&lt;&gt;0,G316&lt;&gt;0),"m3",0)))))))</f>
        <v>ml</v>
      </c>
    </row>
    <row r="317" spans="2:10" s="1" customFormat="1" ht="12.75" x14ac:dyDescent="0.2">
      <c r="B317" s="57"/>
      <c r="C317" s="39"/>
      <c r="D317" s="60"/>
      <c r="E317" s="86"/>
      <c r="F317" s="40"/>
      <c r="G317" s="40"/>
      <c r="H317" s="40"/>
      <c r="I317" s="44"/>
      <c r="J317" s="45"/>
    </row>
    <row r="318" spans="2:10" s="1" customFormat="1" ht="12.75" x14ac:dyDescent="0.2">
      <c r="B318" s="43" t="s">
        <v>248</v>
      </c>
      <c r="C318" s="43" t="s">
        <v>246</v>
      </c>
      <c r="D318" s="40"/>
      <c r="E318" s="40"/>
      <c r="F318" s="40"/>
      <c r="G318" s="40"/>
      <c r="H318" s="40"/>
      <c r="I318" s="44">
        <f>SUM(H319:H320)</f>
        <v>11.3</v>
      </c>
      <c r="J318" s="45" t="str">
        <f>+J319</f>
        <v>ml</v>
      </c>
    </row>
    <row r="319" spans="2:10" s="1" customFormat="1" ht="12.75" x14ac:dyDescent="0.2">
      <c r="B319" s="57"/>
      <c r="C319" s="39" t="s">
        <v>435</v>
      </c>
      <c r="D319" s="60">
        <v>1</v>
      </c>
      <c r="E319" s="40">
        <v>2</v>
      </c>
      <c r="F319" s="40"/>
      <c r="G319" s="40"/>
      <c r="H319" s="40">
        <f>IF(AND(F319=0,G319=0),D319*E319,IF(AND(E319=0,G319=0),D319*F319,IF(AND(E319=0,F319=0),D319*G319,IF(AND(E319=0),D319*F319*G319,IF(AND(F319=0),D319*E319*G319,IF(AND(G319=0),D319*E319*F319,D319*E319*F319*G319))))))</f>
        <v>2</v>
      </c>
      <c r="I319" s="44"/>
      <c r="J319" s="41" t="str">
        <f>IF(AND(E318=0,F318&lt;&gt;0,G318&lt;&gt;0),"m2",IF(AND(F318=0,E318&lt;&gt;0,G318&lt;&gt;0),"m2",IF(AND(G318=0,E318&lt;&gt;0,F318&lt;&gt;0),"m2",IF(AND(F318=0,G318=0),"ml",IF(AND(E318=0,G318=0),"ml",IF(AND(E318=0,F318=0),"ml",IF(AND(E318&lt;&gt;0,F318&lt;&gt;0,G318&lt;&gt;0),"m3",0)))))))</f>
        <v>ml</v>
      </c>
    </row>
    <row r="320" spans="2:10" s="1" customFormat="1" ht="12.75" x14ac:dyDescent="0.2">
      <c r="B320" s="57"/>
      <c r="C320" s="39" t="s">
        <v>684</v>
      </c>
      <c r="D320" s="8">
        <v>1</v>
      </c>
      <c r="E320" s="86">
        <v>9.3000000000000007</v>
      </c>
      <c r="F320" s="40"/>
      <c r="G320" s="40"/>
      <c r="H320" s="40">
        <f>IF(AND(F320=0,G320=0),D320*E320,IF(AND(E320=0,G320=0),D320*F320,IF(AND(E320=0,F320=0),D320*G320,IF(AND(E320=0),D320*F320*G320,IF(AND(F320=0),D320*E320*G320,IF(AND(G320=0),D320*E320*F320,D320*E320*F320*G320))))))</f>
        <v>9.3000000000000007</v>
      </c>
      <c r="I320" s="44"/>
      <c r="J320" s="45"/>
    </row>
    <row r="321" spans="2:10" s="1" customFormat="1" ht="12.75" x14ac:dyDescent="0.2">
      <c r="B321" s="43" t="s">
        <v>259</v>
      </c>
      <c r="C321" s="43" t="s">
        <v>251</v>
      </c>
      <c r="D321" s="60"/>
      <c r="E321" s="40"/>
      <c r="F321" s="40"/>
      <c r="G321" s="40"/>
      <c r="H321" s="40"/>
      <c r="I321" s="44">
        <f>SUM(H322:H322)</f>
        <v>0</v>
      </c>
      <c r="J321" s="45" t="str">
        <f>+J322</f>
        <v>ml</v>
      </c>
    </row>
    <row r="322" spans="2:10" s="1" customFormat="1" ht="12.75" x14ac:dyDescent="0.2">
      <c r="B322" s="57"/>
      <c r="C322" s="39" t="s">
        <v>389</v>
      </c>
      <c r="D322" s="40"/>
      <c r="E322" s="40"/>
      <c r="F322" s="40"/>
      <c r="G322" s="40"/>
      <c r="H322" s="40">
        <f>IF(AND(F322=0,G322=0),D322*E322,IF(AND(E322=0,G322=0),D322*F322,IF(AND(E322=0,F322=0),D322*G322,IF(AND(E322=0),D322*F322*G322,IF(AND(F322=0),D322*E322*G322,IF(AND(G322=0),D322*E322*F322,D322*E322*F322*G322))))))</f>
        <v>0</v>
      </c>
      <c r="I322" s="40"/>
      <c r="J322" s="41" t="str">
        <f>IF(AND(E322=0,F322&lt;&gt;0,G322&lt;&gt;0),"m2",IF(AND(F322=0,E322&lt;&gt;0,G322&lt;&gt;0),"m2",IF(AND(G322=0,E322&lt;&gt;0,F322&lt;&gt;0),"m2",IF(AND(F322=0,G322=0),"ml",IF(AND(E322=0,G322=0),"ml",IF(AND(E322=0,F322=0),"ml",IF(AND(E322&lt;&gt;0,F322&lt;&gt;0,G322&lt;&gt;0),"m3",0)))))))</f>
        <v>ml</v>
      </c>
    </row>
    <row r="323" spans="2:10" s="1" customFormat="1" ht="12.75" x14ac:dyDescent="0.2">
      <c r="B323" s="57"/>
      <c r="C323" s="39"/>
      <c r="D323" s="60"/>
      <c r="E323" s="40"/>
      <c r="F323" s="40"/>
      <c r="G323" s="40"/>
      <c r="H323" s="40"/>
      <c r="I323" s="40"/>
      <c r="J323" s="41"/>
    </row>
    <row r="324" spans="2:10" s="1" customFormat="1" ht="12.75" x14ac:dyDescent="0.2">
      <c r="B324" s="57" t="s">
        <v>18</v>
      </c>
      <c r="C324" s="58" t="s">
        <v>223</v>
      </c>
      <c r="D324" s="60"/>
      <c r="E324" s="40"/>
      <c r="F324" s="40"/>
      <c r="G324" s="40"/>
      <c r="H324" s="40"/>
      <c r="I324" s="40"/>
      <c r="J324" s="41"/>
    </row>
    <row r="325" spans="2:10" s="1" customFormat="1" ht="12.75" x14ac:dyDescent="0.2">
      <c r="B325" s="43" t="s">
        <v>20</v>
      </c>
      <c r="C325" s="43" t="s">
        <v>272</v>
      </c>
      <c r="D325" s="60"/>
      <c r="E325" s="40"/>
      <c r="F325" s="40"/>
      <c r="G325" s="40"/>
      <c r="H325" s="40"/>
      <c r="I325" s="44">
        <f>SUM(H326:H327)</f>
        <v>72</v>
      </c>
      <c r="J325" s="45" t="str">
        <f>+J326</f>
        <v>und</v>
      </c>
    </row>
    <row r="326" spans="2:10" s="1" customFormat="1" ht="12.75" x14ac:dyDescent="0.2">
      <c r="B326" s="46"/>
      <c r="C326" s="39" t="s">
        <v>772</v>
      </c>
      <c r="D326" s="60">
        <f>4*ROUNDUP(14.8/1,0)</f>
        <v>60</v>
      </c>
      <c r="E326" s="40"/>
      <c r="F326" s="40"/>
      <c r="G326" s="40"/>
      <c r="H326" s="40">
        <f>+D326</f>
        <v>60</v>
      </c>
      <c r="I326" s="40"/>
      <c r="J326" s="41" t="s">
        <v>13</v>
      </c>
    </row>
    <row r="327" spans="2:10" s="1" customFormat="1" ht="12.75" x14ac:dyDescent="0.2">
      <c r="B327" s="46"/>
      <c r="C327" s="39" t="s">
        <v>451</v>
      </c>
      <c r="D327" s="60">
        <f>1*ROUNDUP(11.3/1,0)</f>
        <v>12</v>
      </c>
      <c r="E327" s="40"/>
      <c r="F327" s="40"/>
      <c r="G327" s="40"/>
      <c r="H327" s="40">
        <f>+D327</f>
        <v>12</v>
      </c>
      <c r="I327" s="40"/>
      <c r="J327" s="41"/>
    </row>
    <row r="328" spans="2:10" s="1" customFormat="1" ht="12.75" x14ac:dyDescent="0.2">
      <c r="B328" s="46"/>
      <c r="C328" s="39"/>
      <c r="D328" s="60"/>
      <c r="E328" s="40"/>
      <c r="F328" s="40"/>
      <c r="G328" s="40"/>
      <c r="H328" s="40"/>
      <c r="I328" s="40"/>
      <c r="J328" s="41"/>
    </row>
    <row r="329" spans="2:10" s="1" customFormat="1" ht="12.75" x14ac:dyDescent="0.2">
      <c r="B329" s="43" t="s">
        <v>273</v>
      </c>
      <c r="C329" s="43" t="s">
        <v>354</v>
      </c>
      <c r="D329" s="60"/>
      <c r="E329" s="40"/>
      <c r="F329" s="40"/>
      <c r="G329" s="40"/>
      <c r="H329" s="40"/>
      <c r="I329" s="44">
        <f>SUM(H330:H330)</f>
        <v>8</v>
      </c>
      <c r="J329" s="45" t="str">
        <f>+J330</f>
        <v>und</v>
      </c>
    </row>
    <row r="330" spans="2:10" s="1" customFormat="1" ht="12.75" x14ac:dyDescent="0.2">
      <c r="B330" s="43"/>
      <c r="C330" s="39" t="s">
        <v>459</v>
      </c>
      <c r="D330" s="60">
        <v>1</v>
      </c>
      <c r="E330" s="40">
        <f>+ROUNDUP(E297/0.5,0)</f>
        <v>8</v>
      </c>
      <c r="F330" s="40"/>
      <c r="G330" s="40"/>
      <c r="H330" s="40">
        <f>IF(AND(F330=0,G330=0),D330*E330,IF(AND(E330=0,G330=0),D330*F330,IF(AND(E330=0,F330=0),D330*G330,IF(AND(E330=0),D330*F330*G330,IF(AND(F330=0),D330*E330*G330,IF(AND(G330=0),D330*E330*F330,D330*E330*F330*G330))))))</f>
        <v>8</v>
      </c>
      <c r="I330" s="40"/>
      <c r="J330" s="41" t="s">
        <v>13</v>
      </c>
    </row>
    <row r="331" spans="2:10" s="1" customFormat="1" ht="12.75" x14ac:dyDescent="0.2">
      <c r="B331" s="46"/>
      <c r="F331" s="40" t="s">
        <v>786</v>
      </c>
      <c r="G331" s="40">
        <v>4</v>
      </c>
      <c r="I331" s="40"/>
      <c r="J331" s="41"/>
    </row>
    <row r="332" spans="2:10" s="1" customFormat="1" ht="12.75" x14ac:dyDescent="0.2">
      <c r="B332" s="46"/>
      <c r="C332" s="39"/>
      <c r="D332" s="8"/>
      <c r="E332" s="86"/>
      <c r="F332" s="40"/>
      <c r="G332" s="40"/>
      <c r="H332" s="40"/>
      <c r="I332" s="40"/>
      <c r="J332" s="41"/>
    </row>
    <row r="333" spans="2:10" s="1" customFormat="1" ht="12.75" x14ac:dyDescent="0.2">
      <c r="B333" s="46"/>
      <c r="C333" s="39"/>
      <c r="D333" s="8"/>
      <c r="E333" s="86"/>
      <c r="F333" s="40"/>
      <c r="G333" s="40"/>
      <c r="H333" s="40"/>
      <c r="I333" s="40"/>
      <c r="J333" s="41"/>
    </row>
    <row r="334" spans="2:10" s="1" customFormat="1" ht="12.75" x14ac:dyDescent="0.2">
      <c r="B334" s="46"/>
      <c r="C334" s="39"/>
      <c r="D334" s="8"/>
      <c r="E334" s="86"/>
      <c r="F334" s="40"/>
      <c r="G334" s="40"/>
      <c r="H334" s="40"/>
      <c r="I334" s="40"/>
      <c r="J334" s="41"/>
    </row>
    <row r="335" spans="2:10" s="1" customFormat="1" ht="12.75" x14ac:dyDescent="0.2">
      <c r="B335" s="46"/>
      <c r="C335" s="39"/>
      <c r="D335" s="40"/>
      <c r="E335" s="40"/>
      <c r="F335" s="40"/>
      <c r="G335" s="40"/>
      <c r="H335" s="40"/>
      <c r="I335" s="40"/>
      <c r="J335" s="41"/>
    </row>
    <row r="336" spans="2:10" s="1" customFormat="1" ht="12.75" x14ac:dyDescent="0.2">
      <c r="B336" s="46"/>
      <c r="C336" s="39"/>
      <c r="D336" s="8"/>
      <c r="E336" s="86"/>
      <c r="F336" s="40"/>
      <c r="G336" s="40"/>
      <c r="H336" s="40"/>
      <c r="I336" s="40"/>
      <c r="J336" s="41"/>
    </row>
    <row r="337" spans="2:10" s="1" customFormat="1" ht="12.75" x14ac:dyDescent="0.2">
      <c r="B337" s="46"/>
      <c r="C337" s="39"/>
      <c r="D337" s="40"/>
      <c r="E337" s="40"/>
      <c r="F337" s="40"/>
      <c r="G337" s="40"/>
      <c r="H337" s="40"/>
      <c r="I337" s="40"/>
      <c r="J337" s="41"/>
    </row>
    <row r="338" spans="2:10" s="1" customFormat="1" ht="12.75" x14ac:dyDescent="0.2">
      <c r="C338" s="384" t="s">
        <v>37</v>
      </c>
      <c r="D338" s="384"/>
      <c r="E338" s="384"/>
      <c r="F338" s="384"/>
      <c r="G338" s="384"/>
      <c r="H338" s="384"/>
    </row>
    <row r="339" spans="2:10" s="1" customFormat="1" ht="12.75" x14ac:dyDescent="0.2">
      <c r="C339" s="384" t="s">
        <v>38</v>
      </c>
      <c r="D339" s="384"/>
      <c r="E339" s="384"/>
      <c r="F339" s="384"/>
      <c r="G339" s="384"/>
      <c r="H339" s="384"/>
    </row>
    <row r="340" spans="2:10" s="1" customFormat="1" ht="12.75" x14ac:dyDescent="0.2">
      <c r="C340" s="384" t="s">
        <v>39</v>
      </c>
      <c r="D340" s="385"/>
      <c r="E340" s="385"/>
      <c r="F340" s="385"/>
      <c r="G340" s="385"/>
      <c r="H340" s="385"/>
    </row>
    <row r="341" spans="2:10" s="1" customFormat="1" ht="12.75" x14ac:dyDescent="0.2">
      <c r="C341" s="385" t="s">
        <v>40</v>
      </c>
      <c r="D341" s="385"/>
      <c r="E341" s="385"/>
      <c r="F341" s="385"/>
      <c r="G341" s="385"/>
      <c r="H341" s="385"/>
    </row>
    <row r="342" spans="2:10" s="1" customFormat="1" ht="24.75" customHeight="1" x14ac:dyDescent="0.2">
      <c r="C342" s="385"/>
      <c r="D342" s="387"/>
      <c r="E342" s="387"/>
      <c r="F342" s="387"/>
      <c r="G342" s="387"/>
      <c r="H342" s="387"/>
      <c r="I342" s="387"/>
      <c r="J342" s="388"/>
    </row>
    <row r="343" spans="2:10" s="1" customFormat="1" ht="24.75" customHeight="1" x14ac:dyDescent="0.2">
      <c r="B343" s="386" t="s">
        <v>65</v>
      </c>
      <c r="C343" s="387"/>
      <c r="D343" s="387"/>
      <c r="E343" s="387"/>
      <c r="F343" s="387"/>
      <c r="G343" s="387"/>
      <c r="H343" s="387"/>
      <c r="I343" s="387"/>
      <c r="J343" s="388"/>
    </row>
    <row r="344" spans="2:10" s="1" customFormat="1" ht="21" thickBot="1" x14ac:dyDescent="0.25">
      <c r="B344" s="363" t="s">
        <v>421</v>
      </c>
      <c r="C344" s="364"/>
      <c r="D344" s="364"/>
      <c r="E344" s="364"/>
      <c r="F344" s="364"/>
      <c r="G344" s="364"/>
      <c r="H344" s="364"/>
      <c r="I344" s="364"/>
      <c r="J344" s="365"/>
    </row>
    <row r="345" spans="2:10" s="1" customFormat="1" ht="13.5" thickBot="1" x14ac:dyDescent="0.25">
      <c r="B345" s="360"/>
      <c r="C345" s="361"/>
      <c r="D345" s="361"/>
      <c r="E345" s="361"/>
      <c r="F345" s="361"/>
      <c r="G345" s="361"/>
      <c r="H345" s="361"/>
      <c r="I345" s="361"/>
      <c r="J345" s="362"/>
    </row>
    <row r="346" spans="2:10" s="1" customFormat="1" ht="24.75" customHeight="1" x14ac:dyDescent="0.2">
      <c r="B346" s="494" t="s">
        <v>27</v>
      </c>
      <c r="C346" s="495"/>
      <c r="D346" s="495"/>
      <c r="E346" s="495"/>
      <c r="F346" s="495"/>
      <c r="G346" s="495" t="s">
        <v>8</v>
      </c>
      <c r="H346" s="495">
        <v>42879</v>
      </c>
      <c r="I346" s="495"/>
      <c r="J346" s="496"/>
    </row>
    <row r="347" spans="2:10" s="1" customFormat="1" ht="12.75" x14ac:dyDescent="0.2">
      <c r="B347" s="2" t="s">
        <v>35</v>
      </c>
      <c r="C347" s="3" t="s">
        <v>36</v>
      </c>
      <c r="D347" s="3"/>
      <c r="E347" s="4"/>
      <c r="F347" s="5"/>
      <c r="G347" s="6" t="s">
        <v>32</v>
      </c>
      <c r="H347" s="497" t="s">
        <v>29</v>
      </c>
      <c r="I347" s="497"/>
      <c r="J347" s="7"/>
    </row>
    <row r="348" spans="2:10" s="1" customFormat="1" ht="12.75" x14ac:dyDescent="0.2">
      <c r="B348" s="2" t="s">
        <v>33</v>
      </c>
      <c r="C348" s="3" t="s">
        <v>29</v>
      </c>
      <c r="D348" s="8"/>
      <c r="E348" s="8"/>
      <c r="F348" s="3"/>
      <c r="G348" s="9" t="s">
        <v>30</v>
      </c>
      <c r="H348" s="4" t="s">
        <v>31</v>
      </c>
      <c r="I348" s="10"/>
      <c r="J348" s="11"/>
    </row>
    <row r="349" spans="2:10" s="1" customFormat="1" ht="12.75" x14ac:dyDescent="0.2">
      <c r="B349" s="2" t="s">
        <v>34</v>
      </c>
      <c r="C349" s="3" t="s">
        <v>29</v>
      </c>
      <c r="D349" s="8"/>
      <c r="E349" s="8"/>
      <c r="F349" s="3"/>
      <c r="G349" s="9"/>
      <c r="H349" s="4"/>
      <c r="I349" s="10"/>
      <c r="J349" s="11"/>
    </row>
    <row r="350" spans="2:10" s="1" customFormat="1" ht="13.5" thickBot="1" x14ac:dyDescent="0.25">
      <c r="B350" s="12" t="s">
        <v>43</v>
      </c>
      <c r="C350" s="13" t="s">
        <v>44</v>
      </c>
      <c r="D350" s="14"/>
      <c r="E350" s="14"/>
      <c r="F350" s="13"/>
      <c r="G350" s="15"/>
      <c r="H350" s="16"/>
      <c r="I350" s="17"/>
      <c r="J350" s="18"/>
    </row>
    <row r="351" spans="2:10" s="1" customFormat="1" ht="12.75" x14ac:dyDescent="0.2">
      <c r="B351" s="389"/>
      <c r="C351" s="389"/>
      <c r="D351" s="389"/>
      <c r="E351" s="389"/>
      <c r="F351" s="389"/>
      <c r="G351" s="389"/>
      <c r="H351" s="389"/>
      <c r="I351" s="389"/>
      <c r="J351" s="389"/>
    </row>
    <row r="352" spans="2:10" s="1" customFormat="1" ht="12.75" x14ac:dyDescent="0.2">
      <c r="B352" s="21" t="s">
        <v>5</v>
      </c>
      <c r="C352" s="22" t="s">
        <v>0</v>
      </c>
      <c r="D352" s="22" t="s">
        <v>9</v>
      </c>
      <c r="E352" s="22" t="s">
        <v>10</v>
      </c>
      <c r="F352" s="22" t="s">
        <v>1</v>
      </c>
      <c r="G352" s="22" t="s">
        <v>2</v>
      </c>
      <c r="H352" s="22" t="s">
        <v>11</v>
      </c>
      <c r="I352" s="22" t="s">
        <v>6</v>
      </c>
      <c r="J352" s="22" t="s">
        <v>7</v>
      </c>
    </row>
    <row r="353" spans="2:10" s="1" customFormat="1" ht="12.75" x14ac:dyDescent="0.2">
      <c r="B353" s="55">
        <v>4.03</v>
      </c>
      <c r="C353" s="56" t="s">
        <v>222</v>
      </c>
      <c r="D353" s="60"/>
      <c r="E353" s="40"/>
      <c r="F353" s="40"/>
      <c r="G353" s="40"/>
      <c r="H353" s="40"/>
      <c r="I353" s="40"/>
      <c r="J353" s="41"/>
    </row>
    <row r="354" spans="2:10" s="1" customFormat="1" ht="12.75" x14ac:dyDescent="0.2">
      <c r="B354" s="57" t="s">
        <v>14</v>
      </c>
      <c r="C354" s="58" t="s">
        <v>225</v>
      </c>
      <c r="D354" s="60"/>
      <c r="E354" s="40"/>
      <c r="F354" s="40"/>
      <c r="G354" s="40"/>
      <c r="H354" s="40"/>
      <c r="I354" s="40"/>
      <c r="J354" s="41"/>
    </row>
    <row r="355" spans="2:10" s="1" customFormat="1" ht="12.75" x14ac:dyDescent="0.2">
      <c r="B355" s="43" t="s">
        <v>15</v>
      </c>
      <c r="C355" s="43" t="s">
        <v>359</v>
      </c>
      <c r="D355" s="60"/>
      <c r="E355" s="40"/>
      <c r="F355" s="40"/>
      <c r="G355" s="40"/>
      <c r="H355" s="40"/>
      <c r="I355" s="44">
        <f>SUM(H356:H357)</f>
        <v>11.4</v>
      </c>
      <c r="J355" s="45" t="str">
        <f>+J356</f>
        <v>ml</v>
      </c>
    </row>
    <row r="356" spans="2:10" s="1" customFormat="1" ht="12.75" x14ac:dyDescent="0.2">
      <c r="B356" s="43"/>
      <c r="C356" s="39" t="s">
        <v>460</v>
      </c>
      <c r="D356" s="40">
        <v>1</v>
      </c>
      <c r="E356" s="40">
        <v>8.4</v>
      </c>
      <c r="F356" s="40"/>
      <c r="G356" s="40"/>
      <c r="H356" s="40">
        <f>IF(AND(F356=0,G356=0),D356*E356,IF(AND(E356=0,G356=0),D356*F356,IF(AND(E356=0,F356=0),D356*G356,IF(AND(E356=0),D356*F356*G356,IF(AND(F356=0),D356*E356*G356,IF(AND(G356=0),D356*E356*F356,D356*E356*F356*G356))))))</f>
        <v>8.4</v>
      </c>
      <c r="I356" s="40"/>
      <c r="J356" s="41" t="str">
        <f>IF(AND(E356=0,F356&lt;&gt;0,G356&lt;&gt;0),"m2",IF(AND(F356=0,E356&lt;&gt;0,G356&lt;&gt;0),"m2",IF(AND(G356=0,E356&lt;&gt;0,F356&lt;&gt;0),"m2",IF(AND(F356=0,G356=0),"ml",IF(AND(E356=0,G356=0),"ml",IF(AND(E356=0,F356=0),"ml",IF(AND(E356&lt;&gt;0,F356&lt;&gt;0,G356&lt;&gt;0),"m3",0)))))))</f>
        <v>ml</v>
      </c>
    </row>
    <row r="357" spans="2:10" s="1" customFormat="1" ht="12.75" x14ac:dyDescent="0.2">
      <c r="B357" s="43"/>
      <c r="C357" s="39" t="s">
        <v>461</v>
      </c>
      <c r="D357" s="40">
        <v>1</v>
      </c>
      <c r="E357" s="40">
        <v>3</v>
      </c>
      <c r="F357" s="40"/>
      <c r="G357" s="40"/>
      <c r="H357" s="40">
        <f>IF(AND(F357=0,G357=0),D357*E357,IF(AND(E357=0,G357=0),D357*F357,IF(AND(E357=0,F357=0),D357*G357,IF(AND(E357=0),D357*F357*G357,IF(AND(F357=0),D357*E357*G357,IF(AND(G357=0),D357*E357*F357,D357*E357*F357*G357))))))</f>
        <v>3</v>
      </c>
      <c r="I357" s="40"/>
      <c r="J357" s="41" t="str">
        <f>IF(AND(E357=0,F357&lt;&gt;0,G357&lt;&gt;0),"m2",IF(AND(F357=0,E357&lt;&gt;0,G357&lt;&gt;0),"m2",IF(AND(G357=0,E357&lt;&gt;0,F357&lt;&gt;0),"m2",IF(AND(F357=0,G357=0),"ml",IF(AND(E357=0,G357=0),"ml",IF(AND(E357=0,F357=0),"ml",IF(AND(E357&lt;&gt;0,F357&lt;&gt;0,G357&lt;&gt;0),"m3",0)))))))</f>
        <v>ml</v>
      </c>
    </row>
    <row r="358" spans="2:10" s="1" customFormat="1" ht="12.75" x14ac:dyDescent="0.2">
      <c r="B358" s="43" t="s">
        <v>232</v>
      </c>
      <c r="C358" s="43" t="s">
        <v>235</v>
      </c>
      <c r="D358" s="60"/>
      <c r="E358" s="40"/>
      <c r="F358" s="40"/>
      <c r="G358" s="40"/>
      <c r="H358" s="40"/>
      <c r="I358" s="44">
        <f>SUM(H359:H360)</f>
        <v>77.3</v>
      </c>
      <c r="J358" s="45" t="str">
        <f>+J359</f>
        <v>ml</v>
      </c>
    </row>
    <row r="359" spans="2:10" s="1" customFormat="1" ht="12.75" x14ac:dyDescent="0.2">
      <c r="B359" s="57"/>
      <c r="C359" s="39" t="s">
        <v>378</v>
      </c>
      <c r="D359" s="40">
        <v>5</v>
      </c>
      <c r="E359" s="40">
        <v>11.6</v>
      </c>
      <c r="F359" s="40"/>
      <c r="G359" s="40"/>
      <c r="H359" s="40">
        <f>IF(AND(F359=0,G359=0),D359*E359,IF(AND(E359=0,G359=0),D359*F359,IF(AND(E359=0,F359=0),D359*G359,IF(AND(E359=0),D359*F359*G359,IF(AND(F359=0),D359*E359*G359,IF(AND(G359=0),D359*E359*F359,D359*E359*F359*G359))))))</f>
        <v>58</v>
      </c>
      <c r="I359" s="40"/>
      <c r="J359" s="41" t="str">
        <f>IF(AND(E359=0,F359&lt;&gt;0,G359&lt;&gt;0),"m2",IF(AND(F359=0,E359&lt;&gt;0,G359&lt;&gt;0),"m2",IF(AND(G359=0,E359&lt;&gt;0,F359&lt;&gt;0),"m2",IF(AND(F359=0,G359=0),"ml",IF(AND(E359=0,G359=0),"ml",IF(AND(E359=0,F359=0),"ml",IF(AND(E359&lt;&gt;0,F359&lt;&gt;0,G359&lt;&gt;0),"m3",0)))))))</f>
        <v>ml</v>
      </c>
    </row>
    <row r="360" spans="2:10" s="1" customFormat="1" ht="12.75" x14ac:dyDescent="0.2">
      <c r="B360" s="57"/>
      <c r="C360" s="39" t="s">
        <v>379</v>
      </c>
      <c r="D360" s="40">
        <v>1</v>
      </c>
      <c r="E360" s="40">
        <v>19.3</v>
      </c>
      <c r="F360" s="40"/>
      <c r="G360" s="40"/>
      <c r="H360" s="40">
        <f>IF(AND(F360=0,G360=0),D360*E360,IF(AND(E360=0,G360=0),D360*F360,IF(AND(E360=0,F360=0),D360*G360,IF(AND(E360=0),D360*F360*G360,IF(AND(F360=0),D360*E360*G360,IF(AND(G360=0),D360*E360*F360,D360*E360*F360*G360))))))</f>
        <v>19.3</v>
      </c>
      <c r="I360" s="40"/>
      <c r="J360" s="41" t="str">
        <f>IF(AND(E360=0,F360&lt;&gt;0,G360&lt;&gt;0),"m2",IF(AND(F360=0,E360&lt;&gt;0,G360&lt;&gt;0),"m2",IF(AND(G360=0,E360&lt;&gt;0,F360&lt;&gt;0),"m2",IF(AND(F360=0,G360=0),"ml",IF(AND(E360=0,G360=0),"ml",IF(AND(E360=0,F360=0),"ml",IF(AND(E360&lt;&gt;0,F360&lt;&gt;0,G360&lt;&gt;0),"m3",0)))))))</f>
        <v>ml</v>
      </c>
    </row>
    <row r="361" spans="2:10" s="1" customFormat="1" ht="12.75" x14ac:dyDescent="0.2">
      <c r="B361" s="43" t="s">
        <v>233</v>
      </c>
      <c r="C361" s="43" t="s">
        <v>236</v>
      </c>
      <c r="D361" s="60"/>
      <c r="E361" s="40"/>
      <c r="F361" s="40"/>
      <c r="G361" s="40"/>
      <c r="H361" s="40"/>
      <c r="I361" s="44">
        <f>SUM(H362:H363)</f>
        <v>0</v>
      </c>
      <c r="J361" s="45" t="str">
        <f>+J362</f>
        <v>ml</v>
      </c>
    </row>
    <row r="362" spans="2:10" s="1" customFormat="1" ht="12.75" x14ac:dyDescent="0.2">
      <c r="B362" s="57"/>
      <c r="C362" s="39" t="s">
        <v>378</v>
      </c>
      <c r="D362" s="40"/>
      <c r="E362" s="40"/>
      <c r="F362" s="40"/>
      <c r="G362" s="40"/>
      <c r="H362" s="40">
        <f>IF(AND(F362=0,G362=0),D362*E362,IF(AND(E362=0,G362=0),D362*F362,IF(AND(E362=0,F362=0),D362*G362,IF(AND(E362=0),D362*F362*G362,IF(AND(F362=0),D362*E362*G362,IF(AND(G362=0),D362*E362*F362,D362*E362*F362*G362))))))</f>
        <v>0</v>
      </c>
      <c r="I362" s="40"/>
      <c r="J362" s="41" t="str">
        <f>IF(AND(E362=0,F362&lt;&gt;0,G362&lt;&gt;0),"m2",IF(AND(F362=0,E362&lt;&gt;0,G362&lt;&gt;0),"m2",IF(AND(G362=0,E362&lt;&gt;0,F362&lt;&gt;0),"m2",IF(AND(F362=0,G362=0),"ml",IF(AND(E362=0,G362=0),"ml",IF(AND(E362=0,F362=0),"ml",IF(AND(E362&lt;&gt;0,F362&lt;&gt;0,G362&lt;&gt;0),"m3",0)))))))</f>
        <v>ml</v>
      </c>
    </row>
    <row r="363" spans="2:10" s="1" customFormat="1" ht="12.75" x14ac:dyDescent="0.2">
      <c r="B363" s="57"/>
      <c r="C363" s="39" t="s">
        <v>379</v>
      </c>
      <c r="D363" s="40"/>
      <c r="E363" s="40"/>
      <c r="F363" s="40"/>
      <c r="G363" s="40"/>
      <c r="H363" s="40">
        <f>IF(AND(F363=0,G363=0),D363*E363,IF(AND(E363=0,G363=0),D363*F363,IF(AND(E363=0,F363=0),D363*G363,IF(AND(E363=0),D363*F363*G363,IF(AND(F363=0),D363*E363*G363,IF(AND(G363=0),D363*E363*F363,D363*E363*F363*G363))))))</f>
        <v>0</v>
      </c>
      <c r="I363" s="40"/>
      <c r="J363" s="41" t="str">
        <f>IF(AND(E363=0,F363&lt;&gt;0,G363&lt;&gt;0),"m2",IF(AND(F363=0,E363&lt;&gt;0,G363&lt;&gt;0),"m2",IF(AND(G363=0,E363&lt;&gt;0,F363&lt;&gt;0),"m2",IF(AND(F363=0,G363=0),"ml",IF(AND(E363=0,G363=0),"ml",IF(AND(E363=0,F363=0),"ml",IF(AND(E363&lt;&gt;0,F363&lt;&gt;0,G363&lt;&gt;0),"m3",0)))))))</f>
        <v>ml</v>
      </c>
    </row>
    <row r="364" spans="2:10" s="1" customFormat="1" ht="12.75" x14ac:dyDescent="0.2">
      <c r="B364" s="43"/>
      <c r="C364" s="77"/>
      <c r="D364" s="60"/>
      <c r="E364" s="40"/>
      <c r="F364" s="40"/>
      <c r="G364" s="40"/>
      <c r="H364" s="40"/>
      <c r="I364" s="44"/>
      <c r="J364" s="45"/>
    </row>
    <row r="365" spans="2:10" s="1" customFormat="1" ht="12.75" x14ac:dyDescent="0.2">
      <c r="B365" s="43" t="s">
        <v>268</v>
      </c>
      <c r="C365" s="43" t="s">
        <v>347</v>
      </c>
      <c r="D365" s="60"/>
      <c r="E365" s="40"/>
      <c r="F365" s="40"/>
      <c r="G365" s="40"/>
      <c r="H365" s="40"/>
      <c r="I365" s="44">
        <f>SUM(H366:H369)</f>
        <v>36.75</v>
      </c>
      <c r="J365" s="45" t="str">
        <f>+J366</f>
        <v>ml</v>
      </c>
    </row>
    <row r="366" spans="2:10" s="1" customFormat="1" ht="12.75" x14ac:dyDescent="0.2">
      <c r="B366" s="57"/>
      <c r="C366" s="39" t="s">
        <v>460</v>
      </c>
      <c r="D366" s="40">
        <v>1</v>
      </c>
      <c r="E366" s="89">
        <v>11.3</v>
      </c>
      <c r="F366" s="40"/>
      <c r="G366" s="40"/>
      <c r="H366" s="40">
        <f t="shared" ref="H366:H369" si="7">IF(AND(F366=0,G366=0),D366*E366,IF(AND(E366=0,G366=0),D366*F366,IF(AND(E366=0,F366=0),D366*G366,IF(AND(E366=0),D366*F366*G366,IF(AND(F366=0),D366*E366*G366,IF(AND(G366=0),D366*E366*F366,D366*E366*F366*G366))))))</f>
        <v>11.3</v>
      </c>
      <c r="I366" s="40"/>
      <c r="J366" s="41" t="str">
        <f t="shared" ref="J366" si="8">IF(AND(E366=0,F366&lt;&gt;0,G366&lt;&gt;0),"m2",IF(AND(F366=0,E366&lt;&gt;0,G366&lt;&gt;0),"m2",IF(AND(G366=0,E366&lt;&gt;0,F366&lt;&gt;0),"m2",IF(AND(F366=0,G366=0),"ml",IF(AND(E366=0,G366=0),"ml",IF(AND(E366=0,F366=0),"ml",IF(AND(E366&lt;&gt;0,F366&lt;&gt;0,G366&lt;&gt;0),"m3",0)))))))</f>
        <v>ml</v>
      </c>
    </row>
    <row r="367" spans="2:10" s="1" customFormat="1" ht="12.75" x14ac:dyDescent="0.2">
      <c r="B367" s="57"/>
      <c r="C367" s="39" t="s">
        <v>461</v>
      </c>
      <c r="D367" s="40">
        <v>1</v>
      </c>
      <c r="E367" s="89">
        <v>11.3</v>
      </c>
      <c r="F367" s="40"/>
      <c r="G367" s="40"/>
      <c r="H367" s="40">
        <f t="shared" si="7"/>
        <v>11.3</v>
      </c>
      <c r="I367" s="40"/>
      <c r="J367" s="41"/>
    </row>
    <row r="368" spans="2:10" s="1" customFormat="1" ht="12.75" x14ac:dyDescent="0.2">
      <c r="B368" s="57"/>
      <c r="C368" s="77"/>
      <c r="D368" s="60">
        <v>1</v>
      </c>
      <c r="E368" s="40">
        <f>1.65+5</f>
        <v>6.65</v>
      </c>
      <c r="F368" s="40"/>
      <c r="G368" s="40"/>
      <c r="H368" s="40">
        <f t="shared" si="7"/>
        <v>6.65</v>
      </c>
      <c r="I368" s="40"/>
      <c r="J368" s="41"/>
    </row>
    <row r="369" spans="2:10" s="1" customFormat="1" ht="12.75" x14ac:dyDescent="0.2">
      <c r="B369" s="57"/>
      <c r="C369" s="77"/>
      <c r="D369" s="60">
        <v>1</v>
      </c>
      <c r="E369" s="40">
        <f>2.5+5</f>
        <v>7.5</v>
      </c>
      <c r="F369" s="40"/>
      <c r="G369" s="40"/>
      <c r="H369" s="40">
        <f t="shared" si="7"/>
        <v>7.5</v>
      </c>
      <c r="I369" s="40"/>
      <c r="J369" s="41"/>
    </row>
    <row r="370" spans="2:10" s="1" customFormat="1" ht="12.75" x14ac:dyDescent="0.2">
      <c r="B370" s="43" t="s">
        <v>342</v>
      </c>
      <c r="C370" s="43" t="s">
        <v>271</v>
      </c>
      <c r="D370" s="60"/>
      <c r="E370" s="40"/>
      <c r="F370" s="40"/>
      <c r="G370" s="40"/>
      <c r="H370" s="40"/>
      <c r="I370" s="44">
        <f>SUM(H371:H372)</f>
        <v>4</v>
      </c>
      <c r="J370" s="45" t="str">
        <f>+J371</f>
        <v>und</v>
      </c>
    </row>
    <row r="371" spans="2:10" s="1" customFormat="1" ht="12.75" x14ac:dyDescent="0.2">
      <c r="B371" s="57"/>
      <c r="C371" s="39" t="s">
        <v>502</v>
      </c>
      <c r="D371" s="40">
        <v>2</v>
      </c>
      <c r="E371" s="40"/>
      <c r="F371" s="40"/>
      <c r="G371" s="40"/>
      <c r="H371" s="40">
        <f>+D371</f>
        <v>2</v>
      </c>
      <c r="I371" s="40"/>
      <c r="J371" s="41" t="s">
        <v>13</v>
      </c>
    </row>
    <row r="372" spans="2:10" s="1" customFormat="1" ht="12.75" x14ac:dyDescent="0.2">
      <c r="B372" s="57"/>
      <c r="C372" s="39" t="s">
        <v>643</v>
      </c>
      <c r="D372" s="60">
        <v>2</v>
      </c>
      <c r="E372" s="40"/>
      <c r="F372" s="40"/>
      <c r="G372" s="40"/>
      <c r="H372" s="40">
        <f>+D372</f>
        <v>2</v>
      </c>
      <c r="I372" s="40"/>
      <c r="J372" s="41"/>
    </row>
    <row r="373" spans="2:10" s="1" customFormat="1" ht="12.75" x14ac:dyDescent="0.2">
      <c r="B373" s="57" t="s">
        <v>16</v>
      </c>
      <c r="C373" s="58" t="s">
        <v>224</v>
      </c>
      <c r="D373" s="60"/>
      <c r="E373" s="40"/>
      <c r="F373" s="40"/>
      <c r="G373" s="40"/>
      <c r="H373" s="40"/>
      <c r="I373" s="40"/>
      <c r="J373" s="41"/>
    </row>
    <row r="374" spans="2:10" s="1" customFormat="1" ht="12.75" x14ac:dyDescent="0.2">
      <c r="B374" s="43" t="s">
        <v>241</v>
      </c>
      <c r="C374" s="43" t="s">
        <v>239</v>
      </c>
      <c r="D374" s="60"/>
      <c r="E374" s="40"/>
      <c r="F374" s="40"/>
      <c r="G374" s="40"/>
      <c r="H374" s="40"/>
      <c r="I374" s="44">
        <f>SUM(H375)</f>
        <v>7.5</v>
      </c>
      <c r="J374" s="45" t="s">
        <v>345</v>
      </c>
    </row>
    <row r="375" spans="2:10" s="1" customFormat="1" ht="12.75" x14ac:dyDescent="0.2">
      <c r="B375" s="57"/>
      <c r="C375" s="39" t="s">
        <v>549</v>
      </c>
      <c r="D375" s="40">
        <v>1</v>
      </c>
      <c r="E375" s="40">
        <v>7.5</v>
      </c>
      <c r="F375" s="40"/>
      <c r="G375" s="40"/>
      <c r="H375" s="40">
        <f>IF(AND(F375=0,G375=0),D375*E375,IF(AND(E375=0,G375=0),D375*F375,IF(AND(E375=0,F375=0),D375*G375,IF(AND(E375=0),D375*F375*G375,IF(AND(F375=0),D375*E375*G375,IF(AND(G375=0),D375*E375*F375,D375*E375*F375*G375))))))</f>
        <v>7.5</v>
      </c>
      <c r="I375" s="40"/>
      <c r="J375" s="41" t="str">
        <f>IF(AND(E375=0,F375&lt;&gt;0,G375&lt;&gt;0),"m2",IF(AND(F375=0,E375&lt;&gt;0,G375&lt;&gt;0),"m2",IF(AND(G375=0,E375&lt;&gt;0,F375&lt;&gt;0),"m2",IF(AND(F375=0,G375=0),"ml",IF(AND(E375=0,G375=0),"ml",IF(AND(E375=0,F375=0),"ml",IF(AND(E375&lt;&gt;0,F375&lt;&gt;0,G375&lt;&gt;0),"m3",0)))))))</f>
        <v>ml</v>
      </c>
    </row>
    <row r="376" spans="2:10" s="1" customFormat="1" ht="12.75" x14ac:dyDescent="0.2">
      <c r="B376" s="43" t="s">
        <v>248</v>
      </c>
      <c r="C376" s="43" t="s">
        <v>246</v>
      </c>
      <c r="D376" s="60"/>
      <c r="E376" s="40"/>
      <c r="F376" s="40"/>
      <c r="G376" s="40"/>
      <c r="H376" s="40"/>
      <c r="I376" s="44">
        <f>SUM(H377)</f>
        <v>8</v>
      </c>
      <c r="J376" s="45" t="s">
        <v>345</v>
      </c>
    </row>
    <row r="377" spans="2:10" s="1" customFormat="1" ht="12.75" x14ac:dyDescent="0.2">
      <c r="B377" s="57"/>
      <c r="C377" s="39" t="s">
        <v>549</v>
      </c>
      <c r="D377" s="40">
        <v>1</v>
      </c>
      <c r="E377" s="40">
        <v>8</v>
      </c>
      <c r="F377" s="40"/>
      <c r="G377" s="40"/>
      <c r="H377" s="40">
        <f>IF(AND(F377=0,G377=0),D377*E377,IF(AND(E377=0,G377=0),D377*F377,IF(AND(E377=0,F377=0),D377*G377,IF(AND(E377=0),D377*F377*G377,IF(AND(F377=0),D377*E377*G377,IF(AND(G377=0),D377*E377*F377,D377*E377*F377*G377))))))</f>
        <v>8</v>
      </c>
      <c r="I377" s="40"/>
      <c r="J377" s="41" t="s">
        <v>345</v>
      </c>
    </row>
    <row r="378" spans="2:10" s="1" customFormat="1" ht="12.75" x14ac:dyDescent="0.2">
      <c r="B378" s="43" t="s">
        <v>259</v>
      </c>
      <c r="C378" s="43" t="s">
        <v>251</v>
      </c>
      <c r="D378" s="60"/>
      <c r="E378" s="40"/>
      <c r="F378" s="40"/>
      <c r="G378" s="40"/>
      <c r="H378" s="40"/>
      <c r="I378" s="44">
        <f>SUM(H379:H379)</f>
        <v>0</v>
      </c>
      <c r="J378" s="45" t="str">
        <f>+J379</f>
        <v>ml</v>
      </c>
    </row>
    <row r="379" spans="2:10" s="1" customFormat="1" ht="12.75" x14ac:dyDescent="0.2">
      <c r="B379" s="57"/>
      <c r="C379" s="39" t="s">
        <v>389</v>
      </c>
      <c r="D379" s="40"/>
      <c r="E379" s="40"/>
      <c r="F379" s="40"/>
      <c r="G379" s="40"/>
      <c r="H379" s="40">
        <f>IF(AND(F379=0,G379=0),D379*E379,IF(AND(E379=0,G379=0),D379*F379,IF(AND(E379=0,F379=0),D379*G379,IF(AND(E379=0),D379*F379*G379,IF(AND(F379=0),D379*E379*G379,IF(AND(G379=0),D379*E379*F379,D379*E379*F379*G379))))))</f>
        <v>0</v>
      </c>
      <c r="I379" s="40"/>
      <c r="J379" s="41" t="str">
        <f>IF(AND(E379=0,F379&lt;&gt;0,G379&lt;&gt;0),"m2",IF(AND(F379=0,E379&lt;&gt;0,G379&lt;&gt;0),"m2",IF(AND(G379=0,E379&lt;&gt;0,F379&lt;&gt;0),"m2",IF(AND(F379=0,G379=0),"ml",IF(AND(E379=0,G379=0),"ml",IF(AND(E379=0,F379=0),"ml",IF(AND(E379&lt;&gt;0,F379&lt;&gt;0,G379&lt;&gt;0),"m3",0)))))))</f>
        <v>ml</v>
      </c>
    </row>
    <row r="380" spans="2:10" s="1" customFormat="1" ht="12.75" x14ac:dyDescent="0.2">
      <c r="B380" s="46"/>
      <c r="C380" s="59"/>
      <c r="D380" s="60"/>
      <c r="E380" s="40"/>
      <c r="F380" s="40"/>
      <c r="G380" s="40"/>
      <c r="H380" s="40"/>
      <c r="I380" s="40"/>
      <c r="J380" s="41"/>
    </row>
    <row r="381" spans="2:10" s="1" customFormat="1" ht="12.75" x14ac:dyDescent="0.2">
      <c r="B381" s="57" t="s">
        <v>18</v>
      </c>
      <c r="C381" s="58" t="s">
        <v>223</v>
      </c>
      <c r="D381" s="60"/>
      <c r="E381" s="40"/>
      <c r="F381" s="40"/>
      <c r="G381" s="40"/>
      <c r="H381" s="40"/>
      <c r="I381" s="40"/>
      <c r="J381" s="41"/>
    </row>
    <row r="382" spans="2:10" s="1" customFormat="1" ht="12.75" x14ac:dyDescent="0.2">
      <c r="B382" s="43" t="s">
        <v>20</v>
      </c>
      <c r="C382" s="43" t="s">
        <v>272</v>
      </c>
      <c r="D382" s="60"/>
      <c r="E382" s="40"/>
      <c r="F382" s="40"/>
      <c r="G382" s="40"/>
      <c r="H382" s="40"/>
      <c r="I382" s="44">
        <f>SUM(H383:H384)</f>
        <v>24</v>
      </c>
      <c r="J382" s="45" t="str">
        <f>+J383</f>
        <v>und</v>
      </c>
    </row>
    <row r="383" spans="2:10" s="1" customFormat="1" ht="12.75" x14ac:dyDescent="0.2">
      <c r="B383" s="46"/>
      <c r="C383" s="39" t="s">
        <v>460</v>
      </c>
      <c r="D383" s="40">
        <f>+ROUNDUP(11.3/1,0)</f>
        <v>12</v>
      </c>
      <c r="F383" s="40"/>
      <c r="G383" s="40"/>
      <c r="H383" s="40">
        <f>+D383</f>
        <v>12</v>
      </c>
      <c r="I383" s="40"/>
      <c r="J383" s="41" t="s">
        <v>13</v>
      </c>
    </row>
    <row r="384" spans="2:10" s="1" customFormat="1" ht="12.75" x14ac:dyDescent="0.2">
      <c r="B384" s="46"/>
      <c r="C384" s="39" t="s">
        <v>461</v>
      </c>
      <c r="D384" s="40">
        <f>+ROUNDUP(11.3/1,0)</f>
        <v>12</v>
      </c>
      <c r="F384" s="40"/>
      <c r="G384" s="40"/>
      <c r="H384" s="40">
        <f>+D384</f>
        <v>12</v>
      </c>
      <c r="I384" s="40"/>
      <c r="J384" s="41" t="s">
        <v>13</v>
      </c>
    </row>
    <row r="385" spans="2:10" s="1" customFormat="1" ht="12.75" x14ac:dyDescent="0.2">
      <c r="B385" s="43" t="s">
        <v>273</v>
      </c>
      <c r="C385" s="43" t="s">
        <v>354</v>
      </c>
      <c r="D385" s="60"/>
      <c r="E385" s="40"/>
      <c r="F385" s="40"/>
      <c r="G385" s="40"/>
      <c r="H385" s="40"/>
      <c r="I385" s="44">
        <f>SUM(H386:H387)</f>
        <v>23</v>
      </c>
      <c r="J385" s="45" t="str">
        <f>+J386</f>
        <v>und</v>
      </c>
    </row>
    <row r="386" spans="2:10" s="1" customFormat="1" ht="12.75" x14ac:dyDescent="0.2">
      <c r="B386" s="43"/>
      <c r="C386" s="39" t="s">
        <v>460</v>
      </c>
      <c r="D386" s="40">
        <v>1</v>
      </c>
      <c r="E386" s="40">
        <f>+ROUNDUP(E356/0.5,0)</f>
        <v>17</v>
      </c>
      <c r="F386" s="40"/>
      <c r="G386" s="40"/>
      <c r="H386" s="40">
        <f>IF(AND(F386=0,G386=0),D386*E386,IF(AND(E386=0,G386=0),D386*F386,IF(AND(E386=0,F386=0),D386*G386,IF(AND(E386=0),D386*F386*G386,IF(AND(F386=0),D386*E386*G386,IF(AND(G386=0),D386*E386*F386,D386*E386*F386*G386))))))</f>
        <v>17</v>
      </c>
      <c r="I386" s="40"/>
      <c r="J386" s="41" t="s">
        <v>13</v>
      </c>
    </row>
    <row r="387" spans="2:10" s="1" customFormat="1" ht="12.75" x14ac:dyDescent="0.2">
      <c r="B387" s="43"/>
      <c r="C387" s="39" t="s">
        <v>461</v>
      </c>
      <c r="D387" s="40">
        <v>1</v>
      </c>
      <c r="E387" s="40">
        <f>+ROUNDUP(E357/0.5,0)</f>
        <v>6</v>
      </c>
      <c r="F387" s="40"/>
      <c r="G387" s="40"/>
      <c r="H387" s="40">
        <f>IF(AND(F387=0,G387=0),D387*E387,IF(AND(E387=0,G387=0),D387*F387,IF(AND(E387=0,F387=0),D387*G387,IF(AND(E387=0),D387*F387*G387,IF(AND(F387=0),D387*E387*G387,IF(AND(G387=0),D387*E387*F387,D387*E387*F387*G387))))))</f>
        <v>6</v>
      </c>
      <c r="I387" s="40"/>
      <c r="J387" s="41"/>
    </row>
    <row r="388" spans="2:10" s="1" customFormat="1" ht="12.75" x14ac:dyDescent="0.2">
      <c r="B388" s="46"/>
      <c r="C388" s="39"/>
      <c r="D388" s="8"/>
      <c r="E388" s="86"/>
      <c r="F388" s="40"/>
      <c r="G388" s="40"/>
      <c r="H388" s="40"/>
      <c r="I388" s="40"/>
      <c r="J388" s="41"/>
    </row>
    <row r="389" spans="2:10" s="1" customFormat="1" ht="12.75" x14ac:dyDescent="0.2">
      <c r="B389" s="46"/>
      <c r="C389" s="39"/>
      <c r="D389" s="8"/>
      <c r="E389" s="86"/>
      <c r="F389" s="40"/>
      <c r="G389" s="40"/>
      <c r="H389" s="40"/>
      <c r="I389" s="40"/>
      <c r="J389" s="41"/>
    </row>
    <row r="390" spans="2:10" s="1" customFormat="1" ht="12.75" x14ac:dyDescent="0.2">
      <c r="B390" s="46"/>
      <c r="C390" s="59"/>
    </row>
    <row r="391" spans="2:10" s="1" customFormat="1" ht="12.75" x14ac:dyDescent="0.2">
      <c r="B391" s="46"/>
      <c r="C391" s="59"/>
      <c r="D391" s="60"/>
      <c r="E391" s="40"/>
      <c r="F391" s="40"/>
      <c r="G391" s="40"/>
      <c r="H391" s="40"/>
      <c r="I391" s="40"/>
      <c r="J391" s="41"/>
    </row>
    <row r="392" spans="2:10" s="1" customFormat="1" ht="12.75" x14ac:dyDescent="0.2">
      <c r="B392" s="46"/>
      <c r="C392" s="59"/>
      <c r="D392" s="60"/>
      <c r="E392" s="40"/>
      <c r="F392" s="40"/>
      <c r="G392" s="40"/>
      <c r="H392" s="40"/>
      <c r="I392" s="40"/>
      <c r="J392" s="41"/>
    </row>
    <row r="393" spans="2:10" s="1" customFormat="1" ht="12.75" x14ac:dyDescent="0.2">
      <c r="B393" s="46"/>
      <c r="C393" s="59"/>
      <c r="D393" s="60"/>
      <c r="E393" s="40"/>
      <c r="F393" s="40"/>
      <c r="G393" s="40"/>
      <c r="H393" s="40"/>
      <c r="I393" s="40"/>
      <c r="J393" s="41"/>
    </row>
    <row r="394" spans="2:10" s="1" customFormat="1" ht="12.75" x14ac:dyDescent="0.2">
      <c r="B394" s="46"/>
      <c r="C394" s="59"/>
      <c r="D394" s="60"/>
      <c r="E394" s="40"/>
      <c r="F394" s="40"/>
      <c r="G394" s="40"/>
      <c r="H394" s="40"/>
      <c r="I394" s="40"/>
      <c r="J394" s="41"/>
    </row>
    <row r="395" spans="2:10" s="1" customFormat="1" ht="12.75" x14ac:dyDescent="0.2">
      <c r="B395" s="46"/>
      <c r="C395" s="59"/>
      <c r="D395" s="60"/>
      <c r="E395" s="40"/>
      <c r="F395" s="40"/>
      <c r="G395" s="40"/>
      <c r="H395" s="40"/>
      <c r="I395" s="40"/>
      <c r="J395" s="41"/>
    </row>
    <row r="396" spans="2:10" s="1" customFormat="1" ht="12.75" x14ac:dyDescent="0.2">
      <c r="B396" s="46"/>
      <c r="C396" s="59"/>
      <c r="D396" s="60"/>
      <c r="E396" s="40"/>
      <c r="F396" s="40"/>
      <c r="G396" s="40"/>
      <c r="H396" s="40"/>
      <c r="I396" s="40"/>
      <c r="J396" s="41"/>
    </row>
    <row r="397" spans="2:10" s="1" customFormat="1" ht="12.75" x14ac:dyDescent="0.2">
      <c r="B397" s="46"/>
      <c r="C397" s="59"/>
      <c r="D397" s="60"/>
      <c r="E397" s="40"/>
      <c r="F397" s="40"/>
      <c r="G397" s="40"/>
      <c r="H397" s="40"/>
      <c r="I397" s="40"/>
      <c r="J397" s="41"/>
    </row>
    <row r="398" spans="2:10" s="1" customFormat="1" ht="12.75" x14ac:dyDescent="0.2">
      <c r="B398" s="46"/>
      <c r="C398" s="59"/>
      <c r="D398" s="60"/>
      <c r="E398" s="40"/>
      <c r="F398" s="40"/>
      <c r="G398" s="40"/>
      <c r="H398" s="40"/>
      <c r="I398" s="40"/>
      <c r="J398" s="41"/>
    </row>
    <row r="399" spans="2:10" s="1" customFormat="1" ht="12.75" x14ac:dyDescent="0.2">
      <c r="C399" s="384" t="s">
        <v>37</v>
      </c>
      <c r="D399" s="384"/>
      <c r="E399" s="384"/>
      <c r="F399" s="384"/>
      <c r="G399" s="384"/>
      <c r="H399" s="384"/>
    </row>
    <row r="400" spans="2:10" s="1" customFormat="1" ht="12.75" x14ac:dyDescent="0.2">
      <c r="C400" s="384" t="s">
        <v>38</v>
      </c>
      <c r="D400" s="384"/>
      <c r="E400" s="384"/>
      <c r="F400" s="384"/>
      <c r="G400" s="384"/>
      <c r="H400" s="384"/>
    </row>
    <row r="401" spans="2:10" s="1" customFormat="1" ht="12.75" x14ac:dyDescent="0.2">
      <c r="C401" s="384" t="s">
        <v>39</v>
      </c>
      <c r="D401" s="384"/>
      <c r="E401" s="384"/>
      <c r="F401" s="384"/>
      <c r="G401" s="384"/>
      <c r="H401" s="384"/>
    </row>
    <row r="402" spans="2:10" s="1" customFormat="1" ht="12.75" x14ac:dyDescent="0.2">
      <c r="C402" s="385" t="s">
        <v>40</v>
      </c>
      <c r="D402" s="385"/>
      <c r="E402" s="385"/>
      <c r="F402" s="385"/>
      <c r="G402" s="385"/>
      <c r="H402" s="385"/>
    </row>
    <row r="403" spans="2:10" s="1" customFormat="1" ht="12.75" customHeight="1" x14ac:dyDescent="0.2">
      <c r="C403" s="385"/>
      <c r="D403" s="385"/>
      <c r="E403" s="385"/>
      <c r="F403" s="385"/>
      <c r="G403" s="385"/>
      <c r="H403" s="385"/>
    </row>
    <row r="404" spans="2:10" s="1" customFormat="1" ht="45.75" customHeight="1" x14ac:dyDescent="0.2">
      <c r="B404" s="386" t="s">
        <v>65</v>
      </c>
      <c r="C404" s="387"/>
      <c r="D404" s="387"/>
      <c r="E404" s="387"/>
      <c r="F404" s="387"/>
      <c r="G404" s="387"/>
      <c r="H404" s="387"/>
      <c r="I404" s="387"/>
      <c r="J404" s="388"/>
    </row>
    <row r="405" spans="2:10" s="1" customFormat="1" ht="20.25" x14ac:dyDescent="0.2">
      <c r="B405" s="390" t="s">
        <v>365</v>
      </c>
      <c r="C405" s="391"/>
      <c r="D405" s="391"/>
      <c r="E405" s="391"/>
      <c r="F405" s="391"/>
      <c r="G405" s="391"/>
      <c r="H405" s="391"/>
      <c r="I405" s="391"/>
      <c r="J405" s="392"/>
    </row>
    <row r="406" spans="2:10" s="1" customFormat="1" ht="13.5" thickBot="1" x14ac:dyDescent="0.25">
      <c r="B406" s="389"/>
      <c r="C406" s="389"/>
      <c r="D406" s="389"/>
      <c r="E406" s="389"/>
      <c r="F406" s="389"/>
      <c r="G406" s="389"/>
      <c r="H406" s="389"/>
      <c r="I406" s="389"/>
      <c r="J406" s="389"/>
    </row>
    <row r="407" spans="2:10" s="1" customFormat="1" ht="24.75" customHeight="1" x14ac:dyDescent="0.2">
      <c r="B407" s="494" t="s">
        <v>27</v>
      </c>
      <c r="C407" s="495"/>
      <c r="D407" s="495"/>
      <c r="E407" s="495"/>
      <c r="F407" s="495"/>
      <c r="G407" s="495"/>
      <c r="H407" s="495"/>
      <c r="I407" s="495"/>
      <c r="J407" s="496"/>
    </row>
    <row r="408" spans="2:10" s="1" customFormat="1" ht="12.75" x14ac:dyDescent="0.2">
      <c r="B408" s="2" t="s">
        <v>35</v>
      </c>
      <c r="C408" s="3" t="s">
        <v>36</v>
      </c>
      <c r="D408" s="3"/>
      <c r="E408" s="4"/>
      <c r="F408" s="5"/>
      <c r="G408" s="6" t="s">
        <v>8</v>
      </c>
      <c r="H408" s="497">
        <v>42879</v>
      </c>
      <c r="I408" s="497"/>
      <c r="J408" s="7"/>
    </row>
    <row r="409" spans="2:10" s="1" customFormat="1" ht="12.75" x14ac:dyDescent="0.2">
      <c r="B409" s="2" t="s">
        <v>33</v>
      </c>
      <c r="C409" s="3" t="s">
        <v>29</v>
      </c>
      <c r="D409" s="8"/>
      <c r="E409" s="8"/>
      <c r="F409" s="3"/>
      <c r="G409" s="9" t="s">
        <v>32</v>
      </c>
      <c r="H409" s="4" t="s">
        <v>29</v>
      </c>
      <c r="I409" s="10"/>
      <c r="J409" s="11"/>
    </row>
    <row r="410" spans="2:10" s="1" customFormat="1" ht="12.75" x14ac:dyDescent="0.2">
      <c r="B410" s="2" t="s">
        <v>34</v>
      </c>
      <c r="C410" s="3" t="s">
        <v>29</v>
      </c>
      <c r="D410" s="8"/>
      <c r="E410" s="8"/>
      <c r="F410" s="3"/>
      <c r="G410" s="9" t="s">
        <v>30</v>
      </c>
      <c r="H410" s="4" t="s">
        <v>31</v>
      </c>
      <c r="I410" s="10"/>
      <c r="J410" s="11"/>
    </row>
    <row r="411" spans="2:10" s="1" customFormat="1" ht="13.5" thickBot="1" x14ac:dyDescent="0.25">
      <c r="B411" s="12" t="s">
        <v>43</v>
      </c>
      <c r="C411" s="13" t="s">
        <v>44</v>
      </c>
      <c r="D411" s="14"/>
      <c r="E411" s="14"/>
      <c r="F411" s="13"/>
      <c r="G411" s="15" t="s">
        <v>41</v>
      </c>
      <c r="H411" s="16" t="s">
        <v>42</v>
      </c>
      <c r="I411" s="17"/>
      <c r="J411" s="18"/>
    </row>
    <row r="412" spans="2:10" s="1" customFormat="1" ht="12.75" x14ac:dyDescent="0.2">
      <c r="B412" s="389"/>
      <c r="C412" s="389"/>
      <c r="D412" s="389"/>
      <c r="E412" s="389"/>
      <c r="F412" s="389"/>
      <c r="G412" s="389"/>
      <c r="H412" s="389"/>
      <c r="I412" s="389"/>
      <c r="J412" s="389"/>
    </row>
    <row r="413" spans="2:10" s="1" customFormat="1" ht="12.75" x14ac:dyDescent="0.2">
      <c r="B413" s="21" t="s">
        <v>5</v>
      </c>
      <c r="C413" s="22" t="s">
        <v>0</v>
      </c>
      <c r="D413" s="22" t="s">
        <v>9</v>
      </c>
      <c r="E413" s="22" t="s">
        <v>10</v>
      </c>
      <c r="F413" s="22" t="s">
        <v>1</v>
      </c>
      <c r="G413" s="22" t="s">
        <v>2</v>
      </c>
      <c r="H413" s="22" t="s">
        <v>11</v>
      </c>
      <c r="I413" s="22" t="s">
        <v>6</v>
      </c>
      <c r="J413" s="22" t="s">
        <v>7</v>
      </c>
    </row>
    <row r="414" spans="2:10" s="1" customFormat="1" ht="12.75" x14ac:dyDescent="0.2">
      <c r="B414" s="55">
        <v>4.03</v>
      </c>
      <c r="C414" s="56" t="s">
        <v>222</v>
      </c>
      <c r="D414" s="60"/>
      <c r="E414" s="40"/>
      <c r="F414" s="40"/>
      <c r="G414" s="40"/>
      <c r="H414" s="40"/>
      <c r="I414" s="40"/>
      <c r="J414" s="41"/>
    </row>
    <row r="415" spans="2:10" s="1" customFormat="1" ht="12.75" x14ac:dyDescent="0.2">
      <c r="B415" s="57" t="s">
        <v>14</v>
      </c>
      <c r="C415" s="58" t="s">
        <v>225</v>
      </c>
      <c r="D415" s="60"/>
      <c r="E415" s="40"/>
      <c r="F415" s="40"/>
      <c r="G415" s="40"/>
      <c r="H415" s="40"/>
      <c r="I415" s="40"/>
      <c r="J415" s="41"/>
    </row>
    <row r="416" spans="2:10" s="1" customFormat="1" ht="12.75" x14ac:dyDescent="0.2">
      <c r="B416" s="43" t="s">
        <v>15</v>
      </c>
      <c r="C416" s="43" t="s">
        <v>359</v>
      </c>
      <c r="D416" s="60"/>
      <c r="E416" s="40"/>
      <c r="F416" s="40"/>
      <c r="G416" s="40"/>
      <c r="H416" s="40"/>
      <c r="I416" s="44">
        <f>SUM(H417:H417)</f>
        <v>8.3000000000000007</v>
      </c>
      <c r="J416" s="45" t="str">
        <f>+J417</f>
        <v>ml</v>
      </c>
    </row>
    <row r="417" spans="2:10" s="1" customFormat="1" ht="12.75" x14ac:dyDescent="0.2">
      <c r="B417" s="43"/>
      <c r="C417" s="39" t="s">
        <v>462</v>
      </c>
      <c r="D417" s="60">
        <v>1</v>
      </c>
      <c r="E417" s="40">
        <v>8.3000000000000007</v>
      </c>
      <c r="F417" s="40"/>
      <c r="G417" s="40"/>
      <c r="H417" s="40">
        <f>IF(AND(F417=0,G417=0),D417*E417,IF(AND(E417=0,G417=0),D417*F417,IF(AND(E417=0,F417=0),D417*G417,IF(AND(E417=0),D417*F417*G417,IF(AND(F417=0),D417*E417*G417,IF(AND(G417=0),D417*E417*F417,D417*E417*F417*G417))))))</f>
        <v>8.3000000000000007</v>
      </c>
      <c r="I417" s="40"/>
      <c r="J417" s="41" t="str">
        <f>IF(AND(E417=0,F417&lt;&gt;0,G417&lt;&gt;0),"m2",IF(AND(F417=0,E417&lt;&gt;0,G417&lt;&gt;0),"m2",IF(AND(G417=0,E417&lt;&gt;0,F417&lt;&gt;0),"m2",IF(AND(F417=0,G417=0),"ml",IF(AND(E417=0,G417=0),"ml",IF(AND(E417=0,F417=0),"ml",IF(AND(E417&lt;&gt;0,F417&lt;&gt;0,G417&lt;&gt;0),"m3",0)))))))</f>
        <v>ml</v>
      </c>
    </row>
    <row r="418" spans="2:10" s="1" customFormat="1" ht="12.75" x14ac:dyDescent="0.2">
      <c r="B418" s="43"/>
      <c r="C418" s="39"/>
      <c r="D418" s="40"/>
      <c r="E418" s="40"/>
      <c r="F418" s="40"/>
      <c r="G418" s="40"/>
      <c r="H418" s="40"/>
      <c r="I418" s="40"/>
      <c r="J418" s="41" t="str">
        <f>IF(AND(E418=0,F418&lt;&gt;0,G418&lt;&gt;0),"m2",IF(AND(F418=0,E418&lt;&gt;0,G418&lt;&gt;0),"m2",IF(AND(G418=0,E418&lt;&gt;0,F418&lt;&gt;0),"m2",IF(AND(F418=0,G418=0),"ml",IF(AND(E418=0,G418=0),"ml",IF(AND(E418=0,F418=0),"ml",IF(AND(E418&lt;&gt;0,F418&lt;&gt;0,G418&lt;&gt;0),"m3",0)))))))</f>
        <v>ml</v>
      </c>
    </row>
    <row r="419" spans="2:10" s="1" customFormat="1" ht="12.75" x14ac:dyDescent="0.2">
      <c r="B419" s="43" t="s">
        <v>232</v>
      </c>
      <c r="C419" s="43" t="s">
        <v>235</v>
      </c>
      <c r="D419" s="60"/>
      <c r="E419" s="40"/>
      <c r="F419" s="40"/>
      <c r="G419" s="40"/>
      <c r="H419" s="40"/>
      <c r="I419" s="44">
        <f>SUM(H420:H421)</f>
        <v>11</v>
      </c>
      <c r="J419" s="45" t="str">
        <f>+J420</f>
        <v>ml</v>
      </c>
    </row>
    <row r="420" spans="2:10" s="1" customFormat="1" ht="12.75" x14ac:dyDescent="0.2">
      <c r="B420" s="57"/>
      <c r="C420" s="39" t="s">
        <v>378</v>
      </c>
      <c r="D420" s="40">
        <v>2</v>
      </c>
      <c r="E420" s="40">
        <v>3.5</v>
      </c>
      <c r="F420" s="40"/>
      <c r="G420" s="40"/>
      <c r="H420" s="40">
        <f>IF(AND(F420=0,G420=0),D420*E420,IF(AND(E420=0,G420=0),D420*F420,IF(AND(E420=0,F420=0),D420*G420,IF(AND(E420=0),D420*F420*G420,IF(AND(F420=0),D420*E420*G420,IF(AND(G420=0),D420*E420*F420,D420*E420*F420*G420))))))</f>
        <v>7</v>
      </c>
      <c r="I420" s="40"/>
      <c r="J420" s="41" t="str">
        <f>IF(AND(E420=0,F420&lt;&gt;0,G420&lt;&gt;0),"m2",IF(AND(F420=0,E420&lt;&gt;0,G420&lt;&gt;0),"m2",IF(AND(G420=0,E420&lt;&gt;0,F420&lt;&gt;0),"m2",IF(AND(F420=0,G420=0),"ml",IF(AND(E420=0,G420=0),"ml",IF(AND(E420=0,F420=0),"ml",IF(AND(E420&lt;&gt;0,F420&lt;&gt;0,G420&lt;&gt;0),"m3",0)))))))</f>
        <v>ml</v>
      </c>
    </row>
    <row r="421" spans="2:10" s="1" customFormat="1" ht="12.75" x14ac:dyDescent="0.2">
      <c r="B421" s="57"/>
      <c r="C421" s="39" t="s">
        <v>379</v>
      </c>
      <c r="D421" s="40">
        <v>1</v>
      </c>
      <c r="E421" s="40">
        <v>4</v>
      </c>
      <c r="F421" s="40"/>
      <c r="G421" s="40"/>
      <c r="H421" s="40">
        <f>IF(AND(F421=0,G421=0),D421*E421,IF(AND(E421=0,G421=0),D421*F421,IF(AND(E421=0,F421=0),D421*G421,IF(AND(E421=0),D421*F421*G421,IF(AND(F421=0),D421*E421*G421,IF(AND(G421=0),D421*E421*F421,D421*E421*F421*G421))))))</f>
        <v>4</v>
      </c>
      <c r="I421" s="40"/>
      <c r="J421" s="41" t="str">
        <f>IF(AND(E421=0,F421&lt;&gt;0,G421&lt;&gt;0),"m2",IF(AND(F421=0,E421&lt;&gt;0,G421&lt;&gt;0),"m2",IF(AND(G421=0,E421&lt;&gt;0,F421&lt;&gt;0),"m2",IF(AND(F421=0,G421=0),"ml",IF(AND(E421=0,G421=0),"ml",IF(AND(E421=0,F421=0),"ml",IF(AND(E421&lt;&gt;0,F421&lt;&gt;0,G421&lt;&gt;0),"m3",0)))))))</f>
        <v>ml</v>
      </c>
    </row>
    <row r="422" spans="2:10" s="1" customFormat="1" ht="12.75" x14ac:dyDescent="0.2">
      <c r="B422" s="43" t="s">
        <v>233</v>
      </c>
      <c r="C422" s="43" t="s">
        <v>236</v>
      </c>
      <c r="D422" s="60"/>
      <c r="E422" s="40"/>
      <c r="F422" s="40"/>
      <c r="G422" s="40"/>
      <c r="H422" s="40"/>
      <c r="I422" s="44">
        <f>SUM(H423:H423)</f>
        <v>0</v>
      </c>
      <c r="J422" s="45" t="str">
        <f>+J423</f>
        <v>ml</v>
      </c>
    </row>
    <row r="423" spans="2:10" s="1" customFormat="1" ht="12.75" x14ac:dyDescent="0.2">
      <c r="B423" s="57"/>
      <c r="C423" s="39" t="s">
        <v>231</v>
      </c>
      <c r="D423" s="40"/>
      <c r="E423" s="40"/>
      <c r="F423" s="40"/>
      <c r="G423" s="40"/>
      <c r="H423" s="40">
        <f>IF(AND(F423=0,G423=0),D423*E423,IF(AND(E423=0,G423=0),D423*F423,IF(AND(E423=0,F423=0),D423*G423,IF(AND(E423=0),D423*F423*G423,IF(AND(F423=0),D423*E423*G423,IF(AND(G423=0),D423*E423*F423,D423*E423*F423*G423))))))</f>
        <v>0</v>
      </c>
      <c r="I423" s="40"/>
      <c r="J423" s="41" t="str">
        <f>IF(AND(E423=0,F423&lt;&gt;0,G423&lt;&gt;0),"m2",IF(AND(F423=0,E423&lt;&gt;0,G423&lt;&gt;0),"m2",IF(AND(G423=0,E423&lt;&gt;0,F423&lt;&gt;0),"m2",IF(AND(F423=0,G423=0),"ml",IF(AND(E423=0,G423=0),"ml",IF(AND(E423=0,F423=0),"ml",IF(AND(E423&lt;&gt;0,F423&lt;&gt;0,G423&lt;&gt;0),"m3",0)))))))</f>
        <v>ml</v>
      </c>
    </row>
    <row r="424" spans="2:10" s="1" customFormat="1" ht="12.75" x14ac:dyDescent="0.2">
      <c r="B424" s="43"/>
      <c r="C424" s="39"/>
      <c r="D424" s="60"/>
      <c r="E424" s="40"/>
      <c r="F424" s="40"/>
      <c r="G424" s="40"/>
      <c r="H424" s="40"/>
      <c r="I424" s="44"/>
      <c r="J424" s="45"/>
    </row>
    <row r="425" spans="2:10" s="1" customFormat="1" ht="12.75" x14ac:dyDescent="0.2">
      <c r="B425" s="43" t="s">
        <v>268</v>
      </c>
      <c r="C425" s="43" t="s">
        <v>347</v>
      </c>
      <c r="D425" s="60"/>
      <c r="E425" s="40"/>
      <c r="F425" s="40"/>
      <c r="G425" s="40"/>
      <c r="H425" s="40"/>
      <c r="I425" s="44">
        <f>SUM(H426:H428)</f>
        <v>15.7</v>
      </c>
      <c r="J425" s="45" t="e">
        <f>+J426</f>
        <v>#REF!</v>
      </c>
    </row>
    <row r="426" spans="2:10" s="1" customFormat="1" ht="12.75" x14ac:dyDescent="0.2">
      <c r="B426" s="57"/>
      <c r="C426" s="39" t="s">
        <v>462</v>
      </c>
      <c r="D426" s="60">
        <v>1</v>
      </c>
      <c r="E426" s="89">
        <f>10.35</f>
        <v>10.35</v>
      </c>
      <c r="F426" s="40"/>
      <c r="G426" s="40"/>
      <c r="H426" s="40">
        <f t="shared" ref="H426:H427" si="9">IF(AND(F426=0,G426=0),D426*E426,IF(AND(E426=0,G426=0),D426*F426,IF(AND(E426=0,F426=0),D426*G426,IF(AND(E426=0),D426*F426*G426,IF(AND(F426=0),D426*E426*G426,IF(AND(G426=0),D426*E426*F426,D426*E426*F426*G426))))))</f>
        <v>10.35</v>
      </c>
      <c r="I426" s="40"/>
      <c r="J426" s="41" t="e">
        <f>IF(AND(#REF!=0,#REF!&lt;&gt;0,#REF!&lt;&gt;0),"m2",IF(AND(#REF!=0,#REF!&lt;&gt;0,#REF!&lt;&gt;0),"m2",IF(AND(#REF!=0,#REF!&lt;&gt;0,#REF!&lt;&gt;0),"m2",IF(AND(#REF!=0,#REF!=0),"ml",IF(AND(#REF!=0,#REF!=0),"ml",IF(AND(#REF!=0,#REF!=0),"ml",IF(AND(#REF!&lt;&gt;0,#REF!&lt;&gt;0,#REF!&lt;&gt;0),"m3",0)))))))</f>
        <v>#REF!</v>
      </c>
    </row>
    <row r="427" spans="2:10" s="1" customFormat="1" ht="12.75" x14ac:dyDescent="0.2">
      <c r="B427" s="57"/>
      <c r="C427" s="39" t="s">
        <v>662</v>
      </c>
      <c r="D427" s="60">
        <v>1</v>
      </c>
      <c r="E427" s="89">
        <v>5.35</v>
      </c>
      <c r="F427" s="40"/>
      <c r="G427" s="40"/>
      <c r="H427" s="40">
        <f t="shared" si="9"/>
        <v>5.35</v>
      </c>
      <c r="I427" s="40"/>
      <c r="J427" s="41"/>
    </row>
    <row r="428" spans="2:10" s="1" customFormat="1" ht="12.75" x14ac:dyDescent="0.2">
      <c r="B428" s="57"/>
      <c r="C428" s="39"/>
      <c r="D428" s="40"/>
      <c r="E428" s="40"/>
      <c r="F428" s="40"/>
      <c r="G428" s="40"/>
      <c r="H428" s="40"/>
      <c r="I428" s="40"/>
      <c r="J428" s="41" t="str">
        <f t="shared" ref="J428" si="10">IF(AND(E428=0,F428&lt;&gt;0,G428&lt;&gt;0),"m2",IF(AND(F428=0,E428&lt;&gt;0,G428&lt;&gt;0),"m2",IF(AND(G428=0,E428&lt;&gt;0,F428&lt;&gt;0),"m2",IF(AND(F428=0,G428=0),"ml",IF(AND(E428=0,G428=0),"ml",IF(AND(E428=0,F428=0),"ml",IF(AND(E428&lt;&gt;0,F428&lt;&gt;0,G428&lt;&gt;0),"m3",0)))))))</f>
        <v>ml</v>
      </c>
    </row>
    <row r="429" spans="2:10" s="1" customFormat="1" ht="12.75" x14ac:dyDescent="0.2">
      <c r="B429" s="43" t="s">
        <v>342</v>
      </c>
      <c r="C429" s="43" t="s">
        <v>271</v>
      </c>
      <c r="D429" s="60"/>
      <c r="E429" s="40"/>
      <c r="F429" s="40"/>
      <c r="G429" s="40"/>
      <c r="H429" s="40"/>
      <c r="I429" s="44">
        <f>SUM(H430:H431)</f>
        <v>4</v>
      </c>
      <c r="J429" s="45" t="str">
        <f>+J430</f>
        <v>und</v>
      </c>
    </row>
    <row r="430" spans="2:10" s="1" customFormat="1" ht="12.75" x14ac:dyDescent="0.2">
      <c r="B430" s="57"/>
      <c r="C430" s="39" t="s">
        <v>370</v>
      </c>
      <c r="D430" s="40">
        <v>3</v>
      </c>
      <c r="E430" s="40"/>
      <c r="F430" s="40"/>
      <c r="G430" s="40"/>
      <c r="H430" s="40">
        <f>+D430</f>
        <v>3</v>
      </c>
      <c r="I430" s="40"/>
      <c r="J430" s="41" t="s">
        <v>13</v>
      </c>
    </row>
    <row r="431" spans="2:10" s="1" customFormat="1" ht="12.75" x14ac:dyDescent="0.2">
      <c r="B431" s="57"/>
      <c r="C431" s="39" t="s">
        <v>644</v>
      </c>
      <c r="D431" s="60">
        <v>1</v>
      </c>
      <c r="E431" s="40"/>
      <c r="F431" s="40"/>
      <c r="G431" s="40"/>
      <c r="H431" s="40">
        <v>1</v>
      </c>
      <c r="I431" s="40"/>
      <c r="J431" s="41"/>
    </row>
    <row r="432" spans="2:10" s="1" customFormat="1" ht="12.75" x14ac:dyDescent="0.2">
      <c r="B432" s="57" t="s">
        <v>16</v>
      </c>
      <c r="C432" s="58" t="s">
        <v>224</v>
      </c>
      <c r="D432" s="60"/>
      <c r="E432" s="40"/>
      <c r="F432" s="40"/>
      <c r="G432" s="40"/>
      <c r="H432" s="40"/>
      <c r="I432" s="40"/>
      <c r="J432" s="41"/>
    </row>
    <row r="433" spans="2:10" s="1" customFormat="1" ht="12.75" x14ac:dyDescent="0.2">
      <c r="B433" s="43" t="s">
        <v>241</v>
      </c>
      <c r="C433" s="43" t="s">
        <v>239</v>
      </c>
      <c r="D433" s="60"/>
      <c r="E433" s="40"/>
      <c r="F433" s="40"/>
      <c r="G433" s="40"/>
      <c r="H433" s="40"/>
      <c r="I433" s="44">
        <f>SUM(H434:H434)</f>
        <v>0</v>
      </c>
      <c r="J433" s="45" t="str">
        <f>+J434</f>
        <v>ml</v>
      </c>
    </row>
    <row r="434" spans="2:10" s="1" customFormat="1" ht="12.75" x14ac:dyDescent="0.2">
      <c r="B434" s="57"/>
      <c r="C434" s="39" t="s">
        <v>238</v>
      </c>
      <c r="D434" s="40"/>
      <c r="E434" s="40"/>
      <c r="F434" s="40"/>
      <c r="G434" s="40"/>
      <c r="H434" s="40">
        <f>IF(AND(F434=0,G434=0),D434*E434,IF(AND(E434=0,G434=0),D434*F434,IF(AND(E434=0,F434=0),D434*G434,IF(AND(E434=0),D434*F434*G434,IF(AND(F434=0),D434*E434*G434,IF(AND(G434=0),D434*E434*F434,D434*E434*F434*G434))))))</f>
        <v>0</v>
      </c>
      <c r="I434" s="40"/>
      <c r="J434" s="41" t="str">
        <f>IF(AND(E434=0,F434&lt;&gt;0,G434&lt;&gt;0),"m2",IF(AND(F434=0,E434&lt;&gt;0,G434&lt;&gt;0),"m2",IF(AND(G434=0,E434&lt;&gt;0,F434&lt;&gt;0),"m2",IF(AND(F434=0,G434=0),"ml",IF(AND(E434=0,G434=0),"ml",IF(AND(E434=0,F434=0),"ml",IF(AND(E434&lt;&gt;0,F434&lt;&gt;0,G434&lt;&gt;0),"m3",0)))))))</f>
        <v>ml</v>
      </c>
    </row>
    <row r="435" spans="2:10" s="1" customFormat="1" ht="12.75" x14ac:dyDescent="0.2">
      <c r="B435" s="43" t="s">
        <v>248</v>
      </c>
      <c r="C435" s="43" t="s">
        <v>246</v>
      </c>
      <c r="D435" s="60"/>
      <c r="E435" s="40"/>
      <c r="F435" s="40"/>
      <c r="G435" s="40"/>
      <c r="H435" s="40"/>
      <c r="I435" s="44">
        <f>SUM(H436:H436)</f>
        <v>0</v>
      </c>
      <c r="J435" s="45" t="str">
        <f>+J436</f>
        <v>ml</v>
      </c>
    </row>
    <row r="436" spans="2:10" s="1" customFormat="1" ht="12.75" x14ac:dyDescent="0.2">
      <c r="B436" s="57"/>
      <c r="C436" s="39" t="s">
        <v>238</v>
      </c>
      <c r="D436" s="40"/>
      <c r="E436" s="40"/>
      <c r="F436" s="40"/>
      <c r="G436" s="40"/>
      <c r="H436" s="40">
        <f>IF(AND(F436=0,G436=0),D436*E436,IF(AND(E436=0,G436=0),D436*F436,IF(AND(E436=0,F436=0),D436*G436,IF(AND(E436=0),D436*F436*G436,IF(AND(F436=0),D436*E436*G436,IF(AND(G436=0),D436*E436*F436,D436*E436*F436*G436))))))</f>
        <v>0</v>
      </c>
      <c r="I436" s="40"/>
      <c r="J436" s="41" t="str">
        <f>IF(AND(E436=0,F436&lt;&gt;0,G436&lt;&gt;0),"m2",IF(AND(F436=0,E436&lt;&gt;0,G436&lt;&gt;0),"m2",IF(AND(G436=0,E436&lt;&gt;0,F436&lt;&gt;0),"m2",IF(AND(F436=0,G436=0),"ml",IF(AND(E436=0,G436=0),"ml",IF(AND(E436=0,F436=0),"ml",IF(AND(E436&lt;&gt;0,F436&lt;&gt;0,G436&lt;&gt;0),"m3",0)))))))</f>
        <v>ml</v>
      </c>
    </row>
    <row r="437" spans="2:10" s="1" customFormat="1" ht="12.75" x14ac:dyDescent="0.2">
      <c r="B437" s="43" t="s">
        <v>259</v>
      </c>
      <c r="C437" s="43" t="s">
        <v>251</v>
      </c>
      <c r="D437" s="60"/>
      <c r="E437" s="40"/>
      <c r="F437" s="40"/>
      <c r="G437" s="40"/>
      <c r="H437" s="40"/>
      <c r="I437" s="44">
        <f>SUM(H438:H438)</f>
        <v>0</v>
      </c>
      <c r="J437" s="45" t="str">
        <f>+J438</f>
        <v>ml</v>
      </c>
    </row>
    <row r="438" spans="2:10" s="1" customFormat="1" ht="12.75" x14ac:dyDescent="0.2">
      <c r="B438" s="57"/>
      <c r="C438" s="39" t="s">
        <v>238</v>
      </c>
      <c r="D438" s="40"/>
      <c r="E438" s="40"/>
      <c r="F438" s="40"/>
      <c r="G438" s="40"/>
      <c r="H438" s="40">
        <f>IF(AND(F438=0,G438=0),D438*E438,IF(AND(E438=0,G438=0),D438*F438,IF(AND(E438=0,F438=0),D438*G438,IF(AND(E438=0),D438*F438*G438,IF(AND(F438=0),D438*E438*G438,IF(AND(G438=0),D438*E438*F438,D438*E438*F438*G438))))))</f>
        <v>0</v>
      </c>
      <c r="I438" s="40"/>
      <c r="J438" s="41" t="str">
        <f>IF(AND(E438=0,F438&lt;&gt;0,G438&lt;&gt;0),"m2",IF(AND(F438=0,E438&lt;&gt;0,G438&lt;&gt;0),"m2",IF(AND(G438=0,E438&lt;&gt;0,F438&lt;&gt;0),"m2",IF(AND(F438=0,G438=0),"ml",IF(AND(E438=0,G438=0),"ml",IF(AND(E438=0,F438=0),"ml",IF(AND(E438&lt;&gt;0,F438&lt;&gt;0,G438&lt;&gt;0),"m3",0)))))))</f>
        <v>ml</v>
      </c>
    </row>
    <row r="439" spans="2:10" s="1" customFormat="1" ht="12.75" x14ac:dyDescent="0.2">
      <c r="B439" s="57"/>
      <c r="C439" s="39"/>
      <c r="D439" s="60"/>
      <c r="E439" s="40"/>
      <c r="F439" s="40"/>
      <c r="G439" s="40"/>
      <c r="H439" s="40"/>
      <c r="I439" s="40"/>
      <c r="J439" s="41"/>
    </row>
    <row r="440" spans="2:10" s="1" customFormat="1" ht="12.75" x14ac:dyDescent="0.2">
      <c r="B440" s="57" t="s">
        <v>18</v>
      </c>
      <c r="C440" s="58" t="s">
        <v>223</v>
      </c>
      <c r="D440" s="60"/>
      <c r="E440" s="40"/>
      <c r="F440" s="40"/>
      <c r="G440" s="40"/>
      <c r="H440" s="40"/>
      <c r="I440" s="40"/>
      <c r="J440" s="41"/>
    </row>
    <row r="441" spans="2:10" s="1" customFormat="1" ht="12.75" x14ac:dyDescent="0.2">
      <c r="B441" s="43" t="s">
        <v>20</v>
      </c>
      <c r="C441" s="43" t="s">
        <v>272</v>
      </c>
      <c r="D441" s="60"/>
      <c r="E441" s="40"/>
      <c r="F441" s="40"/>
      <c r="G441" s="40"/>
      <c r="H441" s="40"/>
      <c r="I441" s="44">
        <f>SUM(H442:H443)</f>
        <v>14</v>
      </c>
      <c r="J441" s="45" t="str">
        <f>+J442</f>
        <v>und</v>
      </c>
    </row>
    <row r="442" spans="2:10" s="1" customFormat="1" ht="12.75" x14ac:dyDescent="0.2">
      <c r="B442" s="46"/>
      <c r="C442" s="39" t="s">
        <v>462</v>
      </c>
      <c r="D442" s="60">
        <f>1*ROUNDUP(10.35/1,0)+3</f>
        <v>14</v>
      </c>
      <c r="E442" s="40"/>
      <c r="F442" s="40"/>
      <c r="G442" s="40"/>
      <c r="H442" s="40">
        <f>+D442</f>
        <v>14</v>
      </c>
      <c r="I442" s="40"/>
      <c r="J442" s="41" t="s">
        <v>13</v>
      </c>
    </row>
    <row r="443" spans="2:10" s="1" customFormat="1" ht="12.75" x14ac:dyDescent="0.2">
      <c r="B443" s="43"/>
      <c r="C443" s="39" t="s">
        <v>456</v>
      </c>
      <c r="D443" s="60">
        <v>0</v>
      </c>
      <c r="E443" s="40"/>
      <c r="F443" s="40"/>
      <c r="G443" s="40"/>
      <c r="H443" s="40">
        <f>+D443</f>
        <v>0</v>
      </c>
      <c r="I443" s="44"/>
      <c r="J443" s="45"/>
    </row>
    <row r="444" spans="2:10" s="1" customFormat="1" ht="12.75" x14ac:dyDescent="0.2">
      <c r="B444" s="43" t="s">
        <v>273</v>
      </c>
      <c r="C444" s="43" t="s">
        <v>354</v>
      </c>
      <c r="D444" s="60"/>
      <c r="E444" s="40"/>
      <c r="F444" s="40"/>
      <c r="G444" s="40"/>
      <c r="H444" s="40"/>
      <c r="I444" s="44">
        <f>SUM(H445:H445)</f>
        <v>17</v>
      </c>
      <c r="J444" s="45" t="str">
        <f>+J445</f>
        <v>und</v>
      </c>
    </row>
    <row r="445" spans="2:10" s="1" customFormat="1" ht="12.75" x14ac:dyDescent="0.2">
      <c r="B445" s="43"/>
      <c r="C445" s="39" t="s">
        <v>375</v>
      </c>
      <c r="D445" s="40">
        <v>1</v>
      </c>
      <c r="E445" s="40">
        <f>+ROUNDUP(E417/0.5,0)</f>
        <v>17</v>
      </c>
      <c r="F445" s="40"/>
      <c r="G445" s="40"/>
      <c r="H445" s="40">
        <f>IF(AND(F445=0,G445=0),D445*E445,IF(AND(E445=0,G445=0),D445*F445,IF(AND(E445=0,F445=0),D445*G445,IF(AND(E445=0),D445*F445*G445,IF(AND(F445=0),D445*E445*G445,IF(AND(G445=0),D445*E445*F445,D445*E445*F445*G445))))))</f>
        <v>17</v>
      </c>
      <c r="I445" s="40"/>
      <c r="J445" s="41" t="s">
        <v>13</v>
      </c>
    </row>
    <row r="446" spans="2:10" s="1" customFormat="1" ht="12.75" x14ac:dyDescent="0.2">
      <c r="B446" s="46"/>
      <c r="C446" s="43"/>
      <c r="D446" s="60"/>
      <c r="E446" s="40"/>
      <c r="F446" s="40"/>
      <c r="G446" s="40"/>
      <c r="H446" s="40"/>
      <c r="I446" s="40"/>
      <c r="J446" s="41"/>
    </row>
    <row r="447" spans="2:10" s="1" customFormat="1" ht="12.75" x14ac:dyDescent="0.2">
      <c r="B447" s="46"/>
      <c r="C447" s="39"/>
      <c r="F447" s="40"/>
      <c r="G447" s="40"/>
      <c r="I447" s="40"/>
      <c r="J447" s="41"/>
    </row>
    <row r="448" spans="2:10" s="1" customFormat="1" ht="12.75" x14ac:dyDescent="0.2">
      <c r="B448" s="46"/>
      <c r="C448" s="39"/>
      <c r="D448" s="60"/>
      <c r="E448" s="40"/>
      <c r="F448" s="40"/>
      <c r="G448" s="40"/>
      <c r="H448" s="40"/>
      <c r="I448" s="40"/>
      <c r="J448" s="41"/>
    </row>
    <row r="449" spans="2:10" s="1" customFormat="1" ht="12.75" x14ac:dyDescent="0.2">
      <c r="B449" s="380"/>
      <c r="C449" s="366"/>
      <c r="D449" s="60"/>
      <c r="E449" s="40"/>
      <c r="F449" s="40"/>
      <c r="G449" s="40"/>
      <c r="H449" s="40"/>
      <c r="I449" s="40"/>
      <c r="J449" s="41"/>
    </row>
    <row r="450" spans="2:10" s="1" customFormat="1" ht="12.75" x14ac:dyDescent="0.2">
      <c r="B450" s="107"/>
      <c r="C450" s="343"/>
      <c r="D450" s="60"/>
      <c r="E450" s="40"/>
      <c r="F450" s="40"/>
      <c r="G450" s="40"/>
      <c r="H450" s="40"/>
      <c r="I450" s="40"/>
      <c r="J450" s="41"/>
    </row>
    <row r="451" spans="2:10" s="1" customFormat="1" ht="12.75" x14ac:dyDescent="0.2">
      <c r="B451" s="46"/>
      <c r="C451" s="39"/>
      <c r="D451" s="8"/>
      <c r="E451" s="86"/>
      <c r="F451" s="40"/>
      <c r="G451" s="40"/>
      <c r="H451" s="40"/>
      <c r="I451" s="40"/>
      <c r="J451" s="41"/>
    </row>
    <row r="452" spans="2:10" s="1" customFormat="1" ht="12.75" x14ac:dyDescent="0.2">
      <c r="B452" s="46"/>
      <c r="C452" s="59"/>
      <c r="D452" s="60"/>
      <c r="E452" s="40"/>
      <c r="F452" s="40"/>
      <c r="G452" s="40"/>
      <c r="H452" s="40"/>
      <c r="I452" s="40"/>
      <c r="J452" s="41"/>
    </row>
    <row r="453" spans="2:10" s="1" customFormat="1" ht="12.75" x14ac:dyDescent="0.2">
      <c r="B453" s="46"/>
      <c r="C453" s="59"/>
      <c r="D453" s="60"/>
      <c r="E453" s="40"/>
      <c r="F453" s="40"/>
      <c r="G453" s="40"/>
      <c r="H453" s="40"/>
      <c r="I453" s="40"/>
      <c r="J453" s="41"/>
    </row>
    <row r="454" spans="2:10" s="1" customFormat="1" ht="12.75" x14ac:dyDescent="0.2">
      <c r="B454" s="46"/>
      <c r="C454" s="59"/>
      <c r="D454" s="60"/>
      <c r="E454" s="40"/>
      <c r="F454" s="40"/>
      <c r="G454" s="40"/>
      <c r="H454" s="40"/>
      <c r="I454" s="40"/>
      <c r="J454" s="41"/>
    </row>
    <row r="455" spans="2:10" s="1" customFormat="1" ht="12.75" x14ac:dyDescent="0.2">
      <c r="B455" s="46"/>
      <c r="C455" s="59"/>
      <c r="D455" s="60"/>
      <c r="E455" s="40"/>
      <c r="F455" s="40"/>
      <c r="G455" s="40"/>
      <c r="H455" s="40"/>
      <c r="I455" s="40"/>
      <c r="J455" s="41"/>
    </row>
    <row r="456" spans="2:10" s="1" customFormat="1" ht="12.75" x14ac:dyDescent="0.2">
      <c r="B456" s="46"/>
      <c r="C456" s="59"/>
      <c r="D456" s="60"/>
      <c r="E456" s="40"/>
      <c r="F456" s="40"/>
      <c r="G456" s="40"/>
      <c r="H456" s="40"/>
      <c r="I456" s="40"/>
      <c r="J456" s="41"/>
    </row>
    <row r="457" spans="2:10" s="1" customFormat="1" ht="12.75" x14ac:dyDescent="0.2">
      <c r="B457" s="46"/>
      <c r="C457" s="59"/>
      <c r="D457" s="60"/>
      <c r="E457" s="40"/>
      <c r="F457" s="40"/>
      <c r="G457" s="40"/>
      <c r="H457" s="40"/>
      <c r="I457" s="40"/>
      <c r="J457" s="41"/>
    </row>
    <row r="458" spans="2:10" s="1" customFormat="1" ht="12.75" x14ac:dyDescent="0.2">
      <c r="B458" s="46"/>
      <c r="C458" s="59"/>
      <c r="D458" s="60"/>
      <c r="E458" s="40"/>
      <c r="F458" s="40"/>
      <c r="G458" s="40"/>
      <c r="H458" s="40"/>
      <c r="I458" s="40"/>
      <c r="J458" s="41"/>
    </row>
    <row r="459" spans="2:10" s="1" customFormat="1" ht="12.75" x14ac:dyDescent="0.2">
      <c r="B459" s="46"/>
      <c r="C459" s="59"/>
      <c r="D459" s="60"/>
      <c r="E459" s="40"/>
      <c r="F459" s="40"/>
      <c r="G459" s="40"/>
      <c r="H459" s="40"/>
      <c r="I459" s="40"/>
      <c r="J459" s="41"/>
    </row>
    <row r="460" spans="2:10" s="1" customFormat="1" ht="12.75" x14ac:dyDescent="0.2">
      <c r="B460" s="46"/>
      <c r="C460" s="59"/>
      <c r="D460" s="60"/>
      <c r="E460" s="40"/>
      <c r="F460" s="40"/>
      <c r="G460" s="40"/>
      <c r="H460" s="40"/>
      <c r="I460" s="40"/>
      <c r="J460" s="41"/>
    </row>
    <row r="461" spans="2:10" s="1" customFormat="1" ht="12.75" x14ac:dyDescent="0.2">
      <c r="B461" s="46"/>
      <c r="C461" s="59"/>
      <c r="D461" s="60"/>
      <c r="E461" s="40"/>
      <c r="F461" s="40"/>
      <c r="G461" s="40"/>
      <c r="H461" s="40"/>
      <c r="I461" s="40"/>
      <c r="J461" s="41"/>
    </row>
    <row r="462" spans="2:10" s="1" customFormat="1" ht="12.75" x14ac:dyDescent="0.2">
      <c r="C462" s="384" t="s">
        <v>37</v>
      </c>
      <c r="D462" s="384"/>
      <c r="E462" s="384"/>
      <c r="F462" s="384"/>
      <c r="G462" s="384"/>
      <c r="H462" s="384"/>
    </row>
    <row r="463" spans="2:10" s="1" customFormat="1" ht="12.75" x14ac:dyDescent="0.2">
      <c r="C463" s="384" t="s">
        <v>38</v>
      </c>
      <c r="D463" s="384"/>
      <c r="E463" s="384"/>
      <c r="F463" s="384"/>
      <c r="G463" s="384"/>
      <c r="H463" s="384"/>
    </row>
    <row r="464" spans="2:10" s="1" customFormat="1" ht="12.75" x14ac:dyDescent="0.2">
      <c r="C464" s="384" t="s">
        <v>39</v>
      </c>
      <c r="D464" s="384"/>
      <c r="E464" s="384"/>
      <c r="F464" s="384"/>
      <c r="G464" s="384"/>
      <c r="H464" s="384"/>
    </row>
    <row r="465" spans="2:10" s="1" customFormat="1" ht="12.75" x14ac:dyDescent="0.2">
      <c r="C465" s="385" t="s">
        <v>40</v>
      </c>
      <c r="D465" s="385"/>
      <c r="E465" s="385"/>
      <c r="F465" s="385"/>
      <c r="G465" s="385"/>
      <c r="H465" s="385"/>
    </row>
    <row r="466" spans="2:10" s="1" customFormat="1" ht="33" customHeight="1" x14ac:dyDescent="0.2">
      <c r="C466" s="385"/>
      <c r="D466" s="385"/>
      <c r="E466" s="385"/>
      <c r="F466" s="385"/>
      <c r="G466" s="385"/>
      <c r="H466" s="385"/>
    </row>
    <row r="467" spans="2:10" s="1" customFormat="1" ht="15.75" x14ac:dyDescent="0.2">
      <c r="B467" s="386" t="s">
        <v>65</v>
      </c>
      <c r="C467" s="387"/>
      <c r="D467" s="387"/>
      <c r="E467" s="387"/>
      <c r="F467" s="387"/>
      <c r="G467" s="387"/>
      <c r="H467" s="387"/>
      <c r="I467" s="387"/>
      <c r="J467" s="388"/>
    </row>
    <row r="468" spans="2:10" s="1" customFormat="1" ht="20.25" x14ac:dyDescent="0.2">
      <c r="B468" s="390" t="s">
        <v>424</v>
      </c>
      <c r="C468" s="391"/>
      <c r="D468" s="391"/>
      <c r="E468" s="391"/>
      <c r="F468" s="391"/>
      <c r="G468" s="391"/>
      <c r="H468" s="391"/>
      <c r="I468" s="391"/>
      <c r="J468" s="392"/>
    </row>
    <row r="469" spans="2:10" s="1" customFormat="1" ht="13.5" thickBot="1" x14ac:dyDescent="0.25">
      <c r="B469" s="389"/>
      <c r="C469" s="389"/>
      <c r="D469" s="389"/>
      <c r="E469" s="389"/>
      <c r="F469" s="389"/>
      <c r="G469" s="389"/>
      <c r="H469" s="389"/>
      <c r="I469" s="389"/>
      <c r="J469" s="389"/>
    </row>
    <row r="470" spans="2:10" s="1" customFormat="1" ht="24.75" customHeight="1" x14ac:dyDescent="0.2">
      <c r="B470" s="494" t="s">
        <v>27</v>
      </c>
      <c r="C470" s="495"/>
      <c r="D470" s="495"/>
      <c r="E470" s="495"/>
      <c r="F470" s="495"/>
      <c r="G470" s="495"/>
      <c r="H470" s="495"/>
      <c r="I470" s="495"/>
      <c r="J470" s="496"/>
    </row>
    <row r="471" spans="2:10" s="1" customFormat="1" ht="12.75" x14ac:dyDescent="0.2">
      <c r="B471" s="2" t="s">
        <v>35</v>
      </c>
      <c r="C471" s="3" t="s">
        <v>36</v>
      </c>
      <c r="D471" s="3"/>
      <c r="E471" s="4"/>
      <c r="F471" s="5"/>
      <c r="G471" s="6" t="s">
        <v>8</v>
      </c>
      <c r="H471" s="497">
        <v>42879</v>
      </c>
      <c r="I471" s="497"/>
      <c r="J471" s="7"/>
    </row>
    <row r="472" spans="2:10" s="1" customFormat="1" ht="12.75" x14ac:dyDescent="0.2">
      <c r="B472" s="2" t="s">
        <v>33</v>
      </c>
      <c r="C472" s="3" t="s">
        <v>29</v>
      </c>
      <c r="D472" s="8"/>
      <c r="E472" s="8"/>
      <c r="F472" s="3"/>
      <c r="G472" s="9" t="s">
        <v>32</v>
      </c>
      <c r="H472" s="4" t="s">
        <v>29</v>
      </c>
      <c r="I472" s="10"/>
      <c r="J472" s="11"/>
    </row>
    <row r="473" spans="2:10" s="1" customFormat="1" ht="12.75" x14ac:dyDescent="0.2">
      <c r="B473" s="2" t="s">
        <v>34</v>
      </c>
      <c r="C473" s="3" t="s">
        <v>29</v>
      </c>
      <c r="D473" s="8"/>
      <c r="E473" s="8"/>
      <c r="F473" s="3"/>
      <c r="G473" s="9" t="s">
        <v>30</v>
      </c>
      <c r="H473" s="4" t="s">
        <v>31</v>
      </c>
      <c r="I473" s="10"/>
      <c r="J473" s="11"/>
    </row>
    <row r="474" spans="2:10" s="1" customFormat="1" ht="13.5" thickBot="1" x14ac:dyDescent="0.25">
      <c r="B474" s="12" t="s">
        <v>43</v>
      </c>
      <c r="C474" s="13" t="s">
        <v>44</v>
      </c>
      <c r="D474" s="14"/>
      <c r="E474" s="14"/>
      <c r="F474" s="13"/>
      <c r="G474" s="15" t="s">
        <v>41</v>
      </c>
      <c r="H474" s="16" t="s">
        <v>42</v>
      </c>
      <c r="I474" s="17"/>
      <c r="J474" s="18"/>
    </row>
    <row r="475" spans="2:10" s="1" customFormat="1" ht="12.75" x14ac:dyDescent="0.2">
      <c r="B475" s="389"/>
      <c r="C475" s="389"/>
      <c r="D475" s="389"/>
      <c r="E475" s="389"/>
      <c r="F475" s="389"/>
      <c r="G475" s="389"/>
      <c r="H475" s="389"/>
      <c r="I475" s="389"/>
      <c r="J475" s="389"/>
    </row>
    <row r="476" spans="2:10" s="1" customFormat="1" ht="12.75" x14ac:dyDescent="0.2">
      <c r="B476" s="21" t="s">
        <v>5</v>
      </c>
      <c r="C476" s="22" t="s">
        <v>0</v>
      </c>
      <c r="D476" s="22" t="s">
        <v>9</v>
      </c>
      <c r="E476" s="22" t="s">
        <v>10</v>
      </c>
      <c r="F476" s="22" t="s">
        <v>1</v>
      </c>
      <c r="G476" s="22" t="s">
        <v>2</v>
      </c>
      <c r="H476" s="22" t="s">
        <v>11</v>
      </c>
      <c r="I476" s="22" t="s">
        <v>6</v>
      </c>
      <c r="J476" s="22" t="s">
        <v>7</v>
      </c>
    </row>
    <row r="477" spans="2:10" s="1" customFormat="1" ht="12.75" x14ac:dyDescent="0.2">
      <c r="B477" s="55">
        <v>4.03</v>
      </c>
      <c r="C477" s="56" t="s">
        <v>222</v>
      </c>
      <c r="D477" s="60"/>
      <c r="E477" s="40"/>
      <c r="F477" s="40"/>
      <c r="G477" s="40"/>
      <c r="H477" s="40"/>
      <c r="I477" s="40"/>
      <c r="J477" s="41"/>
    </row>
    <row r="478" spans="2:10" s="1" customFormat="1" ht="12.75" x14ac:dyDescent="0.2">
      <c r="B478" s="57" t="s">
        <v>14</v>
      </c>
      <c r="C478" s="58" t="s">
        <v>225</v>
      </c>
      <c r="D478" s="60"/>
      <c r="E478" s="40"/>
      <c r="F478" s="40"/>
      <c r="G478" s="40"/>
      <c r="H478" s="40"/>
      <c r="I478" s="40"/>
      <c r="J478" s="41"/>
    </row>
    <row r="479" spans="2:10" s="1" customFormat="1" ht="12.75" x14ac:dyDescent="0.2">
      <c r="B479" s="43" t="s">
        <v>15</v>
      </c>
      <c r="C479" s="43" t="s">
        <v>359</v>
      </c>
      <c r="D479" s="60"/>
      <c r="E479" s="40"/>
      <c r="F479" s="40"/>
      <c r="G479" s="40"/>
      <c r="H479" s="40"/>
      <c r="I479" s="44">
        <f>SUM(H480:H480)</f>
        <v>0</v>
      </c>
      <c r="J479" s="45" t="str">
        <f>+J480</f>
        <v>ml</v>
      </c>
    </row>
    <row r="480" spans="2:10" s="1" customFormat="1" ht="12.75" x14ac:dyDescent="0.2">
      <c r="B480" s="43"/>
      <c r="C480" s="39" t="s">
        <v>387</v>
      </c>
      <c r="D480" s="40">
        <v>0</v>
      </c>
      <c r="E480" s="40">
        <v>0</v>
      </c>
      <c r="F480" s="40"/>
      <c r="G480" s="40"/>
      <c r="H480" s="40">
        <f>IF(AND(F480=0,G480=0),D480*E480,IF(AND(E480=0,G480=0),D480*F480,IF(AND(E480=0,F480=0),D480*G480,IF(AND(E480=0),D480*F480*G480,IF(AND(F480=0),D480*E480*G480,IF(AND(G480=0),D480*E480*F480,D480*E480*F480*G480))))))</f>
        <v>0</v>
      </c>
      <c r="I480" s="40"/>
      <c r="J480" s="41" t="str">
        <f>IF(AND(E480=0,F480&lt;&gt;0,G480&lt;&gt;0),"m2",IF(AND(F480=0,E480&lt;&gt;0,G480&lt;&gt;0),"m2",IF(AND(G480=0,E480&lt;&gt;0,F480&lt;&gt;0),"m2",IF(AND(F480=0,G480=0),"ml",IF(AND(E480=0,G480=0),"ml",IF(AND(E480=0,F480=0),"ml",IF(AND(E480&lt;&gt;0,F480&lt;&gt;0,G480&lt;&gt;0),"m3",0)))))))</f>
        <v>ml</v>
      </c>
    </row>
    <row r="481" spans="2:10" s="1" customFormat="1" ht="12.75" x14ac:dyDescent="0.2">
      <c r="B481" s="43"/>
      <c r="C481" s="39"/>
      <c r="D481" s="40"/>
      <c r="E481" s="40"/>
      <c r="F481" s="40"/>
      <c r="G481" s="40"/>
      <c r="H481" s="40">
        <f>IF(AND(F481=0,G481=0),D481*E481,IF(AND(E481=0,G481=0),D481*F481,IF(AND(E481=0,F481=0),D481*G481,IF(AND(E481=0),D481*F481*G481,IF(AND(F481=0),D481*E481*G481,IF(AND(G481=0),D481*E481*F481,D481*E481*F481*G481))))))</f>
        <v>0</v>
      </c>
      <c r="I481" s="40"/>
      <c r="J481" s="41" t="str">
        <f>IF(AND(E481=0,F481&lt;&gt;0,G481&lt;&gt;0),"m2",IF(AND(F481=0,E481&lt;&gt;0,G481&lt;&gt;0),"m2",IF(AND(G481=0,E481&lt;&gt;0,F481&lt;&gt;0),"m2",IF(AND(F481=0,G481=0),"ml",IF(AND(E481=0,G481=0),"ml",IF(AND(E481=0,F481=0),"ml",IF(AND(E481&lt;&gt;0,F481&lt;&gt;0,G481&lt;&gt;0),"m3",0)))))))</f>
        <v>ml</v>
      </c>
    </row>
    <row r="482" spans="2:10" s="1" customFormat="1" ht="12.75" x14ac:dyDescent="0.2">
      <c r="B482" s="43" t="s">
        <v>232</v>
      </c>
      <c r="C482" s="43" t="s">
        <v>235</v>
      </c>
      <c r="D482" s="60"/>
      <c r="E482" s="40"/>
      <c r="F482" s="40"/>
      <c r="G482" s="40"/>
      <c r="H482" s="40"/>
      <c r="I482" s="44">
        <f>SUM(H483:H484)</f>
        <v>77.3</v>
      </c>
      <c r="J482" s="45" t="str">
        <f>+J483</f>
        <v>ml</v>
      </c>
    </row>
    <row r="483" spans="2:10" s="1" customFormat="1" ht="12.75" x14ac:dyDescent="0.2">
      <c r="B483" s="57"/>
      <c r="C483" s="39" t="s">
        <v>378</v>
      </c>
      <c r="D483" s="40">
        <v>5</v>
      </c>
      <c r="E483" s="40">
        <v>11.6</v>
      </c>
      <c r="F483" s="40"/>
      <c r="G483" s="40"/>
      <c r="H483" s="40">
        <f>IF(AND(F483=0,G483=0),D483*E483,IF(AND(E483=0,G483=0),D483*F483,IF(AND(E483=0,F483=0),D483*G483,IF(AND(E483=0),D483*F483*G483,IF(AND(F483=0),D483*E483*G483,IF(AND(G483=0),D483*E483*F483,D483*E483*F483*G483))))))</f>
        <v>58</v>
      </c>
      <c r="I483" s="40"/>
      <c r="J483" s="41" t="str">
        <f>IF(AND(E483=0,F483&lt;&gt;0,G483&lt;&gt;0),"m2",IF(AND(F483=0,E483&lt;&gt;0,G483&lt;&gt;0),"m2",IF(AND(G483=0,E483&lt;&gt;0,F483&lt;&gt;0),"m2",IF(AND(F483=0,G483=0),"ml",IF(AND(E483=0,G483=0),"ml",IF(AND(E483=0,F483=0),"ml",IF(AND(E483&lt;&gt;0,F483&lt;&gt;0,G483&lt;&gt;0),"m3",0)))))))</f>
        <v>ml</v>
      </c>
    </row>
    <row r="484" spans="2:10" s="1" customFormat="1" ht="12.75" x14ac:dyDescent="0.2">
      <c r="B484" s="57"/>
      <c r="C484" s="39" t="s">
        <v>379</v>
      </c>
      <c r="D484" s="40">
        <v>1</v>
      </c>
      <c r="E484" s="40">
        <v>19.3</v>
      </c>
      <c r="F484" s="40"/>
      <c r="G484" s="40"/>
      <c r="H484" s="40">
        <f>IF(AND(F484=0,G484=0),D484*E484,IF(AND(E484=0,G484=0),D484*F484,IF(AND(E484=0,F484=0),D484*G484,IF(AND(E484=0),D484*F484*G484,IF(AND(F484=0),D484*E484*G484,IF(AND(G484=0),D484*E484*F484,D484*E484*F484*G484))))))</f>
        <v>19.3</v>
      </c>
      <c r="I484" s="40"/>
      <c r="J484" s="41" t="str">
        <f>IF(AND(E484=0,F484&lt;&gt;0,G484&lt;&gt;0),"m2",IF(AND(F484=0,E484&lt;&gt;0,G484&lt;&gt;0),"m2",IF(AND(G484=0,E484&lt;&gt;0,F484&lt;&gt;0),"m2",IF(AND(F484=0,G484=0),"ml",IF(AND(E484=0,G484=0),"ml",IF(AND(E484=0,F484=0),"ml",IF(AND(E484&lt;&gt;0,F484&lt;&gt;0,G484&lt;&gt;0),"m3",0)))))))</f>
        <v>ml</v>
      </c>
    </row>
    <row r="485" spans="2:10" s="1" customFormat="1" ht="12.75" x14ac:dyDescent="0.2">
      <c r="B485" s="43" t="s">
        <v>233</v>
      </c>
      <c r="C485" s="43" t="s">
        <v>236</v>
      </c>
      <c r="D485" s="60"/>
      <c r="E485" s="40"/>
      <c r="F485" s="40"/>
      <c r="G485" s="40"/>
      <c r="H485" s="40"/>
      <c r="I485" s="44">
        <f>SUM(H486:H486)</f>
        <v>0</v>
      </c>
      <c r="J485" s="45" t="str">
        <f>+J486</f>
        <v>ml</v>
      </c>
    </row>
    <row r="486" spans="2:10" s="1" customFormat="1" ht="12.75" x14ac:dyDescent="0.2">
      <c r="B486" s="57"/>
      <c r="C486" s="39" t="s">
        <v>378</v>
      </c>
      <c r="D486" s="40"/>
      <c r="E486" s="40"/>
      <c r="F486" s="40"/>
      <c r="G486" s="40"/>
      <c r="H486" s="40">
        <f>IF(AND(F486=0,G486=0),D486*E486,IF(AND(E486=0,G486=0),D486*F486,IF(AND(E486=0,F486=0),D486*G486,IF(AND(E486=0),D486*F486*G486,IF(AND(F486=0),D486*E486*G486,IF(AND(G486=0),D486*E486*F486,D486*E486*F486*G486))))))</f>
        <v>0</v>
      </c>
      <c r="I486" s="40"/>
      <c r="J486" s="41" t="str">
        <f>IF(AND(E486=0,F486&lt;&gt;0,G486&lt;&gt;0),"m2",IF(AND(F486=0,E486&lt;&gt;0,G486&lt;&gt;0),"m2",IF(AND(G486=0,E486&lt;&gt;0,F486&lt;&gt;0),"m2",IF(AND(F486=0,G486=0),"ml",IF(AND(E486=0,G486=0),"ml",IF(AND(E486=0,F486=0),"ml",IF(AND(E486&lt;&gt;0,F486&lt;&gt;0,G486&lt;&gt;0),"m3",0)))))))</f>
        <v>ml</v>
      </c>
    </row>
    <row r="487" spans="2:10" s="1" customFormat="1" ht="11.25" customHeight="1" x14ac:dyDescent="0.2">
      <c r="B487" s="57"/>
      <c r="C487" s="39" t="s">
        <v>379</v>
      </c>
      <c r="D487" s="40"/>
      <c r="E487" s="40"/>
      <c r="F487" s="40"/>
      <c r="G487" s="40"/>
      <c r="H487" s="40">
        <f>IF(AND(F487=0,G487=0),D487*E487,IF(AND(E487=0,G487=0),D487*F487,IF(AND(E487=0,F487=0),D487*G487,IF(AND(E487=0),D487*F487*G487,IF(AND(F487=0),D487*E487*G487,IF(AND(G487=0),D487*E487*F487,D487*E487*F487*G487))))))</f>
        <v>0</v>
      </c>
      <c r="I487" s="40"/>
      <c r="J487" s="41" t="str">
        <f>IF(AND(E487=0,F487&lt;&gt;0,G487&lt;&gt;0),"m2",IF(AND(F487=0,E487&lt;&gt;0,G487&lt;&gt;0),"m2",IF(AND(G487=0,E487&lt;&gt;0,F487&lt;&gt;0),"m2",IF(AND(F487=0,G487=0),"ml",IF(AND(E487=0,G487=0),"ml",IF(AND(E487=0,F487=0),"ml",IF(AND(E487&lt;&gt;0,F487&lt;&gt;0,G487&lt;&gt;0),"m3",0)))))))</f>
        <v>ml</v>
      </c>
    </row>
    <row r="488" spans="2:10" s="1" customFormat="1" ht="11.25" customHeight="1" x14ac:dyDescent="0.2">
      <c r="B488" s="43"/>
      <c r="C488" s="77"/>
      <c r="D488" s="60"/>
      <c r="E488" s="40"/>
      <c r="F488" s="40"/>
      <c r="G488" s="40"/>
      <c r="H488" s="40"/>
      <c r="I488" s="44"/>
      <c r="J488" s="45"/>
    </row>
    <row r="489" spans="2:10" s="1" customFormat="1" ht="12.75" x14ac:dyDescent="0.2">
      <c r="B489" s="43" t="s">
        <v>268</v>
      </c>
      <c r="C489" s="43" t="s">
        <v>347</v>
      </c>
      <c r="D489" s="60"/>
      <c r="E489" s="40"/>
      <c r="F489" s="40"/>
      <c r="G489" s="40"/>
      <c r="H489" s="40"/>
      <c r="I489" s="44">
        <f>SUM(H490:H490)</f>
        <v>0</v>
      </c>
      <c r="J489" s="45" t="str">
        <f>+J490</f>
        <v>ml</v>
      </c>
    </row>
    <row r="490" spans="2:10" s="1" customFormat="1" ht="12.75" x14ac:dyDescent="0.2">
      <c r="B490" s="57"/>
      <c r="C490" s="77"/>
      <c r="D490" s="40"/>
      <c r="E490" s="40"/>
      <c r="F490" s="40"/>
      <c r="G490" s="40"/>
      <c r="H490" s="40">
        <f t="shared" ref="H490" si="11">IF(AND(F490=0,G490=0),D490*E490,IF(AND(E490=0,G490=0),D490*F490,IF(AND(E490=0,F490=0),D490*G490,IF(AND(E490=0),D490*F490*G490,IF(AND(F490=0),D490*E490*G490,IF(AND(G490=0),D490*E490*F490,D490*E490*F490*G490))))))</f>
        <v>0</v>
      </c>
      <c r="I490" s="40"/>
      <c r="J490" s="41" t="str">
        <f t="shared" ref="J490" si="12">IF(AND(E490=0,F490&lt;&gt;0,G490&lt;&gt;0),"m2",IF(AND(F490=0,E490&lt;&gt;0,G490&lt;&gt;0),"m2",IF(AND(G490=0,E490&lt;&gt;0,F490&lt;&gt;0),"m2",IF(AND(F490=0,G490=0),"ml",IF(AND(E490=0,G490=0),"ml",IF(AND(E490=0,F490=0),"ml",IF(AND(E490&lt;&gt;0,F490&lt;&gt;0,G490&lt;&gt;0),"m3",0)))))))</f>
        <v>ml</v>
      </c>
    </row>
    <row r="491" spans="2:10" s="1" customFormat="1" ht="12.75" x14ac:dyDescent="0.2">
      <c r="B491" s="43" t="s">
        <v>342</v>
      </c>
      <c r="C491" s="43" t="s">
        <v>271</v>
      </c>
      <c r="D491" s="60"/>
      <c r="E491" s="40"/>
      <c r="F491" s="40"/>
      <c r="G491" s="40"/>
      <c r="H491" s="40"/>
      <c r="I491" s="44">
        <f>SUM(H492:H492)</f>
        <v>1</v>
      </c>
      <c r="J491" s="45" t="str">
        <f>+J492</f>
        <v>und</v>
      </c>
    </row>
    <row r="492" spans="2:10" s="1" customFormat="1" ht="12.75" x14ac:dyDescent="0.2">
      <c r="B492" s="57"/>
      <c r="C492" s="39" t="s">
        <v>710</v>
      </c>
      <c r="D492" s="40">
        <v>1</v>
      </c>
      <c r="E492" s="40"/>
      <c r="F492" s="40"/>
      <c r="G492" s="40"/>
      <c r="H492" s="40">
        <f>+D492</f>
        <v>1</v>
      </c>
      <c r="I492" s="40"/>
      <c r="J492" s="41" t="s">
        <v>13</v>
      </c>
    </row>
    <row r="493" spans="2:10" s="1" customFormat="1" ht="12.75" x14ac:dyDescent="0.2">
      <c r="B493" s="57" t="s">
        <v>16</v>
      </c>
      <c r="C493" s="58" t="s">
        <v>224</v>
      </c>
      <c r="D493" s="60"/>
      <c r="E493" s="40"/>
      <c r="F493" s="40"/>
      <c r="G493" s="40"/>
      <c r="H493" s="40"/>
      <c r="I493" s="40"/>
      <c r="J493" s="41"/>
    </row>
    <row r="494" spans="2:10" s="1" customFormat="1" ht="12.75" x14ac:dyDescent="0.2">
      <c r="B494" s="43" t="s">
        <v>241</v>
      </c>
      <c r="C494" s="43" t="s">
        <v>239</v>
      </c>
      <c r="D494" s="60"/>
      <c r="E494" s="40"/>
      <c r="F494" s="40"/>
      <c r="G494" s="40"/>
      <c r="H494" s="40"/>
      <c r="I494" s="44">
        <f>SUM(H495:H495)</f>
        <v>19.3</v>
      </c>
      <c r="J494" s="45" t="s">
        <v>345</v>
      </c>
    </row>
    <row r="495" spans="2:10" s="1" customFormat="1" ht="12.75" x14ac:dyDescent="0.2">
      <c r="B495" s="57"/>
      <c r="C495" s="39" t="s">
        <v>436</v>
      </c>
      <c r="D495" s="60">
        <v>1</v>
      </c>
      <c r="E495" s="40">
        <v>19.3</v>
      </c>
      <c r="F495" s="40"/>
      <c r="G495" s="40"/>
      <c r="H495" s="40">
        <f>IF(AND(F495=0,G496=0),D495*E495,IF(AND(E495=0,G496=0),D495*F495,IF(AND(E495=0,F495=0),D495*G496,IF(AND(E495=0),D495*F495*G496,IF(AND(F495=0),D495*E495*G496,IF(AND(G496=0),D495*E495*F495,D495*E495*F495*G496))))))</f>
        <v>19.3</v>
      </c>
      <c r="I495" s="40"/>
      <c r="J495" s="41" t="s">
        <v>345</v>
      </c>
    </row>
    <row r="496" spans="2:10" s="1" customFormat="1" ht="12.75" x14ac:dyDescent="0.2">
      <c r="B496" s="57"/>
      <c r="C496" s="39"/>
      <c r="G496" s="40"/>
      <c r="I496" s="44" t="e">
        <f>SUM(#REF!)</f>
        <v>#REF!</v>
      </c>
      <c r="J496" s="45" t="e">
        <f>+#REF!</f>
        <v>#REF!</v>
      </c>
    </row>
    <row r="497" spans="2:10" s="1" customFormat="1" ht="12.75" x14ac:dyDescent="0.2">
      <c r="B497" s="43" t="s">
        <v>248</v>
      </c>
      <c r="C497" s="43" t="s">
        <v>246</v>
      </c>
      <c r="D497" s="60"/>
      <c r="E497" s="40"/>
      <c r="F497" s="40"/>
      <c r="G497" s="40"/>
      <c r="H497" s="40"/>
      <c r="I497" s="44">
        <f>SUM(H498:H498)</f>
        <v>19.3</v>
      </c>
      <c r="J497" s="45" t="str">
        <f>+J498</f>
        <v>ml</v>
      </c>
    </row>
    <row r="498" spans="2:10" s="1" customFormat="1" ht="12.75" x14ac:dyDescent="0.2">
      <c r="B498" s="57"/>
      <c r="C498" s="39" t="s">
        <v>436</v>
      </c>
      <c r="D498" s="60">
        <v>1</v>
      </c>
      <c r="E498" s="40">
        <v>19.3</v>
      </c>
      <c r="F498" s="40"/>
      <c r="G498" s="40"/>
      <c r="H498" s="40">
        <f>IF(AND(F498=0,G498=0),D498*E498,IF(AND(E498=0,G498=0),D498*F498,IF(AND(E498=0,F498=0),D498*G498,IF(AND(E498=0),D498*F498*G498,IF(AND(F498=0),D498*E498*G498,IF(AND(G498=0),D498*E498*F498,D498*E498*F498*G498))))))</f>
        <v>19.3</v>
      </c>
      <c r="I498" s="40"/>
      <c r="J498" s="41" t="str">
        <f>IF(AND(E498=0,F498&lt;&gt;0,G498&lt;&gt;0),"m2",IF(AND(F498=0,E498&lt;&gt;0,G498&lt;&gt;0),"m2",IF(AND(G498=0,E498&lt;&gt;0,F498&lt;&gt;0),"m2",IF(AND(F498=0,G498=0),"ml",IF(AND(E498=0,G498=0),"ml",IF(AND(E498=0,F498=0),"ml",IF(AND(E498&lt;&gt;0,F498&lt;&gt;0,G498&lt;&gt;0),"m3",0)))))))</f>
        <v>ml</v>
      </c>
    </row>
    <row r="499" spans="2:10" s="1" customFormat="1" ht="12.75" x14ac:dyDescent="0.2">
      <c r="B499" s="43" t="s">
        <v>259</v>
      </c>
      <c r="C499" s="43" t="s">
        <v>251</v>
      </c>
      <c r="D499" s="60"/>
      <c r="E499" s="40"/>
      <c r="F499" s="40"/>
      <c r="G499" s="40"/>
      <c r="H499" s="40"/>
      <c r="I499" s="44">
        <f>SUM(H500:H500)</f>
        <v>0</v>
      </c>
      <c r="J499" s="45" t="str">
        <f>+J500</f>
        <v>ml</v>
      </c>
    </row>
    <row r="500" spans="2:10" s="1" customFormat="1" ht="12.75" x14ac:dyDescent="0.2">
      <c r="B500" s="57"/>
      <c r="C500" s="39" t="s">
        <v>389</v>
      </c>
      <c r="D500" s="40"/>
      <c r="E500" s="40"/>
      <c r="F500" s="40"/>
      <c r="G500" s="40"/>
      <c r="H500" s="40">
        <f>IF(AND(F500=0,G500=0),D500*E500,IF(AND(E500=0,G500=0),D500*F500,IF(AND(E500=0,F500=0),D500*G500,IF(AND(E500=0),D500*F500*G500,IF(AND(F500=0),D500*E500*G500,IF(AND(G500=0),D500*E500*F500,D500*E500*F500*G500))))))</f>
        <v>0</v>
      </c>
      <c r="I500" s="40"/>
      <c r="J500" s="41" t="str">
        <f>IF(AND(E500=0,F500&lt;&gt;0,G500&lt;&gt;0),"m2",IF(AND(F500=0,E500&lt;&gt;0,G500&lt;&gt;0),"m2",IF(AND(G500=0,E500&lt;&gt;0,F500&lt;&gt;0),"m2",IF(AND(F500=0,G500=0),"ml",IF(AND(E500=0,G500=0),"ml",IF(AND(E500=0,F500=0),"ml",IF(AND(E500&lt;&gt;0,F500&lt;&gt;0,G500&lt;&gt;0),"m3",0)))))))</f>
        <v>ml</v>
      </c>
    </row>
    <row r="501" spans="2:10" s="1" customFormat="1" ht="12.75" x14ac:dyDescent="0.2">
      <c r="B501" s="57"/>
      <c r="C501" s="39"/>
      <c r="D501" s="60"/>
      <c r="E501" s="40"/>
      <c r="F501" s="40"/>
      <c r="G501" s="40"/>
      <c r="H501" s="40"/>
      <c r="I501" s="40"/>
      <c r="J501" s="41"/>
    </row>
    <row r="502" spans="2:10" s="1" customFormat="1" ht="12.75" x14ac:dyDescent="0.2">
      <c r="B502" s="57" t="s">
        <v>18</v>
      </c>
      <c r="C502" s="58" t="s">
        <v>223</v>
      </c>
      <c r="D502" s="60"/>
      <c r="E502" s="40"/>
      <c r="F502" s="40"/>
      <c r="G502" s="40"/>
      <c r="H502" s="40"/>
      <c r="I502" s="40"/>
      <c r="J502" s="41"/>
    </row>
    <row r="503" spans="2:10" s="1" customFormat="1" ht="12.75" x14ac:dyDescent="0.2">
      <c r="B503" s="43" t="s">
        <v>20</v>
      </c>
      <c r="C503" s="43" t="s">
        <v>272</v>
      </c>
      <c r="D503" s="60"/>
      <c r="E503" s="40"/>
      <c r="F503" s="40"/>
      <c r="G503" s="40"/>
      <c r="H503" s="40"/>
      <c r="I503" s="44">
        <f>SUM(H504:H504)</f>
        <v>0</v>
      </c>
      <c r="J503" s="45" t="str">
        <f>+J504</f>
        <v>und</v>
      </c>
    </row>
    <row r="504" spans="2:10" s="1" customFormat="1" ht="12.75" x14ac:dyDescent="0.2">
      <c r="B504" s="46"/>
      <c r="C504" s="77"/>
      <c r="D504" s="40"/>
      <c r="E504" s="40"/>
      <c r="F504" s="40"/>
      <c r="G504" s="40"/>
      <c r="H504" s="40"/>
      <c r="I504" s="40"/>
      <c r="J504" s="41" t="s">
        <v>13</v>
      </c>
    </row>
    <row r="505" spans="2:10" s="1" customFormat="1" ht="12.75" x14ac:dyDescent="0.2">
      <c r="B505" s="46"/>
      <c r="C505" s="77"/>
      <c r="D505" s="60"/>
      <c r="E505" s="40"/>
      <c r="F505" s="40"/>
      <c r="G505" s="40"/>
      <c r="H505" s="40"/>
      <c r="I505" s="40"/>
      <c r="J505" s="41"/>
    </row>
    <row r="506" spans="2:10" s="1" customFormat="1" ht="12.75" x14ac:dyDescent="0.2">
      <c r="B506" s="43" t="s">
        <v>273</v>
      </c>
      <c r="C506" s="43" t="s">
        <v>354</v>
      </c>
      <c r="D506" s="60"/>
      <c r="E506" s="40"/>
      <c r="F506" s="40"/>
      <c r="G506" s="40"/>
      <c r="H506" s="40"/>
      <c r="I506" s="44">
        <f>SUM(H507:H507)</f>
        <v>0</v>
      </c>
      <c r="J506" s="45" t="str">
        <f>+J507</f>
        <v>und</v>
      </c>
    </row>
    <row r="507" spans="2:10" s="1" customFormat="1" ht="12.75" x14ac:dyDescent="0.2">
      <c r="B507" s="43"/>
      <c r="C507" s="39" t="s">
        <v>375</v>
      </c>
      <c r="D507" s="40"/>
      <c r="E507" s="40"/>
      <c r="F507" s="40"/>
      <c r="G507" s="40"/>
      <c r="H507" s="40">
        <f>IF(AND(F507=0,G507=0),D507*E507,IF(AND(E507=0,G507=0),D507*F507,IF(AND(E507=0,F507=0),D507*G507,IF(AND(E507=0),D507*F507*G507,IF(AND(F507=0),D507*E507*G507,IF(AND(G507=0),D507*E507*F507,D507*E507*F507*G507))))))</f>
        <v>0</v>
      </c>
      <c r="I507" s="40"/>
      <c r="J507" s="41" t="s">
        <v>13</v>
      </c>
    </row>
    <row r="508" spans="2:10" s="1" customFormat="1" ht="12.75" x14ac:dyDescent="0.2">
      <c r="B508" s="46"/>
      <c r="C508" s="59"/>
      <c r="D508" s="60"/>
      <c r="E508" s="40"/>
      <c r="F508" s="40"/>
      <c r="G508" s="40"/>
      <c r="H508" s="40"/>
      <c r="I508" s="40"/>
      <c r="J508" s="41"/>
    </row>
    <row r="509" spans="2:10" s="1" customFormat="1" ht="12.75" x14ac:dyDescent="0.2">
      <c r="B509" s="46"/>
      <c r="C509" s="59"/>
      <c r="D509" s="60"/>
      <c r="E509" s="40"/>
      <c r="F509" s="40"/>
      <c r="G509" s="40"/>
      <c r="H509" s="40"/>
      <c r="I509" s="40"/>
      <c r="J509" s="41"/>
    </row>
    <row r="510" spans="2:10" s="1" customFormat="1" ht="12.75" x14ac:dyDescent="0.2">
      <c r="B510" s="46"/>
      <c r="C510" s="59"/>
      <c r="D510" s="60"/>
      <c r="E510" s="40"/>
      <c r="F510" s="40"/>
      <c r="G510" s="40"/>
      <c r="H510" s="40"/>
      <c r="I510" s="40"/>
      <c r="J510" s="41"/>
    </row>
    <row r="511" spans="2:10" s="1" customFormat="1" ht="12.75" x14ac:dyDescent="0.2">
      <c r="B511" s="46"/>
      <c r="C511" s="59"/>
      <c r="D511" s="60"/>
      <c r="E511" s="40"/>
      <c r="F511" s="40"/>
      <c r="G511" s="40"/>
      <c r="H511" s="40"/>
      <c r="I511" s="40"/>
      <c r="J511" s="41"/>
    </row>
    <row r="512" spans="2:10" s="1" customFormat="1" ht="12.75" x14ac:dyDescent="0.2">
      <c r="B512" s="46"/>
      <c r="C512" s="59"/>
      <c r="D512" s="60"/>
      <c r="E512" s="40"/>
      <c r="F512" s="40"/>
      <c r="G512" s="40"/>
      <c r="H512" s="40"/>
      <c r="I512" s="40"/>
      <c r="J512" s="41"/>
    </row>
    <row r="513" spans="2:10" s="1" customFormat="1" ht="12.75" x14ac:dyDescent="0.2">
      <c r="B513" s="46"/>
      <c r="C513" s="59"/>
      <c r="D513" s="60"/>
      <c r="E513" s="40"/>
      <c r="F513" s="40"/>
      <c r="G513" s="40"/>
      <c r="H513" s="40"/>
      <c r="I513" s="40"/>
      <c r="J513" s="41"/>
    </row>
    <row r="514" spans="2:10" s="1" customFormat="1" ht="12.75" x14ac:dyDescent="0.2">
      <c r="B514" s="46"/>
      <c r="C514" s="59"/>
      <c r="D514" s="60"/>
      <c r="E514" s="40"/>
      <c r="F514" s="40"/>
      <c r="G514" s="40"/>
      <c r="H514" s="40"/>
      <c r="I514" s="40"/>
      <c r="J514" s="41"/>
    </row>
    <row r="515" spans="2:10" s="1" customFormat="1" ht="12.75" x14ac:dyDescent="0.2">
      <c r="B515" s="46"/>
      <c r="C515" s="59"/>
      <c r="D515" s="60"/>
      <c r="E515" s="40"/>
      <c r="F515" s="40"/>
      <c r="G515" s="40"/>
      <c r="H515" s="40"/>
      <c r="I515" s="40"/>
      <c r="J515" s="41"/>
    </row>
    <row r="516" spans="2:10" s="1" customFormat="1" ht="12.75" x14ac:dyDescent="0.2">
      <c r="B516" s="46"/>
      <c r="C516" s="59"/>
      <c r="D516" s="60"/>
      <c r="E516" s="40"/>
      <c r="F516" s="40"/>
      <c r="G516" s="40"/>
      <c r="H516" s="40"/>
      <c r="I516" s="40"/>
      <c r="J516" s="41"/>
    </row>
    <row r="517" spans="2:10" s="1" customFormat="1" ht="12.75" x14ac:dyDescent="0.2">
      <c r="B517" s="46"/>
      <c r="C517" s="59"/>
      <c r="D517" s="60"/>
      <c r="E517" s="40"/>
      <c r="F517" s="40"/>
      <c r="G517" s="40"/>
      <c r="H517" s="40"/>
      <c r="I517" s="40"/>
      <c r="J517" s="41"/>
    </row>
    <row r="518" spans="2:10" s="1" customFormat="1" ht="12.75" x14ac:dyDescent="0.2">
      <c r="B518" s="46"/>
      <c r="C518" s="59"/>
      <c r="D518" s="60"/>
      <c r="E518" s="40"/>
      <c r="F518" s="40"/>
      <c r="G518" s="40"/>
      <c r="H518" s="40"/>
      <c r="I518" s="40"/>
      <c r="J518" s="41"/>
    </row>
    <row r="519" spans="2:10" s="1" customFormat="1" ht="12.75" x14ac:dyDescent="0.2">
      <c r="C519" s="384" t="s">
        <v>37</v>
      </c>
      <c r="D519" s="384"/>
      <c r="E519" s="384"/>
      <c r="F519" s="384"/>
      <c r="G519" s="384"/>
      <c r="H519" s="384"/>
    </row>
    <row r="520" spans="2:10" s="1" customFormat="1" ht="12.75" x14ac:dyDescent="0.2">
      <c r="C520" s="384" t="s">
        <v>38</v>
      </c>
      <c r="D520" s="384"/>
      <c r="E520" s="384"/>
      <c r="F520" s="384"/>
      <c r="G520" s="384"/>
      <c r="H520" s="384"/>
    </row>
    <row r="521" spans="2:10" s="1" customFormat="1" ht="12.75" x14ac:dyDescent="0.2">
      <c r="C521" s="384" t="s">
        <v>39</v>
      </c>
      <c r="D521" s="384"/>
      <c r="E521" s="384"/>
      <c r="F521" s="384"/>
      <c r="G521" s="384"/>
      <c r="H521" s="384"/>
    </row>
    <row r="522" spans="2:10" s="1" customFormat="1" ht="12.75" x14ac:dyDescent="0.2">
      <c r="C522" s="385" t="s">
        <v>40</v>
      </c>
      <c r="D522" s="385"/>
      <c r="E522" s="385"/>
      <c r="F522" s="385"/>
      <c r="G522" s="385"/>
      <c r="H522" s="385"/>
    </row>
    <row r="523" spans="2:10" s="1" customFormat="1" ht="33" customHeight="1" x14ac:dyDescent="0.2">
      <c r="C523" s="385"/>
      <c r="D523" s="385"/>
      <c r="E523" s="385"/>
      <c r="F523" s="385"/>
      <c r="G523" s="385"/>
      <c r="H523" s="385"/>
    </row>
    <row r="524" spans="2:10" s="1" customFormat="1" ht="15.75" x14ac:dyDescent="0.2">
      <c r="B524" s="386" t="s">
        <v>65</v>
      </c>
      <c r="C524" s="387"/>
      <c r="D524" s="387"/>
      <c r="E524" s="387"/>
      <c r="F524" s="387"/>
      <c r="G524" s="387"/>
      <c r="H524" s="387"/>
      <c r="I524" s="387"/>
      <c r="J524" s="388"/>
    </row>
    <row r="525" spans="2:10" s="1" customFormat="1" ht="20.25" x14ac:dyDescent="0.2">
      <c r="B525" s="390" t="s">
        <v>366</v>
      </c>
      <c r="C525" s="391"/>
      <c r="D525" s="391"/>
      <c r="E525" s="391"/>
      <c r="F525" s="391"/>
      <c r="G525" s="391"/>
      <c r="H525" s="391"/>
      <c r="I525" s="391"/>
      <c r="J525" s="392"/>
    </row>
    <row r="526" spans="2:10" s="1" customFormat="1" ht="13.5" thickBot="1" x14ac:dyDescent="0.25">
      <c r="B526" s="389"/>
      <c r="C526" s="389"/>
      <c r="D526" s="389"/>
      <c r="E526" s="389"/>
      <c r="F526" s="389"/>
      <c r="G526" s="389"/>
      <c r="H526" s="389"/>
      <c r="I526" s="389"/>
      <c r="J526" s="389"/>
    </row>
    <row r="527" spans="2:10" s="1" customFormat="1" ht="24.75" customHeight="1" x14ac:dyDescent="0.2">
      <c r="B527" s="494" t="s">
        <v>27</v>
      </c>
      <c r="C527" s="495"/>
      <c r="D527" s="495"/>
      <c r="E527" s="495"/>
      <c r="F527" s="495"/>
      <c r="G527" s="495"/>
      <c r="H527" s="495"/>
      <c r="I527" s="495"/>
      <c r="J527" s="496"/>
    </row>
    <row r="528" spans="2:10" s="1" customFormat="1" ht="12.75" x14ac:dyDescent="0.2">
      <c r="B528" s="2" t="s">
        <v>35</v>
      </c>
      <c r="C528" s="3" t="s">
        <v>36</v>
      </c>
      <c r="D528" s="3"/>
      <c r="E528" s="4"/>
      <c r="F528" s="5"/>
      <c r="G528" s="6" t="s">
        <v>8</v>
      </c>
      <c r="H528" s="497">
        <v>42879</v>
      </c>
      <c r="I528" s="497"/>
      <c r="J528" s="7"/>
    </row>
    <row r="529" spans="2:10" s="1" customFormat="1" ht="12.75" x14ac:dyDescent="0.2">
      <c r="B529" s="2" t="s">
        <v>33</v>
      </c>
      <c r="C529" s="3" t="s">
        <v>29</v>
      </c>
      <c r="D529" s="8"/>
      <c r="E529" s="8"/>
      <c r="F529" s="3"/>
      <c r="G529" s="9" t="s">
        <v>32</v>
      </c>
      <c r="H529" s="4" t="s">
        <v>29</v>
      </c>
      <c r="I529" s="10"/>
      <c r="J529" s="11"/>
    </row>
    <row r="530" spans="2:10" s="1" customFormat="1" ht="12.75" x14ac:dyDescent="0.2">
      <c r="B530" s="2" t="s">
        <v>34</v>
      </c>
      <c r="C530" s="3" t="s">
        <v>29</v>
      </c>
      <c r="D530" s="8"/>
      <c r="E530" s="8"/>
      <c r="F530" s="3"/>
      <c r="G530" s="9" t="s">
        <v>30</v>
      </c>
      <c r="H530" s="4" t="s">
        <v>31</v>
      </c>
      <c r="I530" s="10"/>
      <c r="J530" s="11"/>
    </row>
    <row r="531" spans="2:10" s="1" customFormat="1" ht="13.5" thickBot="1" x14ac:dyDescent="0.25">
      <c r="B531" s="12" t="s">
        <v>43</v>
      </c>
      <c r="C531" s="13" t="s">
        <v>44</v>
      </c>
      <c r="D531" s="14"/>
      <c r="E531" s="14"/>
      <c r="F531" s="13"/>
      <c r="G531" s="15" t="s">
        <v>41</v>
      </c>
      <c r="H531" s="16" t="s">
        <v>42</v>
      </c>
      <c r="I531" s="17"/>
      <c r="J531" s="18"/>
    </row>
    <row r="532" spans="2:10" s="1" customFormat="1" ht="12.75" x14ac:dyDescent="0.2">
      <c r="B532" s="389"/>
      <c r="C532" s="389"/>
      <c r="D532" s="389"/>
      <c r="E532" s="389"/>
      <c r="F532" s="389"/>
      <c r="G532" s="389"/>
      <c r="H532" s="389"/>
      <c r="I532" s="389"/>
      <c r="J532" s="389"/>
    </row>
    <row r="533" spans="2:10" s="1" customFormat="1" ht="12.75" x14ac:dyDescent="0.2">
      <c r="B533" s="21" t="s">
        <v>5</v>
      </c>
      <c r="C533" s="22" t="s">
        <v>0</v>
      </c>
      <c r="D533" s="22" t="s">
        <v>9</v>
      </c>
      <c r="E533" s="22" t="s">
        <v>10</v>
      </c>
      <c r="F533" s="22" t="s">
        <v>1</v>
      </c>
      <c r="G533" s="22" t="s">
        <v>2</v>
      </c>
      <c r="H533" s="22" t="s">
        <v>11</v>
      </c>
      <c r="I533" s="22" t="s">
        <v>6</v>
      </c>
      <c r="J533" s="22" t="s">
        <v>7</v>
      </c>
    </row>
    <row r="534" spans="2:10" s="1" customFormat="1" ht="12.75" x14ac:dyDescent="0.2">
      <c r="B534" s="55">
        <v>4.03</v>
      </c>
      <c r="C534" s="56" t="s">
        <v>222</v>
      </c>
      <c r="D534" s="60"/>
      <c r="E534" s="40"/>
      <c r="F534" s="40"/>
      <c r="G534" s="40"/>
      <c r="H534" s="40"/>
      <c r="I534" s="40"/>
      <c r="J534" s="41"/>
    </row>
    <row r="535" spans="2:10" s="1" customFormat="1" ht="12.75" x14ac:dyDescent="0.2">
      <c r="B535" s="57" t="s">
        <v>14</v>
      </c>
      <c r="C535" s="58" t="s">
        <v>225</v>
      </c>
      <c r="D535" s="60"/>
      <c r="E535" s="40"/>
      <c r="F535" s="40"/>
      <c r="G535" s="40"/>
      <c r="H535" s="40"/>
      <c r="I535" s="40"/>
      <c r="J535" s="41"/>
    </row>
    <row r="536" spans="2:10" s="1" customFormat="1" ht="12.75" x14ac:dyDescent="0.2">
      <c r="B536" s="43" t="s">
        <v>15</v>
      </c>
      <c r="C536" s="43" t="s">
        <v>359</v>
      </c>
      <c r="D536" s="60"/>
      <c r="E536" s="40"/>
      <c r="F536" s="40"/>
      <c r="G536" s="40"/>
      <c r="H536" s="40"/>
      <c r="I536" s="44">
        <f>SUM(H537:H537)</f>
        <v>0</v>
      </c>
      <c r="J536" s="45" t="str">
        <f>+J537</f>
        <v>ml</v>
      </c>
    </row>
    <row r="537" spans="2:10" s="1" customFormat="1" ht="12.75" x14ac:dyDescent="0.2">
      <c r="B537" s="43"/>
      <c r="C537" s="39"/>
      <c r="D537" s="40"/>
      <c r="E537" s="40"/>
      <c r="F537" s="40"/>
      <c r="G537" s="40"/>
      <c r="H537" s="40">
        <f>IF(AND(F537=0,G537=0),D537*E537,IF(AND(E537=0,G537=0),D537*F537,IF(AND(E537=0,F537=0),D537*G537,IF(AND(E537=0),D537*F537*G537,IF(AND(F537=0),D537*E537*G537,IF(AND(G537=0),D537*E537*F537,D537*E537*F537*G537))))))</f>
        <v>0</v>
      </c>
      <c r="I537" s="40"/>
      <c r="J537" s="41" t="str">
        <f>IF(AND(E537=0,F537&lt;&gt;0,G537&lt;&gt;0),"m2",IF(AND(F537=0,E537&lt;&gt;0,G537&lt;&gt;0),"m2",IF(AND(G537=0,E537&lt;&gt;0,F537&lt;&gt;0),"m2",IF(AND(F537=0,G537=0),"ml",IF(AND(E537=0,G537=0),"ml",IF(AND(E537=0,F537=0),"ml",IF(AND(E537&lt;&gt;0,F537&lt;&gt;0,G537&lt;&gt;0),"m3",0)))))))</f>
        <v>ml</v>
      </c>
    </row>
    <row r="538" spans="2:10" s="1" customFormat="1" ht="12.75" x14ac:dyDescent="0.2">
      <c r="B538" s="43"/>
      <c r="C538" s="39"/>
      <c r="D538" s="40"/>
      <c r="E538" s="40"/>
      <c r="F538" s="40"/>
      <c r="G538" s="40"/>
      <c r="H538" s="40">
        <f>IF(AND(F538=0,G538=0),D538*E538,IF(AND(E538=0,G538=0),D538*F538,IF(AND(E538=0,F538=0),D538*G538,IF(AND(E538=0),D538*F538*G538,IF(AND(F538=0),D538*E538*G538,IF(AND(G538=0),D538*E538*F538,D538*E538*F538*G538))))))</f>
        <v>0</v>
      </c>
      <c r="I538" s="40"/>
      <c r="J538" s="41" t="str">
        <f>IF(AND(E538=0,F538&lt;&gt;0,G538&lt;&gt;0),"m2",IF(AND(F538=0,E538&lt;&gt;0,G538&lt;&gt;0),"m2",IF(AND(G538=0,E538&lt;&gt;0,F538&lt;&gt;0),"m2",IF(AND(F538=0,G538=0),"ml",IF(AND(E538=0,G538=0),"ml",IF(AND(E538=0,F538=0),"ml",IF(AND(E538&lt;&gt;0,F538&lt;&gt;0,G538&lt;&gt;0),"m3",0)))))))</f>
        <v>ml</v>
      </c>
    </row>
    <row r="539" spans="2:10" s="1" customFormat="1" ht="12.75" x14ac:dyDescent="0.2">
      <c r="B539" s="43" t="s">
        <v>232</v>
      </c>
      <c r="C539" s="43" t="s">
        <v>235</v>
      </c>
      <c r="D539" s="60"/>
      <c r="E539" s="40"/>
      <c r="F539" s="40"/>
      <c r="G539" s="40"/>
      <c r="H539" s="40"/>
      <c r="I539" s="44">
        <f>SUM(H540:H540)</f>
        <v>0</v>
      </c>
      <c r="J539" s="45" t="str">
        <f>+J540</f>
        <v>ml</v>
      </c>
    </row>
    <row r="540" spans="2:10" s="1" customFormat="1" ht="12.75" x14ac:dyDescent="0.2">
      <c r="B540" s="57"/>
      <c r="C540" s="39" t="s">
        <v>378</v>
      </c>
      <c r="D540" s="40"/>
      <c r="E540" s="40"/>
      <c r="F540" s="40"/>
      <c r="G540" s="40"/>
      <c r="H540" s="40">
        <f>IF(AND(F540=0,G540=0),D540*E540,IF(AND(E540=0,G540=0),D540*F540,IF(AND(E540=0,F540=0),D540*G540,IF(AND(E540=0),D540*F540*G540,IF(AND(F540=0),D540*E540*G540,IF(AND(G540=0),D540*E540*F540,D540*E540*F540*G540))))))</f>
        <v>0</v>
      </c>
      <c r="I540" s="40"/>
      <c r="J540" s="41" t="str">
        <f>IF(AND(E540=0,F540&lt;&gt;0,G540&lt;&gt;0),"m2",IF(AND(F540=0,E540&lt;&gt;0,G540&lt;&gt;0),"m2",IF(AND(G540=0,E540&lt;&gt;0,F540&lt;&gt;0),"m2",IF(AND(F540=0,G540=0),"ml",IF(AND(E540=0,G540=0),"ml",IF(AND(E540=0,F540=0),"ml",IF(AND(E540&lt;&gt;0,F540&lt;&gt;0,G540&lt;&gt;0),"m3",0)))))))</f>
        <v>ml</v>
      </c>
    </row>
    <row r="541" spans="2:10" s="1" customFormat="1" ht="12.75" x14ac:dyDescent="0.2">
      <c r="B541" s="57"/>
      <c r="C541" s="39" t="s">
        <v>379</v>
      </c>
      <c r="D541" s="40"/>
      <c r="E541" s="40"/>
      <c r="F541" s="40"/>
      <c r="G541" s="40"/>
      <c r="H541" s="40">
        <f>IF(AND(F541=0,G541=0),D541*E541,IF(AND(E541=0,G541=0),D541*F541,IF(AND(E541=0,F541=0),D541*G541,IF(AND(E541=0),D541*F541*G541,IF(AND(F541=0),D541*E541*G541,IF(AND(G541=0),D541*E541*F541,D541*E541*F541*G541))))))</f>
        <v>0</v>
      </c>
      <c r="I541" s="40"/>
      <c r="J541" s="41" t="str">
        <f>IF(AND(E541=0,F541&lt;&gt;0,G541&lt;&gt;0),"m2",IF(AND(F541=0,E541&lt;&gt;0,G541&lt;&gt;0),"m2",IF(AND(G541=0,E541&lt;&gt;0,F541&lt;&gt;0),"m2",IF(AND(F541=0,G541=0),"ml",IF(AND(E541=0,G541=0),"ml",IF(AND(E541=0,F541=0),"ml",IF(AND(E541&lt;&gt;0,F541&lt;&gt;0,G541&lt;&gt;0),"m3",0)))))))</f>
        <v>ml</v>
      </c>
    </row>
    <row r="542" spans="2:10" s="1" customFormat="1" ht="12.75" x14ac:dyDescent="0.2">
      <c r="B542" s="43" t="s">
        <v>233</v>
      </c>
      <c r="C542" s="43" t="s">
        <v>236</v>
      </c>
      <c r="D542" s="60"/>
      <c r="E542" s="40"/>
      <c r="F542" s="40"/>
      <c r="G542" s="40"/>
      <c r="H542" s="40"/>
      <c r="I542" s="44">
        <f>SUM(H543:H543)</f>
        <v>0</v>
      </c>
      <c r="J542" s="45" t="str">
        <f>+J543</f>
        <v>ml</v>
      </c>
    </row>
    <row r="543" spans="2:10" s="1" customFormat="1" ht="12.75" x14ac:dyDescent="0.2">
      <c r="B543" s="57"/>
      <c r="C543" s="39" t="s">
        <v>378</v>
      </c>
      <c r="D543" s="40"/>
      <c r="E543" s="40"/>
      <c r="F543" s="40"/>
      <c r="G543" s="40"/>
      <c r="H543" s="40">
        <f>IF(AND(F543=0,G543=0),D543*E543,IF(AND(E543=0,G543=0),D543*F543,IF(AND(E543=0,F543=0),D543*G543,IF(AND(E543=0),D543*F543*G543,IF(AND(F543=0),D543*E543*G543,IF(AND(G543=0),D543*E543*F543,D543*E543*F543*G543))))))</f>
        <v>0</v>
      </c>
      <c r="I543" s="40"/>
      <c r="J543" s="41" t="str">
        <f>IF(AND(E543=0,F543&lt;&gt;0,G543&lt;&gt;0),"m2",IF(AND(F543=0,E543&lt;&gt;0,G543&lt;&gt;0),"m2",IF(AND(G543=0,E543&lt;&gt;0,F543&lt;&gt;0),"m2",IF(AND(F543=0,G543=0),"ml",IF(AND(E543=0,G543=0),"ml",IF(AND(E543=0,F543=0),"ml",IF(AND(E543&lt;&gt;0,F543&lt;&gt;0,G543&lt;&gt;0),"m3",0)))))))</f>
        <v>ml</v>
      </c>
    </row>
    <row r="544" spans="2:10" s="1" customFormat="1" ht="12.75" x14ac:dyDescent="0.2">
      <c r="B544" s="57"/>
      <c r="C544" s="39" t="s">
        <v>379</v>
      </c>
      <c r="D544" s="40"/>
      <c r="E544" s="40"/>
      <c r="F544" s="40"/>
      <c r="G544" s="40"/>
      <c r="H544" s="40">
        <f>IF(AND(F544=0,G544=0),D544*E544,IF(AND(E544=0,G544=0),D544*F544,IF(AND(E544=0,F544=0),D544*G544,IF(AND(E544=0),D544*F544*G544,IF(AND(F544=0),D544*E544*G544,IF(AND(G544=0),D544*E544*F544,D544*E544*F544*G544))))))</f>
        <v>0</v>
      </c>
      <c r="I544" s="40"/>
      <c r="J544" s="41" t="str">
        <f>IF(AND(E544=0,F544&lt;&gt;0,G544&lt;&gt;0),"m2",IF(AND(F544=0,E544&lt;&gt;0,G544&lt;&gt;0),"m2",IF(AND(G544=0,E544&lt;&gt;0,F544&lt;&gt;0),"m2",IF(AND(F544=0,G544=0),"ml",IF(AND(E544=0,G544=0),"ml",IF(AND(E544=0,F544=0),"ml",IF(AND(E544&lt;&gt;0,F544&lt;&gt;0,G544&lt;&gt;0),"m3",0)))))))</f>
        <v>ml</v>
      </c>
    </row>
    <row r="545" spans="2:10" s="1" customFormat="1" ht="12.75" x14ac:dyDescent="0.2">
      <c r="B545" s="43" t="s">
        <v>234</v>
      </c>
      <c r="C545" s="43" t="s">
        <v>267</v>
      </c>
      <c r="D545" s="60"/>
      <c r="E545" s="40"/>
      <c r="F545" s="40"/>
      <c r="G545" s="40"/>
      <c r="H545" s="40"/>
      <c r="I545" s="44">
        <f>+SUM(H546)</f>
        <v>20</v>
      </c>
      <c r="J545" s="45" t="s">
        <v>345</v>
      </c>
    </row>
    <row r="546" spans="2:10" s="1" customFormat="1" ht="12.75" x14ac:dyDescent="0.2">
      <c r="B546" s="43"/>
      <c r="C546" s="39" t="s">
        <v>466</v>
      </c>
      <c r="D546" s="60">
        <v>2</v>
      </c>
      <c r="E546" s="40">
        <v>10</v>
      </c>
      <c r="F546" s="40"/>
      <c r="G546" s="40"/>
      <c r="H546" s="40">
        <f>IF(AND(F546=0,G546=0),D546*E546,IF(AND(E546=0,G546=0),D546*F546,IF(AND(E546=0,F546=0),D546*G546,IF(AND(E546=0),D546*F546*G546,IF(AND(F546=0),D546*E546*G546,IF(AND(G546=0),D546*E546*F546,D546*E546*F546*G546))))))</f>
        <v>20</v>
      </c>
      <c r="I546" s="44"/>
      <c r="J546" s="45"/>
    </row>
    <row r="547" spans="2:10" s="1" customFormat="1" ht="12.75" x14ac:dyDescent="0.2">
      <c r="B547" s="43"/>
      <c r="C547" s="39"/>
      <c r="D547" s="60"/>
      <c r="E547" s="40"/>
      <c r="F547" s="40"/>
      <c r="G547" s="40"/>
      <c r="H547" s="40"/>
      <c r="I547" s="40"/>
      <c r="J547" s="41"/>
    </row>
    <row r="548" spans="2:10" s="1" customFormat="1" ht="12.75" x14ac:dyDescent="0.2">
      <c r="B548" s="43" t="s">
        <v>268</v>
      </c>
      <c r="C548" s="43" t="s">
        <v>347</v>
      </c>
      <c r="D548" s="60"/>
      <c r="E548" s="40"/>
      <c r="F548" s="40"/>
      <c r="G548" s="40"/>
      <c r="H548" s="40"/>
      <c r="I548" s="44">
        <f>SUM(H549:H549)</f>
        <v>0</v>
      </c>
      <c r="J548" s="45" t="str">
        <f>+J549</f>
        <v>ml</v>
      </c>
    </row>
    <row r="549" spans="2:10" s="1" customFormat="1" ht="12.75" x14ac:dyDescent="0.2">
      <c r="B549" s="57"/>
      <c r="C549" s="77"/>
      <c r="D549" s="40"/>
      <c r="E549" s="40"/>
      <c r="F549" s="40"/>
      <c r="G549" s="40"/>
      <c r="H549" s="40">
        <f t="shared" ref="H549" si="13">IF(AND(F549=0,G549=0),D549*E549,IF(AND(E549=0,G549=0),D549*F549,IF(AND(E549=0,F549=0),D549*G549,IF(AND(E549=0),D549*F549*G549,IF(AND(F549=0),D549*E549*G549,IF(AND(G549=0),D549*E549*F549,D549*E549*F549*G549))))))</f>
        <v>0</v>
      </c>
      <c r="I549" s="40"/>
      <c r="J549" s="41" t="str">
        <f t="shared" ref="J549" si="14">IF(AND(E549=0,F549&lt;&gt;0,G549&lt;&gt;0),"m2",IF(AND(F549=0,E549&lt;&gt;0,G549&lt;&gt;0),"m2",IF(AND(G549=0,E549&lt;&gt;0,F549&lt;&gt;0),"m2",IF(AND(F549=0,G549=0),"ml",IF(AND(E549=0,G549=0),"ml",IF(AND(E549=0,F549=0),"ml",IF(AND(E549&lt;&gt;0,F549&lt;&gt;0,G549&lt;&gt;0),"m3",0)))))))</f>
        <v>ml</v>
      </c>
    </row>
    <row r="550" spans="2:10" s="1" customFormat="1" ht="12.75" x14ac:dyDescent="0.2">
      <c r="B550" s="43" t="s">
        <v>342</v>
      </c>
      <c r="C550" s="43" t="s">
        <v>271</v>
      </c>
      <c r="D550" s="60"/>
      <c r="E550" s="40"/>
      <c r="F550" s="40"/>
      <c r="G550" s="40"/>
      <c r="H550" s="40"/>
      <c r="I550" s="44">
        <f>SUM(H551:H551)</f>
        <v>6</v>
      </c>
      <c r="J550" s="45" t="str">
        <f>+J551</f>
        <v>und</v>
      </c>
    </row>
    <row r="551" spans="2:10" s="1" customFormat="1" ht="12.75" x14ac:dyDescent="0.2">
      <c r="B551" s="57"/>
      <c r="C551" s="39" t="s">
        <v>370</v>
      </c>
      <c r="D551" s="40">
        <v>6</v>
      </c>
      <c r="E551" s="40"/>
      <c r="F551" s="40"/>
      <c r="G551" s="40"/>
      <c r="H551" s="40">
        <f>+D551</f>
        <v>6</v>
      </c>
      <c r="I551" s="40"/>
      <c r="J551" s="41" t="s">
        <v>13</v>
      </c>
    </row>
    <row r="552" spans="2:10" s="1" customFormat="1" ht="12.75" x14ac:dyDescent="0.2">
      <c r="B552" s="57"/>
      <c r="C552" s="39"/>
      <c r="D552" s="60"/>
      <c r="E552" s="40"/>
      <c r="F552" s="40"/>
      <c r="G552" s="40"/>
      <c r="H552" s="40"/>
      <c r="I552" s="40"/>
      <c r="J552" s="41"/>
    </row>
    <row r="553" spans="2:10" s="1" customFormat="1" ht="12.75" x14ac:dyDescent="0.2">
      <c r="B553" s="57" t="s">
        <v>16</v>
      </c>
      <c r="C553" s="58" t="s">
        <v>224</v>
      </c>
      <c r="D553" s="60"/>
      <c r="E553" s="40"/>
      <c r="F553" s="40"/>
      <c r="G553" s="40"/>
      <c r="H553" s="40"/>
      <c r="I553" s="40"/>
      <c r="J553" s="41"/>
    </row>
    <row r="554" spans="2:10" s="1" customFormat="1" ht="12.75" x14ac:dyDescent="0.2">
      <c r="B554" s="43" t="s">
        <v>241</v>
      </c>
      <c r="C554" s="43" t="s">
        <v>239</v>
      </c>
      <c r="D554" s="60"/>
      <c r="E554" s="40"/>
      <c r="F554" s="40"/>
      <c r="G554" s="40"/>
      <c r="H554" s="40"/>
      <c r="I554" s="44">
        <f>SUM(H555:H555)</f>
        <v>0</v>
      </c>
      <c r="J554" s="45" t="str">
        <f>+J555</f>
        <v>ml</v>
      </c>
    </row>
    <row r="555" spans="2:10" s="1" customFormat="1" ht="12.75" x14ac:dyDescent="0.2">
      <c r="B555" s="57"/>
      <c r="C555" s="39" t="s">
        <v>400</v>
      </c>
      <c r="D555" s="40"/>
      <c r="E555" s="40"/>
      <c r="F555" s="40"/>
      <c r="G555" s="40"/>
      <c r="H555" s="40">
        <f>IF(AND(F555=0,G555=0),D555*E555,IF(AND(E555=0,G555=0),D555*F555,IF(AND(E555=0,F555=0),D555*G555,IF(AND(E555=0),D555*F555*G555,IF(AND(F555=0),D555*E555*G555,IF(AND(G555=0),D555*E555*F555,D555*E555*F555*G555))))))</f>
        <v>0</v>
      </c>
      <c r="I555" s="40"/>
      <c r="J555" s="41" t="str">
        <f>IF(AND(E555=0,F555&lt;&gt;0,G555&lt;&gt;0),"m2",IF(AND(F555=0,E555&lt;&gt;0,G555&lt;&gt;0),"m2",IF(AND(G555=0,E555&lt;&gt;0,F555&lt;&gt;0),"m2",IF(AND(F555=0,G555=0),"ml",IF(AND(E555=0,G555=0),"ml",IF(AND(E555=0,F555=0),"ml",IF(AND(E555&lt;&gt;0,F555&lt;&gt;0,G555&lt;&gt;0),"m3",0)))))))</f>
        <v>ml</v>
      </c>
    </row>
    <row r="556" spans="2:10" s="1" customFormat="1" ht="12.75" x14ac:dyDescent="0.2">
      <c r="B556" s="43" t="s">
        <v>248</v>
      </c>
      <c r="C556" s="43" t="s">
        <v>246</v>
      </c>
      <c r="D556" s="60"/>
      <c r="E556" s="40"/>
      <c r="F556" s="40"/>
      <c r="G556" s="40"/>
      <c r="H556" s="40"/>
      <c r="I556" s="44">
        <f>SUM(H557:H557)</f>
        <v>1.7</v>
      </c>
      <c r="J556" s="45" t="str">
        <f>+J557</f>
        <v>ml</v>
      </c>
    </row>
    <row r="557" spans="2:10" s="1" customFormat="1" ht="12.75" x14ac:dyDescent="0.2">
      <c r="B557" s="57"/>
      <c r="C557" s="39" t="s">
        <v>434</v>
      </c>
      <c r="D557" s="40">
        <v>1</v>
      </c>
      <c r="E557" s="40">
        <v>1.7</v>
      </c>
      <c r="F557" s="40"/>
      <c r="G557" s="40"/>
      <c r="H557" s="40">
        <f>IF(AND(F557=0,G557=0),D557*E557,IF(AND(E557=0,G557=0),D557*F557,IF(AND(E557=0,F557=0),D557*G557,IF(AND(E557=0),D557*F557*G557,IF(AND(F557=0),D557*E557*G557,IF(AND(G557=0),D557*E557*F557,D557*E557*F557*G557))))))</f>
        <v>1.7</v>
      </c>
      <c r="I557" s="40"/>
      <c r="J557" s="41" t="str">
        <f>IF(AND(E557=0,F557&lt;&gt;0,G557&lt;&gt;0),"m2",IF(AND(F557=0,E557&lt;&gt;0,G557&lt;&gt;0),"m2",IF(AND(G557=0,E557&lt;&gt;0,F557&lt;&gt;0),"m2",IF(AND(F557=0,G557=0),"ml",IF(AND(E557=0,G557=0),"ml",IF(AND(E557=0,F557=0),"ml",IF(AND(E557&lt;&gt;0,F557&lt;&gt;0,G557&lt;&gt;0),"m3",0)))))))</f>
        <v>ml</v>
      </c>
    </row>
    <row r="558" spans="2:10" s="1" customFormat="1" ht="12.75" x14ac:dyDescent="0.2">
      <c r="B558" s="43" t="s">
        <v>259</v>
      </c>
      <c r="C558" s="43" t="s">
        <v>251</v>
      </c>
      <c r="D558" s="60"/>
      <c r="E558" s="40"/>
      <c r="F558" s="40"/>
      <c r="G558" s="40"/>
      <c r="H558" s="40"/>
      <c r="I558" s="44">
        <f>SUM(H559:H559)</f>
        <v>0</v>
      </c>
      <c r="J558" s="45" t="str">
        <f>+J559</f>
        <v>ml</v>
      </c>
    </row>
    <row r="559" spans="2:10" s="1" customFormat="1" ht="12.75" x14ac:dyDescent="0.2">
      <c r="B559" s="57"/>
      <c r="C559" s="39" t="s">
        <v>389</v>
      </c>
      <c r="D559" s="40"/>
      <c r="E559" s="40"/>
      <c r="F559" s="40"/>
      <c r="G559" s="40"/>
      <c r="H559" s="40">
        <f>IF(AND(F559=0,G559=0),D559*E559,IF(AND(E559=0,G559=0),D559*F559,IF(AND(E559=0,F559=0),D559*G559,IF(AND(E559=0),D559*F559*G559,IF(AND(F559=0),D559*E559*G559,IF(AND(G559=0),D559*E559*F559,D559*E559*F559*G559))))))</f>
        <v>0</v>
      </c>
      <c r="I559" s="40"/>
      <c r="J559" s="41" t="str">
        <f>IF(AND(E559=0,F559&lt;&gt;0,G559&lt;&gt;0),"m2",IF(AND(F559=0,E559&lt;&gt;0,G559&lt;&gt;0),"m2",IF(AND(G559=0,E559&lt;&gt;0,F559&lt;&gt;0),"m2",IF(AND(F559=0,G559=0),"ml",IF(AND(E559=0,G559=0),"ml",IF(AND(E559=0,F559=0),"ml",IF(AND(E559&lt;&gt;0,F559&lt;&gt;0,G559&lt;&gt;0),"m3",0)))))))</f>
        <v>ml</v>
      </c>
    </row>
    <row r="560" spans="2:10" s="1" customFormat="1" ht="12.75" x14ac:dyDescent="0.2">
      <c r="B560" s="25"/>
      <c r="D560" s="60"/>
      <c r="E560" s="40"/>
      <c r="F560" s="40"/>
      <c r="G560" s="40"/>
      <c r="H560" s="40"/>
      <c r="I560" s="40"/>
      <c r="J560" s="41"/>
    </row>
    <row r="561" spans="2:10" s="1" customFormat="1" ht="12.75" x14ac:dyDescent="0.2">
      <c r="B561" s="57" t="s">
        <v>18</v>
      </c>
      <c r="C561" s="58" t="s">
        <v>223</v>
      </c>
      <c r="D561" s="60"/>
      <c r="E561" s="40"/>
      <c r="F561" s="40"/>
      <c r="G561" s="40"/>
      <c r="H561" s="40"/>
      <c r="I561" s="40"/>
      <c r="J561" s="41"/>
    </row>
    <row r="562" spans="2:10" s="1" customFormat="1" ht="12.75" x14ac:dyDescent="0.2">
      <c r="B562" s="43" t="s">
        <v>20</v>
      </c>
      <c r="C562" s="43" t="s">
        <v>272</v>
      </c>
      <c r="D562" s="60"/>
      <c r="E562" s="40"/>
      <c r="F562" s="40"/>
      <c r="G562" s="40"/>
      <c r="H562" s="40"/>
      <c r="I562" s="44">
        <f>SUM(H563:H563)</f>
        <v>0</v>
      </c>
      <c r="J562" s="45">
        <f>+J563</f>
        <v>0</v>
      </c>
    </row>
    <row r="563" spans="2:10" s="1" customFormat="1" ht="12.75" x14ac:dyDescent="0.2">
      <c r="B563" s="43"/>
      <c r="C563" s="39" t="s">
        <v>466</v>
      </c>
      <c r="D563" s="60">
        <v>0</v>
      </c>
      <c r="E563" s="40"/>
      <c r="F563" s="40"/>
      <c r="G563" s="40"/>
      <c r="H563" s="40">
        <f>+D563</f>
        <v>0</v>
      </c>
      <c r="I563" s="44"/>
      <c r="J563" s="45"/>
    </row>
    <row r="564" spans="2:10" s="1" customFormat="1" ht="12.75" x14ac:dyDescent="0.2">
      <c r="B564" s="43" t="s">
        <v>273</v>
      </c>
      <c r="C564" s="43" t="s">
        <v>354</v>
      </c>
      <c r="D564" s="60"/>
      <c r="E564" s="40"/>
      <c r="F564" s="40"/>
      <c r="G564" s="40"/>
      <c r="H564" s="40"/>
      <c r="I564" s="44">
        <f>SUM(H565:H565)</f>
        <v>0</v>
      </c>
      <c r="J564" s="45" t="str">
        <f>+J565</f>
        <v>und</v>
      </c>
    </row>
    <row r="565" spans="2:10" s="1" customFormat="1" ht="12.75" x14ac:dyDescent="0.2">
      <c r="B565" s="43"/>
      <c r="C565" s="39"/>
      <c r="D565" s="40"/>
      <c r="E565" s="40"/>
      <c r="F565" s="40"/>
      <c r="G565" s="40"/>
      <c r="H565" s="40">
        <f>IF(AND(F565=0,G565=0),D565*E565,IF(AND(E565=0,G565=0),D565*F565,IF(AND(E565=0,F565=0),D565*G565,IF(AND(E565=0),D565*F565*G565,IF(AND(F565=0),D565*E565*G565,IF(AND(G565=0),D565*E565*F565,D565*E565*F565*G565))))))</f>
        <v>0</v>
      </c>
      <c r="I565" s="40"/>
      <c r="J565" s="41" t="s">
        <v>13</v>
      </c>
    </row>
    <row r="566" spans="2:10" s="1" customFormat="1" ht="12.75" x14ac:dyDescent="0.2">
      <c r="B566" s="380"/>
      <c r="C566" s="39"/>
      <c r="D566" s="60"/>
      <c r="E566" s="40"/>
      <c r="F566" s="40"/>
      <c r="G566" s="40"/>
      <c r="H566" s="40"/>
      <c r="I566" s="40"/>
      <c r="J566" s="41"/>
    </row>
    <row r="567" spans="2:10" s="1" customFormat="1" ht="12.75" x14ac:dyDescent="0.2">
      <c r="B567" s="380"/>
      <c r="C567" s="43"/>
      <c r="D567" s="60"/>
      <c r="E567" s="40"/>
      <c r="F567" s="40"/>
      <c r="G567" s="40"/>
      <c r="H567" s="40"/>
      <c r="I567" s="40"/>
      <c r="J567" s="41"/>
    </row>
    <row r="568" spans="2:10" s="1" customFormat="1" ht="12.75" x14ac:dyDescent="0.2">
      <c r="B568" s="380"/>
      <c r="C568" s="39"/>
      <c r="D568" s="60"/>
      <c r="E568" s="40"/>
      <c r="F568" s="40"/>
      <c r="G568" s="40"/>
      <c r="H568" s="40"/>
      <c r="I568" s="40"/>
      <c r="J568" s="41"/>
    </row>
    <row r="569" spans="2:10" s="1" customFormat="1" ht="12.75" x14ac:dyDescent="0.2">
      <c r="B569" s="380"/>
      <c r="C569" s="39"/>
      <c r="D569" s="60"/>
      <c r="E569" s="40"/>
      <c r="F569" s="40"/>
      <c r="G569" s="40"/>
      <c r="H569" s="40"/>
      <c r="I569" s="40"/>
      <c r="J569" s="41"/>
    </row>
    <row r="570" spans="2:10" s="1" customFormat="1" ht="12.75" x14ac:dyDescent="0.2">
      <c r="B570" s="380"/>
      <c r="C570" s="39"/>
      <c r="D570" s="60"/>
      <c r="E570" s="40"/>
      <c r="F570" s="40"/>
      <c r="G570" s="40"/>
      <c r="H570" s="40"/>
      <c r="I570" s="40"/>
      <c r="J570" s="41"/>
    </row>
    <row r="571" spans="2:10" s="1" customFormat="1" ht="12.75" x14ac:dyDescent="0.2">
      <c r="B571" s="46"/>
      <c r="C571" s="59"/>
      <c r="D571" s="60"/>
      <c r="E571" s="40"/>
      <c r="F571" s="40"/>
      <c r="G571" s="40"/>
      <c r="H571" s="40"/>
      <c r="I571" s="40"/>
      <c r="J571" s="41"/>
    </row>
    <row r="572" spans="2:10" s="1" customFormat="1" ht="12.75" x14ac:dyDescent="0.2">
      <c r="B572" s="46"/>
      <c r="C572" s="59"/>
      <c r="D572" s="60"/>
      <c r="E572" s="40"/>
      <c r="F572" s="40"/>
      <c r="G572" s="40"/>
      <c r="H572" s="40"/>
      <c r="I572" s="40"/>
      <c r="J572" s="41"/>
    </row>
    <row r="573" spans="2:10" s="1" customFormat="1" ht="12.75" x14ac:dyDescent="0.2">
      <c r="B573" s="46"/>
      <c r="C573" s="59"/>
      <c r="D573" s="60"/>
      <c r="E573" s="40"/>
      <c r="F573" s="40"/>
      <c r="G573" s="40"/>
      <c r="H573" s="40"/>
      <c r="I573" s="40"/>
      <c r="J573" s="41"/>
    </row>
    <row r="574" spans="2:10" s="1" customFormat="1" ht="12.75" x14ac:dyDescent="0.2">
      <c r="B574" s="46"/>
      <c r="C574" s="59"/>
      <c r="D574" s="60"/>
      <c r="E574" s="40"/>
      <c r="F574" s="40"/>
      <c r="G574" s="40"/>
      <c r="H574" s="40"/>
      <c r="I574" s="40"/>
      <c r="J574" s="41"/>
    </row>
    <row r="575" spans="2:10" s="1" customFormat="1" ht="12.75" x14ac:dyDescent="0.2">
      <c r="B575" s="46"/>
      <c r="C575" s="59"/>
      <c r="D575" s="60"/>
      <c r="E575" s="40"/>
      <c r="F575" s="40"/>
      <c r="G575" s="40"/>
      <c r="H575" s="40"/>
      <c r="I575" s="40"/>
      <c r="J575" s="41"/>
    </row>
    <row r="576" spans="2:10" s="1" customFormat="1" ht="12.75" x14ac:dyDescent="0.2">
      <c r="C576" s="384" t="s">
        <v>37</v>
      </c>
      <c r="D576" s="384"/>
      <c r="E576" s="384"/>
      <c r="F576" s="384"/>
      <c r="G576" s="384"/>
      <c r="H576" s="384"/>
    </row>
    <row r="577" spans="2:10" s="1" customFormat="1" ht="12.75" x14ac:dyDescent="0.2">
      <c r="C577" s="384" t="s">
        <v>38</v>
      </c>
      <c r="D577" s="384"/>
      <c r="E577" s="384"/>
      <c r="F577" s="384"/>
      <c r="G577" s="384"/>
      <c r="H577" s="384"/>
    </row>
    <row r="578" spans="2:10" s="1" customFormat="1" ht="12.75" x14ac:dyDescent="0.2">
      <c r="C578" s="384" t="s">
        <v>39</v>
      </c>
      <c r="D578" s="384"/>
      <c r="E578" s="384"/>
      <c r="F578" s="384"/>
      <c r="G578" s="384"/>
      <c r="H578" s="384"/>
    </row>
    <row r="579" spans="2:10" s="1" customFormat="1" ht="12.75" x14ac:dyDescent="0.2">
      <c r="C579" s="385" t="s">
        <v>40</v>
      </c>
      <c r="D579" s="385"/>
      <c r="E579" s="385"/>
      <c r="F579" s="385"/>
      <c r="G579" s="385"/>
      <c r="H579" s="385"/>
    </row>
    <row r="580" spans="2:10" s="1" customFormat="1" ht="28.5" customHeight="1" x14ac:dyDescent="0.2">
      <c r="C580" s="385"/>
      <c r="D580" s="385"/>
      <c r="E580" s="385"/>
      <c r="F580" s="385"/>
      <c r="G580" s="385"/>
      <c r="H580" s="385"/>
    </row>
    <row r="581" spans="2:10" s="1" customFormat="1" ht="15.75" x14ac:dyDescent="0.2">
      <c r="B581" s="386" t="s">
        <v>65</v>
      </c>
      <c r="C581" s="387"/>
      <c r="D581" s="387"/>
      <c r="E581" s="387"/>
      <c r="F581" s="387"/>
      <c r="G581" s="387"/>
      <c r="H581" s="387"/>
      <c r="I581" s="387"/>
      <c r="J581" s="388"/>
    </row>
    <row r="582" spans="2:10" s="1" customFormat="1" ht="20.25" x14ac:dyDescent="0.2">
      <c r="B582" s="390" t="s">
        <v>367</v>
      </c>
      <c r="C582" s="391"/>
      <c r="D582" s="391"/>
      <c r="E582" s="391"/>
      <c r="F582" s="391"/>
      <c r="G582" s="391"/>
      <c r="H582" s="391"/>
      <c r="I582" s="391"/>
      <c r="J582" s="392"/>
    </row>
    <row r="583" spans="2:10" s="1" customFormat="1" ht="13.5" thickBot="1" x14ac:dyDescent="0.25">
      <c r="B583" s="389"/>
      <c r="C583" s="389"/>
      <c r="D583" s="389"/>
      <c r="E583" s="389"/>
      <c r="F583" s="389"/>
      <c r="G583" s="389"/>
      <c r="H583" s="389"/>
      <c r="I583" s="389"/>
      <c r="J583" s="389"/>
    </row>
    <row r="584" spans="2:10" s="1" customFormat="1" ht="24.75" customHeight="1" x14ac:dyDescent="0.2">
      <c r="B584" s="494" t="s">
        <v>27</v>
      </c>
      <c r="C584" s="495"/>
      <c r="D584" s="495"/>
      <c r="E584" s="495"/>
      <c r="F584" s="495"/>
      <c r="G584" s="495"/>
      <c r="H584" s="495"/>
      <c r="I584" s="495"/>
      <c r="J584" s="496"/>
    </row>
    <row r="585" spans="2:10" s="1" customFormat="1" ht="12.75" x14ac:dyDescent="0.2">
      <c r="B585" s="2" t="s">
        <v>35</v>
      </c>
      <c r="C585" s="3" t="s">
        <v>36</v>
      </c>
      <c r="D585" s="3"/>
      <c r="E585" s="4"/>
      <c r="F585" s="5"/>
      <c r="G585" s="6" t="s">
        <v>8</v>
      </c>
      <c r="H585" s="497">
        <v>42879</v>
      </c>
      <c r="I585" s="497"/>
      <c r="J585" s="7"/>
    </row>
    <row r="586" spans="2:10" s="1" customFormat="1" ht="12.75" x14ac:dyDescent="0.2">
      <c r="B586" s="2" t="s">
        <v>33</v>
      </c>
      <c r="C586" s="3" t="s">
        <v>29</v>
      </c>
      <c r="D586" s="8"/>
      <c r="E586" s="8"/>
      <c r="F586" s="3"/>
      <c r="G586" s="9" t="s">
        <v>32</v>
      </c>
      <c r="H586" s="4" t="s">
        <v>29</v>
      </c>
      <c r="I586" s="10"/>
      <c r="J586" s="11"/>
    </row>
    <row r="587" spans="2:10" s="1" customFormat="1" ht="12.75" x14ac:dyDescent="0.2">
      <c r="B587" s="2" t="s">
        <v>34</v>
      </c>
      <c r="C587" s="3" t="s">
        <v>29</v>
      </c>
      <c r="D587" s="8"/>
      <c r="E587" s="8"/>
      <c r="F587" s="3"/>
      <c r="G587" s="9" t="s">
        <v>30</v>
      </c>
      <c r="H587" s="4" t="s">
        <v>31</v>
      </c>
      <c r="I587" s="10"/>
      <c r="J587" s="11"/>
    </row>
    <row r="588" spans="2:10" s="1" customFormat="1" ht="13.5" thickBot="1" x14ac:dyDescent="0.25">
      <c r="B588" s="12" t="s">
        <v>43</v>
      </c>
      <c r="C588" s="13" t="s">
        <v>44</v>
      </c>
      <c r="D588" s="14"/>
      <c r="E588" s="14"/>
      <c r="F588" s="13"/>
      <c r="G588" s="15" t="s">
        <v>41</v>
      </c>
      <c r="H588" s="16" t="s">
        <v>42</v>
      </c>
      <c r="I588" s="17"/>
      <c r="J588" s="18"/>
    </row>
    <row r="589" spans="2:10" s="1" customFormat="1" ht="12.75" x14ac:dyDescent="0.2">
      <c r="B589" s="389"/>
      <c r="C589" s="389"/>
      <c r="D589" s="389"/>
      <c r="E589" s="389"/>
      <c r="F589" s="389"/>
      <c r="G589" s="389"/>
      <c r="H589" s="389"/>
      <c r="I589" s="389"/>
      <c r="J589" s="389"/>
    </row>
    <row r="590" spans="2:10" s="1" customFormat="1" ht="12.75" x14ac:dyDescent="0.2">
      <c r="B590" s="21" t="s">
        <v>5</v>
      </c>
      <c r="C590" s="22" t="s">
        <v>0</v>
      </c>
      <c r="D590" s="22" t="s">
        <v>9</v>
      </c>
      <c r="E590" s="22" t="s">
        <v>10</v>
      </c>
      <c r="F590" s="22" t="s">
        <v>1</v>
      </c>
      <c r="G590" s="22" t="s">
        <v>2</v>
      </c>
      <c r="H590" s="22" t="s">
        <v>11</v>
      </c>
      <c r="I590" s="22" t="s">
        <v>6</v>
      </c>
      <c r="J590" s="22" t="s">
        <v>7</v>
      </c>
    </row>
    <row r="591" spans="2:10" s="1" customFormat="1" ht="12.75" x14ac:dyDescent="0.2">
      <c r="B591" s="55">
        <v>4.03</v>
      </c>
      <c r="C591" s="56" t="s">
        <v>222</v>
      </c>
      <c r="D591" s="60"/>
      <c r="E591" s="40"/>
      <c r="F591" s="40"/>
      <c r="G591" s="40"/>
      <c r="H591" s="40"/>
      <c r="I591" s="40"/>
      <c r="J591" s="41"/>
    </row>
    <row r="592" spans="2:10" s="1" customFormat="1" ht="12.75" x14ac:dyDescent="0.2">
      <c r="B592" s="57" t="s">
        <v>14</v>
      </c>
      <c r="C592" s="58" t="s">
        <v>225</v>
      </c>
      <c r="D592" s="60"/>
      <c r="E592" s="40"/>
      <c r="F592" s="40"/>
      <c r="G592" s="40"/>
      <c r="H592" s="40"/>
      <c r="I592" s="40"/>
      <c r="J592" s="41"/>
    </row>
    <row r="593" spans="2:10" s="1" customFormat="1" ht="12.75" x14ac:dyDescent="0.2">
      <c r="B593" s="43" t="s">
        <v>15</v>
      </c>
      <c r="C593" s="43" t="s">
        <v>359</v>
      </c>
      <c r="D593" s="60"/>
      <c r="E593" s="40"/>
      <c r="F593" s="40"/>
      <c r="G593" s="40"/>
      <c r="H593" s="40"/>
      <c r="I593" s="44">
        <f>SUM(H594:H594)</f>
        <v>3.65</v>
      </c>
      <c r="J593" s="45" t="str">
        <f>+J594</f>
        <v>ml</v>
      </c>
    </row>
    <row r="594" spans="2:10" s="1" customFormat="1" ht="12.75" x14ac:dyDescent="0.2">
      <c r="B594" s="43"/>
      <c r="C594" s="39" t="s">
        <v>463</v>
      </c>
      <c r="D594" s="60">
        <v>1</v>
      </c>
      <c r="E594" s="40">
        <v>3.1</v>
      </c>
      <c r="F594" s="40"/>
      <c r="G594" s="40"/>
      <c r="H594" s="40">
        <v>3.65</v>
      </c>
      <c r="I594" s="40"/>
      <c r="J594" s="41" t="str">
        <f>IF(AND(E594=0,F594&lt;&gt;0,G594&lt;&gt;0),"m2",IF(AND(F594=0,E594&lt;&gt;0,G594&lt;&gt;0),"m2",IF(AND(G594=0,E594&lt;&gt;0,F594&lt;&gt;0),"m2",IF(AND(F594=0,G594=0),"ml",IF(AND(E594=0,G594=0),"ml",IF(AND(E594=0,F594=0),"ml",IF(AND(E594&lt;&gt;0,F594&lt;&gt;0,G594&lt;&gt;0),"m3",0)))))))</f>
        <v>ml</v>
      </c>
    </row>
    <row r="595" spans="2:10" s="1" customFormat="1" ht="12.75" x14ac:dyDescent="0.2">
      <c r="B595" s="43"/>
      <c r="C595" s="39"/>
      <c r="D595" s="40"/>
      <c r="E595" s="40"/>
      <c r="F595" s="40"/>
      <c r="G595" s="40"/>
      <c r="H595" s="40"/>
      <c r="I595" s="40"/>
      <c r="J595" s="41" t="str">
        <f>IF(AND(E595=0,F595&lt;&gt;0,G595&lt;&gt;0),"m2",IF(AND(F595=0,E595&lt;&gt;0,G595&lt;&gt;0),"m2",IF(AND(G595=0,E595&lt;&gt;0,F595&lt;&gt;0),"m2",IF(AND(F595=0,G595=0),"ml",IF(AND(E595=0,G595=0),"ml",IF(AND(E595=0,F595=0),"ml",IF(AND(E595&lt;&gt;0,F595&lt;&gt;0,G595&lt;&gt;0),"m3",0)))))))</f>
        <v>ml</v>
      </c>
    </row>
    <row r="596" spans="2:10" s="1" customFormat="1" ht="12.75" x14ac:dyDescent="0.2">
      <c r="B596" s="43" t="s">
        <v>232</v>
      </c>
      <c r="C596" s="43" t="s">
        <v>235</v>
      </c>
      <c r="D596" s="60"/>
      <c r="E596" s="40"/>
      <c r="F596" s="40"/>
      <c r="G596" s="40"/>
      <c r="H596" s="40"/>
      <c r="I596" s="44">
        <f>SUM(H597:H598)</f>
        <v>110</v>
      </c>
      <c r="J596" s="45" t="str">
        <f>+J597</f>
        <v>ml</v>
      </c>
    </row>
    <row r="597" spans="2:10" s="1" customFormat="1" ht="12.75" x14ac:dyDescent="0.2">
      <c r="B597" s="57"/>
      <c r="C597" s="39" t="s">
        <v>378</v>
      </c>
      <c r="D597" s="40">
        <v>7</v>
      </c>
      <c r="E597" s="40">
        <v>11.6</v>
      </c>
      <c r="F597" s="40"/>
      <c r="G597" s="40"/>
      <c r="H597" s="40">
        <f>IF(AND(F597=0,G597=0),D597*E597,IF(AND(E597=0,G597=0),D597*F597,IF(AND(E597=0,F597=0),D597*G597,IF(AND(E597=0),D597*F597*G597,IF(AND(F597=0),D597*E597*G597,IF(AND(G597=0),D597*E597*F597,D597*E597*F597*G597))))))</f>
        <v>81.2</v>
      </c>
      <c r="I597" s="40"/>
      <c r="J597" s="41" t="str">
        <f>IF(AND(E597=0,F597&lt;&gt;0,G597&lt;&gt;0),"m2",IF(AND(F597=0,E597&lt;&gt;0,G597&lt;&gt;0),"m2",IF(AND(G597=0,E597&lt;&gt;0,F597&lt;&gt;0),"m2",IF(AND(F597=0,G597=0),"ml",IF(AND(E597=0,G597=0),"ml",IF(AND(E597=0,F597=0),"ml",IF(AND(E597&lt;&gt;0,F597&lt;&gt;0,G597&lt;&gt;0),"m3",0)))))))</f>
        <v>ml</v>
      </c>
    </row>
    <row r="598" spans="2:10" s="1" customFormat="1" ht="12.75" x14ac:dyDescent="0.2">
      <c r="B598" s="57"/>
      <c r="C598" s="39" t="s">
        <v>379</v>
      </c>
      <c r="D598" s="40">
        <v>1</v>
      </c>
      <c r="E598" s="40">
        <v>28.8</v>
      </c>
      <c r="F598" s="40"/>
      <c r="G598" s="40"/>
      <c r="H598" s="40">
        <f>IF(AND(F598=0,G598=0),D598*E598,IF(AND(E598=0,G598=0),D598*F598,IF(AND(E598=0,F598=0),D598*G598,IF(AND(E598=0),D598*F598*G598,IF(AND(F598=0),D598*E598*G598,IF(AND(G598=0),D598*E598*F598,D598*E598*F598*G598))))))</f>
        <v>28.8</v>
      </c>
      <c r="I598" s="40"/>
      <c r="J598" s="41" t="str">
        <f>IF(AND(E598=0,F598&lt;&gt;0,G598&lt;&gt;0),"m2",IF(AND(F598=0,E598&lt;&gt;0,G598&lt;&gt;0),"m2",IF(AND(G598=0,E598&lt;&gt;0,F598&lt;&gt;0),"m2",IF(AND(F598=0,G598=0),"ml",IF(AND(E598=0,G598=0),"ml",IF(AND(E598=0,F598=0),"ml",IF(AND(E598&lt;&gt;0,F598&lt;&gt;0,G598&lt;&gt;0),"m3",0)))))))</f>
        <v>ml</v>
      </c>
    </row>
    <row r="599" spans="2:10" s="1" customFormat="1" ht="12.75" x14ac:dyDescent="0.2">
      <c r="B599" s="43" t="s">
        <v>233</v>
      </c>
      <c r="C599" s="43" t="s">
        <v>236</v>
      </c>
      <c r="D599" s="60"/>
      <c r="E599" s="40"/>
      <c r="F599" s="40"/>
      <c r="G599" s="40"/>
      <c r="H599" s="40"/>
      <c r="I599" s="44">
        <f>SUM(H600:H600)</f>
        <v>0</v>
      </c>
      <c r="J599" s="45" t="str">
        <f>+J600</f>
        <v>ml</v>
      </c>
    </row>
    <row r="600" spans="2:10" s="1" customFormat="1" ht="12.75" x14ac:dyDescent="0.2">
      <c r="B600" s="57"/>
      <c r="C600" s="39" t="s">
        <v>378</v>
      </c>
      <c r="D600" s="40"/>
      <c r="E600" s="40"/>
      <c r="F600" s="40"/>
      <c r="G600" s="40"/>
      <c r="H600" s="40">
        <f>IF(AND(F600=0,G600=0),D600*E600,IF(AND(E600=0,G600=0),D600*F600,IF(AND(E600=0,F600=0),D600*G600,IF(AND(E600=0),D600*F600*G600,IF(AND(F600=0),D600*E600*G600,IF(AND(G600=0),D600*E600*F600,D600*E600*F600*G600))))))</f>
        <v>0</v>
      </c>
      <c r="I600" s="40"/>
      <c r="J600" s="41" t="str">
        <f>IF(AND(E600=0,F600&lt;&gt;0,G600&lt;&gt;0),"m2",IF(AND(F600=0,E600&lt;&gt;0,G600&lt;&gt;0),"m2",IF(AND(G600=0,E600&lt;&gt;0,F600&lt;&gt;0),"m2",IF(AND(F600=0,G600=0),"ml",IF(AND(E600=0,G600=0),"ml",IF(AND(E600=0,F600=0),"ml",IF(AND(E600&lt;&gt;0,F600&lt;&gt;0,G600&lt;&gt;0),"m3",0)))))))</f>
        <v>ml</v>
      </c>
    </row>
    <row r="601" spans="2:10" s="1" customFormat="1" ht="12.75" x14ac:dyDescent="0.2">
      <c r="B601" s="57"/>
      <c r="C601" s="39" t="s">
        <v>379</v>
      </c>
      <c r="D601" s="40"/>
      <c r="E601" s="40"/>
      <c r="F601" s="40"/>
      <c r="G601" s="40"/>
      <c r="H601" s="40">
        <f>IF(AND(F601=0,G601=0),D601*E601,IF(AND(E601=0,G601=0),D601*F601,IF(AND(E601=0,F601=0),D601*G601,IF(AND(E601=0),D601*F601*G601,IF(AND(F601=0),D601*E601*G601,IF(AND(G601=0),D601*E601*F601,D601*E601*F601*G601))))))</f>
        <v>0</v>
      </c>
      <c r="I601" s="40"/>
      <c r="J601" s="41" t="str">
        <f>IF(AND(E601=0,F601&lt;&gt;0,G601&lt;&gt;0),"m2",IF(AND(F601=0,E601&lt;&gt;0,G601&lt;&gt;0),"m2",IF(AND(G601=0,E601&lt;&gt;0,F601&lt;&gt;0),"m2",IF(AND(F601=0,G601=0),"ml",IF(AND(E601=0,G601=0),"ml",IF(AND(E601=0,F601=0),"ml",IF(AND(E601&lt;&gt;0,F601&lt;&gt;0,G601&lt;&gt;0),"m3",0)))))))</f>
        <v>ml</v>
      </c>
    </row>
    <row r="602" spans="2:10" s="1" customFormat="1" ht="12.75" x14ac:dyDescent="0.2">
      <c r="B602" s="43" t="s">
        <v>268</v>
      </c>
      <c r="C602" s="43" t="s">
        <v>347</v>
      </c>
      <c r="D602" s="60"/>
      <c r="E602" s="40"/>
      <c r="F602" s="40"/>
      <c r="G602" s="40"/>
      <c r="H602" s="40"/>
      <c r="I602" s="44">
        <f>+SUM(H603:H604)</f>
        <v>17.55</v>
      </c>
      <c r="J602" s="45" t="s">
        <v>345</v>
      </c>
    </row>
    <row r="603" spans="2:10" s="1" customFormat="1" ht="12.75" x14ac:dyDescent="0.2">
      <c r="B603" s="57"/>
      <c r="C603" s="39" t="s">
        <v>528</v>
      </c>
      <c r="D603" s="60">
        <v>1</v>
      </c>
      <c r="E603" s="89">
        <v>10.55</v>
      </c>
      <c r="F603" s="40"/>
      <c r="G603" s="40"/>
      <c r="H603" s="40">
        <f>IF(AND(F603=0,G603=0),D603*E603,IF(AND(E603=0,G603=0),D603*F603,IF(AND(E603=0,F603=0),D603*G603,IF(AND(E603=0),D603*F603*G603,IF(AND(F603=0),D603*E603*G603,IF(AND(G603=0),D603*E603*F603,D603*E603*F603*G603))))))</f>
        <v>10.55</v>
      </c>
      <c r="I603" s="40"/>
      <c r="J603" s="41" t="s">
        <v>345</v>
      </c>
    </row>
    <row r="604" spans="2:10" s="1" customFormat="1" ht="12.75" x14ac:dyDescent="0.2">
      <c r="B604" s="57"/>
      <c r="C604" s="39" t="s">
        <v>663</v>
      </c>
      <c r="D604" s="60">
        <v>1</v>
      </c>
      <c r="E604" s="40">
        <f>2+5</f>
        <v>7</v>
      </c>
      <c r="F604" s="40"/>
      <c r="G604" s="40"/>
      <c r="H604" s="40">
        <f>IF(AND(F604=0,G604=0),D604*E604,IF(AND(E604=0,G604=0),D604*F604,IF(AND(E604=0,F604=0),D604*G604,IF(AND(E604=0),D604*F604*G604,IF(AND(F604=0),D604*E604*G604,IF(AND(G604=0),D604*E604*F604,D604*E604*F604*G604))))))</f>
        <v>7</v>
      </c>
      <c r="I604" s="40"/>
      <c r="J604" s="41"/>
    </row>
    <row r="605" spans="2:10" s="1" customFormat="1" ht="12.75" x14ac:dyDescent="0.2">
      <c r="B605" s="57"/>
      <c r="C605" s="39"/>
      <c r="D605" s="60"/>
      <c r="E605" s="40"/>
      <c r="F605" s="40"/>
      <c r="G605" s="40"/>
      <c r="H605" s="40"/>
      <c r="I605" s="40"/>
      <c r="J605" s="41"/>
    </row>
    <row r="606" spans="2:10" s="1" customFormat="1" ht="12.75" x14ac:dyDescent="0.2">
      <c r="B606" s="43" t="s">
        <v>342</v>
      </c>
      <c r="C606" s="43" t="s">
        <v>271</v>
      </c>
      <c r="D606" s="60"/>
      <c r="E606" s="40"/>
      <c r="F606" s="40"/>
      <c r="G606" s="40"/>
      <c r="H606" s="40"/>
      <c r="I606" s="44">
        <f>SUM(H607:H607)</f>
        <v>0</v>
      </c>
      <c r="J606" s="45" t="str">
        <f>+J607</f>
        <v>und</v>
      </c>
    </row>
    <row r="607" spans="2:10" s="1" customFormat="1" ht="12.75" x14ac:dyDescent="0.2">
      <c r="B607" s="57"/>
      <c r="C607" s="39" t="s">
        <v>370</v>
      </c>
      <c r="D607" s="40"/>
      <c r="E607" s="40"/>
      <c r="F607" s="40"/>
      <c r="G607" s="40"/>
      <c r="H607" s="40">
        <f>+D607</f>
        <v>0</v>
      </c>
      <c r="I607" s="40"/>
      <c r="J607" s="41" t="s">
        <v>13</v>
      </c>
    </row>
    <row r="608" spans="2:10" s="1" customFormat="1" ht="12.75" x14ac:dyDescent="0.2">
      <c r="B608" s="57" t="s">
        <v>16</v>
      </c>
      <c r="C608" s="58" t="s">
        <v>224</v>
      </c>
      <c r="D608" s="60"/>
      <c r="E608" s="40"/>
      <c r="F608" s="40"/>
      <c r="G608" s="40"/>
      <c r="H608" s="40"/>
      <c r="I608" s="40"/>
      <c r="J608" s="41"/>
    </row>
    <row r="609" spans="2:10" s="1" customFormat="1" ht="12.75" x14ac:dyDescent="0.2">
      <c r="B609" s="43" t="s">
        <v>241</v>
      </c>
      <c r="C609" s="43" t="s">
        <v>239</v>
      </c>
      <c r="D609" s="60"/>
      <c r="E609" s="40"/>
      <c r="F609" s="40"/>
      <c r="G609" s="40"/>
      <c r="H609" s="40"/>
      <c r="I609" s="44">
        <f>SUM(H610:H610)</f>
        <v>0</v>
      </c>
      <c r="J609" s="45" t="str">
        <f>+J610</f>
        <v>ml</v>
      </c>
    </row>
    <row r="610" spans="2:10" s="1" customFormat="1" ht="12.75" x14ac:dyDescent="0.2">
      <c r="B610" s="57"/>
      <c r="C610" s="39" t="s">
        <v>400</v>
      </c>
      <c r="D610" s="40"/>
      <c r="E610" s="40"/>
      <c r="F610" s="40"/>
      <c r="G610" s="40"/>
      <c r="H610" s="40">
        <f>IF(AND(F610=0,G610=0),D610*E610,IF(AND(E610=0,G610=0),D610*F610,IF(AND(E610=0,F610=0),D610*G610,IF(AND(E610=0),D610*F610*G610,IF(AND(F610=0),D610*E610*G610,IF(AND(G610=0),D610*E610*F610,D610*E610*F610*G610))))))</f>
        <v>0</v>
      </c>
      <c r="I610" s="40"/>
      <c r="J610" s="41" t="str">
        <f>IF(AND(E610=0,F610&lt;&gt;0,G610&lt;&gt;0),"m2",IF(AND(F610=0,E610&lt;&gt;0,G610&lt;&gt;0),"m2",IF(AND(G610=0,E610&lt;&gt;0,F610&lt;&gt;0),"m2",IF(AND(F610=0,G610=0),"ml",IF(AND(E610=0,G610=0),"ml",IF(AND(E610=0,F610=0),"ml",IF(AND(E610&lt;&gt;0,F610&lt;&gt;0,G610&lt;&gt;0),"m3",0)))))))</f>
        <v>ml</v>
      </c>
    </row>
    <row r="611" spans="2:10" s="1" customFormat="1" ht="12.75" x14ac:dyDescent="0.2">
      <c r="B611" s="43" t="s">
        <v>248</v>
      </c>
      <c r="C611" s="43" t="s">
        <v>246</v>
      </c>
      <c r="D611" s="60"/>
      <c r="E611" s="40"/>
      <c r="F611" s="40"/>
      <c r="G611" s="40"/>
      <c r="H611" s="40"/>
      <c r="I611" s="44">
        <f>SUM(H612:H613)</f>
        <v>0</v>
      </c>
      <c r="J611" s="45" t="e">
        <f>+#REF!</f>
        <v>#REF!</v>
      </c>
    </row>
    <row r="612" spans="2:10" s="1" customFormat="1" ht="12.75" x14ac:dyDescent="0.2">
      <c r="B612" s="57"/>
      <c r="C612" s="39"/>
      <c r="D612" s="40"/>
      <c r="E612" s="40"/>
      <c r="F612" s="40"/>
      <c r="G612" s="40"/>
      <c r="H612" s="40">
        <f>IF(AND(F612=0,G612=0),D612*E612,IF(AND(E612=0,G612=0),D612*F612,IF(AND(E612=0,F612=0),D612*G612,IF(AND(E612=0),D612*F612*G612,IF(AND(F612=0),D612*E612*G612,IF(AND(G612=0),D612*E612*F612,D612*E612*F612*G612))))))</f>
        <v>0</v>
      </c>
      <c r="I612" s="40"/>
      <c r="J612" s="41" t="str">
        <f>IF(AND(E612=0,F612&lt;&gt;0,G612&lt;&gt;0),"m2",IF(AND(F612=0,E612&lt;&gt;0,G612&lt;&gt;0),"m2",IF(AND(G612=0,E612&lt;&gt;0,F612&lt;&gt;0),"m2",IF(AND(F612=0,G612=0),"ml",IF(AND(E612=0,G612=0),"ml",IF(AND(E612=0,F612=0),"ml",IF(AND(E612&lt;&gt;0,F612&lt;&gt;0,G612&lt;&gt;0),"m3",0)))))))</f>
        <v>ml</v>
      </c>
    </row>
    <row r="613" spans="2:10" s="1" customFormat="1" ht="12.75" x14ac:dyDescent="0.2">
      <c r="B613" s="57"/>
      <c r="C613" s="39"/>
      <c r="D613" s="60"/>
      <c r="E613" s="86"/>
      <c r="F613" s="40"/>
      <c r="G613" s="40"/>
      <c r="H613" s="40"/>
      <c r="I613" s="40"/>
      <c r="J613" s="41"/>
    </row>
    <row r="614" spans="2:10" s="1" customFormat="1" ht="12.75" x14ac:dyDescent="0.2">
      <c r="B614" s="43" t="s">
        <v>259</v>
      </c>
      <c r="C614" s="43" t="s">
        <v>251</v>
      </c>
      <c r="D614" s="60"/>
      <c r="E614" s="40"/>
      <c r="F614" s="40"/>
      <c r="G614" s="40"/>
      <c r="H614" s="40"/>
      <c r="I614" s="44">
        <f>SUM(H615:H615)</f>
        <v>0</v>
      </c>
      <c r="J614" s="45" t="str">
        <f>+J615</f>
        <v>ml</v>
      </c>
    </row>
    <row r="615" spans="2:10" s="1" customFormat="1" ht="12.75" x14ac:dyDescent="0.2">
      <c r="B615" s="57"/>
      <c r="C615" s="39" t="s">
        <v>389</v>
      </c>
      <c r="D615" s="40"/>
      <c r="E615" s="40"/>
      <c r="F615" s="40"/>
      <c r="G615" s="40"/>
      <c r="H615" s="40">
        <f>IF(AND(F615=0,G615=0),D615*E615,IF(AND(E615=0,G615=0),D615*F615,IF(AND(E615=0,F615=0),D615*G615,IF(AND(E615=0),D615*F615*G615,IF(AND(F615=0),D615*E615*G615,IF(AND(G615=0),D615*E615*F615,D615*E615*F615*G615))))))</f>
        <v>0</v>
      </c>
      <c r="I615" s="40"/>
      <c r="J615" s="41" t="str">
        <f>IF(AND(E615=0,F615&lt;&gt;0,G615&lt;&gt;0),"m2",IF(AND(F615=0,E615&lt;&gt;0,G615&lt;&gt;0),"m2",IF(AND(G615=0,E615&lt;&gt;0,F615&lt;&gt;0),"m2",IF(AND(F615=0,G615=0),"ml",IF(AND(E615=0,G615=0),"ml",IF(AND(E615=0,F615=0),"ml",IF(AND(E615&lt;&gt;0,F615&lt;&gt;0,G615&lt;&gt;0),"m3",0)))))))</f>
        <v>ml</v>
      </c>
    </row>
    <row r="616" spans="2:10" s="1" customFormat="1" ht="12.75" x14ac:dyDescent="0.2">
      <c r="B616" s="57"/>
      <c r="C616" s="39"/>
      <c r="D616" s="60"/>
      <c r="E616" s="40"/>
      <c r="F616" s="40"/>
      <c r="G616" s="40"/>
      <c r="H616" s="40"/>
      <c r="I616" s="40"/>
      <c r="J616" s="41"/>
    </row>
    <row r="617" spans="2:10" s="1" customFormat="1" ht="12.75" x14ac:dyDescent="0.2">
      <c r="B617" s="57" t="s">
        <v>18</v>
      </c>
      <c r="C617" s="58" t="s">
        <v>223</v>
      </c>
      <c r="D617" s="60"/>
      <c r="E617" s="40"/>
      <c r="F617" s="40"/>
      <c r="G617" s="40"/>
      <c r="H617" s="40"/>
      <c r="I617" s="40"/>
      <c r="J617" s="41"/>
    </row>
    <row r="618" spans="2:10" s="1" customFormat="1" ht="12.75" x14ac:dyDescent="0.2">
      <c r="B618" s="43" t="s">
        <v>20</v>
      </c>
      <c r="C618" s="43" t="s">
        <v>272</v>
      </c>
      <c r="D618" s="60"/>
      <c r="E618" s="40"/>
      <c r="F618" s="40"/>
      <c r="G618" s="40"/>
      <c r="H618" s="40"/>
      <c r="I618" s="44">
        <f>SUM(H619)</f>
        <v>12</v>
      </c>
      <c r="J618" s="45" t="str">
        <f>+J619</f>
        <v>und</v>
      </c>
    </row>
    <row r="619" spans="2:10" s="1" customFormat="1" ht="12.75" x14ac:dyDescent="0.2">
      <c r="B619" s="46"/>
      <c r="C619" s="39" t="s">
        <v>463</v>
      </c>
      <c r="D619" s="60">
        <f>1*ROUNDUP(10.55/1,0)+1</f>
        <v>12</v>
      </c>
      <c r="E619" s="40"/>
      <c r="F619" s="40"/>
      <c r="G619" s="40"/>
      <c r="H619" s="40">
        <f>+D619</f>
        <v>12</v>
      </c>
      <c r="I619" s="40"/>
      <c r="J619" s="41" t="s">
        <v>13</v>
      </c>
    </row>
    <row r="620" spans="2:10" s="1" customFormat="1" ht="12.75" x14ac:dyDescent="0.2">
      <c r="B620" s="46"/>
      <c r="C620" s="39"/>
      <c r="D620" s="40"/>
      <c r="E620" s="40"/>
      <c r="F620" s="40"/>
      <c r="G620" s="40"/>
      <c r="H620" s="40"/>
      <c r="I620" s="40"/>
      <c r="J620" s="41" t="s">
        <v>13</v>
      </c>
    </row>
    <row r="621" spans="2:10" s="1" customFormat="1" ht="12.75" x14ac:dyDescent="0.2">
      <c r="B621" s="43" t="s">
        <v>273</v>
      </c>
      <c r="C621" s="43" t="s">
        <v>354</v>
      </c>
      <c r="D621" s="60"/>
      <c r="E621" s="40"/>
      <c r="F621" s="40"/>
      <c r="G621" s="40"/>
      <c r="H621" s="40"/>
      <c r="I621" s="44">
        <f>SUM(H622:H622)</f>
        <v>7</v>
      </c>
      <c r="J621" s="45" t="str">
        <f>+J622</f>
        <v>und</v>
      </c>
    </row>
    <row r="622" spans="2:10" s="1" customFormat="1" ht="12.75" x14ac:dyDescent="0.2">
      <c r="B622" s="43"/>
      <c r="C622" s="39" t="s">
        <v>463</v>
      </c>
      <c r="D622" s="60">
        <v>1</v>
      </c>
      <c r="E622" s="40">
        <f>+ROUNDUP(E594/0.5,0)</f>
        <v>7</v>
      </c>
      <c r="F622" s="40"/>
      <c r="G622" s="40"/>
      <c r="H622" s="40">
        <f>IF(AND(F622=0,G622=0),D622*E622,IF(AND(E622=0,G622=0),D622*F622,IF(AND(E622=0,F622=0),D622*G622,IF(AND(E622=0),D622*F622*G622,IF(AND(F622=0),D622*E622*G622,IF(AND(G622=0),D622*E622*F622,D622*E622*F622*G622))))))</f>
        <v>7</v>
      </c>
      <c r="I622" s="40"/>
      <c r="J622" s="41" t="s">
        <v>13</v>
      </c>
    </row>
    <row r="623" spans="2:10" s="1" customFormat="1" ht="12.75" x14ac:dyDescent="0.2">
      <c r="B623" s="46"/>
      <c r="C623" s="59"/>
      <c r="D623" s="60"/>
      <c r="E623" s="40"/>
      <c r="F623" s="40"/>
      <c r="G623" s="40"/>
      <c r="H623" s="40"/>
      <c r="I623" s="40"/>
      <c r="J623" s="41"/>
    </row>
    <row r="624" spans="2:10" s="1" customFormat="1" ht="12.75" x14ac:dyDescent="0.2">
      <c r="B624" s="46"/>
      <c r="C624" s="59"/>
      <c r="D624" s="60"/>
      <c r="E624" s="40"/>
      <c r="F624" s="40"/>
      <c r="G624" s="40"/>
      <c r="H624" s="40"/>
      <c r="I624" s="40"/>
      <c r="J624" s="41"/>
    </row>
    <row r="625" spans="2:10" s="1" customFormat="1" ht="12.75" x14ac:dyDescent="0.2">
      <c r="B625" s="46"/>
      <c r="C625" s="59"/>
      <c r="D625" s="60"/>
      <c r="E625" s="40"/>
      <c r="F625" s="40"/>
      <c r="G625" s="40"/>
      <c r="H625" s="40"/>
      <c r="I625" s="40"/>
      <c r="J625" s="41"/>
    </row>
    <row r="626" spans="2:10" s="1" customFormat="1" ht="12.75" x14ac:dyDescent="0.2">
      <c r="B626" s="46"/>
      <c r="C626" s="59"/>
      <c r="D626" s="60"/>
      <c r="E626" s="40"/>
      <c r="F626" s="40"/>
      <c r="G626" s="40"/>
      <c r="H626" s="40"/>
      <c r="I626" s="40"/>
      <c r="J626" s="41"/>
    </row>
    <row r="627" spans="2:10" s="1" customFormat="1" ht="12.75" x14ac:dyDescent="0.2">
      <c r="B627" s="46"/>
      <c r="C627" s="59"/>
      <c r="D627" s="60"/>
      <c r="E627" s="40"/>
      <c r="F627" s="40"/>
      <c r="G627" s="40"/>
      <c r="H627" s="40"/>
      <c r="I627" s="40"/>
      <c r="J627" s="41"/>
    </row>
    <row r="628" spans="2:10" s="1" customFormat="1" ht="12.75" x14ac:dyDescent="0.2">
      <c r="B628" s="46"/>
      <c r="C628" s="59"/>
      <c r="D628" s="60"/>
      <c r="E628" s="40"/>
      <c r="F628" s="40"/>
      <c r="G628" s="40"/>
      <c r="H628" s="40"/>
      <c r="I628" s="40"/>
      <c r="J628" s="41"/>
    </row>
    <row r="629" spans="2:10" s="1" customFormat="1" ht="12.75" x14ac:dyDescent="0.2">
      <c r="B629" s="46"/>
      <c r="C629" s="59"/>
      <c r="D629" s="60"/>
      <c r="E629" s="40"/>
      <c r="F629" s="40"/>
      <c r="G629" s="40"/>
      <c r="H629" s="40"/>
      <c r="I629" s="40"/>
      <c r="J629" s="41"/>
    </row>
    <row r="630" spans="2:10" s="1" customFormat="1" ht="12.75" x14ac:dyDescent="0.2">
      <c r="B630" s="46"/>
      <c r="C630" s="59"/>
      <c r="D630" s="60"/>
      <c r="E630" s="40"/>
      <c r="F630" s="40"/>
      <c r="G630" s="40"/>
      <c r="H630" s="40"/>
      <c r="I630" s="40"/>
      <c r="J630" s="41"/>
    </row>
    <row r="631" spans="2:10" s="1" customFormat="1" ht="12.75" x14ac:dyDescent="0.2">
      <c r="B631" s="46"/>
      <c r="C631" s="59"/>
      <c r="D631" s="60"/>
      <c r="E631" s="40"/>
      <c r="F631" s="40"/>
      <c r="G631" s="40"/>
      <c r="H631" s="40"/>
      <c r="I631" s="40"/>
      <c r="J631" s="41"/>
    </row>
    <row r="632" spans="2:10" s="1" customFormat="1" ht="12.75" x14ac:dyDescent="0.2">
      <c r="B632" s="46"/>
      <c r="C632" s="59"/>
      <c r="D632" s="60"/>
      <c r="E632" s="40"/>
      <c r="F632" s="40"/>
      <c r="G632" s="40"/>
      <c r="H632" s="40"/>
      <c r="I632" s="40"/>
      <c r="J632" s="41"/>
    </row>
    <row r="633" spans="2:10" s="1" customFormat="1" ht="12.75" x14ac:dyDescent="0.2">
      <c r="B633" s="46"/>
      <c r="C633" s="59"/>
      <c r="D633" s="60"/>
      <c r="E633" s="40"/>
      <c r="F633" s="40"/>
      <c r="G633" s="40"/>
      <c r="H633" s="40"/>
      <c r="I633" s="40"/>
      <c r="J633" s="41"/>
    </row>
    <row r="634" spans="2:10" s="1" customFormat="1" ht="12.75" x14ac:dyDescent="0.2">
      <c r="C634" s="384" t="s">
        <v>37</v>
      </c>
      <c r="D634" s="384"/>
      <c r="E634" s="384"/>
      <c r="F634" s="384"/>
      <c r="G634" s="384"/>
      <c r="H634" s="384"/>
    </row>
    <row r="635" spans="2:10" s="1" customFormat="1" ht="12.75" x14ac:dyDescent="0.2">
      <c r="C635" s="384" t="s">
        <v>38</v>
      </c>
      <c r="D635" s="384"/>
      <c r="E635" s="384"/>
      <c r="F635" s="384"/>
      <c r="G635" s="384"/>
      <c r="H635" s="384"/>
    </row>
    <row r="636" spans="2:10" s="1" customFormat="1" ht="12.75" x14ac:dyDescent="0.2">
      <c r="C636" s="384" t="s">
        <v>39</v>
      </c>
      <c r="D636" s="384"/>
      <c r="E636" s="384"/>
      <c r="F636" s="384"/>
      <c r="G636" s="384"/>
      <c r="H636" s="384"/>
    </row>
    <row r="637" spans="2:10" s="1" customFormat="1" ht="12.75" x14ac:dyDescent="0.2">
      <c r="C637" s="385" t="s">
        <v>40</v>
      </c>
      <c r="D637" s="385"/>
      <c r="E637" s="385"/>
      <c r="F637" s="385"/>
      <c r="G637" s="385"/>
      <c r="H637" s="385"/>
    </row>
    <row r="638" spans="2:10" s="1" customFormat="1" ht="12.75" customHeight="1" x14ac:dyDescent="0.2">
      <c r="C638" s="385"/>
      <c r="D638" s="385"/>
      <c r="E638" s="385"/>
      <c r="F638" s="385"/>
      <c r="G638" s="385"/>
      <c r="H638" s="385"/>
    </row>
    <row r="639" spans="2:10" s="1" customFormat="1" ht="15.75" x14ac:dyDescent="0.2">
      <c r="B639" s="386" t="s">
        <v>65</v>
      </c>
      <c r="C639" s="387"/>
      <c r="D639" s="387"/>
      <c r="E639" s="387"/>
      <c r="F639" s="387"/>
      <c r="G639" s="387"/>
      <c r="H639" s="387"/>
      <c r="I639" s="387"/>
      <c r="J639" s="388"/>
    </row>
    <row r="640" spans="2:10" s="1" customFormat="1" ht="20.25" x14ac:dyDescent="0.2">
      <c r="B640" s="390" t="s">
        <v>430</v>
      </c>
      <c r="C640" s="391"/>
      <c r="D640" s="391"/>
      <c r="E640" s="391"/>
      <c r="F640" s="391"/>
      <c r="G640" s="391"/>
      <c r="H640" s="391"/>
      <c r="I640" s="391"/>
      <c r="J640" s="392"/>
    </row>
    <row r="641" spans="2:10" s="1" customFormat="1" ht="13.5" thickBot="1" x14ac:dyDescent="0.25">
      <c r="B641" s="389"/>
      <c r="C641" s="389"/>
      <c r="D641" s="389"/>
      <c r="E641" s="389"/>
      <c r="F641" s="389"/>
      <c r="G641" s="389"/>
      <c r="H641" s="389"/>
      <c r="I641" s="389"/>
      <c r="J641" s="389"/>
    </row>
    <row r="642" spans="2:10" s="1" customFormat="1" ht="24.75" customHeight="1" x14ac:dyDescent="0.2">
      <c r="B642" s="494" t="s">
        <v>27</v>
      </c>
      <c r="C642" s="495"/>
      <c r="D642" s="495"/>
      <c r="E642" s="495"/>
      <c r="F642" s="495"/>
      <c r="G642" s="495"/>
      <c r="H642" s="495"/>
      <c r="I642" s="495"/>
      <c r="J642" s="496"/>
    </row>
    <row r="643" spans="2:10" s="1" customFormat="1" ht="12.75" x14ac:dyDescent="0.2">
      <c r="B643" s="2" t="s">
        <v>35</v>
      </c>
      <c r="C643" s="3" t="s">
        <v>36</v>
      </c>
      <c r="D643" s="3"/>
      <c r="E643" s="4"/>
      <c r="F643" s="5"/>
      <c r="G643" s="6" t="s">
        <v>8</v>
      </c>
      <c r="H643" s="497">
        <v>42879</v>
      </c>
      <c r="I643" s="497"/>
      <c r="J643" s="7"/>
    </row>
    <row r="644" spans="2:10" s="1" customFormat="1" ht="12.75" x14ac:dyDescent="0.2">
      <c r="B644" s="2" t="s">
        <v>33</v>
      </c>
      <c r="C644" s="3" t="s">
        <v>29</v>
      </c>
      <c r="D644" s="8"/>
      <c r="E644" s="8"/>
      <c r="F644" s="3"/>
      <c r="G644" s="9" t="s">
        <v>32</v>
      </c>
      <c r="H644" s="4" t="s">
        <v>29</v>
      </c>
      <c r="I644" s="10"/>
      <c r="J644" s="11"/>
    </row>
    <row r="645" spans="2:10" s="1" customFormat="1" ht="12.75" x14ac:dyDescent="0.2">
      <c r="B645" s="2" t="s">
        <v>34</v>
      </c>
      <c r="C645" s="3" t="s">
        <v>29</v>
      </c>
      <c r="D645" s="8"/>
      <c r="E645" s="8"/>
      <c r="F645" s="3"/>
      <c r="G645" s="9" t="s">
        <v>30</v>
      </c>
      <c r="H645" s="4" t="s">
        <v>31</v>
      </c>
      <c r="I645" s="10"/>
      <c r="J645" s="11"/>
    </row>
    <row r="646" spans="2:10" s="1" customFormat="1" ht="13.5" thickBot="1" x14ac:dyDescent="0.25">
      <c r="B646" s="12" t="s">
        <v>43</v>
      </c>
      <c r="C646" s="13" t="s">
        <v>44</v>
      </c>
      <c r="D646" s="14"/>
      <c r="E646" s="14"/>
      <c r="F646" s="13"/>
      <c r="G646" s="15" t="s">
        <v>41</v>
      </c>
      <c r="H646" s="16" t="s">
        <v>42</v>
      </c>
      <c r="I646" s="17"/>
      <c r="J646" s="18"/>
    </row>
    <row r="647" spans="2:10" s="1" customFormat="1" ht="12.75" x14ac:dyDescent="0.2">
      <c r="B647" s="389"/>
      <c r="C647" s="389"/>
      <c r="D647" s="389"/>
      <c r="E647" s="389"/>
      <c r="F647" s="389"/>
      <c r="G647" s="389"/>
      <c r="H647" s="389"/>
      <c r="I647" s="389"/>
      <c r="J647" s="389"/>
    </row>
    <row r="648" spans="2:10" s="1" customFormat="1" ht="12.75" x14ac:dyDescent="0.2">
      <c r="B648" s="21" t="s">
        <v>5</v>
      </c>
      <c r="C648" s="22" t="s">
        <v>0</v>
      </c>
      <c r="D648" s="22" t="s">
        <v>9</v>
      </c>
      <c r="E648" s="22" t="s">
        <v>10</v>
      </c>
      <c r="F648" s="22" t="s">
        <v>1</v>
      </c>
      <c r="G648" s="22" t="s">
        <v>2</v>
      </c>
      <c r="H648" s="22" t="s">
        <v>11</v>
      </c>
      <c r="I648" s="22" t="s">
        <v>6</v>
      </c>
      <c r="J648" s="22" t="s">
        <v>7</v>
      </c>
    </row>
    <row r="649" spans="2:10" s="1" customFormat="1" ht="12.75" x14ac:dyDescent="0.2">
      <c r="B649" s="55">
        <v>4.03</v>
      </c>
      <c r="C649" s="56" t="s">
        <v>222</v>
      </c>
      <c r="D649" s="60"/>
      <c r="E649" s="40"/>
      <c r="F649" s="40"/>
      <c r="G649" s="40"/>
      <c r="H649" s="40"/>
      <c r="I649" s="40"/>
      <c r="J649" s="41"/>
    </row>
    <row r="650" spans="2:10" s="1" customFormat="1" ht="12.75" x14ac:dyDescent="0.2">
      <c r="B650" s="57" t="s">
        <v>14</v>
      </c>
      <c r="C650" s="58" t="s">
        <v>225</v>
      </c>
      <c r="D650" s="60"/>
      <c r="E650" s="40"/>
      <c r="F650" s="40"/>
      <c r="G650" s="40"/>
      <c r="H650" s="40"/>
      <c r="I650" s="40"/>
      <c r="J650" s="41"/>
    </row>
    <row r="651" spans="2:10" s="1" customFormat="1" ht="12.75" x14ac:dyDescent="0.2">
      <c r="B651" s="43" t="s">
        <v>15</v>
      </c>
      <c r="C651" s="43" t="s">
        <v>359</v>
      </c>
      <c r="D651" s="60"/>
      <c r="E651" s="40"/>
      <c r="F651" s="40"/>
      <c r="G651" s="40"/>
      <c r="H651" s="40"/>
      <c r="I651" s="44">
        <f>SUM(H652:H652)</f>
        <v>0</v>
      </c>
      <c r="J651" s="45" t="str">
        <f>+J652</f>
        <v>ml</v>
      </c>
    </row>
    <row r="652" spans="2:10" s="1" customFormat="1" ht="12.75" x14ac:dyDescent="0.2">
      <c r="B652" s="43"/>
      <c r="C652" s="39" t="s">
        <v>387</v>
      </c>
      <c r="D652" s="40"/>
      <c r="E652" s="40"/>
      <c r="F652" s="40"/>
      <c r="G652" s="40"/>
      <c r="H652" s="40">
        <f>IF(AND(F652=0,G652=0),D652*E652,IF(AND(E652=0,G652=0),D652*F652,IF(AND(E652=0,F652=0),D652*G652,IF(AND(E652=0),D652*F652*G652,IF(AND(F652=0),D652*E652*G652,IF(AND(G652=0),D652*E652*F652,D652*E652*F652*G652))))))</f>
        <v>0</v>
      </c>
      <c r="I652" s="40"/>
      <c r="J652" s="41" t="str">
        <f>IF(AND(E652=0,F652&lt;&gt;0,G652&lt;&gt;0),"m2",IF(AND(F652=0,E652&lt;&gt;0,G652&lt;&gt;0),"m2",IF(AND(G652=0,E652&lt;&gt;0,F652&lt;&gt;0),"m2",IF(AND(F652=0,G652=0),"ml",IF(AND(E652=0,G652=0),"ml",IF(AND(E652=0,F652=0),"ml",IF(AND(E652&lt;&gt;0,F652&lt;&gt;0,G652&lt;&gt;0),"m3",0)))))))</f>
        <v>ml</v>
      </c>
    </row>
    <row r="653" spans="2:10" s="1" customFormat="1" ht="12.75" x14ac:dyDescent="0.2">
      <c r="B653" s="43"/>
      <c r="C653" s="39"/>
      <c r="D653" s="40"/>
      <c r="E653" s="40"/>
      <c r="F653" s="40"/>
      <c r="G653" s="40"/>
      <c r="H653" s="40">
        <f>IF(AND(F653=0,G653=0),D653*E653,IF(AND(E653=0,G653=0),D653*F653,IF(AND(E653=0,F653=0),D653*G653,IF(AND(E653=0),D653*F653*G653,IF(AND(F653=0),D653*E653*G653,IF(AND(G653=0),D653*E653*F653,D653*E653*F653*G653))))))</f>
        <v>0</v>
      </c>
      <c r="I653" s="40"/>
      <c r="J653" s="41" t="str">
        <f>IF(AND(E653=0,F653&lt;&gt;0,G653&lt;&gt;0),"m2",IF(AND(F653=0,E653&lt;&gt;0,G653&lt;&gt;0),"m2",IF(AND(G653=0,E653&lt;&gt;0,F653&lt;&gt;0),"m2",IF(AND(F653=0,G653=0),"ml",IF(AND(E653=0,G653=0),"ml",IF(AND(E653=0,F653=0),"ml",IF(AND(E653&lt;&gt;0,F653&lt;&gt;0,G653&lt;&gt;0),"m3",0)))))))</f>
        <v>ml</v>
      </c>
    </row>
    <row r="654" spans="2:10" s="1" customFormat="1" ht="12.75" x14ac:dyDescent="0.2">
      <c r="B654" s="43" t="s">
        <v>232</v>
      </c>
      <c r="C654" s="43" t="s">
        <v>235</v>
      </c>
      <c r="D654" s="60"/>
      <c r="E654" s="40"/>
      <c r="F654" s="40"/>
      <c r="G654" s="40"/>
      <c r="H654" s="40"/>
      <c r="I654" s="44">
        <f>SUM(H655:H656)</f>
        <v>23</v>
      </c>
      <c r="J654" s="45" t="str">
        <f>+J655</f>
        <v>ml</v>
      </c>
    </row>
    <row r="655" spans="2:10" s="1" customFormat="1" ht="12.75" x14ac:dyDescent="0.2">
      <c r="B655" s="57"/>
      <c r="C655" s="39" t="s">
        <v>378</v>
      </c>
      <c r="D655" s="40">
        <v>2</v>
      </c>
      <c r="E655" s="40">
        <v>4.5</v>
      </c>
      <c r="F655" s="40"/>
      <c r="G655" s="40"/>
      <c r="H655" s="40">
        <f>IF(AND(F655=0,G655=0),D655*E655,IF(AND(E655=0,G655=0),D655*F655,IF(AND(E655=0,F655=0),D655*G655,IF(AND(E655=0),D655*F655*G655,IF(AND(F655=0),D655*E655*G655,IF(AND(G655=0),D655*E655*F655,D655*E655*F655*G655))))))</f>
        <v>9</v>
      </c>
      <c r="I655" s="40"/>
      <c r="J655" s="41" t="str">
        <f>IF(AND(E655=0,F655&lt;&gt;0,G655&lt;&gt;0),"m2",IF(AND(F655=0,E655&lt;&gt;0,G655&lt;&gt;0),"m2",IF(AND(G655=0,E655&lt;&gt;0,F655&lt;&gt;0),"m2",IF(AND(F655=0,G655=0),"ml",IF(AND(E655=0,G655=0),"ml",IF(AND(E655=0,F655=0),"ml",IF(AND(E655&lt;&gt;0,F655&lt;&gt;0,G655&lt;&gt;0),"m3",0)))))))</f>
        <v>ml</v>
      </c>
    </row>
    <row r="656" spans="2:10" s="1" customFormat="1" ht="12.75" x14ac:dyDescent="0.2">
      <c r="B656" s="57"/>
      <c r="C656" s="39" t="s">
        <v>379</v>
      </c>
      <c r="D656" s="40">
        <v>1</v>
      </c>
      <c r="E656" s="40">
        <v>14</v>
      </c>
      <c r="F656" s="40"/>
      <c r="G656" s="40"/>
      <c r="H656" s="40">
        <f>IF(AND(F656=0,G656=0),D656*E656,IF(AND(E656=0,G656=0),D656*F656,IF(AND(E656=0,F656=0),D656*G656,IF(AND(E656=0),D656*F656*G656,IF(AND(F656=0),D656*E656*G656,IF(AND(G656=0),D656*E656*F656,D656*E656*F656*G656))))))</f>
        <v>14</v>
      </c>
      <c r="I656" s="40"/>
      <c r="J656" s="41" t="str">
        <f>IF(AND(E656=0,F656&lt;&gt;0,G656&lt;&gt;0),"m2",IF(AND(F656=0,E656&lt;&gt;0,G656&lt;&gt;0),"m2",IF(AND(G656=0,E656&lt;&gt;0,F656&lt;&gt;0),"m2",IF(AND(F656=0,G656=0),"ml",IF(AND(E656=0,G656=0),"ml",IF(AND(E656=0,F656=0),"ml",IF(AND(E656&lt;&gt;0,F656&lt;&gt;0,G656&lt;&gt;0),"m3",0)))))))</f>
        <v>ml</v>
      </c>
    </row>
    <row r="657" spans="2:10" s="1" customFormat="1" ht="12.75" x14ac:dyDescent="0.2">
      <c r="B657" s="43" t="s">
        <v>233</v>
      </c>
      <c r="C657" s="43" t="s">
        <v>236</v>
      </c>
      <c r="D657" s="60"/>
      <c r="E657" s="40"/>
      <c r="F657" s="40"/>
      <c r="G657" s="40"/>
      <c r="H657" s="40"/>
      <c r="I657" s="44">
        <f>SUM(H658:H658)</f>
        <v>0</v>
      </c>
      <c r="J657" s="45" t="str">
        <f>+J658</f>
        <v>ml</v>
      </c>
    </row>
    <row r="658" spans="2:10" s="1" customFormat="1" ht="12.75" x14ac:dyDescent="0.2">
      <c r="B658" s="57"/>
      <c r="C658" s="39" t="s">
        <v>378</v>
      </c>
      <c r="D658" s="40"/>
      <c r="E658" s="40"/>
      <c r="F658" s="40"/>
      <c r="G658" s="40"/>
      <c r="H658" s="40">
        <f>IF(AND(F658=0,G658=0),D658*E658,IF(AND(E658=0,G658=0),D658*F658,IF(AND(E658=0,F658=0),D658*G658,IF(AND(E658=0),D658*F658*G658,IF(AND(F658=0),D658*E658*G658,IF(AND(G658=0),D658*E658*F658,D658*E658*F658*G658))))))</f>
        <v>0</v>
      </c>
      <c r="I658" s="40"/>
      <c r="J658" s="41" t="str">
        <f>IF(AND(E658=0,F658&lt;&gt;0,G658&lt;&gt;0),"m2",IF(AND(F658=0,E658&lt;&gt;0,G658&lt;&gt;0),"m2",IF(AND(G658=0,E658&lt;&gt;0,F658&lt;&gt;0),"m2",IF(AND(F658=0,G658=0),"ml",IF(AND(E658=0,G658=0),"ml",IF(AND(E658=0,F658=0),"ml",IF(AND(E658&lt;&gt;0,F658&lt;&gt;0,G658&lt;&gt;0),"m3",0)))))))</f>
        <v>ml</v>
      </c>
    </row>
    <row r="659" spans="2:10" s="1" customFormat="1" ht="12.75" x14ac:dyDescent="0.2">
      <c r="B659" s="57"/>
      <c r="C659" s="39" t="s">
        <v>379</v>
      </c>
      <c r="D659" s="40"/>
      <c r="E659" s="40"/>
      <c r="F659" s="40"/>
      <c r="G659" s="40"/>
      <c r="H659" s="40">
        <f>IF(AND(F659=0,G659=0),D659*E659,IF(AND(E659=0,G659=0),D659*F659,IF(AND(E659=0,F659=0),D659*G659,IF(AND(E659=0),D659*F659*G659,IF(AND(F659=0),D659*E659*G659,IF(AND(G659=0),D659*E659*F659,D659*E659*F659*G659))))))</f>
        <v>0</v>
      </c>
      <c r="I659" s="40"/>
      <c r="J659" s="41" t="str">
        <f>IF(AND(E659=0,F659&lt;&gt;0,G659&lt;&gt;0),"m2",IF(AND(F659=0,E659&lt;&gt;0,G659&lt;&gt;0),"m2",IF(AND(G659=0,E659&lt;&gt;0,F659&lt;&gt;0),"m2",IF(AND(F659=0,G659=0),"ml",IF(AND(E659=0,G659=0),"ml",IF(AND(E659=0,F659=0),"ml",IF(AND(E659&lt;&gt;0,F659&lt;&gt;0,G659&lt;&gt;0),"m3",0)))))))</f>
        <v>ml</v>
      </c>
    </row>
    <row r="660" spans="2:10" s="1" customFormat="1" ht="12.75" x14ac:dyDescent="0.2">
      <c r="B660" s="43" t="s">
        <v>268</v>
      </c>
      <c r="C660" s="43" t="s">
        <v>347</v>
      </c>
      <c r="D660" s="60"/>
      <c r="E660" s="40"/>
      <c r="F660" s="40"/>
      <c r="G660" s="40"/>
      <c r="H660" s="40"/>
      <c r="I660" s="44">
        <f>SUM(H661:H667)</f>
        <v>0</v>
      </c>
      <c r="J660" s="45" t="str">
        <f>+J661</f>
        <v>ml</v>
      </c>
    </row>
    <row r="661" spans="2:10" s="1" customFormat="1" ht="12.75" x14ac:dyDescent="0.2">
      <c r="B661" s="57"/>
      <c r="C661" s="77" t="s">
        <v>71</v>
      </c>
      <c r="D661" s="40"/>
      <c r="E661" s="40"/>
      <c r="F661" s="40"/>
      <c r="G661" s="40"/>
      <c r="H661" s="40">
        <f t="shared" ref="H661:H667" si="15">IF(AND(F661=0,G661=0),D661*E661,IF(AND(E661=0,G661=0),D661*F661,IF(AND(E661=0,F661=0),D661*G661,IF(AND(E661=0),D661*F661*G661,IF(AND(F661=0),D661*E661*G661,IF(AND(G661=0),D661*E661*F661,D661*E661*F661*G661))))))</f>
        <v>0</v>
      </c>
      <c r="I661" s="40"/>
      <c r="J661" s="41" t="str">
        <f t="shared" ref="J661:J667" si="16">IF(AND(E661=0,F661&lt;&gt;0,G661&lt;&gt;0),"m2",IF(AND(F661=0,E661&lt;&gt;0,G661&lt;&gt;0),"m2",IF(AND(G661=0,E661&lt;&gt;0,F661&lt;&gt;0),"m2",IF(AND(F661=0,G661=0),"ml",IF(AND(E661=0,G661=0),"ml",IF(AND(E661=0,F661=0),"ml",IF(AND(E661&lt;&gt;0,F661&lt;&gt;0,G661&lt;&gt;0),"m3",0)))))))</f>
        <v>ml</v>
      </c>
    </row>
    <row r="662" spans="2:10" s="1" customFormat="1" ht="12.75" x14ac:dyDescent="0.2">
      <c r="B662" s="57"/>
      <c r="C662" s="39" t="s">
        <v>349</v>
      </c>
      <c r="D662" s="40"/>
      <c r="E662" s="40"/>
      <c r="F662" s="40"/>
      <c r="G662" s="40"/>
      <c r="H662" s="40">
        <f t="shared" si="15"/>
        <v>0</v>
      </c>
      <c r="I662" s="40"/>
      <c r="J662" s="41" t="str">
        <f t="shared" si="16"/>
        <v>ml</v>
      </c>
    </row>
    <row r="663" spans="2:10" s="1" customFormat="1" ht="12.75" x14ac:dyDescent="0.2">
      <c r="B663" s="57"/>
      <c r="C663" s="39" t="s">
        <v>369</v>
      </c>
      <c r="D663" s="40"/>
      <c r="E663" s="40"/>
      <c r="F663" s="40"/>
      <c r="G663" s="40"/>
      <c r="H663" s="40">
        <f t="shared" si="15"/>
        <v>0</v>
      </c>
      <c r="I663" s="40"/>
      <c r="J663" s="41" t="str">
        <f t="shared" si="16"/>
        <v>ml</v>
      </c>
    </row>
    <row r="664" spans="2:10" s="1" customFormat="1" ht="12.75" x14ac:dyDescent="0.2">
      <c r="B664" s="57"/>
      <c r="C664" s="77" t="s">
        <v>72</v>
      </c>
      <c r="D664" s="40"/>
      <c r="E664" s="40"/>
      <c r="F664" s="40"/>
      <c r="G664" s="40"/>
      <c r="H664" s="40">
        <f t="shared" si="15"/>
        <v>0</v>
      </c>
      <c r="I664" s="40"/>
      <c r="J664" s="41" t="str">
        <f t="shared" si="16"/>
        <v>ml</v>
      </c>
    </row>
    <row r="665" spans="2:10" s="1" customFormat="1" ht="12.75" x14ac:dyDescent="0.2">
      <c r="B665" s="57"/>
      <c r="C665" s="39" t="s">
        <v>349</v>
      </c>
      <c r="D665" s="40"/>
      <c r="E665" s="40"/>
      <c r="F665" s="40"/>
      <c r="G665" s="40"/>
      <c r="H665" s="40">
        <f t="shared" si="15"/>
        <v>0</v>
      </c>
      <c r="I665" s="40"/>
      <c r="J665" s="41" t="str">
        <f t="shared" si="16"/>
        <v>ml</v>
      </c>
    </row>
    <row r="666" spans="2:10" s="1" customFormat="1" ht="12.75" x14ac:dyDescent="0.2">
      <c r="B666" s="57"/>
      <c r="C666" s="77" t="s">
        <v>73</v>
      </c>
      <c r="D666" s="40"/>
      <c r="E666" s="40"/>
      <c r="F666" s="40"/>
      <c r="G666" s="40"/>
      <c r="H666" s="40">
        <f t="shared" si="15"/>
        <v>0</v>
      </c>
      <c r="I666" s="40"/>
      <c r="J666" s="41" t="str">
        <f t="shared" si="16"/>
        <v>ml</v>
      </c>
    </row>
    <row r="667" spans="2:10" s="1" customFormat="1" ht="12.75" x14ac:dyDescent="0.2">
      <c r="B667" s="57"/>
      <c r="C667" s="39" t="s">
        <v>349</v>
      </c>
      <c r="D667" s="40"/>
      <c r="E667" s="40"/>
      <c r="F667" s="40"/>
      <c r="G667" s="40"/>
      <c r="H667" s="40">
        <f t="shared" si="15"/>
        <v>0</v>
      </c>
      <c r="I667" s="40"/>
      <c r="J667" s="41" t="str">
        <f t="shared" si="16"/>
        <v>ml</v>
      </c>
    </row>
    <row r="668" spans="2:10" s="1" customFormat="1" ht="12.75" x14ac:dyDescent="0.2">
      <c r="B668" s="43" t="s">
        <v>342</v>
      </c>
      <c r="C668" s="43" t="s">
        <v>271</v>
      </c>
      <c r="D668" s="60"/>
      <c r="E668" s="40"/>
      <c r="F668" s="40"/>
      <c r="G668" s="40"/>
      <c r="H668" s="40"/>
      <c r="I668" s="44">
        <f>SUM(H669:H669)</f>
        <v>0</v>
      </c>
      <c r="J668" s="45" t="str">
        <f>+J669</f>
        <v>und</v>
      </c>
    </row>
    <row r="669" spans="2:10" s="1" customFormat="1" ht="12.75" x14ac:dyDescent="0.2">
      <c r="B669" s="57"/>
      <c r="C669" s="39" t="s">
        <v>370</v>
      </c>
      <c r="D669" s="40"/>
      <c r="E669" s="40"/>
      <c r="F669" s="40"/>
      <c r="G669" s="40"/>
      <c r="H669" s="40">
        <f>+D669</f>
        <v>0</v>
      </c>
      <c r="I669" s="40"/>
      <c r="J669" s="41" t="s">
        <v>13</v>
      </c>
    </row>
    <row r="670" spans="2:10" s="1" customFormat="1" ht="12.75" x14ac:dyDescent="0.2">
      <c r="B670" s="57" t="s">
        <v>16</v>
      </c>
      <c r="C670" s="58" t="s">
        <v>224</v>
      </c>
      <c r="D670" s="60"/>
      <c r="E670" s="40"/>
      <c r="F670" s="40"/>
      <c r="G670" s="40"/>
      <c r="H670" s="40"/>
      <c r="I670" s="40"/>
      <c r="J670" s="41"/>
    </row>
    <row r="671" spans="2:10" s="1" customFormat="1" ht="12.75" x14ac:dyDescent="0.2">
      <c r="B671" s="43" t="s">
        <v>240</v>
      </c>
      <c r="C671" s="43" t="s">
        <v>237</v>
      </c>
      <c r="D671" s="60"/>
      <c r="E671" s="40"/>
      <c r="F671" s="40"/>
      <c r="G671" s="40"/>
      <c r="H671" s="40"/>
      <c r="I671" s="44">
        <f>SUM(H672:H673)</f>
        <v>0</v>
      </c>
      <c r="J671" s="45" t="e">
        <f>+J672</f>
        <v>#REF!</v>
      </c>
    </row>
    <row r="672" spans="2:10" s="1" customFormat="1" ht="12.75" x14ac:dyDescent="0.2">
      <c r="B672" s="57"/>
      <c r="H672" s="40"/>
      <c r="I672" s="40"/>
      <c r="J672" s="41" t="e">
        <f>IF(AND(#REF!=0,#REF!&lt;&gt;0,#REF!&lt;&gt;0),"m2",IF(AND(#REF!=0,#REF!&lt;&gt;0,#REF!&lt;&gt;0),"m2",IF(AND(#REF!=0,#REF!&lt;&gt;0,#REF!&lt;&gt;0),"m2",IF(AND(#REF!=0,#REF!=0),"ml",IF(AND(#REF!=0,#REF!=0),"ml",IF(AND(#REF!=0,#REF!=0),"ml",IF(AND(#REF!&lt;&gt;0,#REF!&lt;&gt;0,#REF!&lt;&gt;0),"m3",0)))))))</f>
        <v>#REF!</v>
      </c>
    </row>
    <row r="673" spans="2:10" s="1" customFormat="1" ht="12.75" x14ac:dyDescent="0.2">
      <c r="B673" s="57"/>
      <c r="C673" s="39"/>
      <c r="D673" s="40"/>
      <c r="E673" s="40"/>
      <c r="F673" s="40"/>
      <c r="G673" s="40"/>
      <c r="H673" s="40"/>
      <c r="I673" s="40"/>
      <c r="J673" s="41" t="str">
        <f>IF(AND(E673=0,F673&lt;&gt;0,G673&lt;&gt;0),"m2",IF(AND(F673=0,E673&lt;&gt;0,G673&lt;&gt;0),"m2",IF(AND(G673=0,E673&lt;&gt;0,F673&lt;&gt;0),"m2",IF(AND(F673=0,G673=0),"ml",IF(AND(E673=0,G673=0),"ml",IF(AND(E673=0,F673=0),"ml",IF(AND(E673&lt;&gt;0,F673&lt;&gt;0,G673&lt;&gt;0),"m3",0)))))))</f>
        <v>ml</v>
      </c>
    </row>
    <row r="674" spans="2:10" s="1" customFormat="1" ht="12.75" x14ac:dyDescent="0.2">
      <c r="B674" s="43" t="s">
        <v>241</v>
      </c>
      <c r="C674" s="43" t="s">
        <v>239</v>
      </c>
      <c r="D674" s="60"/>
      <c r="E674" s="40"/>
      <c r="F674" s="40"/>
      <c r="G674" s="40"/>
      <c r="H674" s="40"/>
      <c r="I674" s="44">
        <f>SUM(H675:H675)</f>
        <v>7.9</v>
      </c>
      <c r="J674" s="45" t="str">
        <f>+J675</f>
        <v>ml</v>
      </c>
    </row>
    <row r="675" spans="2:10" s="1" customFormat="1" ht="12.75" x14ac:dyDescent="0.2">
      <c r="B675" s="57"/>
      <c r="C675" s="39" t="s">
        <v>550</v>
      </c>
      <c r="D675" s="40">
        <v>2</v>
      </c>
      <c r="E675" s="40">
        <v>3.95</v>
      </c>
      <c r="F675" s="40"/>
      <c r="G675" s="40"/>
      <c r="H675" s="40">
        <f>IF(AND(F675=0,G675=0),D675*E675,IF(AND(E675=0,G675=0),D675*F675,IF(AND(E675=0,F675=0),D675*G675,IF(AND(E675=0),D675*F675*G675,IF(AND(F675=0),D675*E675*G675,IF(AND(G675=0),D675*E675*F675,D675*E675*F675*G675))))))</f>
        <v>7.9</v>
      </c>
      <c r="I675" s="40"/>
      <c r="J675" s="41" t="str">
        <f>IF(AND(E675=0,F675&lt;&gt;0,G675&lt;&gt;0),"m2",IF(AND(F675=0,E675&lt;&gt;0,G675&lt;&gt;0),"m2",IF(AND(G675=0,E675&lt;&gt;0,F675&lt;&gt;0),"m2",IF(AND(F675=0,G675=0),"ml",IF(AND(E675=0,G675=0),"ml",IF(AND(E675=0,F675=0),"ml",IF(AND(E675&lt;&gt;0,F675&lt;&gt;0,G675&lt;&gt;0),"m3",0)))))))</f>
        <v>ml</v>
      </c>
    </row>
    <row r="676" spans="2:10" s="1" customFormat="1" ht="12.75" x14ac:dyDescent="0.2">
      <c r="B676" s="43" t="s">
        <v>248</v>
      </c>
      <c r="C676" s="43" t="s">
        <v>246</v>
      </c>
      <c r="D676" s="60"/>
      <c r="E676" s="40"/>
      <c r="F676" s="40"/>
      <c r="G676" s="40"/>
      <c r="H676" s="40"/>
      <c r="I676" s="44">
        <f>SUM(H677:H677)</f>
        <v>7.9</v>
      </c>
      <c r="J676" s="45" t="str">
        <f>+J677</f>
        <v>ml</v>
      </c>
    </row>
    <row r="677" spans="2:10" s="1" customFormat="1" ht="12.75" x14ac:dyDescent="0.2">
      <c r="B677" s="57"/>
      <c r="C677" s="39" t="s">
        <v>550</v>
      </c>
      <c r="D677" s="40">
        <v>2</v>
      </c>
      <c r="E677" s="40">
        <v>3.95</v>
      </c>
      <c r="F677" s="40"/>
      <c r="G677" s="40"/>
      <c r="H677" s="40">
        <f>IF(AND(F677=0,G677=0),D677*E677,IF(AND(E677=0,G677=0),D677*F677,IF(AND(E677=0,F677=0),D677*G677,IF(AND(E677=0),D677*F677*G677,IF(AND(F677=0),D677*E677*G677,IF(AND(G677=0),D677*E677*F677,D677*E677*F677*G677))))))</f>
        <v>7.9</v>
      </c>
      <c r="I677" s="40"/>
      <c r="J677" s="41" t="str">
        <f>IF(AND(E677=0,F677&lt;&gt;0,G677&lt;&gt;0),"m2",IF(AND(F677=0,E677&lt;&gt;0,G677&lt;&gt;0),"m2",IF(AND(G677=0,E677&lt;&gt;0,F677&lt;&gt;0),"m2",IF(AND(F677=0,G677=0),"ml",IF(AND(E677=0,G677=0),"ml",IF(AND(E677=0,F677=0),"ml",IF(AND(E677&lt;&gt;0,F677&lt;&gt;0,G677&lt;&gt;0),"m3",0)))))))</f>
        <v>ml</v>
      </c>
    </row>
    <row r="678" spans="2:10" s="1" customFormat="1" ht="12.75" x14ac:dyDescent="0.2">
      <c r="B678" s="43" t="s">
        <v>259</v>
      </c>
      <c r="C678" s="43" t="s">
        <v>251</v>
      </c>
      <c r="D678" s="60"/>
      <c r="E678" s="40"/>
      <c r="F678" s="40"/>
      <c r="G678" s="40"/>
      <c r="H678" s="40"/>
      <c r="I678" s="44">
        <f>SUM(H679:H679)</f>
        <v>0</v>
      </c>
      <c r="J678" s="45" t="str">
        <f>+J679</f>
        <v>ml</v>
      </c>
    </row>
    <row r="679" spans="2:10" s="1" customFormat="1" ht="12.75" x14ac:dyDescent="0.2">
      <c r="B679" s="57"/>
      <c r="C679" s="39" t="s">
        <v>389</v>
      </c>
      <c r="D679" s="40"/>
      <c r="E679" s="40"/>
      <c r="F679" s="40"/>
      <c r="G679" s="40"/>
      <c r="H679" s="40">
        <f>IF(AND(F679=0,G679=0),D679*E679,IF(AND(E679=0,G679=0),D679*F679,IF(AND(E679=0,F679=0),D679*G679,IF(AND(E679=0),D679*F679*G679,IF(AND(F679=0),D679*E679*G679,IF(AND(G679=0),D679*E679*F679,D679*E679*F679*G679))))))</f>
        <v>0</v>
      </c>
      <c r="I679" s="40"/>
      <c r="J679" s="41" t="str">
        <f>IF(AND(E679=0,F679&lt;&gt;0,G679&lt;&gt;0),"m2",IF(AND(F679=0,E679&lt;&gt;0,G679&lt;&gt;0),"m2",IF(AND(G679=0,E679&lt;&gt;0,F679&lt;&gt;0),"m2",IF(AND(F679=0,G679=0),"ml",IF(AND(E679=0,G679=0),"ml",IF(AND(E679=0,F679=0),"ml",IF(AND(E679&lt;&gt;0,F679&lt;&gt;0,G679&lt;&gt;0),"m3",0)))))))</f>
        <v>ml</v>
      </c>
    </row>
    <row r="680" spans="2:10" s="1" customFormat="1" ht="12.75" x14ac:dyDescent="0.2">
      <c r="B680" s="57"/>
      <c r="C680" s="39"/>
      <c r="D680" s="60"/>
      <c r="E680" s="40"/>
      <c r="F680" s="40"/>
      <c r="G680" s="40"/>
      <c r="H680" s="40"/>
      <c r="I680" s="40"/>
      <c r="J680" s="41"/>
    </row>
    <row r="681" spans="2:10" s="1" customFormat="1" ht="12.75" x14ac:dyDescent="0.2">
      <c r="B681" s="57" t="s">
        <v>18</v>
      </c>
      <c r="C681" s="58" t="s">
        <v>223</v>
      </c>
      <c r="D681" s="60"/>
      <c r="E681" s="40"/>
      <c r="F681" s="40"/>
      <c r="G681" s="40"/>
      <c r="H681" s="40"/>
      <c r="I681" s="40"/>
      <c r="J681" s="41"/>
    </row>
    <row r="682" spans="2:10" s="1" customFormat="1" ht="12.75" x14ac:dyDescent="0.2">
      <c r="B682" s="43" t="s">
        <v>20</v>
      </c>
      <c r="C682" s="43" t="s">
        <v>272</v>
      </c>
      <c r="D682" s="60"/>
      <c r="E682" s="40"/>
      <c r="F682" s="40"/>
      <c r="G682" s="40"/>
      <c r="H682" s="40"/>
      <c r="I682" s="44">
        <f>SUM(H683:H688)</f>
        <v>0</v>
      </c>
      <c r="J682" s="45" t="str">
        <f>+J683</f>
        <v>und</v>
      </c>
    </row>
    <row r="683" spans="2:10" s="1" customFormat="1" ht="12.75" x14ac:dyDescent="0.2">
      <c r="B683" s="46"/>
      <c r="C683" s="77" t="s">
        <v>71</v>
      </c>
      <c r="D683" s="40"/>
      <c r="E683" s="40"/>
      <c r="F683" s="40"/>
      <c r="G683" s="40"/>
      <c r="H683" s="40"/>
      <c r="I683" s="40"/>
      <c r="J683" s="41" t="s">
        <v>13</v>
      </c>
    </row>
    <row r="684" spans="2:10" s="1" customFormat="1" ht="12.75" x14ac:dyDescent="0.2">
      <c r="B684" s="46"/>
      <c r="C684" s="39" t="s">
        <v>349</v>
      </c>
      <c r="D684" s="40"/>
      <c r="E684" s="40"/>
      <c r="F684" s="40"/>
      <c r="G684" s="40"/>
      <c r="H684" s="40">
        <f>+D684</f>
        <v>0</v>
      </c>
      <c r="I684" s="40"/>
      <c r="J684" s="41" t="s">
        <v>13</v>
      </c>
    </row>
    <row r="685" spans="2:10" s="1" customFormat="1" ht="12.75" x14ac:dyDescent="0.2">
      <c r="B685" s="46"/>
      <c r="C685" s="77" t="s">
        <v>72</v>
      </c>
      <c r="D685" s="40"/>
      <c r="E685" s="40"/>
      <c r="F685" s="40"/>
      <c r="G685" s="40"/>
      <c r="H685" s="40"/>
      <c r="I685" s="40"/>
      <c r="J685" s="41" t="s">
        <v>13</v>
      </c>
    </row>
    <row r="686" spans="2:10" s="1" customFormat="1" ht="12.75" x14ac:dyDescent="0.2">
      <c r="B686" s="46"/>
      <c r="C686" s="39" t="s">
        <v>349</v>
      </c>
      <c r="D686" s="40"/>
      <c r="E686" s="40"/>
      <c r="F686" s="40"/>
      <c r="G686" s="40"/>
      <c r="H686" s="40">
        <f>+D686</f>
        <v>0</v>
      </c>
      <c r="I686" s="40"/>
      <c r="J686" s="41" t="s">
        <v>13</v>
      </c>
    </row>
    <row r="687" spans="2:10" s="1" customFormat="1" ht="12.75" x14ac:dyDescent="0.2">
      <c r="B687" s="46"/>
      <c r="C687" s="77" t="s">
        <v>73</v>
      </c>
      <c r="D687" s="40"/>
      <c r="E687" s="40"/>
      <c r="F687" s="40"/>
      <c r="G687" s="40"/>
      <c r="H687" s="40"/>
      <c r="I687" s="40"/>
      <c r="J687" s="41" t="s">
        <v>13</v>
      </c>
    </row>
    <row r="688" spans="2:10" s="1" customFormat="1" ht="12.75" x14ac:dyDescent="0.2">
      <c r="B688" s="46"/>
      <c r="C688" s="39" t="s">
        <v>349</v>
      </c>
      <c r="D688" s="40"/>
      <c r="E688" s="40"/>
      <c r="F688" s="40"/>
      <c r="G688" s="40"/>
      <c r="H688" s="40">
        <f>+D688</f>
        <v>0</v>
      </c>
      <c r="I688" s="40"/>
      <c r="J688" s="41" t="s">
        <v>13</v>
      </c>
    </row>
    <row r="689" spans="2:10" s="1" customFormat="1" ht="12.75" x14ac:dyDescent="0.2">
      <c r="B689" s="43" t="s">
        <v>273</v>
      </c>
      <c r="C689" s="43" t="s">
        <v>354</v>
      </c>
      <c r="D689" s="60"/>
      <c r="E689" s="40"/>
      <c r="F689" s="40"/>
      <c r="G689" s="40"/>
      <c r="H689" s="40"/>
      <c r="I689" s="44">
        <f>SUM(H690:H690)</f>
        <v>0</v>
      </c>
      <c r="J689" s="45" t="str">
        <f>+J690</f>
        <v>und</v>
      </c>
    </row>
    <row r="690" spans="2:10" s="1" customFormat="1" ht="12.75" x14ac:dyDescent="0.2">
      <c r="B690" s="43"/>
      <c r="C690" s="39" t="s">
        <v>375</v>
      </c>
      <c r="D690" s="40"/>
      <c r="E690" s="40"/>
      <c r="F690" s="40"/>
      <c r="G690" s="40"/>
      <c r="H690" s="40">
        <f>IF(AND(F690=0,G690=0),D690*E690,IF(AND(E690=0,G690=0),D690*F690,IF(AND(E690=0,F690=0),D690*G690,IF(AND(E690=0),D690*F690*G690,IF(AND(F690=0),D690*E690*G690,IF(AND(G690=0),D690*E690*F690,D690*E690*F690*G690))))))</f>
        <v>0</v>
      </c>
      <c r="I690" s="40"/>
      <c r="J690" s="41" t="s">
        <v>13</v>
      </c>
    </row>
    <row r="691" spans="2:10" s="1" customFormat="1" ht="12.75" x14ac:dyDescent="0.2">
      <c r="B691" s="46"/>
      <c r="C691" s="39"/>
      <c r="D691" s="8"/>
      <c r="E691" s="86"/>
      <c r="F691" s="40"/>
      <c r="G691" s="40"/>
      <c r="H691" s="40"/>
      <c r="I691" s="40"/>
      <c r="J691" s="41"/>
    </row>
    <row r="692" spans="2:10" s="1" customFormat="1" ht="12.75" x14ac:dyDescent="0.2">
      <c r="B692" s="46"/>
      <c r="C692" s="39"/>
      <c r="D692" s="8"/>
      <c r="E692" s="86"/>
      <c r="F692" s="40"/>
      <c r="G692" s="40"/>
      <c r="H692" s="40"/>
      <c r="I692" s="40"/>
      <c r="J692" s="41"/>
    </row>
    <row r="693" spans="2:10" s="1" customFormat="1" ht="12.75" x14ac:dyDescent="0.2">
      <c r="B693" s="46"/>
      <c r="C693" s="59"/>
      <c r="D693" s="60"/>
      <c r="E693" s="40"/>
      <c r="F693" s="40"/>
      <c r="G693" s="40"/>
      <c r="H693" s="40"/>
      <c r="I693" s="40"/>
      <c r="J693" s="41"/>
    </row>
    <row r="694" spans="2:10" s="1" customFormat="1" ht="12.75" x14ac:dyDescent="0.2">
      <c r="B694" s="46"/>
      <c r="C694" s="39"/>
      <c r="D694" s="40"/>
      <c r="E694" s="40"/>
      <c r="F694" s="40"/>
      <c r="G694" s="40"/>
      <c r="H694" s="40"/>
      <c r="I694" s="40"/>
      <c r="J694" s="41"/>
    </row>
    <row r="695" spans="2:10" s="1" customFormat="1" ht="12.75" x14ac:dyDescent="0.2">
      <c r="B695" s="46"/>
      <c r="C695" s="59"/>
      <c r="D695" s="60"/>
      <c r="E695" s="40"/>
      <c r="F695" s="40"/>
      <c r="G695" s="40"/>
      <c r="H695" s="40"/>
      <c r="I695" s="40"/>
      <c r="J695" s="41"/>
    </row>
    <row r="696" spans="2:10" s="1" customFormat="1" ht="12.75" x14ac:dyDescent="0.2">
      <c r="B696" s="46"/>
      <c r="C696" s="59"/>
      <c r="D696" s="60"/>
      <c r="E696" s="40"/>
      <c r="F696" s="40"/>
      <c r="G696" s="40"/>
      <c r="H696" s="40"/>
      <c r="I696" s="40"/>
      <c r="J696" s="41"/>
    </row>
    <row r="697" spans="2:10" s="1" customFormat="1" ht="12.75" x14ac:dyDescent="0.2">
      <c r="B697" s="46"/>
      <c r="C697" s="59"/>
      <c r="D697" s="60"/>
      <c r="E697" s="40"/>
      <c r="F697" s="40"/>
      <c r="G697" s="40"/>
      <c r="H697" s="40"/>
      <c r="I697" s="40"/>
      <c r="J697" s="41"/>
    </row>
    <row r="698" spans="2:10" s="1" customFormat="1" ht="12.75" x14ac:dyDescent="0.2">
      <c r="B698" s="107"/>
      <c r="C698" s="343"/>
      <c r="D698" s="60"/>
      <c r="E698" s="40"/>
      <c r="F698" s="40"/>
      <c r="G698" s="40"/>
      <c r="H698" s="40"/>
      <c r="I698" s="40"/>
      <c r="J698" s="41"/>
    </row>
    <row r="699" spans="2:10" s="1" customFormat="1" ht="12.75" x14ac:dyDescent="0.2">
      <c r="B699" s="107"/>
      <c r="C699" s="39"/>
      <c r="D699" s="40"/>
      <c r="E699" s="40"/>
      <c r="F699" s="40"/>
      <c r="G699" s="40"/>
      <c r="H699" s="40"/>
      <c r="I699" s="40"/>
      <c r="J699" s="41"/>
    </row>
    <row r="700" spans="2:10" s="1" customFormat="1" ht="12.75" x14ac:dyDescent="0.2">
      <c r="B700" s="107"/>
      <c r="C700" s="39"/>
      <c r="D700" s="40"/>
      <c r="E700" s="86"/>
      <c r="F700" s="40"/>
      <c r="G700" s="40"/>
      <c r="H700" s="40"/>
      <c r="I700" s="40"/>
      <c r="J700" s="41"/>
    </row>
    <row r="701" spans="2:10" s="1" customFormat="1" ht="12.75" x14ac:dyDescent="0.2">
      <c r="B701" s="107"/>
      <c r="C701" s="39"/>
      <c r="D701" s="40"/>
      <c r="E701" s="86"/>
      <c r="F701" s="40"/>
      <c r="G701" s="40"/>
      <c r="H701" s="40"/>
      <c r="I701" s="40"/>
      <c r="J701" s="41"/>
    </row>
    <row r="702" spans="2:10" s="1" customFormat="1" ht="12.75" x14ac:dyDescent="0.2">
      <c r="B702" s="107"/>
      <c r="C702" s="39"/>
      <c r="D702" s="40"/>
      <c r="E702" s="40"/>
      <c r="F702" s="40"/>
      <c r="G702" s="40"/>
      <c r="H702" s="40"/>
      <c r="I702" s="40"/>
      <c r="J702" s="41"/>
    </row>
    <row r="703" spans="2:10" s="1" customFormat="1" ht="12.75" x14ac:dyDescent="0.2">
      <c r="B703" s="107"/>
      <c r="C703" s="343"/>
      <c r="D703" s="60"/>
      <c r="E703" s="40"/>
      <c r="F703" s="40"/>
      <c r="G703" s="40"/>
      <c r="H703" s="40"/>
      <c r="I703" s="40"/>
      <c r="J703" s="41"/>
    </row>
    <row r="704" spans="2:10" s="1" customFormat="1" ht="12.75" x14ac:dyDescent="0.2">
      <c r="B704" s="107"/>
      <c r="C704" s="343"/>
      <c r="D704" s="60"/>
      <c r="E704" s="40"/>
      <c r="F704" s="40"/>
      <c r="G704" s="40"/>
      <c r="H704" s="40"/>
      <c r="I704" s="40"/>
      <c r="J704" s="41"/>
    </row>
    <row r="705" spans="2:10" s="1" customFormat="1" ht="12.75" x14ac:dyDescent="0.2">
      <c r="B705" s="107"/>
      <c r="C705" s="343"/>
      <c r="D705" s="60"/>
      <c r="E705" s="40"/>
      <c r="F705" s="40"/>
      <c r="G705" s="40"/>
      <c r="H705" s="40"/>
      <c r="I705" s="40"/>
      <c r="J705" s="41"/>
    </row>
    <row r="706" spans="2:10" s="1" customFormat="1" ht="12.75" x14ac:dyDescent="0.2">
      <c r="B706" s="46"/>
      <c r="C706" s="59"/>
      <c r="D706" s="60"/>
      <c r="E706" s="40"/>
      <c r="F706" s="40"/>
      <c r="G706" s="40"/>
      <c r="H706" s="40"/>
      <c r="I706" s="40"/>
      <c r="J706" s="41"/>
    </row>
    <row r="707" spans="2:10" s="1" customFormat="1" ht="12.75" x14ac:dyDescent="0.2">
      <c r="B707" s="46"/>
      <c r="C707" s="59"/>
      <c r="D707" s="60"/>
      <c r="E707" s="40"/>
      <c r="F707" s="40"/>
      <c r="G707" s="40"/>
      <c r="H707" s="40"/>
      <c r="I707" s="40"/>
      <c r="J707" s="41"/>
    </row>
    <row r="708" spans="2:10" s="1" customFormat="1" ht="12.75" x14ac:dyDescent="0.2">
      <c r="C708" s="384" t="s">
        <v>37</v>
      </c>
      <c r="D708" s="384"/>
      <c r="E708" s="384"/>
      <c r="F708" s="384"/>
      <c r="G708" s="384"/>
      <c r="H708" s="384"/>
    </row>
    <row r="709" spans="2:10" s="1" customFormat="1" ht="12.75" x14ac:dyDescent="0.2">
      <c r="C709" s="384" t="s">
        <v>38</v>
      </c>
      <c r="D709" s="384"/>
      <c r="E709" s="384"/>
      <c r="F709" s="384"/>
      <c r="G709" s="384"/>
      <c r="H709" s="384"/>
    </row>
    <row r="710" spans="2:10" s="1" customFormat="1" ht="12.75" x14ac:dyDescent="0.2">
      <c r="C710" s="384" t="s">
        <v>39</v>
      </c>
      <c r="D710" s="384"/>
      <c r="E710" s="384"/>
      <c r="F710" s="384"/>
      <c r="G710" s="384"/>
      <c r="H710" s="384"/>
    </row>
    <row r="711" spans="2:10" s="1" customFormat="1" ht="12.75" x14ac:dyDescent="0.2">
      <c r="C711" s="385" t="s">
        <v>40</v>
      </c>
      <c r="D711" s="385"/>
      <c r="E711" s="385"/>
      <c r="F711" s="385"/>
      <c r="G711" s="385"/>
      <c r="H711" s="385"/>
    </row>
    <row r="712" spans="2:10" s="1" customFormat="1" ht="12.75" customHeight="1" x14ac:dyDescent="0.2">
      <c r="C712" s="385"/>
      <c r="D712" s="385"/>
      <c r="E712" s="385"/>
      <c r="F712" s="385"/>
      <c r="G712" s="385"/>
      <c r="H712" s="385"/>
    </row>
    <row r="713" spans="2:10" s="1" customFormat="1" ht="15.75" x14ac:dyDescent="0.2">
      <c r="B713" s="386" t="s">
        <v>65</v>
      </c>
      <c r="C713" s="387"/>
      <c r="D713" s="387"/>
      <c r="E713" s="387"/>
      <c r="F713" s="387"/>
      <c r="G713" s="387"/>
      <c r="H713" s="387"/>
      <c r="I713" s="387"/>
      <c r="J713" s="388"/>
    </row>
    <row r="714" spans="2:10" s="1" customFormat="1" ht="20.25" x14ac:dyDescent="0.2">
      <c r="B714" s="390" t="s">
        <v>431</v>
      </c>
      <c r="C714" s="391"/>
      <c r="D714" s="391"/>
      <c r="E714" s="391"/>
      <c r="F714" s="391"/>
      <c r="G714" s="391"/>
      <c r="H714" s="391"/>
      <c r="I714" s="391"/>
      <c r="J714" s="392"/>
    </row>
    <row r="715" spans="2:10" s="1" customFormat="1" ht="13.5" thickBot="1" x14ac:dyDescent="0.25">
      <c r="B715" s="389"/>
      <c r="C715" s="389"/>
      <c r="D715" s="389"/>
      <c r="E715" s="389"/>
      <c r="F715" s="389"/>
      <c r="G715" s="389"/>
      <c r="H715" s="389"/>
      <c r="I715" s="389"/>
      <c r="J715" s="389"/>
    </row>
    <row r="716" spans="2:10" s="1" customFormat="1" ht="24.75" customHeight="1" x14ac:dyDescent="0.2">
      <c r="B716" s="494" t="s">
        <v>27</v>
      </c>
      <c r="C716" s="495"/>
      <c r="D716" s="495"/>
      <c r="E716" s="495"/>
      <c r="F716" s="495"/>
      <c r="G716" s="495"/>
      <c r="H716" s="495"/>
      <c r="I716" s="495"/>
      <c r="J716" s="496"/>
    </row>
    <row r="717" spans="2:10" s="1" customFormat="1" ht="12.75" x14ac:dyDescent="0.2">
      <c r="B717" s="2" t="s">
        <v>35</v>
      </c>
      <c r="C717" s="3" t="s">
        <v>36</v>
      </c>
      <c r="D717" s="3"/>
      <c r="E717" s="4"/>
      <c r="F717" s="5"/>
      <c r="G717" s="6" t="s">
        <v>8</v>
      </c>
      <c r="H717" s="497">
        <v>42879</v>
      </c>
      <c r="I717" s="497"/>
      <c r="J717" s="7"/>
    </row>
    <row r="718" spans="2:10" s="1" customFormat="1" ht="12.75" x14ac:dyDescent="0.2">
      <c r="B718" s="2" t="s">
        <v>33</v>
      </c>
      <c r="C718" s="3" t="s">
        <v>29</v>
      </c>
      <c r="D718" s="8"/>
      <c r="E718" s="8"/>
      <c r="F718" s="3"/>
      <c r="G718" s="9" t="s">
        <v>32</v>
      </c>
      <c r="H718" s="4" t="s">
        <v>29</v>
      </c>
      <c r="I718" s="10"/>
      <c r="J718" s="11"/>
    </row>
    <row r="719" spans="2:10" s="1" customFormat="1" ht="12.75" x14ac:dyDescent="0.2">
      <c r="B719" s="2" t="s">
        <v>34</v>
      </c>
      <c r="C719" s="3" t="s">
        <v>29</v>
      </c>
      <c r="D719" s="8"/>
      <c r="E719" s="8"/>
      <c r="F719" s="3"/>
      <c r="G719" s="9" t="s">
        <v>30</v>
      </c>
      <c r="H719" s="4" t="s">
        <v>31</v>
      </c>
      <c r="I719" s="10"/>
      <c r="J719" s="11"/>
    </row>
    <row r="720" spans="2:10" s="1" customFormat="1" ht="13.5" thickBot="1" x14ac:dyDescent="0.25">
      <c r="B720" s="12" t="s">
        <v>43</v>
      </c>
      <c r="C720" s="13" t="s">
        <v>44</v>
      </c>
      <c r="D720" s="14"/>
      <c r="E720" s="14"/>
      <c r="F720" s="13"/>
      <c r="G720" s="15" t="s">
        <v>41</v>
      </c>
      <c r="H720" s="16" t="s">
        <v>42</v>
      </c>
      <c r="I720" s="17"/>
      <c r="J720" s="18"/>
    </row>
    <row r="721" spans="2:10" s="1" customFormat="1" ht="12.75" x14ac:dyDescent="0.2">
      <c r="B721" s="389"/>
      <c r="C721" s="389"/>
      <c r="D721" s="389"/>
      <c r="E721" s="389"/>
      <c r="F721" s="389"/>
      <c r="G721" s="389"/>
      <c r="H721" s="389"/>
      <c r="I721" s="389"/>
      <c r="J721" s="389"/>
    </row>
    <row r="722" spans="2:10" s="1" customFormat="1" ht="12.75" x14ac:dyDescent="0.2">
      <c r="B722" s="21" t="s">
        <v>5</v>
      </c>
      <c r="C722" s="22" t="s">
        <v>0</v>
      </c>
      <c r="D722" s="22" t="s">
        <v>9</v>
      </c>
      <c r="E722" s="22" t="s">
        <v>10</v>
      </c>
      <c r="F722" s="22" t="s">
        <v>1</v>
      </c>
      <c r="G722" s="22" t="s">
        <v>2</v>
      </c>
      <c r="H722" s="22" t="s">
        <v>11</v>
      </c>
      <c r="I722" s="22" t="s">
        <v>6</v>
      </c>
      <c r="J722" s="22" t="s">
        <v>7</v>
      </c>
    </row>
    <row r="723" spans="2:10" s="1" customFormat="1" ht="12.75" x14ac:dyDescent="0.2">
      <c r="B723" s="55">
        <v>4.03</v>
      </c>
      <c r="C723" s="56" t="s">
        <v>222</v>
      </c>
      <c r="D723" s="60"/>
      <c r="E723" s="40"/>
      <c r="F723" s="40"/>
      <c r="G723" s="40"/>
      <c r="H723" s="40"/>
      <c r="I723" s="40"/>
      <c r="J723" s="41"/>
    </row>
    <row r="724" spans="2:10" s="1" customFormat="1" ht="12.75" x14ac:dyDescent="0.2">
      <c r="B724" s="57" t="s">
        <v>14</v>
      </c>
      <c r="C724" s="58" t="s">
        <v>225</v>
      </c>
      <c r="D724" s="60"/>
      <c r="E724" s="40"/>
      <c r="F724" s="40"/>
      <c r="G724" s="40"/>
      <c r="H724" s="40"/>
      <c r="I724" s="40"/>
      <c r="J724" s="41"/>
    </row>
    <row r="725" spans="2:10" s="1" customFormat="1" ht="12.75" x14ac:dyDescent="0.2">
      <c r="B725" s="43" t="s">
        <v>15</v>
      </c>
      <c r="C725" s="43" t="s">
        <v>359</v>
      </c>
      <c r="D725" s="60"/>
      <c r="E725" s="40"/>
      <c r="F725" s="40"/>
      <c r="G725" s="40"/>
      <c r="H725" s="40"/>
      <c r="I725" s="44">
        <f>SUM(H726:H726)</f>
        <v>0</v>
      </c>
      <c r="J725" s="45" t="str">
        <f>+J726</f>
        <v>ml</v>
      </c>
    </row>
    <row r="726" spans="2:10" s="1" customFormat="1" ht="12.75" x14ac:dyDescent="0.2">
      <c r="B726" s="43"/>
      <c r="C726" s="39" t="s">
        <v>387</v>
      </c>
      <c r="D726" s="40"/>
      <c r="E726" s="40"/>
      <c r="F726" s="40"/>
      <c r="G726" s="40"/>
      <c r="H726" s="40">
        <f>IF(AND(F726=0,G726=0),D726*E726,IF(AND(E726=0,G726=0),D726*F726,IF(AND(E726=0,F726=0),D726*G726,IF(AND(E726=0),D726*F726*G726,IF(AND(F726=0),D726*E726*G726,IF(AND(G726=0),D726*E726*F726,D726*E726*F726*G726))))))</f>
        <v>0</v>
      </c>
      <c r="I726" s="40"/>
      <c r="J726" s="41" t="str">
        <f>IF(AND(E726=0,F726&lt;&gt;0,G726&lt;&gt;0),"m2",IF(AND(F726=0,E726&lt;&gt;0,G726&lt;&gt;0),"m2",IF(AND(G726=0,E726&lt;&gt;0,F726&lt;&gt;0),"m2",IF(AND(F726=0,G726=0),"ml",IF(AND(E726=0,G726=0),"ml",IF(AND(E726=0,F726=0),"ml",IF(AND(E726&lt;&gt;0,F726&lt;&gt;0,G726&lt;&gt;0),"m3",0)))))))</f>
        <v>ml</v>
      </c>
    </row>
    <row r="727" spans="2:10" s="1" customFormat="1" ht="12.75" x14ac:dyDescent="0.2">
      <c r="B727" s="43"/>
      <c r="C727" s="39"/>
      <c r="D727" s="40"/>
      <c r="E727" s="40"/>
      <c r="F727" s="40"/>
      <c r="G727" s="40"/>
      <c r="H727" s="40">
        <f>IF(AND(F727=0,G727=0),D727*E727,IF(AND(E727=0,G727=0),D727*F727,IF(AND(E727=0,F727=0),D727*G727,IF(AND(E727=0),D727*F727*G727,IF(AND(F727=0),D727*E727*G727,IF(AND(G727=0),D727*E727*F727,D727*E727*F727*G727))))))</f>
        <v>0</v>
      </c>
      <c r="I727" s="40"/>
      <c r="J727" s="41" t="str">
        <f>IF(AND(E727=0,F727&lt;&gt;0,G727&lt;&gt;0),"m2",IF(AND(F727=0,E727&lt;&gt;0,G727&lt;&gt;0),"m2",IF(AND(G727=0,E727&lt;&gt;0,F727&lt;&gt;0),"m2",IF(AND(F727=0,G727=0),"ml",IF(AND(E727=0,G727=0),"ml",IF(AND(E727=0,F727=0),"ml",IF(AND(E727&lt;&gt;0,F727&lt;&gt;0,G727&lt;&gt;0),"m3",0)))))))</f>
        <v>ml</v>
      </c>
    </row>
    <row r="728" spans="2:10" s="1" customFormat="1" ht="12.75" x14ac:dyDescent="0.2">
      <c r="B728" s="43" t="s">
        <v>232</v>
      </c>
      <c r="C728" s="43" t="s">
        <v>235</v>
      </c>
      <c r="D728" s="60"/>
      <c r="E728" s="40"/>
      <c r="F728" s="40"/>
      <c r="G728" s="40"/>
      <c r="H728" s="40"/>
      <c r="I728" s="44">
        <f>SUM(H729:H730)</f>
        <v>23</v>
      </c>
      <c r="J728" s="45" t="str">
        <f>+J729</f>
        <v>ml</v>
      </c>
    </row>
    <row r="729" spans="2:10" s="1" customFormat="1" ht="12.75" x14ac:dyDescent="0.2">
      <c r="B729" s="57"/>
      <c r="C729" s="39" t="s">
        <v>378</v>
      </c>
      <c r="D729" s="40">
        <v>2</v>
      </c>
      <c r="E729" s="40">
        <v>4.5</v>
      </c>
      <c r="F729" s="40"/>
      <c r="G729" s="40"/>
      <c r="H729" s="40">
        <f>IF(AND(F729=0,G729=0),D729*E729,IF(AND(E729=0,G729=0),D729*F729,IF(AND(E729=0,F729=0),D729*G729,IF(AND(E729=0),D729*F729*G729,IF(AND(F729=0),D729*E729*G729,IF(AND(G729=0),D729*E729*F729,D729*E729*F729*G729))))))</f>
        <v>9</v>
      </c>
      <c r="I729" s="40"/>
      <c r="J729" s="41" t="str">
        <f>IF(AND(E729=0,F729&lt;&gt;0,G729&lt;&gt;0),"m2",IF(AND(F729=0,E729&lt;&gt;0,G729&lt;&gt;0),"m2",IF(AND(G729=0,E729&lt;&gt;0,F729&lt;&gt;0),"m2",IF(AND(F729=0,G729=0),"ml",IF(AND(E729=0,G729=0),"ml",IF(AND(E729=0,F729=0),"ml",IF(AND(E729&lt;&gt;0,F729&lt;&gt;0,G729&lt;&gt;0),"m3",0)))))))</f>
        <v>ml</v>
      </c>
    </row>
    <row r="730" spans="2:10" s="1" customFormat="1" ht="12.75" x14ac:dyDescent="0.2">
      <c r="B730" s="57"/>
      <c r="C730" s="39" t="s">
        <v>379</v>
      </c>
      <c r="D730" s="40">
        <v>1</v>
      </c>
      <c r="E730" s="40">
        <v>14</v>
      </c>
      <c r="F730" s="40"/>
      <c r="G730" s="40"/>
      <c r="H730" s="40">
        <f>IF(AND(F730=0,G730=0),D730*E730,IF(AND(E730=0,G730=0),D730*F730,IF(AND(E730=0,F730=0),D730*G730,IF(AND(E730=0),D730*F730*G730,IF(AND(F730=0),D730*E730*G730,IF(AND(G730=0),D730*E730*F730,D730*E730*F730*G730))))))</f>
        <v>14</v>
      </c>
      <c r="I730" s="40"/>
      <c r="J730" s="41" t="str">
        <f>IF(AND(E730=0,F730&lt;&gt;0,G730&lt;&gt;0),"m2",IF(AND(F730=0,E730&lt;&gt;0,G730&lt;&gt;0),"m2",IF(AND(G730=0,E730&lt;&gt;0,F730&lt;&gt;0),"m2",IF(AND(F730=0,G730=0),"ml",IF(AND(E730=0,G730=0),"ml",IF(AND(E730=0,F730=0),"ml",IF(AND(E730&lt;&gt;0,F730&lt;&gt;0,G730&lt;&gt;0),"m3",0)))))))</f>
        <v>ml</v>
      </c>
    </row>
    <row r="731" spans="2:10" s="1" customFormat="1" ht="12.75" x14ac:dyDescent="0.2">
      <c r="B731" s="43" t="s">
        <v>233</v>
      </c>
      <c r="C731" s="43" t="s">
        <v>236</v>
      </c>
      <c r="D731" s="60"/>
      <c r="E731" s="40"/>
      <c r="F731" s="40"/>
      <c r="G731" s="40"/>
      <c r="H731" s="40"/>
      <c r="I731" s="44">
        <f>SUM(H732:H732)</f>
        <v>0</v>
      </c>
      <c r="J731" s="45" t="str">
        <f>+J732</f>
        <v>ml</v>
      </c>
    </row>
    <row r="732" spans="2:10" s="1" customFormat="1" ht="12.75" x14ac:dyDescent="0.2">
      <c r="B732" s="57"/>
      <c r="C732" s="39" t="s">
        <v>378</v>
      </c>
      <c r="D732" s="40"/>
      <c r="E732" s="40"/>
      <c r="F732" s="40"/>
      <c r="G732" s="40"/>
      <c r="H732" s="40">
        <f>IF(AND(F732=0,G732=0),D732*E732,IF(AND(E732=0,G732=0),D732*F732,IF(AND(E732=0,F732=0),D732*G732,IF(AND(E732=0),D732*F732*G732,IF(AND(F732=0),D732*E732*G732,IF(AND(G732=0),D732*E732*F732,D732*E732*F732*G732))))))</f>
        <v>0</v>
      </c>
      <c r="I732" s="40"/>
      <c r="J732" s="41" t="str">
        <f>IF(AND(E732=0,F732&lt;&gt;0,G732&lt;&gt;0),"m2",IF(AND(F732=0,E732&lt;&gt;0,G732&lt;&gt;0),"m2",IF(AND(G732=0,E732&lt;&gt;0,F732&lt;&gt;0),"m2",IF(AND(F732=0,G732=0),"ml",IF(AND(E732=0,G732=0),"ml",IF(AND(E732=0,F732=0),"ml",IF(AND(E732&lt;&gt;0,F732&lt;&gt;0,G732&lt;&gt;0),"m3",0)))))))</f>
        <v>ml</v>
      </c>
    </row>
    <row r="733" spans="2:10" s="1" customFormat="1" ht="12.75" x14ac:dyDescent="0.2">
      <c r="B733" s="57"/>
      <c r="C733" s="39" t="s">
        <v>379</v>
      </c>
      <c r="D733" s="40"/>
      <c r="E733" s="40"/>
      <c r="F733" s="40"/>
      <c r="G733" s="40"/>
      <c r="H733" s="40">
        <f>IF(AND(F733=0,G733=0),D733*E733,IF(AND(E733=0,G733=0),D733*F733,IF(AND(E733=0,F733=0),D733*G733,IF(AND(E733=0),D733*F733*G733,IF(AND(F733=0),D733*E733*G733,IF(AND(G733=0),D733*E733*F733,D733*E733*F733*G733))))))</f>
        <v>0</v>
      </c>
      <c r="I733" s="40"/>
      <c r="J733" s="41" t="str">
        <f>IF(AND(E733=0,F733&lt;&gt;0,G733&lt;&gt;0),"m2",IF(AND(F733=0,E733&lt;&gt;0,G733&lt;&gt;0),"m2",IF(AND(G733=0,E733&lt;&gt;0,F733&lt;&gt;0),"m2",IF(AND(F733=0,G733=0),"ml",IF(AND(E733=0,G733=0),"ml",IF(AND(E733=0,F733=0),"ml",IF(AND(E733&lt;&gt;0,F733&lt;&gt;0,G733&lt;&gt;0),"m3",0)))))))</f>
        <v>ml</v>
      </c>
    </row>
    <row r="734" spans="2:10" s="1" customFormat="1" ht="12.75" x14ac:dyDescent="0.2">
      <c r="B734" s="43" t="s">
        <v>268</v>
      </c>
      <c r="C734" s="43" t="s">
        <v>347</v>
      </c>
      <c r="D734" s="60"/>
      <c r="E734" s="40"/>
      <c r="F734" s="40"/>
      <c r="G734" s="40"/>
      <c r="H734" s="40"/>
      <c r="I734" s="44">
        <f>SUM(H735:H736)</f>
        <v>19.3</v>
      </c>
      <c r="J734" s="45" t="str">
        <f>+J735</f>
        <v>ml</v>
      </c>
    </row>
    <row r="735" spans="2:10" s="1" customFormat="1" ht="12.75" x14ac:dyDescent="0.2">
      <c r="B735" s="57"/>
      <c r="C735" s="77" t="s">
        <v>936</v>
      </c>
      <c r="D735" s="40">
        <v>2</v>
      </c>
      <c r="E735" s="40">
        <v>2.65</v>
      </c>
      <c r="F735" s="40"/>
      <c r="G735" s="40"/>
      <c r="H735" s="40">
        <f t="shared" ref="H735:H736" si="17">IF(AND(F735=0,G735=0),D735*E735,IF(AND(E735=0,G735=0),D735*F735,IF(AND(E735=0,F735=0),D735*G735,IF(AND(E735=0),D735*F735*G735,IF(AND(F735=0),D735*E735*G735,IF(AND(G735=0),D735*E735*F735,D735*E735*F735*G735))))))</f>
        <v>5.3</v>
      </c>
      <c r="I735" s="40"/>
      <c r="J735" s="41" t="str">
        <f t="shared" ref="J735:J736" si="18">IF(AND(E735=0,F735&lt;&gt;0,G735&lt;&gt;0),"m2",IF(AND(F735=0,E735&lt;&gt;0,G735&lt;&gt;0),"m2",IF(AND(G735=0,E735&lt;&gt;0,F735&lt;&gt;0),"m2",IF(AND(F735=0,G735=0),"ml",IF(AND(E735=0,G735=0),"ml",IF(AND(E735=0,F735=0),"ml",IF(AND(E735&lt;&gt;0,F735&lt;&gt;0,G735&lt;&gt;0),"m3",0)))))))</f>
        <v>ml</v>
      </c>
    </row>
    <row r="736" spans="2:10" s="1" customFormat="1" ht="12.75" x14ac:dyDescent="0.2">
      <c r="B736" s="57"/>
      <c r="C736" s="39" t="s">
        <v>937</v>
      </c>
      <c r="D736" s="40">
        <v>1</v>
      </c>
      <c r="E736" s="40">
        <v>14</v>
      </c>
      <c r="F736" s="40"/>
      <c r="G736" s="40"/>
      <c r="H736" s="40">
        <f t="shared" si="17"/>
        <v>14</v>
      </c>
      <c r="I736" s="40"/>
      <c r="J736" s="41" t="str">
        <f t="shared" si="18"/>
        <v>ml</v>
      </c>
    </row>
    <row r="737" spans="2:10" s="1" customFormat="1" ht="12.75" x14ac:dyDescent="0.2">
      <c r="B737" s="43" t="s">
        <v>342</v>
      </c>
      <c r="C737" s="43" t="s">
        <v>271</v>
      </c>
      <c r="D737" s="60"/>
      <c r="E737" s="40"/>
      <c r="F737" s="40"/>
      <c r="G737" s="40"/>
      <c r="H737" s="40"/>
      <c r="I737" s="44">
        <f>SUM(H738:H739)</f>
        <v>6</v>
      </c>
      <c r="J737" s="45" t="str">
        <f>+J739</f>
        <v>und</v>
      </c>
    </row>
    <row r="738" spans="2:10" s="1" customFormat="1" ht="12.75" x14ac:dyDescent="0.2">
      <c r="B738" s="43"/>
      <c r="C738" s="39" t="s">
        <v>711</v>
      </c>
      <c r="D738" s="60">
        <v>4</v>
      </c>
      <c r="E738" s="40"/>
      <c r="F738" s="40"/>
      <c r="G738" s="40"/>
      <c r="H738" s="40">
        <f>+D738</f>
        <v>4</v>
      </c>
      <c r="I738" s="44"/>
      <c r="J738" s="45"/>
    </row>
    <row r="739" spans="2:10" s="1" customFormat="1" ht="12.75" x14ac:dyDescent="0.2">
      <c r="B739" s="57"/>
      <c r="C739" s="39" t="s">
        <v>712</v>
      </c>
      <c r="D739" s="40">
        <v>2</v>
      </c>
      <c r="E739" s="40"/>
      <c r="F739" s="40"/>
      <c r="G739" s="40"/>
      <c r="H739" s="40">
        <f>+D739</f>
        <v>2</v>
      </c>
      <c r="I739" s="40"/>
      <c r="J739" s="41" t="s">
        <v>13</v>
      </c>
    </row>
    <row r="740" spans="2:10" s="1" customFormat="1" ht="12.75" x14ac:dyDescent="0.2">
      <c r="B740" s="57" t="s">
        <v>16</v>
      </c>
      <c r="C740" s="58" t="s">
        <v>224</v>
      </c>
      <c r="D740" s="60"/>
      <c r="E740" s="40"/>
      <c r="F740" s="40"/>
      <c r="G740" s="40"/>
      <c r="H740" s="40"/>
      <c r="I740" s="40"/>
      <c r="J740" s="41"/>
    </row>
    <row r="741" spans="2:10" s="1" customFormat="1" ht="12.75" x14ac:dyDescent="0.2">
      <c r="B741" s="43" t="s">
        <v>241</v>
      </c>
      <c r="C741" s="43" t="s">
        <v>239</v>
      </c>
      <c r="D741" s="60"/>
      <c r="E741" s="40"/>
      <c r="F741" s="40"/>
      <c r="G741" s="40"/>
      <c r="H741" s="40"/>
      <c r="I741" s="44">
        <f>SUM(H742:H742)</f>
        <v>0</v>
      </c>
      <c r="J741" s="45" t="str">
        <f>+J742</f>
        <v>ml</v>
      </c>
    </row>
    <row r="742" spans="2:10" s="1" customFormat="1" ht="12.75" x14ac:dyDescent="0.2">
      <c r="B742" s="57"/>
      <c r="C742" s="39" t="s">
        <v>400</v>
      </c>
      <c r="D742" s="40"/>
      <c r="E742" s="40"/>
      <c r="F742" s="40"/>
      <c r="G742" s="40"/>
      <c r="H742" s="40">
        <f>IF(AND(F742=0,G742=0),D742*E742,IF(AND(E742=0,G742=0),D742*F742,IF(AND(E742=0,F742=0),D742*G742,IF(AND(E742=0),D742*F742*G742,IF(AND(F742=0),D742*E742*G742,IF(AND(G742=0),D742*E742*F742,D742*E742*F742*G742))))))</f>
        <v>0</v>
      </c>
      <c r="I742" s="40"/>
      <c r="J742" s="41" t="str">
        <f>IF(AND(E742=0,F742&lt;&gt;0,G742&lt;&gt;0),"m2",IF(AND(F742=0,E742&lt;&gt;0,G742&lt;&gt;0),"m2",IF(AND(G742=0,E742&lt;&gt;0,F742&lt;&gt;0),"m2",IF(AND(F742=0,G742=0),"ml",IF(AND(E742=0,G742=0),"ml",IF(AND(E742=0,F742=0),"ml",IF(AND(E742&lt;&gt;0,F742&lt;&gt;0,G742&lt;&gt;0),"m3",0)))))))</f>
        <v>ml</v>
      </c>
    </row>
    <row r="743" spans="2:10" s="1" customFormat="1" ht="12.75" x14ac:dyDescent="0.2">
      <c r="B743" s="43" t="s">
        <v>248</v>
      </c>
      <c r="C743" s="43" t="s">
        <v>246</v>
      </c>
      <c r="D743" s="60"/>
      <c r="E743" s="40"/>
      <c r="F743" s="40"/>
      <c r="G743" s="40"/>
      <c r="H743" s="40"/>
      <c r="I743" s="44">
        <f>SUM(H744:H744)</f>
        <v>0</v>
      </c>
      <c r="J743" s="45" t="str">
        <f>+J744</f>
        <v>ml</v>
      </c>
    </row>
    <row r="744" spans="2:10" s="1" customFormat="1" ht="12.75" x14ac:dyDescent="0.2">
      <c r="B744" s="57"/>
      <c r="C744" s="39" t="s">
        <v>238</v>
      </c>
      <c r="D744" s="40"/>
      <c r="E744" s="40"/>
      <c r="F744" s="40"/>
      <c r="G744" s="40"/>
      <c r="H744" s="40">
        <f>IF(AND(F744=0,G744=0),D744*E744,IF(AND(E744=0,G744=0),D744*F744,IF(AND(E744=0,F744=0),D744*G744,IF(AND(E744=0),D744*F744*G744,IF(AND(F744=0),D744*E744*G744,IF(AND(G744=0),D744*E744*F744,D744*E744*F744*G744))))))</f>
        <v>0</v>
      </c>
      <c r="I744" s="40"/>
      <c r="J744" s="41" t="str">
        <f>IF(AND(E744=0,F744&lt;&gt;0,G744&lt;&gt;0),"m2",IF(AND(F744=0,E744&lt;&gt;0,G744&lt;&gt;0),"m2",IF(AND(G744=0,E744&lt;&gt;0,F744&lt;&gt;0),"m2",IF(AND(F744=0,G744=0),"ml",IF(AND(E744=0,G744=0),"ml",IF(AND(E744=0,F744=0),"ml",IF(AND(E744&lt;&gt;0,F744&lt;&gt;0,G744&lt;&gt;0),"m3",0)))))))</f>
        <v>ml</v>
      </c>
    </row>
    <row r="745" spans="2:10" s="1" customFormat="1" ht="12.75" x14ac:dyDescent="0.2">
      <c r="B745" s="43" t="s">
        <v>259</v>
      </c>
      <c r="C745" s="43" t="s">
        <v>251</v>
      </c>
      <c r="D745" s="60"/>
      <c r="E745" s="40"/>
      <c r="F745" s="40"/>
      <c r="G745" s="40"/>
      <c r="H745" s="40"/>
      <c r="I745" s="44">
        <f>SUM(H746:H746)</f>
        <v>0</v>
      </c>
      <c r="J745" s="45" t="str">
        <f>+J746</f>
        <v>ml</v>
      </c>
    </row>
    <row r="746" spans="2:10" s="1" customFormat="1" ht="12.75" x14ac:dyDescent="0.2">
      <c r="B746" s="57"/>
      <c r="C746" s="39" t="s">
        <v>389</v>
      </c>
      <c r="D746" s="40"/>
      <c r="E746" s="40"/>
      <c r="F746" s="40"/>
      <c r="G746" s="40"/>
      <c r="H746" s="40">
        <f>IF(AND(F746=0,G746=0),D746*E746,IF(AND(E746=0,G746=0),D746*F746,IF(AND(E746=0,F746=0),D746*G746,IF(AND(E746=0),D746*F746*G746,IF(AND(F746=0),D746*E746*G746,IF(AND(G746=0),D746*E746*F746,D746*E746*F746*G746))))))</f>
        <v>0</v>
      </c>
      <c r="I746" s="40"/>
      <c r="J746" s="41" t="str">
        <f>IF(AND(E746=0,F746&lt;&gt;0,G746&lt;&gt;0),"m2",IF(AND(F746=0,E746&lt;&gt;0,G746&lt;&gt;0),"m2",IF(AND(G746=0,E746&lt;&gt;0,F746&lt;&gt;0),"m2",IF(AND(F746=0,G746=0),"ml",IF(AND(E746=0,G746=0),"ml",IF(AND(E746=0,F746=0),"ml",IF(AND(E746&lt;&gt;0,F746&lt;&gt;0,G746&lt;&gt;0),"m3",0)))))))</f>
        <v>ml</v>
      </c>
    </row>
    <row r="747" spans="2:10" s="1" customFormat="1" ht="12.75" x14ac:dyDescent="0.2">
      <c r="B747" s="57"/>
      <c r="C747" s="39"/>
      <c r="D747" s="60"/>
      <c r="E747" s="40"/>
      <c r="F747" s="40"/>
      <c r="G747" s="40"/>
      <c r="H747" s="40"/>
      <c r="I747" s="40"/>
      <c r="J747" s="41"/>
    </row>
    <row r="748" spans="2:10" s="1" customFormat="1" ht="12.75" x14ac:dyDescent="0.2">
      <c r="B748" s="57" t="s">
        <v>18</v>
      </c>
      <c r="C748" s="58" t="s">
        <v>223</v>
      </c>
      <c r="D748" s="60"/>
      <c r="E748" s="40"/>
      <c r="F748" s="40"/>
      <c r="G748" s="40"/>
      <c r="H748" s="40"/>
      <c r="I748" s="40"/>
      <c r="J748" s="41"/>
    </row>
    <row r="749" spans="2:10" s="1" customFormat="1" ht="12.75" x14ac:dyDescent="0.2">
      <c r="B749" s="43" t="s">
        <v>20</v>
      </c>
      <c r="C749" s="43" t="s">
        <v>272</v>
      </c>
      <c r="D749" s="60"/>
      <c r="E749" s="40"/>
      <c r="F749" s="40"/>
      <c r="G749" s="40"/>
      <c r="H749" s="40"/>
      <c r="I749" s="44">
        <f>SUM(H750)</f>
        <v>10</v>
      </c>
      <c r="J749" s="45" t="s">
        <v>13</v>
      </c>
    </row>
    <row r="750" spans="2:10" s="1" customFormat="1" ht="12.75" x14ac:dyDescent="0.2">
      <c r="B750" s="43"/>
      <c r="C750" s="39" t="s">
        <v>467</v>
      </c>
      <c r="D750" s="60">
        <f>2*ROUNDUP(2.65/1,0)+4</f>
        <v>10</v>
      </c>
      <c r="E750" s="40"/>
      <c r="F750" s="40"/>
      <c r="G750" s="40"/>
      <c r="H750" s="40">
        <f>+D750</f>
        <v>10</v>
      </c>
      <c r="I750" s="44"/>
      <c r="J750" s="45"/>
    </row>
    <row r="751" spans="2:10" s="1" customFormat="1" ht="12.75" x14ac:dyDescent="0.2">
      <c r="B751" s="46"/>
      <c r="C751" s="39"/>
      <c r="D751" s="40"/>
      <c r="E751" s="40"/>
      <c r="F751" s="40"/>
      <c r="G751" s="40"/>
      <c r="H751" s="40"/>
      <c r="I751" s="40"/>
      <c r="J751" s="41" t="s">
        <v>13</v>
      </c>
    </row>
    <row r="752" spans="2:10" s="1" customFormat="1" ht="12.75" x14ac:dyDescent="0.2">
      <c r="B752" s="43" t="s">
        <v>273</v>
      </c>
      <c r="C752" s="43" t="s">
        <v>354</v>
      </c>
      <c r="D752" s="60"/>
      <c r="E752" s="40"/>
      <c r="F752" s="40"/>
      <c r="G752" s="40"/>
      <c r="H752" s="40"/>
      <c r="I752" s="44">
        <f>SUM(H753:H753)</f>
        <v>0</v>
      </c>
      <c r="J752" s="45" t="str">
        <f>+J753</f>
        <v>und</v>
      </c>
    </row>
    <row r="753" spans="2:10" s="1" customFormat="1" ht="12.75" x14ac:dyDescent="0.2">
      <c r="B753" s="43"/>
      <c r="C753" s="39" t="s">
        <v>375</v>
      </c>
      <c r="D753" s="40"/>
      <c r="E753" s="40"/>
      <c r="F753" s="40"/>
      <c r="G753" s="40"/>
      <c r="H753" s="40">
        <f>IF(AND(F753=0,G753=0),D753*E753,IF(AND(E753=0,G753=0),D753*F753,IF(AND(E753=0,F753=0),D753*G753,IF(AND(E753=0),D753*F753*G753,IF(AND(F753=0),D753*E753*G753,IF(AND(G753=0),D753*E753*F753,D753*E753*F753*G753))))))</f>
        <v>0</v>
      </c>
      <c r="I753" s="40"/>
      <c r="J753" s="41" t="s">
        <v>13</v>
      </c>
    </row>
    <row r="754" spans="2:10" s="1" customFormat="1" ht="12.75" x14ac:dyDescent="0.2">
      <c r="B754" s="46"/>
      <c r="C754" s="59"/>
      <c r="D754" s="60"/>
      <c r="E754" s="40"/>
      <c r="F754" s="40"/>
      <c r="G754" s="40"/>
      <c r="H754" s="40"/>
      <c r="I754" s="40"/>
      <c r="J754" s="41"/>
    </row>
    <row r="755" spans="2:10" s="1" customFormat="1" ht="12.75" x14ac:dyDescent="0.2">
      <c r="B755" s="46"/>
      <c r="C755" s="59"/>
      <c r="D755" s="60"/>
      <c r="E755" s="40"/>
      <c r="F755" s="40"/>
      <c r="G755" s="40"/>
      <c r="H755" s="40"/>
      <c r="I755" s="40"/>
      <c r="J755" s="41"/>
    </row>
    <row r="756" spans="2:10" s="1" customFormat="1" ht="12.75" x14ac:dyDescent="0.2">
      <c r="B756" s="46"/>
      <c r="C756" s="59"/>
      <c r="D756" s="60"/>
      <c r="E756" s="40"/>
      <c r="F756" s="40"/>
      <c r="G756" s="40"/>
      <c r="H756" s="40"/>
      <c r="I756" s="40"/>
      <c r="J756" s="41"/>
    </row>
    <row r="757" spans="2:10" s="1" customFormat="1" ht="12.75" x14ac:dyDescent="0.2">
      <c r="B757" s="46"/>
      <c r="C757" s="59"/>
      <c r="D757" s="60"/>
      <c r="E757" s="40"/>
      <c r="F757" s="40"/>
      <c r="G757" s="40"/>
      <c r="H757" s="40"/>
      <c r="I757" s="40"/>
      <c r="J757" s="41"/>
    </row>
    <row r="758" spans="2:10" s="1" customFormat="1" ht="12.75" x14ac:dyDescent="0.2">
      <c r="B758" s="46"/>
      <c r="C758" s="59"/>
      <c r="D758" s="60"/>
      <c r="E758" s="40"/>
      <c r="F758" s="40"/>
      <c r="G758" s="40"/>
      <c r="H758" s="40"/>
      <c r="I758" s="40"/>
      <c r="J758" s="41"/>
    </row>
    <row r="759" spans="2:10" s="1" customFormat="1" ht="12.75" x14ac:dyDescent="0.2">
      <c r="B759" s="46"/>
      <c r="C759" s="59"/>
      <c r="D759" s="60"/>
      <c r="E759" s="40"/>
      <c r="F759" s="40"/>
      <c r="G759" s="40"/>
      <c r="H759" s="40"/>
      <c r="I759" s="40"/>
      <c r="J759" s="41"/>
    </row>
    <row r="760" spans="2:10" s="1" customFormat="1" ht="12.75" x14ac:dyDescent="0.2">
      <c r="B760" s="46"/>
      <c r="C760" s="59"/>
      <c r="D760" s="60"/>
      <c r="E760" s="40"/>
      <c r="F760" s="40"/>
      <c r="G760" s="40"/>
      <c r="H760" s="40"/>
      <c r="I760" s="40"/>
      <c r="J760" s="41"/>
    </row>
    <row r="761" spans="2:10" s="1" customFormat="1" ht="12.75" x14ac:dyDescent="0.2">
      <c r="B761" s="46"/>
      <c r="C761" s="59"/>
      <c r="D761" s="60"/>
      <c r="E761" s="40"/>
      <c r="F761" s="40"/>
      <c r="G761" s="40"/>
      <c r="H761" s="40"/>
      <c r="I761" s="40"/>
      <c r="J761" s="41"/>
    </row>
    <row r="762" spans="2:10" s="1" customFormat="1" ht="12.75" x14ac:dyDescent="0.2">
      <c r="B762" s="46"/>
      <c r="C762" s="59"/>
      <c r="D762" s="60"/>
      <c r="E762" s="40"/>
      <c r="F762" s="40"/>
      <c r="G762" s="40"/>
      <c r="H762" s="40"/>
      <c r="I762" s="40"/>
      <c r="J762" s="41"/>
    </row>
    <row r="763" spans="2:10" s="1" customFormat="1" ht="12.75" x14ac:dyDescent="0.2">
      <c r="B763" s="46"/>
      <c r="C763" s="59"/>
      <c r="D763" s="60"/>
      <c r="E763" s="40"/>
      <c r="F763" s="40"/>
      <c r="G763" s="40"/>
      <c r="H763" s="40"/>
      <c r="I763" s="40"/>
      <c r="J763" s="41"/>
    </row>
    <row r="764" spans="2:10" s="1" customFormat="1" ht="12.75" x14ac:dyDescent="0.2">
      <c r="B764" s="46"/>
      <c r="C764" s="59"/>
      <c r="D764" s="60"/>
      <c r="E764" s="40"/>
      <c r="F764" s="40"/>
      <c r="G764" s="40"/>
      <c r="H764" s="40"/>
      <c r="I764" s="40"/>
      <c r="J764" s="41"/>
    </row>
    <row r="765" spans="2:10" s="1" customFormat="1" ht="12.75" x14ac:dyDescent="0.2">
      <c r="B765" s="46"/>
      <c r="C765" s="59"/>
      <c r="D765" s="60"/>
      <c r="E765" s="40"/>
      <c r="F765" s="40"/>
      <c r="G765" s="40"/>
      <c r="H765" s="40"/>
      <c r="I765" s="40"/>
      <c r="J765" s="41"/>
    </row>
    <row r="766" spans="2:10" s="1" customFormat="1" ht="12.75" x14ac:dyDescent="0.2">
      <c r="B766" s="46"/>
      <c r="C766" s="59"/>
      <c r="D766" s="60"/>
      <c r="E766" s="40"/>
      <c r="F766" s="40"/>
      <c r="G766" s="40"/>
      <c r="H766" s="40"/>
      <c r="I766" s="40"/>
      <c r="J766" s="41"/>
    </row>
    <row r="767" spans="2:10" s="1" customFormat="1" ht="12.75" x14ac:dyDescent="0.2">
      <c r="B767" s="46"/>
      <c r="C767" s="59"/>
      <c r="D767" s="60"/>
      <c r="E767" s="40"/>
      <c r="F767" s="40"/>
      <c r="G767" s="40"/>
      <c r="H767" s="40"/>
      <c r="I767" s="40"/>
      <c r="J767" s="41"/>
    </row>
    <row r="768" spans="2:10" s="1" customFormat="1" ht="12.75" x14ac:dyDescent="0.2">
      <c r="B768" s="46"/>
      <c r="C768" s="59"/>
      <c r="D768" s="60"/>
      <c r="E768" s="40"/>
      <c r="F768" s="40"/>
      <c r="G768" s="40"/>
      <c r="H768" s="40"/>
      <c r="I768" s="40"/>
      <c r="J768" s="41"/>
    </row>
    <row r="769" spans="2:10" s="1" customFormat="1" ht="12.75" x14ac:dyDescent="0.2">
      <c r="B769" s="46"/>
      <c r="C769" s="59"/>
      <c r="D769" s="60"/>
      <c r="E769" s="40"/>
      <c r="F769" s="40"/>
      <c r="G769" s="40"/>
      <c r="H769" s="40"/>
      <c r="I769" s="40"/>
      <c r="J769" s="41"/>
    </row>
    <row r="770" spans="2:10" s="1" customFormat="1" ht="12.75" x14ac:dyDescent="0.2">
      <c r="C770" s="384" t="s">
        <v>37</v>
      </c>
      <c r="D770" s="384"/>
      <c r="E770" s="384"/>
      <c r="F770" s="384"/>
      <c r="G770" s="384"/>
      <c r="H770" s="384"/>
    </row>
    <row r="771" spans="2:10" s="1" customFormat="1" ht="12.75" x14ac:dyDescent="0.2">
      <c r="C771" s="384" t="s">
        <v>38</v>
      </c>
      <c r="D771" s="384"/>
      <c r="E771" s="384"/>
      <c r="F771" s="384"/>
      <c r="G771" s="384"/>
      <c r="H771" s="384"/>
    </row>
    <row r="772" spans="2:10" s="1" customFormat="1" ht="12.75" x14ac:dyDescent="0.2">
      <c r="C772" s="384" t="s">
        <v>39</v>
      </c>
      <c r="D772" s="384"/>
      <c r="E772" s="384"/>
      <c r="F772" s="384"/>
      <c r="G772" s="384"/>
      <c r="H772" s="384"/>
    </row>
    <row r="773" spans="2:10" s="1" customFormat="1" ht="12.75" x14ac:dyDescent="0.2">
      <c r="C773" s="385" t="s">
        <v>40</v>
      </c>
      <c r="D773" s="385"/>
      <c r="E773" s="385"/>
      <c r="F773" s="385"/>
      <c r="G773" s="385"/>
      <c r="H773" s="385"/>
    </row>
    <row r="774" spans="2:10" s="1" customFormat="1" ht="28.5" customHeight="1" x14ac:dyDescent="0.2">
      <c r="C774" s="385"/>
      <c r="D774" s="385"/>
      <c r="E774" s="385"/>
      <c r="F774" s="385"/>
      <c r="G774" s="385"/>
      <c r="H774" s="385"/>
    </row>
    <row r="775" spans="2:10" s="1" customFormat="1" ht="15.75" x14ac:dyDescent="0.2">
      <c r="B775" s="386" t="s">
        <v>65</v>
      </c>
      <c r="C775" s="387"/>
      <c r="D775" s="387"/>
      <c r="E775" s="387"/>
      <c r="F775" s="387"/>
      <c r="G775" s="387"/>
      <c r="H775" s="387"/>
      <c r="I775" s="387"/>
      <c r="J775" s="388"/>
    </row>
    <row r="776" spans="2:10" s="1" customFormat="1" ht="20.25" x14ac:dyDescent="0.2">
      <c r="B776" s="390" t="s">
        <v>432</v>
      </c>
      <c r="C776" s="391"/>
      <c r="D776" s="391"/>
      <c r="E776" s="391"/>
      <c r="F776" s="391"/>
      <c r="G776" s="391"/>
      <c r="H776" s="391"/>
      <c r="I776" s="391"/>
      <c r="J776" s="392"/>
    </row>
    <row r="777" spans="2:10" s="1" customFormat="1" ht="13.5" thickBot="1" x14ac:dyDescent="0.25">
      <c r="B777" s="389"/>
      <c r="C777" s="389"/>
      <c r="D777" s="389"/>
      <c r="E777" s="389"/>
      <c r="F777" s="389"/>
      <c r="G777" s="389"/>
      <c r="H777" s="389"/>
      <c r="I777" s="389"/>
      <c r="J777" s="389"/>
    </row>
    <row r="778" spans="2:10" s="1" customFormat="1" ht="24.75" customHeight="1" x14ac:dyDescent="0.2">
      <c r="B778" s="494" t="s">
        <v>27</v>
      </c>
      <c r="C778" s="495"/>
      <c r="D778" s="495"/>
      <c r="E778" s="495"/>
      <c r="F778" s="495"/>
      <c r="G778" s="495"/>
      <c r="H778" s="495"/>
      <c r="I778" s="495"/>
      <c r="J778" s="496"/>
    </row>
    <row r="779" spans="2:10" s="1" customFormat="1" ht="12.75" x14ac:dyDescent="0.2">
      <c r="B779" s="2" t="s">
        <v>35</v>
      </c>
      <c r="C779" s="3" t="s">
        <v>36</v>
      </c>
      <c r="D779" s="3"/>
      <c r="E779" s="4"/>
      <c r="F779" s="5"/>
      <c r="G779" s="6" t="s">
        <v>8</v>
      </c>
      <c r="H779" s="497">
        <v>42879</v>
      </c>
      <c r="I779" s="497"/>
      <c r="J779" s="7"/>
    </row>
    <row r="780" spans="2:10" s="1" customFormat="1" ht="12.75" x14ac:dyDescent="0.2">
      <c r="B780" s="2" t="s">
        <v>33</v>
      </c>
      <c r="C780" s="3" t="s">
        <v>29</v>
      </c>
      <c r="D780" s="8"/>
      <c r="E780" s="8"/>
      <c r="F780" s="3"/>
      <c r="G780" s="9" t="s">
        <v>32</v>
      </c>
      <c r="H780" s="4" t="s">
        <v>29</v>
      </c>
      <c r="I780" s="10"/>
      <c r="J780" s="11"/>
    </row>
    <row r="781" spans="2:10" s="1" customFormat="1" ht="12.75" x14ac:dyDescent="0.2">
      <c r="B781" s="2" t="s">
        <v>34</v>
      </c>
      <c r="C781" s="3" t="s">
        <v>29</v>
      </c>
      <c r="D781" s="8"/>
      <c r="E781" s="8"/>
      <c r="F781" s="3"/>
      <c r="G781" s="9" t="s">
        <v>30</v>
      </c>
      <c r="H781" s="4" t="s">
        <v>31</v>
      </c>
      <c r="I781" s="10"/>
      <c r="J781" s="11"/>
    </row>
    <row r="782" spans="2:10" s="1" customFormat="1" ht="13.5" thickBot="1" x14ac:dyDescent="0.25">
      <c r="B782" s="12" t="s">
        <v>43</v>
      </c>
      <c r="C782" s="13" t="s">
        <v>44</v>
      </c>
      <c r="D782" s="14"/>
      <c r="E782" s="14"/>
      <c r="F782" s="13"/>
      <c r="G782" s="15" t="s">
        <v>41</v>
      </c>
      <c r="H782" s="16" t="s">
        <v>42</v>
      </c>
      <c r="I782" s="17"/>
      <c r="J782" s="18"/>
    </row>
    <row r="783" spans="2:10" s="1" customFormat="1" ht="12.75" x14ac:dyDescent="0.2">
      <c r="B783" s="389"/>
      <c r="C783" s="389"/>
      <c r="D783" s="389"/>
      <c r="E783" s="389"/>
      <c r="F783" s="389"/>
      <c r="G783" s="389"/>
      <c r="H783" s="389"/>
      <c r="I783" s="389"/>
      <c r="J783" s="389"/>
    </row>
    <row r="784" spans="2:10" s="1" customFormat="1" ht="12.75" x14ac:dyDescent="0.2">
      <c r="B784" s="21" t="s">
        <v>5</v>
      </c>
      <c r="C784" s="22" t="s">
        <v>0</v>
      </c>
      <c r="D784" s="22" t="s">
        <v>9</v>
      </c>
      <c r="E784" s="22" t="s">
        <v>10</v>
      </c>
      <c r="F784" s="22" t="s">
        <v>1</v>
      </c>
      <c r="G784" s="22" t="s">
        <v>2</v>
      </c>
      <c r="H784" s="22" t="s">
        <v>11</v>
      </c>
      <c r="I784" s="22" t="s">
        <v>6</v>
      </c>
      <c r="J784" s="22" t="s">
        <v>7</v>
      </c>
    </row>
    <row r="785" spans="2:10" s="1" customFormat="1" ht="12.75" x14ac:dyDescent="0.2">
      <c r="B785" s="55">
        <v>4.03</v>
      </c>
      <c r="C785" s="56" t="s">
        <v>222</v>
      </c>
      <c r="D785" s="60"/>
      <c r="E785" s="40"/>
      <c r="F785" s="40"/>
      <c r="G785" s="40"/>
      <c r="H785" s="40"/>
      <c r="I785" s="40"/>
      <c r="J785" s="41"/>
    </row>
    <row r="786" spans="2:10" s="1" customFormat="1" ht="12.75" x14ac:dyDescent="0.2">
      <c r="B786" s="57" t="s">
        <v>14</v>
      </c>
      <c r="C786" s="58" t="s">
        <v>225</v>
      </c>
      <c r="D786" s="60"/>
      <c r="E786" s="40"/>
      <c r="F786" s="40"/>
      <c r="G786" s="40"/>
      <c r="H786" s="40"/>
      <c r="I786" s="40"/>
      <c r="J786" s="41"/>
    </row>
    <row r="787" spans="2:10" s="1" customFormat="1" ht="12.75" x14ac:dyDescent="0.2">
      <c r="B787" s="43" t="s">
        <v>15</v>
      </c>
      <c r="C787" s="43" t="s">
        <v>359</v>
      </c>
      <c r="D787" s="60"/>
      <c r="E787" s="40"/>
      <c r="F787" s="40"/>
      <c r="G787" s="40"/>
      <c r="H787" s="40"/>
      <c r="I787" s="44">
        <f>SUM(H788:H788)</f>
        <v>0</v>
      </c>
      <c r="J787" s="45" t="str">
        <f>+J788</f>
        <v>ml</v>
      </c>
    </row>
    <row r="788" spans="2:10" s="1" customFormat="1" ht="12.75" x14ac:dyDescent="0.2">
      <c r="B788" s="43"/>
      <c r="C788" s="39" t="s">
        <v>387</v>
      </c>
      <c r="D788" s="40"/>
      <c r="E788" s="40"/>
      <c r="F788" s="40"/>
      <c r="G788" s="40"/>
      <c r="H788" s="40">
        <f>IF(AND(F788=0,G788=0),D788*E788,IF(AND(E788=0,G788=0),D788*F788,IF(AND(E788=0,F788=0),D788*G788,IF(AND(E788=0),D788*F788*G788,IF(AND(F788=0),D788*E788*G788,IF(AND(G788=0),D788*E788*F788,D788*E788*F788*G788))))))</f>
        <v>0</v>
      </c>
      <c r="I788" s="40"/>
      <c r="J788" s="41" t="str">
        <f>IF(AND(E788=0,F788&lt;&gt;0,G788&lt;&gt;0),"m2",IF(AND(F788=0,E788&lt;&gt;0,G788&lt;&gt;0),"m2",IF(AND(G788=0,E788&lt;&gt;0,F788&lt;&gt;0),"m2",IF(AND(F788=0,G788=0),"ml",IF(AND(E788=0,G788=0),"ml",IF(AND(E788=0,F788=0),"ml",IF(AND(E788&lt;&gt;0,F788&lt;&gt;0,G788&lt;&gt;0),"m3",0)))))))</f>
        <v>ml</v>
      </c>
    </row>
    <row r="789" spans="2:10" s="1" customFormat="1" ht="12.75" x14ac:dyDescent="0.2">
      <c r="B789" s="43"/>
      <c r="C789" s="39"/>
      <c r="D789" s="40"/>
      <c r="E789" s="40"/>
      <c r="F789" s="40"/>
      <c r="G789" s="40"/>
      <c r="H789" s="40">
        <f>IF(AND(F789=0,G789=0),D789*E789,IF(AND(E789=0,G789=0),D789*F789,IF(AND(E789=0,F789=0),D789*G789,IF(AND(E789=0),D789*F789*G789,IF(AND(F789=0),D789*E789*G789,IF(AND(G789=0),D789*E789*F789,D789*E789*F789*G789))))))</f>
        <v>0</v>
      </c>
      <c r="I789" s="40"/>
      <c r="J789" s="41" t="str">
        <f>IF(AND(E789=0,F789&lt;&gt;0,G789&lt;&gt;0),"m2",IF(AND(F789=0,E789&lt;&gt;0,G789&lt;&gt;0),"m2",IF(AND(G789=0,E789&lt;&gt;0,F789&lt;&gt;0),"m2",IF(AND(F789=0,G789=0),"ml",IF(AND(E789=0,G789=0),"ml",IF(AND(E789=0,F789=0),"ml",IF(AND(E789&lt;&gt;0,F789&lt;&gt;0,G789&lt;&gt;0),"m3",0)))))))</f>
        <v>ml</v>
      </c>
    </row>
    <row r="790" spans="2:10" s="1" customFormat="1" ht="12.75" x14ac:dyDescent="0.2">
      <c r="B790" s="43" t="s">
        <v>232</v>
      </c>
      <c r="C790" s="43" t="s">
        <v>235</v>
      </c>
      <c r="D790" s="60"/>
      <c r="E790" s="40"/>
      <c r="F790" s="40"/>
      <c r="G790" s="40"/>
      <c r="H790" s="40"/>
      <c r="I790" s="44">
        <f>SUM(H791:H791)</f>
        <v>0</v>
      </c>
      <c r="J790" s="45" t="str">
        <f>+J791</f>
        <v>ml</v>
      </c>
    </row>
    <row r="791" spans="2:10" s="1" customFormat="1" ht="12.75" x14ac:dyDescent="0.2">
      <c r="B791" s="57"/>
      <c r="C791" s="39" t="s">
        <v>378</v>
      </c>
      <c r="D791" s="40"/>
      <c r="E791" s="40"/>
      <c r="F791" s="40"/>
      <c r="G791" s="40"/>
      <c r="H791" s="40">
        <f>IF(AND(F791=0,G791=0),D791*E791,IF(AND(E791=0,G791=0),D791*F791,IF(AND(E791=0,F791=0),D791*G791,IF(AND(E791=0),D791*F791*G791,IF(AND(F791=0),D791*E791*G791,IF(AND(G791=0),D791*E791*F791,D791*E791*F791*G791))))))</f>
        <v>0</v>
      </c>
      <c r="I791" s="40"/>
      <c r="J791" s="41" t="str">
        <f>IF(AND(E791=0,F791&lt;&gt;0,G791&lt;&gt;0),"m2",IF(AND(F791=0,E791&lt;&gt;0,G791&lt;&gt;0),"m2",IF(AND(G791=0,E791&lt;&gt;0,F791&lt;&gt;0),"m2",IF(AND(F791=0,G791=0),"ml",IF(AND(E791=0,G791=0),"ml",IF(AND(E791=0,F791=0),"ml",IF(AND(E791&lt;&gt;0,F791&lt;&gt;0,G791&lt;&gt;0),"m3",0)))))))</f>
        <v>ml</v>
      </c>
    </row>
    <row r="792" spans="2:10" s="1" customFormat="1" ht="12.75" x14ac:dyDescent="0.2">
      <c r="B792" s="57"/>
      <c r="C792" s="39" t="s">
        <v>379</v>
      </c>
      <c r="D792" s="40"/>
      <c r="E792" s="40"/>
      <c r="F792" s="40"/>
      <c r="G792" s="40"/>
      <c r="H792" s="40">
        <f>IF(AND(F792=0,G792=0),D792*E792,IF(AND(E792=0,G792=0),D792*F792,IF(AND(E792=0,F792=0),D792*G792,IF(AND(E792=0),D792*F792*G792,IF(AND(F792=0),D792*E792*G792,IF(AND(G792=0),D792*E792*F792,D792*E792*F792*G792))))))</f>
        <v>0</v>
      </c>
      <c r="I792" s="40"/>
      <c r="J792" s="41" t="str">
        <f>IF(AND(E792=0,F792&lt;&gt;0,G792&lt;&gt;0),"m2",IF(AND(F792=0,E792&lt;&gt;0,G792&lt;&gt;0),"m2",IF(AND(G792=0,E792&lt;&gt;0,F792&lt;&gt;0),"m2",IF(AND(F792=0,G792=0),"ml",IF(AND(E792=0,G792=0),"ml",IF(AND(E792=0,F792=0),"ml",IF(AND(E792&lt;&gt;0,F792&lt;&gt;0,G792&lt;&gt;0),"m3",0)))))))</f>
        <v>ml</v>
      </c>
    </row>
    <row r="793" spans="2:10" s="1" customFormat="1" ht="12.75" x14ac:dyDescent="0.2">
      <c r="B793" s="43" t="s">
        <v>233</v>
      </c>
      <c r="C793" s="43" t="s">
        <v>236</v>
      </c>
      <c r="D793" s="60"/>
      <c r="E793" s="40"/>
      <c r="F793" s="40"/>
      <c r="G793" s="40"/>
      <c r="H793" s="40"/>
      <c r="I793" s="44">
        <f>SUM(H794:H794)</f>
        <v>0</v>
      </c>
      <c r="J793" s="45" t="str">
        <f>+J794</f>
        <v>ml</v>
      </c>
    </row>
    <row r="794" spans="2:10" s="1" customFormat="1" ht="12.75" x14ac:dyDescent="0.2">
      <c r="B794" s="57"/>
      <c r="C794" s="39" t="s">
        <v>378</v>
      </c>
      <c r="D794" s="40"/>
      <c r="E794" s="40"/>
      <c r="F794" s="40"/>
      <c r="G794" s="40"/>
      <c r="H794" s="40">
        <f>IF(AND(F794=0,G794=0),D794*E794,IF(AND(E794=0,G794=0),D794*F794,IF(AND(E794=0,F794=0),D794*G794,IF(AND(E794=0),D794*F794*G794,IF(AND(F794=0),D794*E794*G794,IF(AND(G794=0),D794*E794*F794,D794*E794*F794*G794))))))</f>
        <v>0</v>
      </c>
      <c r="I794" s="40"/>
      <c r="J794" s="41" t="str">
        <f>IF(AND(E794=0,F794&lt;&gt;0,G794&lt;&gt;0),"m2",IF(AND(F794=0,E794&lt;&gt;0,G794&lt;&gt;0),"m2",IF(AND(G794=0,E794&lt;&gt;0,F794&lt;&gt;0),"m2",IF(AND(F794=0,G794=0),"ml",IF(AND(E794=0,G794=0),"ml",IF(AND(E794=0,F794=0),"ml",IF(AND(E794&lt;&gt;0,F794&lt;&gt;0,G794&lt;&gt;0),"m3",0)))))))</f>
        <v>ml</v>
      </c>
    </row>
    <row r="795" spans="2:10" s="1" customFormat="1" ht="12.75" x14ac:dyDescent="0.2">
      <c r="B795" s="57"/>
      <c r="C795" s="39" t="s">
        <v>379</v>
      </c>
      <c r="D795" s="40"/>
      <c r="E795" s="40"/>
      <c r="F795" s="40"/>
      <c r="G795" s="40"/>
      <c r="H795" s="40">
        <f>IF(AND(F795=0,G795=0),D795*E795,IF(AND(E795=0,G795=0),D795*F795,IF(AND(E795=0,F795=0),D795*G795,IF(AND(E795=0),D795*F795*G795,IF(AND(F795=0),D795*E795*G795,IF(AND(G795=0),D795*E795*F795,D795*E795*F795*G795))))))</f>
        <v>0</v>
      </c>
      <c r="I795" s="40"/>
      <c r="J795" s="41" t="str">
        <f>IF(AND(E795=0,F795&lt;&gt;0,G795&lt;&gt;0),"m2",IF(AND(F795=0,E795&lt;&gt;0,G795&lt;&gt;0),"m2",IF(AND(G795=0,E795&lt;&gt;0,F795&lt;&gt;0),"m2",IF(AND(F795=0,G795=0),"ml",IF(AND(E795=0,G795=0),"ml",IF(AND(E795=0,F795=0),"ml",IF(AND(E795&lt;&gt;0,F795&lt;&gt;0,G795&lt;&gt;0),"m3",0)))))))</f>
        <v>ml</v>
      </c>
    </row>
    <row r="796" spans="2:10" s="1" customFormat="1" ht="12.75" x14ac:dyDescent="0.2">
      <c r="B796" s="43" t="s">
        <v>268</v>
      </c>
      <c r="C796" s="43" t="s">
        <v>347</v>
      </c>
      <c r="D796" s="60"/>
      <c r="E796" s="40"/>
      <c r="F796" s="40"/>
      <c r="G796" s="40"/>
      <c r="H796" s="40"/>
      <c r="I796" s="44">
        <f>SUM(H797:H803)</f>
        <v>0</v>
      </c>
      <c r="J796" s="45" t="str">
        <f>+J797</f>
        <v>ml</v>
      </c>
    </row>
    <row r="797" spans="2:10" s="1" customFormat="1" ht="12.75" x14ac:dyDescent="0.2">
      <c r="B797" s="57"/>
      <c r="C797" s="77" t="s">
        <v>71</v>
      </c>
      <c r="D797" s="40"/>
      <c r="E797" s="40"/>
      <c r="F797" s="40"/>
      <c r="G797" s="40"/>
      <c r="H797" s="40">
        <f t="shared" ref="H797:H803" si="19">IF(AND(F797=0,G797=0),D797*E797,IF(AND(E797=0,G797=0),D797*F797,IF(AND(E797=0,F797=0),D797*G797,IF(AND(E797=0),D797*F797*G797,IF(AND(F797=0),D797*E797*G797,IF(AND(G797=0),D797*E797*F797,D797*E797*F797*G797))))))</f>
        <v>0</v>
      </c>
      <c r="I797" s="40"/>
      <c r="J797" s="41" t="str">
        <f t="shared" ref="J797:J803" si="20">IF(AND(E797=0,F797&lt;&gt;0,G797&lt;&gt;0),"m2",IF(AND(F797=0,E797&lt;&gt;0,G797&lt;&gt;0),"m2",IF(AND(G797=0,E797&lt;&gt;0,F797&lt;&gt;0),"m2",IF(AND(F797=0,G797=0),"ml",IF(AND(E797=0,G797=0),"ml",IF(AND(E797=0,F797=0),"ml",IF(AND(E797&lt;&gt;0,F797&lt;&gt;0,G797&lt;&gt;0),"m3",0)))))))</f>
        <v>ml</v>
      </c>
    </row>
    <row r="798" spans="2:10" s="1" customFormat="1" ht="12.75" x14ac:dyDescent="0.2">
      <c r="B798" s="57"/>
      <c r="C798" s="39" t="s">
        <v>349</v>
      </c>
      <c r="D798" s="40"/>
      <c r="E798" s="40"/>
      <c r="F798" s="40"/>
      <c r="G798" s="40"/>
      <c r="H798" s="40">
        <f t="shared" si="19"/>
        <v>0</v>
      </c>
      <c r="I798" s="40"/>
      <c r="J798" s="41" t="str">
        <f t="shared" si="20"/>
        <v>ml</v>
      </c>
    </row>
    <row r="799" spans="2:10" s="1" customFormat="1" ht="12.75" x14ac:dyDescent="0.2">
      <c r="B799" s="57"/>
      <c r="C799" s="39" t="s">
        <v>369</v>
      </c>
      <c r="D799" s="40"/>
      <c r="E799" s="40"/>
      <c r="F799" s="40"/>
      <c r="G799" s="40"/>
      <c r="H799" s="40">
        <f t="shared" si="19"/>
        <v>0</v>
      </c>
      <c r="I799" s="40"/>
      <c r="J799" s="41" t="str">
        <f t="shared" si="20"/>
        <v>ml</v>
      </c>
    </row>
    <row r="800" spans="2:10" s="1" customFormat="1" ht="12.75" x14ac:dyDescent="0.2">
      <c r="B800" s="57"/>
      <c r="C800" s="77" t="s">
        <v>72</v>
      </c>
      <c r="D800" s="40"/>
      <c r="E800" s="40"/>
      <c r="F800" s="40"/>
      <c r="G800" s="40"/>
      <c r="H800" s="40">
        <f t="shared" si="19"/>
        <v>0</v>
      </c>
      <c r="I800" s="40"/>
      <c r="J800" s="41" t="str">
        <f t="shared" si="20"/>
        <v>ml</v>
      </c>
    </row>
    <row r="801" spans="2:10" s="1" customFormat="1" ht="12.75" x14ac:dyDescent="0.2">
      <c r="B801" s="57"/>
      <c r="C801" s="39" t="s">
        <v>349</v>
      </c>
      <c r="D801" s="40"/>
      <c r="E801" s="40"/>
      <c r="F801" s="40"/>
      <c r="G801" s="40"/>
      <c r="H801" s="40">
        <f t="shared" si="19"/>
        <v>0</v>
      </c>
      <c r="I801" s="40"/>
      <c r="J801" s="41" t="str">
        <f t="shared" si="20"/>
        <v>ml</v>
      </c>
    </row>
    <row r="802" spans="2:10" s="1" customFormat="1" ht="12.75" x14ac:dyDescent="0.2">
      <c r="B802" s="57"/>
      <c r="C802" s="77" t="s">
        <v>73</v>
      </c>
      <c r="D802" s="40"/>
      <c r="E802" s="40"/>
      <c r="F802" s="40"/>
      <c r="G802" s="40"/>
      <c r="H802" s="40">
        <f t="shared" si="19"/>
        <v>0</v>
      </c>
      <c r="I802" s="40"/>
      <c r="J802" s="41" t="str">
        <f t="shared" si="20"/>
        <v>ml</v>
      </c>
    </row>
    <row r="803" spans="2:10" s="1" customFormat="1" ht="12.75" x14ac:dyDescent="0.2">
      <c r="B803" s="57"/>
      <c r="C803" s="39" t="s">
        <v>349</v>
      </c>
      <c r="D803" s="40"/>
      <c r="E803" s="40"/>
      <c r="F803" s="40"/>
      <c r="G803" s="40"/>
      <c r="H803" s="40">
        <f t="shared" si="19"/>
        <v>0</v>
      </c>
      <c r="I803" s="40"/>
      <c r="J803" s="41" t="str">
        <f t="shared" si="20"/>
        <v>ml</v>
      </c>
    </row>
    <row r="804" spans="2:10" s="1" customFormat="1" ht="12.75" x14ac:dyDescent="0.2">
      <c r="B804" s="43" t="s">
        <v>342</v>
      </c>
      <c r="C804" s="43" t="s">
        <v>271</v>
      </c>
      <c r="D804" s="60"/>
      <c r="E804" s="40"/>
      <c r="F804" s="40"/>
      <c r="G804" s="113"/>
      <c r="H804" s="113"/>
      <c r="I804" s="44">
        <f>SUM(H805:H805)</f>
        <v>18</v>
      </c>
      <c r="J804" s="45" t="str">
        <f>+J805</f>
        <v>und</v>
      </c>
    </row>
    <row r="805" spans="2:10" s="1" customFormat="1" ht="12.75" x14ac:dyDescent="0.2">
      <c r="B805" s="57"/>
      <c r="C805" s="39" t="s">
        <v>370</v>
      </c>
      <c r="D805" s="40">
        <v>18</v>
      </c>
      <c r="E805" s="40"/>
      <c r="F805" s="40"/>
      <c r="G805" s="40"/>
      <c r="H805" s="40">
        <f>+D805</f>
        <v>18</v>
      </c>
      <c r="I805" s="40"/>
      <c r="J805" s="41" t="s">
        <v>13</v>
      </c>
    </row>
    <row r="806" spans="2:10" s="1" customFormat="1" ht="12.75" x14ac:dyDescent="0.2">
      <c r="B806" s="57" t="s">
        <v>16</v>
      </c>
      <c r="C806" s="58" t="s">
        <v>224</v>
      </c>
      <c r="D806" s="60"/>
      <c r="E806" s="40"/>
      <c r="F806" s="40"/>
      <c r="G806" s="40"/>
      <c r="H806" s="40"/>
      <c r="I806" s="40"/>
      <c r="J806" s="41"/>
    </row>
    <row r="807" spans="2:10" s="1" customFormat="1" ht="12.75" x14ac:dyDescent="0.2">
      <c r="B807" s="43" t="s">
        <v>241</v>
      </c>
      <c r="C807" s="43" t="s">
        <v>239</v>
      </c>
      <c r="D807" s="60"/>
      <c r="E807" s="40"/>
      <c r="F807" s="40"/>
      <c r="G807" s="40"/>
      <c r="H807" s="40"/>
      <c r="I807" s="44">
        <f>SUM(H808:H808)</f>
        <v>0</v>
      </c>
      <c r="J807" s="45" t="str">
        <f>+J808</f>
        <v>ml</v>
      </c>
    </row>
    <row r="808" spans="2:10" s="1" customFormat="1" ht="12.75" x14ac:dyDescent="0.2">
      <c r="B808" s="57"/>
      <c r="C808" s="39"/>
      <c r="D808" s="60"/>
      <c r="E808" s="40"/>
      <c r="F808" s="40"/>
      <c r="G808" s="40"/>
      <c r="H808" s="40">
        <f>IF(AND(F808=0,G808=0),D808*E808,IF(AND(E808=0,G808=0),D808*F808,IF(AND(E808=0,F808=0),D808*G808,IF(AND(E808=0),D808*F808*G808,IF(AND(F808=0),D808*E808*G808,IF(AND(G808=0),D808*E808*F808,D808*E808*F808*G808))))))</f>
        <v>0</v>
      </c>
      <c r="I808" s="40"/>
      <c r="J808" s="41" t="str">
        <f>IF(AND(E808=0,F808&lt;&gt;0,G808&lt;&gt;0),"m2",IF(AND(F808=0,E808&lt;&gt;0,G808&lt;&gt;0),"m2",IF(AND(G808=0,E808&lt;&gt;0,F808&lt;&gt;0),"m2",IF(AND(F808=0,G808=0),"ml",IF(AND(E808=0,G808=0),"ml",IF(AND(E808=0,F808=0),"ml",IF(AND(E808&lt;&gt;0,F808&lt;&gt;0,G808&lt;&gt;0),"m3",0)))))))</f>
        <v>ml</v>
      </c>
    </row>
    <row r="809" spans="2:10" s="1" customFormat="1" ht="12.75" x14ac:dyDescent="0.2">
      <c r="B809" s="43" t="s">
        <v>248</v>
      </c>
      <c r="C809" s="43" t="s">
        <v>246</v>
      </c>
      <c r="D809" s="60"/>
      <c r="E809" s="40"/>
      <c r="F809" s="40"/>
      <c r="G809" s="40"/>
      <c r="H809" s="40"/>
      <c r="I809" s="44">
        <f>SUM(H810:H810)</f>
        <v>5.2</v>
      </c>
      <c r="J809" s="45" t="str">
        <f>+J810</f>
        <v>ml</v>
      </c>
    </row>
    <row r="810" spans="2:10" s="1" customFormat="1" ht="12.75" x14ac:dyDescent="0.2">
      <c r="B810" s="57"/>
      <c r="C810" s="46" t="s">
        <v>526</v>
      </c>
      <c r="D810" s="60">
        <v>1</v>
      </c>
      <c r="E810" s="40">
        <v>5.2</v>
      </c>
      <c r="F810" s="40"/>
      <c r="G810" s="40"/>
      <c r="H810" s="40">
        <f>IF(AND(F810=0,G810=0),D810*E810,IF(AND(E810=0,G810=0),D810*F810,IF(AND(E810=0,F810=0),D810*G810,IF(AND(E810=0),D810*F810*G810,IF(AND(F810=0),D810*E810*G810,IF(AND(G810=0),D810*E810*F810,D810*E810*F810*G810))))))</f>
        <v>5.2</v>
      </c>
      <c r="I810" s="40"/>
      <c r="J810" s="41" t="str">
        <f>IF(AND(E810=0,F810&lt;&gt;0,G810&lt;&gt;0),"m2",IF(AND(F810=0,E810&lt;&gt;0,G810&lt;&gt;0),"m2",IF(AND(G810=0,E810&lt;&gt;0,F810&lt;&gt;0),"m2",IF(AND(F810=0,G810=0),"ml",IF(AND(E810=0,G810=0),"ml",IF(AND(E810=0,F810=0),"ml",IF(AND(E810&lt;&gt;0,F810&lt;&gt;0,G810&lt;&gt;0),"m3",0)))))))</f>
        <v>ml</v>
      </c>
    </row>
    <row r="811" spans="2:10" s="1" customFormat="1" ht="12.75" x14ac:dyDescent="0.2">
      <c r="B811" s="43" t="s">
        <v>259</v>
      </c>
      <c r="C811" s="43" t="s">
        <v>251</v>
      </c>
      <c r="D811" s="60"/>
      <c r="E811" s="40"/>
      <c r="F811" s="40"/>
      <c r="G811" s="40"/>
      <c r="H811" s="40"/>
      <c r="I811" s="44">
        <f>SUM(H812:H812)</f>
        <v>0</v>
      </c>
      <c r="J811" s="45" t="str">
        <f>+J812</f>
        <v>ml</v>
      </c>
    </row>
    <row r="812" spans="2:10" s="1" customFormat="1" ht="12.75" x14ac:dyDescent="0.2">
      <c r="B812" s="57"/>
      <c r="C812" s="39" t="s">
        <v>389</v>
      </c>
      <c r="D812" s="40"/>
      <c r="E812" s="40"/>
      <c r="F812" s="40"/>
      <c r="G812" s="40"/>
      <c r="H812" s="40">
        <f>IF(AND(F812=0,G812=0),D812*E812,IF(AND(E812=0,G812=0),D812*F812,IF(AND(E812=0,F812=0),D812*G812,IF(AND(E812=0),D812*F812*G812,IF(AND(F812=0),D812*E812*G812,IF(AND(G812=0),D812*E812*F812,D812*E812*F812*G812))))))</f>
        <v>0</v>
      </c>
      <c r="I812" s="40"/>
      <c r="J812" s="41" t="str">
        <f>IF(AND(E812=0,F812&lt;&gt;0,G812&lt;&gt;0),"m2",IF(AND(F812=0,E812&lt;&gt;0,G812&lt;&gt;0),"m2",IF(AND(G812=0,E812&lt;&gt;0,F812&lt;&gt;0),"m2",IF(AND(F812=0,G812=0),"ml",IF(AND(E812=0,G812=0),"ml",IF(AND(E812=0,F812=0),"ml",IF(AND(E812&lt;&gt;0,F812&lt;&gt;0,G812&lt;&gt;0),"m3",0)))))))</f>
        <v>ml</v>
      </c>
    </row>
    <row r="813" spans="2:10" s="1" customFormat="1" ht="12.75" x14ac:dyDescent="0.2">
      <c r="B813" s="57"/>
      <c r="C813" s="39"/>
      <c r="D813" s="60"/>
      <c r="E813" s="40"/>
      <c r="F813" s="40"/>
      <c r="G813" s="40"/>
      <c r="H813" s="40"/>
      <c r="I813" s="40"/>
      <c r="J813" s="41"/>
    </row>
    <row r="814" spans="2:10" s="1" customFormat="1" ht="12.75" x14ac:dyDescent="0.2">
      <c r="B814" s="57" t="s">
        <v>18</v>
      </c>
      <c r="C814" s="58" t="s">
        <v>223</v>
      </c>
      <c r="D814" s="60"/>
      <c r="E814" s="40"/>
      <c r="F814" s="40"/>
      <c r="G814" s="40"/>
      <c r="H814" s="40"/>
      <c r="I814" s="40"/>
      <c r="J814" s="41"/>
    </row>
    <row r="815" spans="2:10" s="1" customFormat="1" ht="12.75" x14ac:dyDescent="0.2">
      <c r="B815" s="43" t="s">
        <v>20</v>
      </c>
      <c r="C815" s="43" t="s">
        <v>272</v>
      </c>
      <c r="D815" s="60"/>
      <c r="E815" s="40"/>
      <c r="F815" s="40"/>
      <c r="G815" s="40"/>
      <c r="H815" s="40"/>
      <c r="I815" s="44">
        <f>SUM(H816:H821)</f>
        <v>0</v>
      </c>
      <c r="J815" s="45" t="str">
        <f>+J816</f>
        <v>und</v>
      </c>
    </row>
    <row r="816" spans="2:10" s="1" customFormat="1" ht="12.75" x14ac:dyDescent="0.2">
      <c r="B816" s="46"/>
      <c r="C816" s="77" t="s">
        <v>71</v>
      </c>
      <c r="D816" s="40"/>
      <c r="E816" s="40"/>
      <c r="F816" s="40"/>
      <c r="G816" s="40"/>
      <c r="H816" s="40"/>
      <c r="I816" s="40"/>
      <c r="J816" s="41" t="s">
        <v>13</v>
      </c>
    </row>
    <row r="817" spans="2:10" s="1" customFormat="1" ht="12.75" x14ac:dyDescent="0.2">
      <c r="B817" s="46"/>
      <c r="C817" s="39" t="s">
        <v>349</v>
      </c>
      <c r="D817" s="40"/>
      <c r="E817" s="40"/>
      <c r="F817" s="40"/>
      <c r="G817" s="40"/>
      <c r="H817" s="40">
        <f>+D817</f>
        <v>0</v>
      </c>
      <c r="I817" s="40"/>
      <c r="J817" s="41" t="s">
        <v>13</v>
      </c>
    </row>
    <row r="818" spans="2:10" s="1" customFormat="1" ht="12.75" x14ac:dyDescent="0.2">
      <c r="B818" s="46"/>
      <c r="C818" s="77" t="s">
        <v>72</v>
      </c>
      <c r="D818" s="40"/>
      <c r="E818" s="40"/>
      <c r="F818" s="40"/>
      <c r="G818" s="40"/>
      <c r="H818" s="40"/>
      <c r="I818" s="40"/>
      <c r="J818" s="41" t="s">
        <v>13</v>
      </c>
    </row>
    <row r="819" spans="2:10" s="1" customFormat="1" ht="12.75" x14ac:dyDescent="0.2">
      <c r="B819" s="46"/>
      <c r="C819" s="39" t="s">
        <v>349</v>
      </c>
      <c r="D819" s="40"/>
      <c r="E819" s="40"/>
      <c r="F819" s="40"/>
      <c r="G819" s="40"/>
      <c r="H819" s="40">
        <f>+D819</f>
        <v>0</v>
      </c>
      <c r="I819" s="40"/>
      <c r="J819" s="41" t="s">
        <v>13</v>
      </c>
    </row>
    <row r="820" spans="2:10" s="1" customFormat="1" ht="12.75" x14ac:dyDescent="0.2">
      <c r="B820" s="46"/>
      <c r="C820" s="77" t="s">
        <v>73</v>
      </c>
      <c r="D820" s="40"/>
      <c r="E820" s="40"/>
      <c r="F820" s="40"/>
      <c r="G820" s="40"/>
      <c r="H820" s="40"/>
      <c r="I820" s="40"/>
      <c r="J820" s="41" t="s">
        <v>13</v>
      </c>
    </row>
    <row r="821" spans="2:10" s="1" customFormat="1" ht="12.75" x14ac:dyDescent="0.2">
      <c r="B821" s="46"/>
      <c r="C821" s="39" t="s">
        <v>349</v>
      </c>
      <c r="D821" s="40"/>
      <c r="E821" s="40"/>
      <c r="F821" s="40"/>
      <c r="G821" s="40"/>
      <c r="H821" s="40">
        <f>+D821</f>
        <v>0</v>
      </c>
      <c r="I821" s="40"/>
      <c r="J821" s="41" t="s">
        <v>13</v>
      </c>
    </row>
    <row r="822" spans="2:10" s="1" customFormat="1" ht="12.75" x14ac:dyDescent="0.2">
      <c r="B822" s="43" t="s">
        <v>273</v>
      </c>
      <c r="C822" s="43" t="s">
        <v>354</v>
      </c>
      <c r="D822" s="60"/>
      <c r="E822" s="40"/>
      <c r="F822" s="40"/>
      <c r="G822" s="40"/>
      <c r="H822" s="40"/>
      <c r="I822" s="44">
        <f>SUM(H823:H823)</f>
        <v>0</v>
      </c>
      <c r="J822" s="45" t="str">
        <f>+J823</f>
        <v>und</v>
      </c>
    </row>
    <row r="823" spans="2:10" s="1" customFormat="1" ht="12.75" x14ac:dyDescent="0.2">
      <c r="B823" s="43"/>
      <c r="C823" s="39" t="s">
        <v>375</v>
      </c>
      <c r="D823" s="40"/>
      <c r="E823" s="40"/>
      <c r="F823" s="40"/>
      <c r="G823" s="40"/>
      <c r="H823" s="40">
        <f>IF(AND(F823=0,G823=0),D823*E823,IF(AND(E823=0,G823=0),D823*F823,IF(AND(E823=0,F823=0),D823*G823,IF(AND(E823=0),D823*F823*G823,IF(AND(F823=0),D823*E823*G823,IF(AND(G823=0),D823*E823*F823,D823*E823*F823*G823))))))</f>
        <v>0</v>
      </c>
      <c r="I823" s="40"/>
      <c r="J823" s="41" t="s">
        <v>13</v>
      </c>
    </row>
    <row r="824" spans="2:10" s="1" customFormat="1" ht="12.75" x14ac:dyDescent="0.2">
      <c r="B824" s="46"/>
      <c r="C824" s="39"/>
      <c r="D824" s="40"/>
      <c r="E824" s="40"/>
      <c r="F824" s="40"/>
      <c r="G824" s="40"/>
      <c r="H824" s="40"/>
      <c r="I824" s="40"/>
      <c r="J824" s="41"/>
    </row>
    <row r="825" spans="2:10" s="1" customFormat="1" ht="12.75" x14ac:dyDescent="0.2">
      <c r="B825" s="46"/>
      <c r="C825" s="59"/>
      <c r="D825" s="60"/>
      <c r="E825" s="40"/>
      <c r="F825" s="40"/>
      <c r="G825" s="40"/>
      <c r="H825" s="40"/>
      <c r="I825" s="40"/>
      <c r="J825" s="41"/>
    </row>
    <row r="826" spans="2:10" s="1" customFormat="1" ht="12.75" x14ac:dyDescent="0.2">
      <c r="B826" s="46"/>
      <c r="C826" s="59"/>
      <c r="D826" s="60"/>
      <c r="E826" s="40"/>
      <c r="F826" s="40"/>
      <c r="G826" s="40"/>
      <c r="H826" s="40"/>
      <c r="I826" s="40"/>
      <c r="J826" s="41"/>
    </row>
  </sheetData>
  <mergeCells count="54">
    <mergeCell ref="C156:H156"/>
    <mergeCell ref="B47:J47"/>
    <mergeCell ref="B48:J48"/>
    <mergeCell ref="B50:J50"/>
    <mergeCell ref="H51:I51"/>
    <mergeCell ref="C102:H102"/>
    <mergeCell ref="C103:H103"/>
    <mergeCell ref="B110:J110"/>
    <mergeCell ref="H111:I111"/>
    <mergeCell ref="C104:H104"/>
    <mergeCell ref="C105:H105"/>
    <mergeCell ref="C153:H153"/>
    <mergeCell ref="C154:H154"/>
    <mergeCell ref="C155:H155"/>
    <mergeCell ref="C45:H45"/>
    <mergeCell ref="C1:H1"/>
    <mergeCell ref="C2:H2"/>
    <mergeCell ref="C3:H3"/>
    <mergeCell ref="C4:H4"/>
    <mergeCell ref="B6:J6"/>
    <mergeCell ref="B8:J8"/>
    <mergeCell ref="B10:J10"/>
    <mergeCell ref="H11:I11"/>
    <mergeCell ref="C42:H42"/>
    <mergeCell ref="C43:H43"/>
    <mergeCell ref="C44:H44"/>
    <mergeCell ref="B161:J161"/>
    <mergeCell ref="H162:I162"/>
    <mergeCell ref="B227:J227"/>
    <mergeCell ref="B287:J287"/>
    <mergeCell ref="B346:J346"/>
    <mergeCell ref="C281:H281"/>
    <mergeCell ref="C282:H282"/>
    <mergeCell ref="C219:H219"/>
    <mergeCell ref="C220:H220"/>
    <mergeCell ref="C221:H221"/>
    <mergeCell ref="C222:H222"/>
    <mergeCell ref="C279:H279"/>
    <mergeCell ref="C280:H280"/>
    <mergeCell ref="H347:I347"/>
    <mergeCell ref="B407:J407"/>
    <mergeCell ref="H408:I408"/>
    <mergeCell ref="B470:J470"/>
    <mergeCell ref="H471:I471"/>
    <mergeCell ref="B527:J527"/>
    <mergeCell ref="H528:I528"/>
    <mergeCell ref="B584:J584"/>
    <mergeCell ref="H585:I585"/>
    <mergeCell ref="B642:J642"/>
    <mergeCell ref="H643:I643"/>
    <mergeCell ref="B716:J716"/>
    <mergeCell ref="H717:I717"/>
    <mergeCell ref="B778:J778"/>
    <mergeCell ref="H779:I779"/>
  </mergeCells>
  <pageMargins left="0.70866141732283472" right="0.70866141732283472" top="0.74803149606299213" bottom="0.74803149606299213" header="0.31496062992125984" footer="0.31496062992125984"/>
  <pageSetup paperSize="9" scale="53" fitToWidth="0" fitToHeight="0" orientation="portrait" r:id="rId1"/>
  <rowBreaks count="2" manualBreakCount="2">
    <brk id="40" max="16383" man="1"/>
    <brk id="100" max="9" man="1"/>
  </rowBreaks>
  <colBreaks count="1" manualBreakCount="1">
    <brk id="10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32982-7171-4A33-A55A-9639E07930C7}">
  <sheetPr>
    <tabColor theme="4" tint="0.59999389629810485"/>
  </sheetPr>
  <dimension ref="B1:AI95"/>
  <sheetViews>
    <sheetView view="pageBreakPreview" topLeftCell="B52" zoomScale="60" zoomScaleNormal="100" workbookViewId="0">
      <selection activeCell="G55" sqref="G55"/>
    </sheetView>
    <sheetView view="pageBreakPreview" topLeftCell="B58" zoomScale="60" zoomScaleNormal="100" workbookViewId="1">
      <selection activeCell="H87" sqref="H87"/>
    </sheetView>
  </sheetViews>
  <sheetFormatPr baseColWidth="10" defaultRowHeight="15" x14ac:dyDescent="0.25"/>
  <cols>
    <col min="1" max="1" width="2.140625" customWidth="1"/>
    <col min="2" max="2" width="15.7109375" style="1" customWidth="1"/>
    <col min="3" max="3" width="48.7109375" style="1" customWidth="1"/>
    <col min="4" max="4" width="11.42578125" style="1"/>
    <col min="5" max="5" width="8" style="1" customWidth="1"/>
    <col min="6" max="6" width="11.42578125" style="1" customWidth="1"/>
    <col min="7" max="7" width="20.42578125" style="1" customWidth="1"/>
    <col min="8" max="8" width="11.42578125" style="1" customWidth="1"/>
    <col min="9" max="9" width="16.7109375" style="1" customWidth="1"/>
    <col min="10" max="10" width="8.85546875" style="1" customWidth="1"/>
    <col min="25" max="27" width="11.42578125" customWidth="1"/>
    <col min="28" max="28" width="16.5703125" bestFit="1" customWidth="1"/>
  </cols>
  <sheetData>
    <row r="1" spans="2:11" x14ac:dyDescent="0.25">
      <c r="C1" s="499" t="s">
        <v>37</v>
      </c>
      <c r="D1" s="499"/>
      <c r="E1" s="499"/>
      <c r="F1" s="499"/>
      <c r="G1" s="499"/>
      <c r="H1" s="499"/>
    </row>
    <row r="2" spans="2:11" x14ac:dyDescent="0.25">
      <c r="C2" s="499" t="s">
        <v>38</v>
      </c>
      <c r="D2" s="499"/>
      <c r="E2" s="499"/>
      <c r="F2" s="499"/>
      <c r="G2" s="499"/>
      <c r="H2" s="499"/>
    </row>
    <row r="3" spans="2:11" x14ac:dyDescent="0.25">
      <c r="C3" s="499" t="s">
        <v>39</v>
      </c>
      <c r="D3" s="499"/>
      <c r="E3" s="499"/>
      <c r="F3" s="499"/>
      <c r="G3" s="499"/>
      <c r="H3" s="499"/>
    </row>
    <row r="4" spans="2:11" x14ac:dyDescent="0.25">
      <c r="C4" s="500" t="s">
        <v>40</v>
      </c>
      <c r="D4" s="500"/>
      <c r="E4" s="500"/>
      <c r="F4" s="500"/>
      <c r="G4" s="500"/>
      <c r="H4" s="500"/>
    </row>
    <row r="5" spans="2:11" x14ac:dyDescent="0.25">
      <c r="C5" s="401"/>
      <c r="D5" s="401"/>
      <c r="E5" s="401"/>
      <c r="F5" s="401"/>
      <c r="G5" s="401"/>
      <c r="H5" s="401"/>
    </row>
    <row r="6" spans="2:11" x14ac:dyDescent="0.25">
      <c r="B6" s="538" t="s">
        <v>28</v>
      </c>
      <c r="C6" s="539"/>
      <c r="D6" s="539"/>
      <c r="E6" s="539"/>
      <c r="F6" s="539"/>
      <c r="G6" s="539"/>
      <c r="H6" s="539"/>
      <c r="I6" s="539"/>
      <c r="J6" s="540"/>
    </row>
    <row r="8" spans="2:11" x14ac:dyDescent="0.25">
      <c r="B8" s="541" t="s">
        <v>275</v>
      </c>
      <c r="C8" s="541"/>
      <c r="D8" s="541"/>
      <c r="E8" s="541"/>
      <c r="F8" s="541"/>
      <c r="G8" s="541"/>
      <c r="H8" s="541"/>
      <c r="I8" s="541"/>
      <c r="J8" s="541"/>
    </row>
    <row r="9" spans="2:11" ht="15.75" thickBot="1" x14ac:dyDescent="0.3">
      <c r="B9" s="405"/>
      <c r="C9" s="405"/>
      <c r="D9" s="405"/>
      <c r="E9" s="405"/>
      <c r="F9" s="405"/>
      <c r="G9" s="405"/>
      <c r="H9" s="405"/>
      <c r="I9" s="405"/>
      <c r="J9" s="405"/>
    </row>
    <row r="10" spans="2:11" ht="31.5" customHeight="1" x14ac:dyDescent="0.25">
      <c r="B10" s="494" t="s">
        <v>27</v>
      </c>
      <c r="C10" s="495"/>
      <c r="D10" s="495"/>
      <c r="E10" s="495"/>
      <c r="F10" s="495"/>
      <c r="G10" s="495"/>
      <c r="H10" s="495"/>
      <c r="I10" s="495"/>
      <c r="J10" s="496"/>
    </row>
    <row r="11" spans="2:11" x14ac:dyDescent="0.25">
      <c r="B11" s="2" t="s">
        <v>35</v>
      </c>
      <c r="C11" s="3" t="s">
        <v>36</v>
      </c>
      <c r="D11" s="3"/>
      <c r="E11" s="4"/>
      <c r="F11" s="5"/>
      <c r="G11" s="6" t="s">
        <v>8</v>
      </c>
      <c r="H11" s="497">
        <v>42887</v>
      </c>
      <c r="I11" s="497"/>
      <c r="J11" s="7"/>
    </row>
    <row r="12" spans="2:11" x14ac:dyDescent="0.25">
      <c r="B12" s="2" t="s">
        <v>33</v>
      </c>
      <c r="C12" s="3" t="s">
        <v>29</v>
      </c>
      <c r="D12" s="8"/>
      <c r="E12" s="8"/>
      <c r="F12" s="3"/>
      <c r="G12" s="9" t="s">
        <v>32</v>
      </c>
      <c r="H12" s="4" t="s">
        <v>29</v>
      </c>
      <c r="I12" s="10"/>
      <c r="J12" s="11"/>
    </row>
    <row r="13" spans="2:11" x14ac:dyDescent="0.25">
      <c r="B13" s="2" t="s">
        <v>34</v>
      </c>
      <c r="C13" s="3" t="s">
        <v>29</v>
      </c>
      <c r="D13" s="8"/>
      <c r="E13" s="8"/>
      <c r="F13" s="3"/>
      <c r="G13" s="9" t="s">
        <v>30</v>
      </c>
      <c r="H13" s="4" t="s">
        <v>31</v>
      </c>
      <c r="I13" s="10"/>
      <c r="J13" s="11"/>
    </row>
    <row r="14" spans="2:11" ht="15.75" thickBot="1" x14ac:dyDescent="0.3">
      <c r="B14" s="12" t="s">
        <v>43</v>
      </c>
      <c r="C14" s="13" t="s">
        <v>44</v>
      </c>
      <c r="D14" s="14"/>
      <c r="E14" s="14"/>
      <c r="F14" s="13"/>
      <c r="G14" s="15" t="s">
        <v>41</v>
      </c>
      <c r="H14" s="16" t="s">
        <v>42</v>
      </c>
      <c r="I14" s="17"/>
      <c r="J14" s="18"/>
    </row>
    <row r="15" spans="2:11" x14ac:dyDescent="0.25">
      <c r="B15" s="19"/>
      <c r="C15" s="3"/>
      <c r="D15" s="8"/>
      <c r="E15" s="8"/>
      <c r="F15" s="3"/>
      <c r="G15" s="9"/>
      <c r="H15" s="4"/>
      <c r="I15" s="10"/>
      <c r="J15" s="20"/>
    </row>
    <row r="16" spans="2:11" x14ac:dyDescent="0.25">
      <c r="B16" s="47" t="s">
        <v>5</v>
      </c>
      <c r="C16" s="48" t="s">
        <v>0</v>
      </c>
      <c r="D16" s="49"/>
      <c r="E16" s="49"/>
      <c r="F16" s="49"/>
      <c r="G16" s="49"/>
      <c r="H16" s="50"/>
      <c r="I16" s="51" t="s">
        <v>6</v>
      </c>
      <c r="J16" s="51" t="s">
        <v>7</v>
      </c>
      <c r="K16" t="s">
        <v>552</v>
      </c>
    </row>
    <row r="17" spans="2:10" x14ac:dyDescent="0.25">
      <c r="B17" s="71">
        <v>4</v>
      </c>
      <c r="C17" s="72" t="s">
        <v>66</v>
      </c>
      <c r="D17" s="23"/>
      <c r="E17" s="23"/>
      <c r="F17" s="23"/>
      <c r="G17" s="23"/>
      <c r="H17" s="24"/>
      <c r="I17" s="25"/>
      <c r="J17" s="26"/>
    </row>
    <row r="18" spans="2:10" x14ac:dyDescent="0.25">
      <c r="B18" s="71">
        <f>+MET_PN!B18</f>
        <v>4.03</v>
      </c>
      <c r="C18" s="72" t="s">
        <v>222</v>
      </c>
      <c r="D18" s="23"/>
      <c r="E18" s="23"/>
      <c r="F18" s="23"/>
      <c r="G18" s="23"/>
      <c r="H18" s="24"/>
      <c r="I18" s="25"/>
      <c r="J18" s="26"/>
    </row>
    <row r="19" spans="2:10" x14ac:dyDescent="0.25">
      <c r="B19" s="73" t="str">
        <f>+MET_PN!B19</f>
        <v>04.03.01</v>
      </c>
      <c r="C19" s="74" t="s">
        <v>615</v>
      </c>
      <c r="D19" s="23"/>
      <c r="E19" s="23"/>
      <c r="F19" s="23"/>
      <c r="G19" s="23"/>
      <c r="H19" s="24"/>
      <c r="I19" s="25"/>
      <c r="J19" s="26"/>
    </row>
    <row r="20" spans="2:10" x14ac:dyDescent="0.25">
      <c r="B20" s="25" t="str">
        <f>+MET_PN!B20</f>
        <v>04.03.01.01</v>
      </c>
      <c r="C20" s="23" t="s">
        <v>616</v>
      </c>
      <c r="D20" s="23"/>
      <c r="E20" s="23"/>
      <c r="F20" s="23"/>
      <c r="G20" s="23"/>
      <c r="H20" s="24"/>
      <c r="I20" s="25">
        <f ca="1">+MET_PN!I20</f>
        <v>422.18134000000003</v>
      </c>
      <c r="J20" s="26" t="s">
        <v>45</v>
      </c>
    </row>
    <row r="21" spans="2:10" x14ac:dyDescent="0.25">
      <c r="B21" s="25" t="str">
        <f>+MET_PN!B21</f>
        <v>04.03.01.02</v>
      </c>
      <c r="C21" s="23" t="s">
        <v>617</v>
      </c>
      <c r="D21" s="23"/>
      <c r="E21" s="23"/>
      <c r="F21" s="23"/>
      <c r="G21" s="23"/>
      <c r="H21" s="24"/>
      <c r="I21" s="25">
        <f ca="1">+MET_PN!I21</f>
        <v>422.18134000000003</v>
      </c>
      <c r="J21" s="26" t="s">
        <v>45</v>
      </c>
    </row>
    <row r="22" spans="2:10" x14ac:dyDescent="0.25">
      <c r="B22" s="71"/>
      <c r="C22" s="23"/>
      <c r="D22" s="23"/>
      <c r="E22" s="23"/>
      <c r="F22" s="23"/>
      <c r="G22" s="23"/>
      <c r="H22" s="24"/>
      <c r="I22" s="25"/>
      <c r="J22" s="26"/>
    </row>
    <row r="23" spans="2:10" x14ac:dyDescent="0.25">
      <c r="B23" s="73" t="str">
        <f>+MET_PN!B23</f>
        <v>04.03.02</v>
      </c>
      <c r="C23" s="74" t="s">
        <v>618</v>
      </c>
      <c r="D23" s="23"/>
      <c r="E23" s="23"/>
      <c r="F23" s="23"/>
      <c r="G23" s="23"/>
      <c r="H23" s="24"/>
      <c r="I23" s="25"/>
      <c r="J23" s="26"/>
    </row>
    <row r="24" spans="2:10" x14ac:dyDescent="0.25">
      <c r="B24" s="25" t="str">
        <f>+MET_PN!B24</f>
        <v>04.03.02.01</v>
      </c>
      <c r="C24" s="23" t="s">
        <v>619</v>
      </c>
      <c r="D24" s="23"/>
      <c r="E24" s="23"/>
      <c r="F24" s="23"/>
      <c r="G24" s="23"/>
      <c r="H24" s="24"/>
      <c r="I24" s="25">
        <f ca="1">+MET_PN!I24</f>
        <v>20.625</v>
      </c>
      <c r="J24" s="26" t="s">
        <v>4</v>
      </c>
    </row>
    <row r="25" spans="2:10" x14ac:dyDescent="0.25">
      <c r="B25" s="25" t="str">
        <f>+MET_PN!B25</f>
        <v>04.03.02.02</v>
      </c>
      <c r="C25" s="23" t="s">
        <v>635</v>
      </c>
      <c r="D25" s="23"/>
      <c r="E25" s="23"/>
      <c r="F25" s="23"/>
      <c r="G25" s="23"/>
      <c r="H25" s="24"/>
      <c r="I25" s="25">
        <f ca="1">+MET_PN!I25</f>
        <v>108</v>
      </c>
      <c r="J25" s="26" t="s">
        <v>45</v>
      </c>
    </row>
    <row r="26" spans="2:10" x14ac:dyDescent="0.25">
      <c r="B26" s="71"/>
      <c r="C26" s="23"/>
      <c r="D26" s="23"/>
      <c r="E26" s="23"/>
      <c r="F26" s="23"/>
      <c r="G26" s="23"/>
      <c r="H26" s="24"/>
      <c r="I26" s="25"/>
      <c r="J26" s="26"/>
    </row>
    <row r="27" spans="2:10" x14ac:dyDescent="0.25">
      <c r="B27" s="73" t="str">
        <f>+MET_PN!B27</f>
        <v>04.03.03</v>
      </c>
      <c r="C27" s="74" t="s">
        <v>679</v>
      </c>
      <c r="D27" s="23"/>
      <c r="E27" s="23"/>
      <c r="F27" s="23"/>
      <c r="G27" s="23"/>
      <c r="H27" s="24"/>
      <c r="I27" s="25"/>
      <c r="J27" s="26"/>
    </row>
    <row r="28" spans="2:10" x14ac:dyDescent="0.25">
      <c r="B28" s="25" t="str">
        <f>+MET_PN!B28</f>
        <v>04.03.03.01</v>
      </c>
      <c r="C28" s="23" t="s">
        <v>925</v>
      </c>
      <c r="D28" s="23"/>
      <c r="E28" s="23"/>
      <c r="F28" s="23"/>
      <c r="G28" s="23"/>
      <c r="H28" s="24"/>
      <c r="I28" s="25">
        <f ca="1">+MET_PN!I28</f>
        <v>108</v>
      </c>
      <c r="J28" s="26" t="s">
        <v>45</v>
      </c>
    </row>
    <row r="29" spans="2:10" x14ac:dyDescent="0.25">
      <c r="B29" s="25" t="str">
        <f>+MET_PN!B29</f>
        <v>04.03.03.02</v>
      </c>
      <c r="C29" s="23" t="s">
        <v>792</v>
      </c>
      <c r="D29" s="23"/>
      <c r="E29" s="23"/>
      <c r="F29" s="23"/>
      <c r="G29" s="23"/>
      <c r="H29" s="24"/>
      <c r="I29" s="25">
        <f ca="1">+MET_PN!I29</f>
        <v>18</v>
      </c>
      <c r="J29" s="26" t="s">
        <v>45</v>
      </c>
    </row>
    <row r="30" spans="2:10" x14ac:dyDescent="0.25">
      <c r="B30" s="71"/>
      <c r="C30" s="23"/>
      <c r="D30" s="23"/>
      <c r="E30" s="23"/>
      <c r="F30" s="23"/>
      <c r="G30" s="23"/>
      <c r="H30" s="24"/>
      <c r="I30" s="25"/>
      <c r="J30" s="26"/>
    </row>
    <row r="31" spans="2:10" x14ac:dyDescent="0.25">
      <c r="B31" s="73" t="str">
        <f>+MET_PN!B31</f>
        <v>04.03.04</v>
      </c>
      <c r="C31" s="74" t="s">
        <v>620</v>
      </c>
      <c r="D31" s="23"/>
      <c r="E31" s="23"/>
      <c r="F31" s="23"/>
      <c r="G31" s="23"/>
      <c r="H31" s="24"/>
      <c r="I31" s="25"/>
      <c r="J31" s="26"/>
    </row>
    <row r="32" spans="2:10" x14ac:dyDescent="0.25">
      <c r="B32" s="25" t="str">
        <f>+MET_PN!B32</f>
        <v>04.03.04.01</v>
      </c>
      <c r="C32" s="23" t="s">
        <v>926</v>
      </c>
      <c r="D32" s="23"/>
      <c r="E32" s="23"/>
      <c r="F32" s="23"/>
      <c r="G32" s="23"/>
      <c r="H32" s="24"/>
      <c r="I32" s="25">
        <f ca="1">+MET_PN!I32</f>
        <v>31.425000000000001</v>
      </c>
      <c r="J32" s="26" t="s">
        <v>4</v>
      </c>
    </row>
    <row r="33" spans="2:12" x14ac:dyDescent="0.25">
      <c r="B33" s="71"/>
      <c r="C33" s="23"/>
      <c r="D33" s="23"/>
      <c r="E33" s="23"/>
      <c r="F33" s="23"/>
      <c r="G33" s="23"/>
      <c r="H33" s="24"/>
      <c r="I33" s="25"/>
      <c r="J33" s="26"/>
    </row>
    <row r="34" spans="2:12" x14ac:dyDescent="0.25">
      <c r="B34" s="73" t="str">
        <f>+MET_PN!B34</f>
        <v>04.03.05</v>
      </c>
      <c r="C34" s="74" t="s">
        <v>614</v>
      </c>
      <c r="D34" s="23"/>
      <c r="E34" s="23"/>
      <c r="F34" s="23"/>
      <c r="G34" s="23"/>
      <c r="H34" s="24"/>
      <c r="I34" s="25"/>
      <c r="J34" s="26"/>
    </row>
    <row r="35" spans="2:12" x14ac:dyDescent="0.25">
      <c r="B35" s="25" t="str">
        <f>+MET_PN!B35</f>
        <v>04.03.05.01</v>
      </c>
      <c r="C35" s="23" t="s">
        <v>622</v>
      </c>
      <c r="D35" s="23"/>
      <c r="E35" s="23"/>
      <c r="F35" s="23"/>
      <c r="G35" s="23"/>
      <c r="H35" s="24"/>
      <c r="I35" s="25">
        <f ca="1">+MET_PN!I35</f>
        <v>61.972930000000012</v>
      </c>
      <c r="J35" s="26" t="s">
        <v>4</v>
      </c>
    </row>
    <row r="36" spans="2:12" x14ac:dyDescent="0.25">
      <c r="B36" s="25" t="str">
        <f>+MET_PN!B36</f>
        <v>04.03.05.02</v>
      </c>
      <c r="C36" s="23" t="s">
        <v>623</v>
      </c>
      <c r="D36" s="23"/>
      <c r="E36" s="23"/>
      <c r="F36" s="23"/>
      <c r="G36" s="23"/>
      <c r="H36" s="24"/>
      <c r="I36" s="25">
        <f ca="1">+MET_PN!I36</f>
        <v>38.437900000000006</v>
      </c>
      <c r="J36" s="26" t="s">
        <v>4</v>
      </c>
    </row>
    <row r="37" spans="2:12" x14ac:dyDescent="0.25">
      <c r="B37" s="25" t="str">
        <f>+MET_PN!B37</f>
        <v>04.03.05.03</v>
      </c>
      <c r="C37" s="23" t="s">
        <v>927</v>
      </c>
      <c r="D37" s="23"/>
      <c r="E37" s="23"/>
      <c r="F37" s="23"/>
      <c r="G37" s="23"/>
      <c r="H37" s="24"/>
      <c r="I37" s="25">
        <f ca="1">+MET_PN!I37</f>
        <v>96</v>
      </c>
      <c r="J37" s="26" t="s">
        <v>4</v>
      </c>
    </row>
    <row r="38" spans="2:12" x14ac:dyDescent="0.25">
      <c r="B38" s="25" t="str">
        <f>+MET_PN!B38</f>
        <v>04.03.05.04</v>
      </c>
      <c r="C38" s="414" t="s">
        <v>779</v>
      </c>
      <c r="D38" s="23"/>
      <c r="E38" s="23"/>
      <c r="F38" s="23"/>
      <c r="G38" s="23"/>
      <c r="H38" s="24"/>
      <c r="I38" s="25">
        <f ca="1">+MET_PN!I38</f>
        <v>127.25600000000003</v>
      </c>
      <c r="J38" s="26" t="s">
        <v>45</v>
      </c>
    </row>
    <row r="39" spans="2:12" x14ac:dyDescent="0.25">
      <c r="B39" s="25" t="str">
        <f>+MET_PN!B39</f>
        <v>04.03.05.05</v>
      </c>
      <c r="C39" s="493" t="s">
        <v>933</v>
      </c>
      <c r="D39" s="23"/>
      <c r="E39" s="23"/>
      <c r="F39" s="23"/>
      <c r="G39" s="23"/>
      <c r="H39" s="24"/>
      <c r="I39" s="25">
        <f ca="1">+MET_PN!I39</f>
        <v>264.95115091843331</v>
      </c>
      <c r="J39" s="26" t="s">
        <v>4</v>
      </c>
    </row>
    <row r="40" spans="2:12" x14ac:dyDescent="0.25">
      <c r="B40" s="25" t="str">
        <f>+MET_PN!B40</f>
        <v>04.03.05.06</v>
      </c>
      <c r="C40" s="28" t="s">
        <v>719</v>
      </c>
      <c r="D40" s="23"/>
      <c r="E40" s="23"/>
      <c r="F40" s="23"/>
      <c r="G40" s="23"/>
      <c r="H40" s="24"/>
      <c r="I40" s="25">
        <f ca="1">+MET_PN!I40</f>
        <v>297.56200000000001</v>
      </c>
      <c r="J40" s="26" t="s">
        <v>45</v>
      </c>
    </row>
    <row r="41" spans="2:12" x14ac:dyDescent="0.25">
      <c r="B41" s="25" t="str">
        <f>+MET_PN!B41</f>
        <v>04.03.05.07</v>
      </c>
      <c r="C41" s="28" t="s">
        <v>718</v>
      </c>
      <c r="D41" s="23"/>
      <c r="E41" s="23"/>
      <c r="F41" s="23"/>
      <c r="G41" s="23"/>
      <c r="H41" s="24"/>
      <c r="I41" s="25">
        <f ca="1">+MET_PN!I41</f>
        <v>1081.1380799999999</v>
      </c>
      <c r="J41" s="26" t="s">
        <v>45</v>
      </c>
    </row>
    <row r="42" spans="2:12" x14ac:dyDescent="0.25">
      <c r="B42" s="25" t="str">
        <f>+MET_PN!B42</f>
        <v>04.03.05.08</v>
      </c>
      <c r="C42" s="28" t="s">
        <v>928</v>
      </c>
      <c r="D42" s="23"/>
      <c r="E42" s="23"/>
      <c r="F42" s="23"/>
      <c r="G42" s="23"/>
      <c r="H42" s="24"/>
      <c r="I42" s="25">
        <f ca="1">+MET_PN!I42</f>
        <v>5273.9133047079522</v>
      </c>
      <c r="J42" s="26" t="s">
        <v>12</v>
      </c>
    </row>
    <row r="43" spans="2:12" x14ac:dyDescent="0.25">
      <c r="B43" s="25" t="str">
        <f>+MET_PN!B43</f>
        <v>04.03.05.09</v>
      </c>
      <c r="C43" s="28" t="s">
        <v>929</v>
      </c>
      <c r="D43" s="23"/>
      <c r="E43" s="23"/>
      <c r="F43" s="23"/>
      <c r="G43" s="23"/>
      <c r="H43" s="24"/>
      <c r="I43" s="25">
        <f ca="1">+MET_PN!I43</f>
        <v>56.607799999999997</v>
      </c>
      <c r="J43" s="26" t="s">
        <v>4</v>
      </c>
    </row>
    <row r="44" spans="2:12" x14ac:dyDescent="0.25">
      <c r="B44" s="25" t="str">
        <f>+MET_PN!B44</f>
        <v>04.03.05.10</v>
      </c>
      <c r="C44" s="28" t="s">
        <v>930</v>
      </c>
      <c r="D44" s="23"/>
      <c r="E44" s="23"/>
      <c r="F44" s="23"/>
      <c r="G44" s="23"/>
      <c r="H44" s="24"/>
      <c r="I44" s="25">
        <f ca="1">+MET_PN!I44</f>
        <v>152.36280296822446</v>
      </c>
      <c r="J44" s="26" t="s">
        <v>4</v>
      </c>
    </row>
    <row r="45" spans="2:12" x14ac:dyDescent="0.25">
      <c r="B45" s="25" t="str">
        <f>+MET_PN!B45</f>
        <v>04.03.05.11</v>
      </c>
      <c r="C45" s="28" t="s">
        <v>624</v>
      </c>
      <c r="D45" s="23"/>
      <c r="E45" s="23"/>
      <c r="F45" s="23"/>
      <c r="G45" s="23"/>
      <c r="H45" s="24"/>
      <c r="I45" s="25">
        <f ca="1">+MET_PN!I45</f>
        <v>152.36280296822446</v>
      </c>
      <c r="J45" s="26" t="s">
        <v>4</v>
      </c>
    </row>
    <row r="46" spans="2:12" x14ac:dyDescent="0.25">
      <c r="B46" s="71"/>
      <c r="C46" s="28"/>
      <c r="D46" s="23"/>
      <c r="E46" s="23"/>
      <c r="F46" s="23"/>
      <c r="G46" s="23"/>
      <c r="H46" s="24"/>
      <c r="I46" s="25"/>
      <c r="J46" s="26"/>
    </row>
    <row r="47" spans="2:12" x14ac:dyDescent="0.25">
      <c r="B47" s="73" t="str">
        <f>+MET_PN!B47</f>
        <v>04.03.06</v>
      </c>
      <c r="C47" s="74" t="s">
        <v>626</v>
      </c>
      <c r="D47" s="23"/>
      <c r="E47" s="23"/>
      <c r="F47" s="23"/>
      <c r="G47" s="23"/>
      <c r="H47" s="24"/>
      <c r="I47" s="25"/>
      <c r="J47" s="26"/>
    </row>
    <row r="48" spans="2:12" x14ac:dyDescent="0.25">
      <c r="B48" s="25" t="str">
        <f>+MET_PN!B48</f>
        <v>04.03.06.01</v>
      </c>
      <c r="C48" s="46" t="s">
        <v>627</v>
      </c>
      <c r="D48" s="23"/>
      <c r="E48" s="23"/>
      <c r="F48" s="23"/>
      <c r="G48" s="23"/>
      <c r="H48" s="24"/>
      <c r="I48" s="25">
        <f ca="1">+MET_PN!I48</f>
        <v>93.915999999999997</v>
      </c>
      <c r="J48" s="26" t="s">
        <v>45</v>
      </c>
      <c r="K48">
        <v>0</v>
      </c>
      <c r="L48" s="52">
        <f ca="1">+I48-K48</f>
        <v>93.915999999999997</v>
      </c>
    </row>
    <row r="49" spans="2:35" x14ac:dyDescent="0.25">
      <c r="B49" s="25" t="str">
        <f>+MET_PN!B49</f>
        <v>04.03.06.02</v>
      </c>
      <c r="C49" s="28" t="s">
        <v>680</v>
      </c>
      <c r="D49" s="23"/>
      <c r="E49" s="23"/>
      <c r="F49" s="23"/>
      <c r="G49" s="23"/>
      <c r="H49" s="24"/>
      <c r="I49" s="25">
        <f ca="1">+MET_PN!I49</f>
        <v>33.340000000000003</v>
      </c>
      <c r="J49" s="26" t="s">
        <v>45</v>
      </c>
      <c r="K49">
        <v>0</v>
      </c>
      <c r="L49" s="52">
        <f ca="1">+I49-K49</f>
        <v>33.340000000000003</v>
      </c>
    </row>
    <row r="50" spans="2:35" x14ac:dyDescent="0.25">
      <c r="B50" s="71"/>
      <c r="C50" s="28"/>
      <c r="D50" s="23"/>
      <c r="E50" s="23"/>
      <c r="F50" s="23"/>
      <c r="G50" s="23"/>
      <c r="H50" s="24"/>
      <c r="I50" s="25"/>
      <c r="J50" s="26"/>
      <c r="M50" t="s">
        <v>773</v>
      </c>
      <c r="N50" t="s">
        <v>774</v>
      </c>
      <c r="O50" t="s">
        <v>775</v>
      </c>
    </row>
    <row r="51" spans="2:35" x14ac:dyDescent="0.25">
      <c r="B51" s="73" t="str">
        <f>+MET_PN!B51</f>
        <v>04.03.07</v>
      </c>
      <c r="C51" s="74" t="s">
        <v>224</v>
      </c>
      <c r="D51" s="23"/>
      <c r="E51" s="23"/>
      <c r="F51" s="23"/>
      <c r="G51" s="23"/>
      <c r="H51" s="24"/>
      <c r="I51" s="25"/>
      <c r="J51" s="26"/>
      <c r="L51" s="52"/>
    </row>
    <row r="52" spans="2:35" x14ac:dyDescent="0.25">
      <c r="B52" s="43" t="str">
        <f>+MET_PN!B52</f>
        <v>04.03.07.01</v>
      </c>
      <c r="C52" s="46" t="s">
        <v>440</v>
      </c>
      <c r="D52" s="23"/>
      <c r="E52" s="23"/>
      <c r="F52" s="23"/>
      <c r="G52" s="23"/>
      <c r="H52" s="24"/>
      <c r="I52" s="25">
        <f ca="1">+MET_PN!I52</f>
        <v>55.55</v>
      </c>
      <c r="J52" s="26" t="s">
        <v>345</v>
      </c>
      <c r="K52">
        <v>0</v>
      </c>
      <c r="L52" s="52">
        <f t="shared" ref="L52:L69" ca="1" si="0">+I52-K52</f>
        <v>55.55</v>
      </c>
      <c r="S52" t="e">
        <f>+Q52*R52*#REF!</f>
        <v>#REF!</v>
      </c>
      <c r="Y52" t="s">
        <v>753</v>
      </c>
      <c r="Z52" t="s">
        <v>752</v>
      </c>
      <c r="AA52" t="s">
        <v>754</v>
      </c>
      <c r="AB52" t="s">
        <v>765</v>
      </c>
      <c r="AD52" t="s">
        <v>760</v>
      </c>
      <c r="AE52" t="s">
        <v>761</v>
      </c>
      <c r="AF52" t="s">
        <v>762</v>
      </c>
      <c r="AG52" t="s">
        <v>763</v>
      </c>
      <c r="AH52" t="s">
        <v>764</v>
      </c>
      <c r="AI52" t="s">
        <v>765</v>
      </c>
    </row>
    <row r="53" spans="2:35" x14ac:dyDescent="0.25">
      <c r="B53" s="43" t="str">
        <f>+MET_PN!B53</f>
        <v>04.03.07.02</v>
      </c>
      <c r="C53" s="46" t="s">
        <v>566</v>
      </c>
      <c r="D53" s="23"/>
      <c r="E53" s="23"/>
      <c r="F53" s="23"/>
      <c r="G53" s="23"/>
      <c r="H53" s="24"/>
      <c r="I53" s="25">
        <f ca="1">+MET_PN!I53</f>
        <v>24.4</v>
      </c>
      <c r="J53" s="26" t="s">
        <v>345</v>
      </c>
      <c r="K53">
        <v>0</v>
      </c>
      <c r="L53" s="52">
        <f t="shared" ca="1" si="0"/>
        <v>24.4</v>
      </c>
      <c r="S53" t="e">
        <f>+Q53*R53*#REF!</f>
        <v>#REF!</v>
      </c>
      <c r="Y53">
        <f>0.6*1</f>
        <v>0.6</v>
      </c>
      <c r="Z53">
        <f>1*1</f>
        <v>1</v>
      </c>
      <c r="AA53">
        <f>1.45*4.5</f>
        <v>6.5249999999999995</v>
      </c>
      <c r="AB53">
        <f>1.3*5.5</f>
        <v>7.15</v>
      </c>
      <c r="AD53">
        <v>4.0000000000000008E-2</v>
      </c>
      <c r="AE53">
        <v>0.24</v>
      </c>
      <c r="AF53">
        <v>0.36</v>
      </c>
      <c r="AG53">
        <v>0.54</v>
      </c>
      <c r="AH53">
        <v>0.72</v>
      </c>
      <c r="AI53">
        <v>7.15</v>
      </c>
    </row>
    <row r="54" spans="2:35" x14ac:dyDescent="0.25">
      <c r="B54" s="349" t="str">
        <f>+MET_PN!B54</f>
        <v>04.03.07.03</v>
      </c>
      <c r="C54" s="23" t="s">
        <v>690</v>
      </c>
      <c r="D54" s="23"/>
      <c r="E54" s="23"/>
      <c r="F54" s="23"/>
      <c r="G54" s="23"/>
      <c r="H54" s="24"/>
      <c r="I54" s="25">
        <f ca="1">+MET_PN!I54</f>
        <v>24.4</v>
      </c>
      <c r="J54" s="26" t="s">
        <v>345</v>
      </c>
      <c r="K54">
        <v>0</v>
      </c>
      <c r="L54" s="52">
        <f t="shared" ca="1" si="0"/>
        <v>24.4</v>
      </c>
    </row>
    <row r="55" spans="2:35" x14ac:dyDescent="0.25">
      <c r="B55" s="25" t="str">
        <f>+MET_PN!B55</f>
        <v>04.03.07.04</v>
      </c>
      <c r="C55" s="23" t="s">
        <v>647</v>
      </c>
      <c r="D55" s="23"/>
      <c r="E55" s="23"/>
      <c r="F55" s="23"/>
      <c r="G55" s="555" t="s">
        <v>13</v>
      </c>
      <c r="H55" s="553">
        <v>11</v>
      </c>
      <c r="I55" s="112">
        <f ca="1">+MET_PN!I55</f>
        <v>7.7</v>
      </c>
      <c r="J55" s="547" t="s">
        <v>13</v>
      </c>
      <c r="K55">
        <v>0</v>
      </c>
      <c r="L55" s="52">
        <f t="shared" ca="1" si="0"/>
        <v>7.7</v>
      </c>
      <c r="S55" t="e">
        <f>+Q55*R55*#REF!</f>
        <v>#REF!</v>
      </c>
      <c r="W55" t="s">
        <v>755</v>
      </c>
      <c r="Y55">
        <v>0.57410000000000005</v>
      </c>
      <c r="Z55">
        <v>0.73409999999999997</v>
      </c>
      <c r="AA55">
        <v>3.4666999999999999</v>
      </c>
      <c r="AB55">
        <f t="shared" ref="AB55:AB65" si="1">+(($AB$53-$Z$53)/($AA$53-$Z$53))*(AA55-Z55)+Z55</f>
        <v>3.7758176470588243</v>
      </c>
      <c r="AD55">
        <v>0.35010000000000019</v>
      </c>
      <c r="AE55">
        <v>0.43010000000000015</v>
      </c>
      <c r="AF55">
        <v>0.47810000000000008</v>
      </c>
      <c r="AG55">
        <v>0.55010000000000003</v>
      </c>
      <c r="AH55">
        <v>0.62209999999999999</v>
      </c>
      <c r="AI55">
        <v>3.7758176470588243</v>
      </c>
    </row>
    <row r="56" spans="2:35" x14ac:dyDescent="0.25">
      <c r="B56" s="25" t="str">
        <f>+MET_PN!B56</f>
        <v>04.03.07.05</v>
      </c>
      <c r="C56" s="546" t="s">
        <v>561</v>
      </c>
      <c r="D56" s="23"/>
      <c r="E56" s="23"/>
      <c r="F56" s="23"/>
      <c r="G56" s="555" t="s">
        <v>13</v>
      </c>
      <c r="H56" s="553">
        <v>7</v>
      </c>
      <c r="I56" s="112">
        <f ca="1">+MET_PN!I56</f>
        <v>6</v>
      </c>
      <c r="J56" s="547" t="s">
        <v>13</v>
      </c>
      <c r="K56">
        <v>0</v>
      </c>
      <c r="L56" s="52">
        <f t="shared" ca="1" si="0"/>
        <v>6</v>
      </c>
      <c r="S56" t="e">
        <f>+Q56*R56*#REF!</f>
        <v>#REF!</v>
      </c>
      <c r="W56" t="s">
        <v>742</v>
      </c>
      <c r="Y56">
        <v>0.57410000000000005</v>
      </c>
      <c r="Z56">
        <v>0.73409999999999997</v>
      </c>
      <c r="AA56">
        <v>3.4666999999999999</v>
      </c>
      <c r="AB56">
        <f t="shared" si="1"/>
        <v>3.7758176470588243</v>
      </c>
      <c r="AD56">
        <v>0.35010000000000019</v>
      </c>
      <c r="AE56">
        <v>0.43010000000000015</v>
      </c>
      <c r="AF56">
        <v>0.47810000000000008</v>
      </c>
      <c r="AG56">
        <v>0.55010000000000003</v>
      </c>
      <c r="AH56">
        <v>0.62209999999999999</v>
      </c>
      <c r="AI56">
        <v>3.7758176470588243</v>
      </c>
    </row>
    <row r="57" spans="2:35" x14ac:dyDescent="0.25">
      <c r="B57" s="43" t="str">
        <f>+MET_PN!B57</f>
        <v>04.03.07.06</v>
      </c>
      <c r="C57" s="23" t="s">
        <v>564</v>
      </c>
      <c r="D57" s="23"/>
      <c r="E57" s="23"/>
      <c r="F57" s="23"/>
      <c r="G57" s="555" t="s">
        <v>13</v>
      </c>
      <c r="H57" s="553">
        <v>3</v>
      </c>
      <c r="I57" s="112">
        <f ca="1">+MET_PN!I57</f>
        <v>0.89999999999999991</v>
      </c>
      <c r="J57" s="547" t="s">
        <v>345</v>
      </c>
      <c r="K57">
        <v>0</v>
      </c>
      <c r="L57" s="52">
        <f t="shared" ca="1" si="0"/>
        <v>0.89999999999999991</v>
      </c>
      <c r="S57" t="e">
        <f>+Q57*R57*#REF!</f>
        <v>#REF!</v>
      </c>
      <c r="W57" t="s">
        <v>743</v>
      </c>
      <c r="Y57">
        <v>70.790000000000006</v>
      </c>
      <c r="Z57">
        <v>80.69</v>
      </c>
      <c r="AA57">
        <v>416.3</v>
      </c>
      <c r="AB57">
        <f t="shared" si="1"/>
        <v>454.26493212669692</v>
      </c>
      <c r="AD57">
        <v>56.930000000000021</v>
      </c>
      <c r="AE57">
        <v>61.880000000000017</v>
      </c>
      <c r="AF57">
        <v>64.850000000000009</v>
      </c>
      <c r="AG57">
        <v>69.305000000000007</v>
      </c>
      <c r="AH57">
        <v>73.760000000000005</v>
      </c>
      <c r="AI57">
        <v>454.26493212669692</v>
      </c>
    </row>
    <row r="58" spans="2:35" x14ac:dyDescent="0.25">
      <c r="B58" s="43" t="str">
        <f>+MET_PN!B58</f>
        <v>04.03.07.07</v>
      </c>
      <c r="C58" s="23" t="s">
        <v>562</v>
      </c>
      <c r="D58" s="23"/>
      <c r="E58" s="23"/>
      <c r="F58" s="23"/>
      <c r="G58" s="555" t="s">
        <v>13</v>
      </c>
      <c r="H58" s="553">
        <v>3</v>
      </c>
      <c r="I58" s="112">
        <f ca="1">+MET_PN!I58</f>
        <v>1.5</v>
      </c>
      <c r="J58" s="547" t="s">
        <v>345</v>
      </c>
      <c r="K58">
        <v>0</v>
      </c>
      <c r="L58" s="52">
        <f t="shared" ca="1" si="0"/>
        <v>1.5</v>
      </c>
      <c r="S58" t="e">
        <f>+Q58*R58*#REF!</f>
        <v>#REF!</v>
      </c>
      <c r="W58" t="s">
        <v>744</v>
      </c>
      <c r="Y58">
        <v>0.53959999999999997</v>
      </c>
      <c r="Z58">
        <v>0.69</v>
      </c>
      <c r="AA58">
        <v>3.2587000000000002</v>
      </c>
      <c r="AB58">
        <f t="shared" si="1"/>
        <v>3.5492769230769241</v>
      </c>
      <c r="AD58">
        <v>0.32904000000000005</v>
      </c>
      <c r="AE58">
        <v>0.40423999999999999</v>
      </c>
      <c r="AF58">
        <v>0.44935999999999998</v>
      </c>
      <c r="AG58">
        <v>0.51703999999999994</v>
      </c>
      <c r="AH58">
        <v>0.58471999999999991</v>
      </c>
      <c r="AI58">
        <v>3.5492769230769241</v>
      </c>
    </row>
    <row r="59" spans="2:35" s="1" customFormat="1" x14ac:dyDescent="0.25">
      <c r="B59" s="43" t="str">
        <f>+MET_PN!B59</f>
        <v>04.03.07.08</v>
      </c>
      <c r="C59" s="23" t="s">
        <v>704</v>
      </c>
      <c r="D59" s="23"/>
      <c r="E59" s="23"/>
      <c r="F59" s="23"/>
      <c r="G59" s="555" t="s">
        <v>13</v>
      </c>
      <c r="H59" s="554">
        <v>1</v>
      </c>
      <c r="I59" s="112">
        <f ca="1">+MET_PN!I59</f>
        <v>0.7</v>
      </c>
      <c r="J59" s="547" t="s">
        <v>345</v>
      </c>
      <c r="K59" s="1">
        <v>0</v>
      </c>
      <c r="L59" s="1">
        <f t="shared" ca="1" si="0"/>
        <v>0.7</v>
      </c>
      <c r="M59"/>
      <c r="W59" t="s">
        <v>745</v>
      </c>
      <c r="Y59" s="1">
        <v>0.17449999999999999</v>
      </c>
      <c r="Z59" s="1">
        <v>0.22320000000000001</v>
      </c>
      <c r="AA59" s="1">
        <v>1.0539000000000001</v>
      </c>
      <c r="AB59">
        <f t="shared" si="1"/>
        <v>1.1478705882352944</v>
      </c>
      <c r="AD59" s="1">
        <v>0.10631999999999997</v>
      </c>
      <c r="AE59" s="1">
        <v>0.13066999999999998</v>
      </c>
      <c r="AF59" s="1">
        <v>0.14527999999999996</v>
      </c>
      <c r="AG59" s="1">
        <v>0.16719499999999998</v>
      </c>
      <c r="AH59" s="1">
        <v>0.18911</v>
      </c>
      <c r="AI59" s="1">
        <v>1.1478705882352944</v>
      </c>
    </row>
    <row r="60" spans="2:35" x14ac:dyDescent="0.25">
      <c r="B60" s="43" t="str">
        <f>+MET_PN!B60</f>
        <v>04.03.07.09</v>
      </c>
      <c r="C60" s="23" t="s">
        <v>628</v>
      </c>
      <c r="D60" s="23"/>
      <c r="E60" s="23"/>
      <c r="F60" s="23"/>
      <c r="G60" s="555" t="s">
        <v>13</v>
      </c>
      <c r="H60" s="554">
        <v>1</v>
      </c>
      <c r="I60" s="112">
        <f ca="1">+MET_PN!I60</f>
        <v>1.1000000000000001</v>
      </c>
      <c r="J60" s="547" t="s">
        <v>345</v>
      </c>
      <c r="K60">
        <v>0</v>
      </c>
      <c r="L60" s="52">
        <f t="shared" ca="1" si="0"/>
        <v>1.1000000000000001</v>
      </c>
      <c r="S60" t="e">
        <f>+Q60*R60*#REF!</f>
        <v>#REF!</v>
      </c>
      <c r="W60" s="1" t="s">
        <v>746</v>
      </c>
      <c r="Y60">
        <v>0.49259999999999998</v>
      </c>
      <c r="Z60">
        <v>0.62980000000000003</v>
      </c>
      <c r="AA60">
        <v>2.9744000000000002</v>
      </c>
      <c r="AB60">
        <f t="shared" si="1"/>
        <v>3.2396262443438921</v>
      </c>
      <c r="AD60">
        <v>0.30051999999999995</v>
      </c>
      <c r="AE60">
        <v>0.36911999999999995</v>
      </c>
      <c r="AF60">
        <v>0.41027999999999998</v>
      </c>
      <c r="AG60">
        <v>0.47202</v>
      </c>
      <c r="AH60">
        <v>0.53376000000000001</v>
      </c>
      <c r="AI60">
        <v>3.2396262443438921</v>
      </c>
    </row>
    <row r="61" spans="2:35" x14ac:dyDescent="0.25">
      <c r="B61" s="43" t="str">
        <f>+MET_PN!B61</f>
        <v>04.03.07.10</v>
      </c>
      <c r="C61" s="23" t="s">
        <v>629</v>
      </c>
      <c r="D61" s="23"/>
      <c r="E61" s="23"/>
      <c r="F61" s="23"/>
      <c r="G61" s="555" t="s">
        <v>13</v>
      </c>
      <c r="H61" s="553">
        <v>1</v>
      </c>
      <c r="I61" s="112">
        <f ca="1">+MET_PN!I61</f>
        <v>5.7</v>
      </c>
      <c r="J61" s="547" t="s">
        <v>345</v>
      </c>
      <c r="K61">
        <v>0</v>
      </c>
      <c r="L61" s="52">
        <f t="shared" ca="1" si="0"/>
        <v>5.7</v>
      </c>
      <c r="S61" t="e">
        <f>+Q61*R61*#REF!</f>
        <v>#REF!</v>
      </c>
      <c r="W61" t="s">
        <v>747</v>
      </c>
      <c r="Y61">
        <v>7.5968</v>
      </c>
      <c r="Z61">
        <v>9.7141000000000002</v>
      </c>
      <c r="AA61">
        <v>45.874400000000001</v>
      </c>
      <c r="AB61">
        <f t="shared" si="1"/>
        <v>49.964931674208152</v>
      </c>
      <c r="AD61">
        <v>4.6325800000000008</v>
      </c>
      <c r="AE61">
        <v>5.69123</v>
      </c>
      <c r="AF61">
        <v>6.3264199999999997</v>
      </c>
      <c r="AG61">
        <v>7.2792050000000001</v>
      </c>
      <c r="AH61">
        <v>8.2319899999999997</v>
      </c>
      <c r="AI61">
        <v>49.964931674208152</v>
      </c>
    </row>
    <row r="62" spans="2:35" x14ac:dyDescent="0.25">
      <c r="B62" s="25" t="str">
        <f>+MET_PN!B62</f>
        <v>04.03.07.11</v>
      </c>
      <c r="C62" s="23" t="s">
        <v>902</v>
      </c>
      <c r="D62" s="23"/>
      <c r="E62" s="23"/>
      <c r="F62" s="23"/>
      <c r="G62" s="23"/>
      <c r="H62" s="24"/>
      <c r="I62" s="25">
        <f ca="1">+MET_PN!I62</f>
        <v>108.88000000000001</v>
      </c>
      <c r="J62" s="26" t="s">
        <v>345</v>
      </c>
      <c r="K62">
        <v>0</v>
      </c>
      <c r="L62" s="52">
        <f t="shared" ca="1" si="0"/>
        <v>108.88000000000001</v>
      </c>
      <c r="Q62" s="52">
        <f ca="1">+I62</f>
        <v>108.88000000000001</v>
      </c>
      <c r="R62">
        <v>3</v>
      </c>
      <c r="S62" t="e">
        <f ca="1">+Q62*R62*#REF!</f>
        <v>#REF!</v>
      </c>
      <c r="W62" t="s">
        <v>748</v>
      </c>
      <c r="Y62">
        <v>24.0397</v>
      </c>
      <c r="Z62">
        <v>30.739699999999999</v>
      </c>
      <c r="AA62">
        <v>145.16669999999999</v>
      </c>
      <c r="AB62">
        <f t="shared" si="1"/>
        <v>158.11093076923078</v>
      </c>
      <c r="AD62">
        <v>14.659700000000003</v>
      </c>
      <c r="AE62">
        <v>18.009700000000002</v>
      </c>
      <c r="AF62">
        <v>20.0197</v>
      </c>
      <c r="AG62">
        <v>23.034700000000001</v>
      </c>
      <c r="AH62">
        <v>26.049700000000001</v>
      </c>
      <c r="AI62">
        <v>158.11093076923078</v>
      </c>
    </row>
    <row r="63" spans="2:35" x14ac:dyDescent="0.25">
      <c r="B63" s="25" t="str">
        <f>+MET_PN!B63</f>
        <v>04.03.07.12</v>
      </c>
      <c r="C63" s="23" t="s">
        <v>781</v>
      </c>
      <c r="D63" s="23"/>
      <c r="E63" s="23"/>
      <c r="F63" s="23"/>
      <c r="G63" s="23"/>
      <c r="H63" s="24"/>
      <c r="I63" s="25">
        <f ca="1">+MET_PN!I63</f>
        <v>57.9</v>
      </c>
      <c r="J63" s="26" t="s">
        <v>345</v>
      </c>
      <c r="K63">
        <v>0</v>
      </c>
      <c r="L63" s="52">
        <f t="shared" ca="1" si="0"/>
        <v>57.9</v>
      </c>
      <c r="Q63" s="52">
        <f ca="1">+I63</f>
        <v>57.9</v>
      </c>
      <c r="R63">
        <v>4</v>
      </c>
      <c r="S63" t="e">
        <f ca="1">+Q63*R63*#REF!</f>
        <v>#REF!</v>
      </c>
      <c r="W63" t="s">
        <v>749</v>
      </c>
      <c r="Y63">
        <v>3</v>
      </c>
      <c r="Z63">
        <v>3</v>
      </c>
      <c r="AA63">
        <v>3</v>
      </c>
      <c r="AB63">
        <f t="shared" si="1"/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</row>
    <row r="64" spans="2:35" x14ac:dyDescent="0.25">
      <c r="B64" s="25" t="str">
        <f>+MET_PN!B64</f>
        <v>04.03.07.13</v>
      </c>
      <c r="C64" s="23" t="s">
        <v>782</v>
      </c>
      <c r="D64" s="23"/>
      <c r="E64" s="23"/>
      <c r="F64" s="23"/>
      <c r="G64" s="23"/>
      <c r="H64" s="24"/>
      <c r="I64" s="25">
        <f ca="1">+MET_PN!I64</f>
        <v>74.06</v>
      </c>
      <c r="J64" s="26" t="s">
        <v>345</v>
      </c>
      <c r="K64">
        <v>0</v>
      </c>
      <c r="L64" s="52">
        <f t="shared" ca="1" si="0"/>
        <v>74.06</v>
      </c>
      <c r="Q64" s="52">
        <f ca="1">+I64</f>
        <v>74.06</v>
      </c>
      <c r="R64">
        <v>6</v>
      </c>
      <c r="S64" t="e">
        <f ca="1">+Q64*R64*#REF!</f>
        <v>#REF!</v>
      </c>
      <c r="W64" t="s">
        <v>750</v>
      </c>
      <c r="Y64">
        <v>0.57140000000000002</v>
      </c>
      <c r="Z64">
        <v>0.2286</v>
      </c>
      <c r="AA64">
        <v>8</v>
      </c>
      <c r="AB64">
        <f t="shared" si="1"/>
        <v>8.8791176470588251</v>
      </c>
      <c r="AD64">
        <v>1.05132</v>
      </c>
      <c r="AE64">
        <v>0.87992000000000004</v>
      </c>
      <c r="AF64">
        <v>0.77707999999999999</v>
      </c>
      <c r="AG64">
        <v>0.62281999999999993</v>
      </c>
      <c r="AH64">
        <v>0.46856000000000003</v>
      </c>
      <c r="AI64">
        <v>8.8791176470588251</v>
      </c>
    </row>
    <row r="65" spans="2:35" x14ac:dyDescent="0.25">
      <c r="B65" s="25" t="str">
        <f>+MET_PN!B65</f>
        <v>04.03.07.14</v>
      </c>
      <c r="C65" s="23" t="s">
        <v>783</v>
      </c>
      <c r="D65" s="23"/>
      <c r="E65" s="23"/>
      <c r="F65" s="23"/>
      <c r="G65" s="29" t="s">
        <v>939</v>
      </c>
      <c r="H65" s="553">
        <f>24*6</f>
        <v>144</v>
      </c>
      <c r="I65" s="112">
        <f ca="1">+MET_PN!I65</f>
        <v>125</v>
      </c>
      <c r="J65" s="26" t="s">
        <v>13</v>
      </c>
      <c r="K65">
        <v>0</v>
      </c>
      <c r="L65" s="52">
        <f t="shared" ca="1" si="0"/>
        <v>125</v>
      </c>
      <c r="M65" s="375"/>
      <c r="Q65" s="52">
        <f ca="1">+I65</f>
        <v>125</v>
      </c>
      <c r="R65">
        <v>16</v>
      </c>
      <c r="S65" t="e">
        <f ca="1">+Q65*R65*#REF!</f>
        <v>#REF!</v>
      </c>
      <c r="W65" t="s">
        <v>751</v>
      </c>
      <c r="Y65">
        <v>0.57140000000000002</v>
      </c>
      <c r="Z65">
        <v>0.2286</v>
      </c>
      <c r="AA65">
        <v>8</v>
      </c>
      <c r="AB65">
        <f t="shared" si="1"/>
        <v>8.8791176470588251</v>
      </c>
      <c r="AD65">
        <v>1.05132</v>
      </c>
      <c r="AE65">
        <v>0.87992000000000004</v>
      </c>
      <c r="AF65">
        <v>0.77707999999999999</v>
      </c>
      <c r="AG65">
        <v>0.62281999999999993</v>
      </c>
      <c r="AH65">
        <v>0.46856000000000003</v>
      </c>
      <c r="AI65">
        <v>8.8791176470588251</v>
      </c>
    </row>
    <row r="66" spans="2:35" x14ac:dyDescent="0.25">
      <c r="B66" s="25" t="str">
        <f>+MET_PN!B66</f>
        <v>04.03.07.15</v>
      </c>
      <c r="C66" s="23" t="s">
        <v>739</v>
      </c>
      <c r="D66" s="23"/>
      <c r="E66" s="23"/>
      <c r="F66" s="23"/>
      <c r="G66" s="23"/>
      <c r="H66" s="24"/>
      <c r="I66" s="25">
        <f ca="1">+MET_PN!I66</f>
        <v>3</v>
      </c>
      <c r="J66" s="26" t="s">
        <v>13</v>
      </c>
      <c r="K66">
        <v>0</v>
      </c>
      <c r="L66" s="52">
        <f t="shared" ca="1" si="0"/>
        <v>3</v>
      </c>
      <c r="S66" t="e">
        <f>+Q66*R66*#REF!</f>
        <v>#REF!</v>
      </c>
    </row>
    <row r="67" spans="2:35" x14ac:dyDescent="0.25">
      <c r="B67" s="25" t="str">
        <f>+MET_PN!B67</f>
        <v>04.03.07.16</v>
      </c>
      <c r="C67" s="23" t="s">
        <v>695</v>
      </c>
      <c r="D67" s="23"/>
      <c r="E67" s="23"/>
      <c r="F67" s="23"/>
      <c r="G67" s="23"/>
      <c r="H67" s="24"/>
      <c r="I67" s="25">
        <f ca="1">+MET_PN!I67</f>
        <v>11</v>
      </c>
      <c r="J67" s="26" t="s">
        <v>345</v>
      </c>
      <c r="K67">
        <v>0</v>
      </c>
      <c r="L67" s="52">
        <f t="shared" ca="1" si="0"/>
        <v>11</v>
      </c>
      <c r="S67" t="e">
        <f>+Q67*R67*#REF!</f>
        <v>#REF!</v>
      </c>
      <c r="W67" t="s">
        <v>756</v>
      </c>
      <c r="AA67">
        <v>3</v>
      </c>
    </row>
    <row r="68" spans="2:35" x14ac:dyDescent="0.25">
      <c r="B68" s="25" t="str">
        <f>+MET_PN!B68</f>
        <v>04.03.07.17</v>
      </c>
      <c r="C68" s="23" t="s">
        <v>655</v>
      </c>
      <c r="D68" s="23"/>
      <c r="E68" s="23"/>
      <c r="F68" s="23"/>
      <c r="G68" s="23"/>
      <c r="H68" s="24"/>
      <c r="I68" s="25">
        <f ca="1">+MET_PN!I68</f>
        <v>12</v>
      </c>
      <c r="J68" s="26" t="s">
        <v>345</v>
      </c>
      <c r="K68">
        <v>0</v>
      </c>
      <c r="L68" s="52">
        <f t="shared" ca="1" si="0"/>
        <v>12</v>
      </c>
      <c r="S68" t="e">
        <f>+Q68*R68*#REF!</f>
        <v>#REF!</v>
      </c>
      <c r="W68" t="s">
        <v>757</v>
      </c>
      <c r="AA68">
        <v>42</v>
      </c>
    </row>
    <row r="69" spans="2:35" x14ac:dyDescent="0.25">
      <c r="B69" s="25" t="str">
        <f>+MET_PN!B69</f>
        <v>04.03.07.18</v>
      </c>
      <c r="C69" s="23" t="s">
        <v>740</v>
      </c>
      <c r="D69" s="23"/>
      <c r="E69" s="23"/>
      <c r="F69" s="23"/>
      <c r="G69" s="23"/>
      <c r="H69" s="553">
        <v>7</v>
      </c>
      <c r="I69" s="112">
        <f ca="1">+MET_PN!I69</f>
        <v>6</v>
      </c>
      <c r="J69" s="26" t="s">
        <v>13</v>
      </c>
      <c r="K69">
        <v>0</v>
      </c>
      <c r="L69" s="52">
        <f t="shared" ca="1" si="0"/>
        <v>6</v>
      </c>
      <c r="M69" s="1"/>
      <c r="S69" t="e">
        <f>+Q69*R69*#REF!</f>
        <v>#REF!</v>
      </c>
      <c r="W69" t="s">
        <v>758</v>
      </c>
      <c r="AA69">
        <v>22.8</v>
      </c>
    </row>
    <row r="70" spans="2:35" x14ac:dyDescent="0.25">
      <c r="B70" s="25" t="str">
        <f>+MET_PN!B70</f>
        <v>04.03.07.19</v>
      </c>
      <c r="C70" s="23" t="s">
        <v>741</v>
      </c>
      <c r="D70" s="23"/>
      <c r="E70" s="23"/>
      <c r="F70" s="23"/>
      <c r="G70" s="23"/>
      <c r="H70" s="549"/>
      <c r="I70" s="25">
        <f ca="1">+MET_PN!I70</f>
        <v>1</v>
      </c>
      <c r="J70" s="26"/>
      <c r="L70" s="52"/>
      <c r="W70" t="s">
        <v>756</v>
      </c>
      <c r="AA70">
        <v>8</v>
      </c>
    </row>
    <row r="71" spans="2:35" x14ac:dyDescent="0.25">
      <c r="B71" s="25" t="str">
        <f>+MET_PN!B71</f>
        <v>04.03.07.20</v>
      </c>
      <c r="C71" s="23" t="s">
        <v>759</v>
      </c>
      <c r="D71" s="23"/>
      <c r="E71" s="23"/>
      <c r="F71" s="23"/>
      <c r="G71" s="23"/>
      <c r="H71" s="553">
        <v>0.38</v>
      </c>
      <c r="I71" s="112">
        <f ca="1">+MET_PN!I71</f>
        <v>0.38</v>
      </c>
      <c r="J71" s="26" t="s">
        <v>13</v>
      </c>
      <c r="K71">
        <v>0</v>
      </c>
      <c r="L71" s="52">
        <f ca="1">+I71-K71</f>
        <v>0.38</v>
      </c>
      <c r="S71" t="e">
        <f>+Q71*R71*#REF!</f>
        <v>#REF!</v>
      </c>
    </row>
    <row r="72" spans="2:35" x14ac:dyDescent="0.25">
      <c r="B72" s="25" t="str">
        <f>+MET_PN!B72</f>
        <v>04.03.07.21</v>
      </c>
      <c r="C72" s="23" t="s">
        <v>931</v>
      </c>
      <c r="D72" s="23"/>
      <c r="E72" s="23"/>
      <c r="F72" s="23"/>
      <c r="G72" s="23"/>
      <c r="H72" s="549"/>
      <c r="I72" s="25">
        <f ca="1">+MET_PN!I72</f>
        <v>105.24000000000001</v>
      </c>
      <c r="J72" s="26" t="s">
        <v>45</v>
      </c>
      <c r="L72" s="52"/>
    </row>
    <row r="73" spans="2:35" ht="13.5" customHeight="1" x14ac:dyDescent="0.25">
      <c r="B73" s="25" t="str">
        <f>+MET_PN!B73</f>
        <v>04.03.07.22</v>
      </c>
      <c r="C73" s="23" t="s">
        <v>932</v>
      </c>
      <c r="D73" s="23"/>
      <c r="E73" s="23"/>
      <c r="F73" s="23"/>
      <c r="G73" s="23"/>
      <c r="H73" s="549"/>
      <c r="I73" s="25">
        <f ca="1">+MET_PN!I73</f>
        <v>256.66499999999996</v>
      </c>
      <c r="J73" s="26" t="s">
        <v>45</v>
      </c>
      <c r="L73" s="52"/>
      <c r="Z73" t="s">
        <v>796</v>
      </c>
    </row>
    <row r="74" spans="2:35" x14ac:dyDescent="0.25">
      <c r="B74" s="107"/>
      <c r="C74" s="23"/>
      <c r="D74" s="23"/>
      <c r="E74" s="23"/>
      <c r="F74" s="23"/>
      <c r="G74" s="23"/>
      <c r="H74" s="549"/>
      <c r="I74" s="25"/>
      <c r="J74" s="26"/>
      <c r="L74" s="52"/>
      <c r="Z74">
        <v>1.4</v>
      </c>
      <c r="AA74">
        <v>1.45</v>
      </c>
    </row>
    <row r="75" spans="2:35" x14ac:dyDescent="0.25">
      <c r="B75" s="73" t="str">
        <f>+MET_PN!B75</f>
        <v>04.03.08</v>
      </c>
      <c r="C75" s="74" t="s">
        <v>223</v>
      </c>
      <c r="D75" s="23"/>
      <c r="E75" s="23"/>
      <c r="F75" s="23"/>
      <c r="G75" s="23"/>
      <c r="H75" s="549"/>
      <c r="I75" s="25"/>
      <c r="J75" s="26"/>
      <c r="L75" s="52"/>
      <c r="Z75">
        <v>2.36</v>
      </c>
      <c r="AA75">
        <v>2.1</v>
      </c>
    </row>
    <row r="76" spans="2:35" x14ac:dyDescent="0.25">
      <c r="B76" s="25" t="str">
        <f>+MET_PN!B76</f>
        <v>04.03.08.01</v>
      </c>
      <c r="C76" s="23" t="s">
        <v>657</v>
      </c>
      <c r="D76" s="23"/>
      <c r="E76" s="29"/>
      <c r="F76" s="29"/>
      <c r="G76" s="29"/>
      <c r="H76" s="549"/>
      <c r="I76" s="112">
        <f ca="1">+MET_PN!I76</f>
        <v>145</v>
      </c>
      <c r="J76" s="26" t="s">
        <v>13</v>
      </c>
      <c r="K76">
        <v>0</v>
      </c>
      <c r="L76" s="52">
        <f t="shared" ref="L76:L90" ca="1" si="2">+I76-K76</f>
        <v>145</v>
      </c>
      <c r="Z76" t="e">
        <f>+PRODUCT(#REF!)</f>
        <v>#REF!</v>
      </c>
      <c r="AA76" t="e">
        <f>+PRODUCT(#REF!)</f>
        <v>#REF!</v>
      </c>
      <c r="AC76" t="e">
        <f>+PRODUCT(#REF!)</f>
        <v>#REF!</v>
      </c>
      <c r="AD76" t="e">
        <f>+PRODUCT(#REF!)</f>
        <v>#REF!</v>
      </c>
      <c r="AE76" t="e">
        <f>+PRODUCT(#REF!)</f>
        <v>#REF!</v>
      </c>
      <c r="AF76" t="e">
        <f>SUM(Z76:AE76)</f>
        <v>#REF!</v>
      </c>
      <c r="AG76">
        <v>0.99</v>
      </c>
      <c r="AH76" s="376" t="e">
        <f>+AF76*AG76</f>
        <v>#REF!</v>
      </c>
    </row>
    <row r="77" spans="2:35" x14ac:dyDescent="0.25">
      <c r="B77" s="25" t="str">
        <f>+MET_PN!B77</f>
        <v>04.03.08.02</v>
      </c>
      <c r="C77" s="23" t="s">
        <v>670</v>
      </c>
      <c r="D77" s="23"/>
      <c r="E77" s="29"/>
      <c r="F77" s="29"/>
      <c r="G77" s="29"/>
      <c r="H77" s="24"/>
      <c r="I77" s="112">
        <f ca="1">+MET_PN!I77</f>
        <v>117</v>
      </c>
      <c r="J77" s="26" t="s">
        <v>13</v>
      </c>
      <c r="K77">
        <v>0</v>
      </c>
      <c r="L77" s="52">
        <f t="shared" ca="1" si="2"/>
        <v>117</v>
      </c>
    </row>
    <row r="78" spans="2:35" x14ac:dyDescent="0.25">
      <c r="B78" s="25" t="str">
        <f>+MET_PN!B78</f>
        <v>04.03.08.03</v>
      </c>
      <c r="C78" s="23" t="s">
        <v>903</v>
      </c>
      <c r="D78" s="23"/>
      <c r="E78" s="29"/>
      <c r="F78" s="29"/>
      <c r="G78" s="29"/>
      <c r="H78" s="24"/>
      <c r="I78" s="25">
        <f ca="1">+MET_PN!I78</f>
        <v>2</v>
      </c>
      <c r="J78" s="26" t="s">
        <v>13</v>
      </c>
      <c r="L78" s="52"/>
    </row>
    <row r="79" spans="2:35" x14ac:dyDescent="0.25">
      <c r="B79" s="25" t="str">
        <f>+MET_PN!B79</f>
        <v>04.03.08.04</v>
      </c>
      <c r="C79" s="23" t="s">
        <v>911</v>
      </c>
      <c r="D79" s="23"/>
      <c r="E79" s="29"/>
      <c r="F79" s="29"/>
      <c r="G79" s="29"/>
      <c r="H79" s="24"/>
      <c r="I79" s="25">
        <f ca="1">+MET_PN!I79</f>
        <v>5</v>
      </c>
      <c r="J79" s="26" t="s">
        <v>13</v>
      </c>
      <c r="K79">
        <v>0</v>
      </c>
      <c r="L79" s="52">
        <f t="shared" ca="1" si="2"/>
        <v>5</v>
      </c>
    </row>
    <row r="80" spans="2:35" x14ac:dyDescent="0.25">
      <c r="B80" s="25" t="str">
        <f>+MET_PN!B80</f>
        <v>04.03.08.05</v>
      </c>
      <c r="C80" s="28" t="s">
        <v>910</v>
      </c>
      <c r="D80" s="23"/>
      <c r="E80" s="29"/>
      <c r="F80" s="29"/>
      <c r="G80" s="29"/>
      <c r="H80" s="24"/>
      <c r="I80" s="25">
        <f ca="1">+MET_PN!I80</f>
        <v>7</v>
      </c>
      <c r="J80" s="26" t="s">
        <v>13</v>
      </c>
      <c r="K80">
        <v>0</v>
      </c>
      <c r="L80" s="52">
        <f t="shared" ca="1" si="2"/>
        <v>7</v>
      </c>
      <c r="Z80" t="s">
        <v>797</v>
      </c>
    </row>
    <row r="81" spans="2:32" x14ac:dyDescent="0.25">
      <c r="B81" s="25" t="str">
        <f>+MET_PN!B81</f>
        <v>04.03.08.06</v>
      </c>
      <c r="C81" s="28" t="s">
        <v>912</v>
      </c>
      <c r="D81" s="23"/>
      <c r="E81" s="29"/>
      <c r="F81" s="29"/>
      <c r="G81" s="29"/>
      <c r="H81" s="24"/>
      <c r="I81" s="25">
        <f ca="1">+MET_PN!I81</f>
        <v>4</v>
      </c>
      <c r="J81" s="26" t="s">
        <v>13</v>
      </c>
      <c r="K81">
        <v>0</v>
      </c>
      <c r="L81" s="52">
        <f t="shared" ca="1" si="2"/>
        <v>4</v>
      </c>
    </row>
    <row r="82" spans="2:32" x14ac:dyDescent="0.25">
      <c r="B82" s="25" t="str">
        <f>+MET_PN!B82</f>
        <v>04.03.08.07</v>
      </c>
      <c r="C82" s="28" t="s">
        <v>913</v>
      </c>
      <c r="D82" s="29"/>
      <c r="E82" s="29"/>
      <c r="F82" s="29"/>
      <c r="G82" s="29"/>
      <c r="H82" s="24"/>
      <c r="I82" s="25">
        <f ca="1">+MET_PN!I82</f>
        <v>1</v>
      </c>
      <c r="J82" s="26" t="s">
        <v>13</v>
      </c>
      <c r="K82">
        <v>0</v>
      </c>
      <c r="L82" s="52">
        <f t="shared" ca="1" si="2"/>
        <v>1</v>
      </c>
      <c r="W82" t="s">
        <v>802</v>
      </c>
      <c r="Y82" t="s">
        <v>801</v>
      </c>
      <c r="Z82" t="s">
        <v>798</v>
      </c>
      <c r="AA82" t="s">
        <v>799</v>
      </c>
      <c r="AB82" t="s">
        <v>800</v>
      </c>
    </row>
    <row r="83" spans="2:32" x14ac:dyDescent="0.25">
      <c r="B83" s="25" t="str">
        <f>+MET_PN!B83</f>
        <v>04.03.08.08</v>
      </c>
      <c r="C83" s="28" t="s">
        <v>914</v>
      </c>
      <c r="D83" s="29"/>
      <c r="E83" s="29"/>
      <c r="F83" s="29"/>
      <c r="G83" s="29"/>
      <c r="H83" s="24"/>
      <c r="I83" s="25">
        <f ca="1">+MET_PN!I83</f>
        <v>2</v>
      </c>
      <c r="J83" s="26" t="s">
        <v>13</v>
      </c>
      <c r="K83">
        <v>0</v>
      </c>
      <c r="L83" s="52">
        <f t="shared" ca="1" si="2"/>
        <v>2</v>
      </c>
      <c r="Y83">
        <v>2</v>
      </c>
      <c r="Z83">
        <f>1.87+0.2</f>
        <v>2.0700000000000003</v>
      </c>
      <c r="AA83">
        <v>0.2</v>
      </c>
      <c r="AB83">
        <v>0.3</v>
      </c>
      <c r="AC83">
        <f>+PRODUCT(Y83:AB83)</f>
        <v>0.24840000000000004</v>
      </c>
    </row>
    <row r="84" spans="2:32" x14ac:dyDescent="0.25">
      <c r="B84" s="25" t="str">
        <f>+MET_PN!B84</f>
        <v>04.03.08.09</v>
      </c>
      <c r="C84" s="28" t="s">
        <v>915</v>
      </c>
      <c r="D84" s="29"/>
      <c r="E84" s="29"/>
      <c r="F84" s="29"/>
      <c r="G84" s="29"/>
      <c r="H84" s="24"/>
      <c r="I84" s="25">
        <f ca="1">+MET_PN!I84</f>
        <v>1</v>
      </c>
      <c r="J84" s="26" t="s">
        <v>13</v>
      </c>
      <c r="K84">
        <v>0</v>
      </c>
      <c r="L84" s="52">
        <f t="shared" ca="1" si="2"/>
        <v>1</v>
      </c>
      <c r="Y84">
        <v>2</v>
      </c>
      <c r="Z84">
        <v>1.3</v>
      </c>
      <c r="AA84">
        <v>0.2</v>
      </c>
      <c r="AB84">
        <v>0.3</v>
      </c>
      <c r="AC84">
        <f t="shared" ref="AC84:AC93" si="3">+PRODUCT(Y84:AB84)</f>
        <v>0.156</v>
      </c>
    </row>
    <row r="85" spans="2:32" x14ac:dyDescent="0.25">
      <c r="B85" s="25" t="str">
        <f>+MET_PN!B85</f>
        <v>04.03.08.10</v>
      </c>
      <c r="C85" s="28" t="s">
        <v>916</v>
      </c>
      <c r="D85" s="29"/>
      <c r="E85" s="29"/>
      <c r="F85" s="29"/>
      <c r="G85" s="29"/>
      <c r="H85" s="24"/>
      <c r="I85" s="25">
        <f ca="1">+MET_PN!I85</f>
        <v>4</v>
      </c>
      <c r="J85" s="26" t="s">
        <v>13</v>
      </c>
      <c r="K85">
        <v>0</v>
      </c>
      <c r="L85" s="52">
        <f t="shared" ca="1" si="2"/>
        <v>4</v>
      </c>
      <c r="Y85">
        <v>2</v>
      </c>
      <c r="Z85">
        <v>2.8</v>
      </c>
      <c r="AA85">
        <v>0.2</v>
      </c>
      <c r="AB85">
        <v>0.3</v>
      </c>
      <c r="AC85">
        <f t="shared" si="3"/>
        <v>0.33599999999999997</v>
      </c>
    </row>
    <row r="86" spans="2:32" x14ac:dyDescent="0.25">
      <c r="B86" s="25" t="str">
        <f>+MET_PN!B86</f>
        <v>04.03.08.11</v>
      </c>
      <c r="C86" s="28" t="s">
        <v>921</v>
      </c>
      <c r="D86" s="29"/>
      <c r="E86" s="29"/>
      <c r="F86" s="29"/>
      <c r="G86" s="29"/>
      <c r="H86" s="24"/>
      <c r="I86" s="112">
        <f ca="1">+MET_PN!I86</f>
        <v>23</v>
      </c>
      <c r="J86" s="26" t="s">
        <v>13</v>
      </c>
      <c r="K86">
        <v>0</v>
      </c>
      <c r="L86" s="52">
        <f t="shared" ca="1" si="2"/>
        <v>23</v>
      </c>
      <c r="Y86">
        <v>2</v>
      </c>
      <c r="Z86">
        <v>1.55</v>
      </c>
      <c r="AA86">
        <v>0.2</v>
      </c>
      <c r="AB86">
        <v>0.3</v>
      </c>
      <c r="AC86">
        <f t="shared" si="3"/>
        <v>0.18600000000000003</v>
      </c>
    </row>
    <row r="87" spans="2:32" x14ac:dyDescent="0.25">
      <c r="B87" s="25" t="str">
        <f>+MET_PN!B87</f>
        <v>04.03.08.12</v>
      </c>
      <c r="C87" s="28" t="s">
        <v>917</v>
      </c>
      <c r="D87" s="29"/>
      <c r="E87" s="29"/>
      <c r="F87" s="29"/>
      <c r="G87" s="29"/>
      <c r="H87" s="24"/>
      <c r="I87" s="25">
        <f ca="1">+MET_PN!I87</f>
        <v>9</v>
      </c>
      <c r="J87" s="26" t="s">
        <v>13</v>
      </c>
      <c r="K87">
        <v>0</v>
      </c>
      <c r="L87" s="52">
        <f t="shared" ca="1" si="2"/>
        <v>9</v>
      </c>
      <c r="Y87">
        <v>2</v>
      </c>
      <c r="Z87">
        <v>0.85</v>
      </c>
      <c r="AA87">
        <v>0.2</v>
      </c>
      <c r="AB87">
        <v>0.3</v>
      </c>
      <c r="AC87">
        <f t="shared" si="3"/>
        <v>0.10200000000000001</v>
      </c>
    </row>
    <row r="88" spans="2:32" x14ac:dyDescent="0.25">
      <c r="B88" s="25" t="str">
        <f>+MET_PN!B88</f>
        <v>04.03.08.13</v>
      </c>
      <c r="C88" s="28" t="s">
        <v>918</v>
      </c>
      <c r="D88" s="29"/>
      <c r="E88" s="29"/>
      <c r="F88" s="29"/>
      <c r="G88" s="29"/>
      <c r="H88" s="24"/>
      <c r="I88" s="25">
        <f ca="1">+MET_PN!I88</f>
        <v>5</v>
      </c>
      <c r="J88" s="26" t="s">
        <v>13</v>
      </c>
      <c r="K88">
        <v>0</v>
      </c>
      <c r="L88" s="52">
        <f t="shared" ca="1" si="2"/>
        <v>5</v>
      </c>
    </row>
    <row r="89" spans="2:32" x14ac:dyDescent="0.25">
      <c r="B89" s="25" t="str">
        <f>+MET_PN!B89</f>
        <v>04.03.08.14</v>
      </c>
      <c r="C89" s="28" t="s">
        <v>919</v>
      </c>
      <c r="D89" s="29"/>
      <c r="E89" s="29"/>
      <c r="F89" s="29"/>
      <c r="G89" s="29"/>
      <c r="H89" s="24"/>
      <c r="I89" s="112">
        <f ca="1">+MET_PN!I89</f>
        <v>8</v>
      </c>
      <c r="J89" s="26" t="s">
        <v>13</v>
      </c>
      <c r="K89">
        <v>0</v>
      </c>
      <c r="L89" s="52">
        <f t="shared" ca="1" si="2"/>
        <v>8</v>
      </c>
    </row>
    <row r="90" spans="2:32" x14ac:dyDescent="0.25">
      <c r="B90" s="34" t="str">
        <f>+MET_PN!B90</f>
        <v>04.03.08.15</v>
      </c>
      <c r="C90" s="33" t="s">
        <v>920</v>
      </c>
      <c r="D90" s="34"/>
      <c r="E90" s="34"/>
      <c r="F90" s="34"/>
      <c r="G90" s="34"/>
      <c r="H90" s="35"/>
      <c r="I90" s="32">
        <f ca="1">+MET_PN!I90</f>
        <v>3</v>
      </c>
      <c r="J90" s="36" t="s">
        <v>13</v>
      </c>
      <c r="K90">
        <v>0</v>
      </c>
      <c r="L90" s="52">
        <f t="shared" ca="1" si="2"/>
        <v>3</v>
      </c>
      <c r="W90" t="s">
        <v>803</v>
      </c>
      <c r="Y90">
        <v>1</v>
      </c>
      <c r="Z90">
        <v>1.31</v>
      </c>
      <c r="AA90">
        <v>1.3</v>
      </c>
      <c r="AB90">
        <v>0.3</v>
      </c>
      <c r="AC90">
        <f t="shared" si="3"/>
        <v>0.51090000000000002</v>
      </c>
    </row>
    <row r="91" spans="2:32" x14ac:dyDescent="0.25">
      <c r="D91" s="23"/>
      <c r="E91" s="23"/>
      <c r="F91" s="23"/>
      <c r="G91" s="23"/>
      <c r="H91" s="23"/>
      <c r="I91" s="23"/>
      <c r="J91" s="67"/>
      <c r="Y91">
        <v>1</v>
      </c>
      <c r="Z91">
        <v>0.96</v>
      </c>
      <c r="AA91">
        <v>1.3</v>
      </c>
      <c r="AB91">
        <v>0.3</v>
      </c>
      <c r="AC91">
        <f t="shared" si="3"/>
        <v>0.37440000000000001</v>
      </c>
    </row>
    <row r="92" spans="2:32" x14ac:dyDescent="0.25">
      <c r="D92" s="23"/>
      <c r="E92" s="23"/>
      <c r="G92" s="23"/>
      <c r="H92" s="23"/>
      <c r="I92" s="23"/>
      <c r="J92" s="67"/>
    </row>
    <row r="93" spans="2:32" x14ac:dyDescent="0.25">
      <c r="D93" s="23"/>
      <c r="E93" s="23"/>
      <c r="F93" s="23"/>
      <c r="G93" s="23"/>
      <c r="H93" s="23"/>
      <c r="I93" s="23"/>
      <c r="J93" s="67"/>
      <c r="W93" t="s">
        <v>805</v>
      </c>
      <c r="Y93">
        <v>1</v>
      </c>
      <c r="Z93">
        <f>1.3+0.2+2.8+1.55</f>
        <v>5.85</v>
      </c>
      <c r="AA93">
        <v>1.3</v>
      </c>
      <c r="AB93">
        <v>0.3</v>
      </c>
      <c r="AC93">
        <f t="shared" si="3"/>
        <v>2.2814999999999999</v>
      </c>
    </row>
    <row r="94" spans="2:32" x14ac:dyDescent="0.25">
      <c r="D94" s="23"/>
      <c r="E94" s="23"/>
      <c r="F94" s="23"/>
      <c r="G94" s="23"/>
      <c r="H94" s="23"/>
      <c r="I94" s="23"/>
      <c r="J94" s="67"/>
      <c r="AC94" s="376">
        <f>+SUM(AC83:AC93)</f>
        <v>4.1951999999999998</v>
      </c>
      <c r="AD94" s="376" t="s">
        <v>804</v>
      </c>
      <c r="AE94" s="374">
        <f>+AC94*9.5</f>
        <v>39.854399999999998</v>
      </c>
      <c r="AF94" s="374" t="s">
        <v>815</v>
      </c>
    </row>
    <row r="95" spans="2:32" s="1" customFormat="1" ht="12.75" x14ac:dyDescent="0.2">
      <c r="B95" s="37"/>
      <c r="C95" s="38"/>
      <c r="D95" s="38"/>
      <c r="E95" s="38"/>
      <c r="F95" s="38"/>
      <c r="G95" s="38"/>
      <c r="H95" s="38"/>
      <c r="I95" s="38"/>
      <c r="J95" s="38"/>
    </row>
  </sheetData>
  <mergeCells count="8">
    <mergeCell ref="B10:J10"/>
    <mergeCell ref="H11:I11"/>
    <mergeCell ref="C1:H1"/>
    <mergeCell ref="C2:H2"/>
    <mergeCell ref="C3:H3"/>
    <mergeCell ref="C4:H4"/>
    <mergeCell ref="B6:J6"/>
    <mergeCell ref="B8:J8"/>
  </mergeCells>
  <pageMargins left="0.70866141732283472" right="0.70866141732283472" top="0.74803149606299213" bottom="0.74803149606299213" header="0.31496062992125984" footer="0.31496062992125984"/>
  <pageSetup paperSize="9" scale="52" fitToWidth="0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8A131-34FD-41EF-A1B9-B7B4A0E11A87}">
  <sheetPr>
    <tabColor theme="4" tint="0.59999389629810485"/>
  </sheetPr>
  <dimension ref="B1:AI1922"/>
  <sheetViews>
    <sheetView tabSelected="1" view="pageBreakPreview" topLeftCell="B1872" zoomScale="60" zoomScaleNormal="100" workbookViewId="0">
      <selection activeCell="B1893" sqref="B1893"/>
    </sheetView>
    <sheetView view="pageBreakPreview" topLeftCell="A114" zoomScale="57" zoomScaleNormal="100" zoomScaleSheetLayoutView="57" workbookViewId="1">
      <pane ySplit="1" topLeftCell="A690" activePane="bottomLeft" state="frozen"/>
      <selection activeCell="A114" sqref="A114"/>
      <selection pane="bottomLeft" activeCell="B734" sqref="B734"/>
    </sheetView>
  </sheetViews>
  <sheetFormatPr baseColWidth="10" defaultRowHeight="15" x14ac:dyDescent="0.25"/>
  <cols>
    <col min="1" max="1" width="2.140625" customWidth="1"/>
    <col min="2" max="2" width="15.7109375" style="1" customWidth="1"/>
    <col min="3" max="3" width="48.7109375" style="1" customWidth="1"/>
    <col min="4" max="4" width="11.42578125" style="1"/>
    <col min="5" max="5" width="8" style="1" customWidth="1"/>
    <col min="6" max="6" width="11.42578125" style="1" customWidth="1"/>
    <col min="7" max="7" width="20.42578125" style="1" customWidth="1"/>
    <col min="8" max="8" width="11.42578125" style="1" customWidth="1"/>
    <col min="9" max="9" width="16.7109375" style="1" customWidth="1"/>
    <col min="10" max="10" width="8.85546875" style="1" customWidth="1"/>
    <col min="25" max="27" width="11.42578125" customWidth="1"/>
    <col min="28" max="28" width="16.5703125" bestFit="1" customWidth="1"/>
  </cols>
  <sheetData>
    <row r="1" spans="2:11" x14ac:dyDescent="0.25">
      <c r="C1" s="499" t="s">
        <v>37</v>
      </c>
      <c r="D1" s="499"/>
      <c r="E1" s="499"/>
      <c r="F1" s="499"/>
      <c r="G1" s="499"/>
      <c r="H1" s="499"/>
    </row>
    <row r="2" spans="2:11" x14ac:dyDescent="0.25">
      <c r="C2" s="499" t="s">
        <v>38</v>
      </c>
      <c r="D2" s="499"/>
      <c r="E2" s="499"/>
      <c r="F2" s="499"/>
      <c r="G2" s="499"/>
      <c r="H2" s="499"/>
    </row>
    <row r="3" spans="2:11" x14ac:dyDescent="0.25">
      <c r="C3" s="499" t="s">
        <v>39</v>
      </c>
      <c r="D3" s="499"/>
      <c r="E3" s="499"/>
      <c r="F3" s="499"/>
      <c r="G3" s="499"/>
      <c r="H3" s="499"/>
    </row>
    <row r="4" spans="2:11" x14ac:dyDescent="0.25">
      <c r="C4" s="500" t="s">
        <v>40</v>
      </c>
      <c r="D4" s="500"/>
      <c r="E4" s="500"/>
      <c r="F4" s="500"/>
      <c r="G4" s="500"/>
      <c r="H4" s="500"/>
    </row>
    <row r="5" spans="2:11" x14ac:dyDescent="0.25">
      <c r="C5" s="401"/>
      <c r="D5" s="401"/>
      <c r="E5" s="401"/>
      <c r="F5" s="401"/>
      <c r="G5" s="401"/>
      <c r="H5" s="401"/>
    </row>
    <row r="6" spans="2:11" x14ac:dyDescent="0.25">
      <c r="B6" s="538" t="s">
        <v>28</v>
      </c>
      <c r="C6" s="539"/>
      <c r="D6" s="539"/>
      <c r="E6" s="539"/>
      <c r="F6" s="539"/>
      <c r="G6" s="539"/>
      <c r="H6" s="539"/>
      <c r="I6" s="539"/>
      <c r="J6" s="540"/>
    </row>
    <row r="8" spans="2:11" x14ac:dyDescent="0.25">
      <c r="B8" s="541" t="s">
        <v>275</v>
      </c>
      <c r="C8" s="541"/>
      <c r="D8" s="541"/>
      <c r="E8" s="541"/>
      <c r="F8" s="541"/>
      <c r="G8" s="541"/>
      <c r="H8" s="541"/>
      <c r="I8" s="541"/>
      <c r="J8" s="541"/>
    </row>
    <row r="9" spans="2:11" ht="15.75" thickBot="1" x14ac:dyDescent="0.3">
      <c r="B9" s="405"/>
      <c r="C9" s="405"/>
      <c r="D9" s="405"/>
      <c r="E9" s="405"/>
      <c r="F9" s="405"/>
      <c r="G9" s="405"/>
      <c r="H9" s="405"/>
      <c r="I9" s="405"/>
      <c r="J9" s="405"/>
    </row>
    <row r="10" spans="2:11" ht="31.5" customHeight="1" x14ac:dyDescent="0.25">
      <c r="B10" s="494" t="s">
        <v>27</v>
      </c>
      <c r="C10" s="495"/>
      <c r="D10" s="495"/>
      <c r="E10" s="495"/>
      <c r="F10" s="495"/>
      <c r="G10" s="495"/>
      <c r="H10" s="495"/>
      <c r="I10" s="495"/>
      <c r="J10" s="496"/>
    </row>
    <row r="11" spans="2:11" x14ac:dyDescent="0.25">
      <c r="B11" s="2" t="s">
        <v>35</v>
      </c>
      <c r="C11" s="3" t="s">
        <v>36</v>
      </c>
      <c r="D11" s="3"/>
      <c r="E11" s="4"/>
      <c r="F11" s="5"/>
      <c r="G11" s="6" t="s">
        <v>8</v>
      </c>
      <c r="H11" s="497">
        <v>42887</v>
      </c>
      <c r="I11" s="497"/>
      <c r="J11" s="7"/>
    </row>
    <row r="12" spans="2:11" x14ac:dyDescent="0.25">
      <c r="B12" s="2" t="s">
        <v>33</v>
      </c>
      <c r="C12" s="3" t="s">
        <v>29</v>
      </c>
      <c r="D12" s="8"/>
      <c r="E12" s="8"/>
      <c r="F12" s="3"/>
      <c r="G12" s="9" t="s">
        <v>32</v>
      </c>
      <c r="H12" s="4" t="s">
        <v>29</v>
      </c>
      <c r="I12" s="10"/>
      <c r="J12" s="11"/>
    </row>
    <row r="13" spans="2:11" x14ac:dyDescent="0.25">
      <c r="B13" s="2" t="s">
        <v>34</v>
      </c>
      <c r="C13" s="3" t="s">
        <v>29</v>
      </c>
      <c r="D13" s="8"/>
      <c r="E13" s="8"/>
      <c r="F13" s="3"/>
      <c r="G13" s="9" t="s">
        <v>30</v>
      </c>
      <c r="H13" s="4" t="s">
        <v>31</v>
      </c>
      <c r="I13" s="10"/>
      <c r="J13" s="11"/>
    </row>
    <row r="14" spans="2:11" ht="15.75" thickBot="1" x14ac:dyDescent="0.3">
      <c r="B14" s="12" t="s">
        <v>43</v>
      </c>
      <c r="C14" s="13" t="s">
        <v>44</v>
      </c>
      <c r="D14" s="14"/>
      <c r="E14" s="14"/>
      <c r="F14" s="13"/>
      <c r="G14" s="15" t="s">
        <v>41</v>
      </c>
      <c r="H14" s="16" t="s">
        <v>42</v>
      </c>
      <c r="I14" s="17"/>
      <c r="J14" s="18"/>
    </row>
    <row r="15" spans="2:11" x14ac:dyDescent="0.25">
      <c r="B15" s="19"/>
      <c r="C15" s="3"/>
      <c r="D15" s="8"/>
      <c r="E15" s="8"/>
      <c r="F15" s="3"/>
      <c r="G15" s="9"/>
      <c r="H15" s="4"/>
      <c r="I15" s="10"/>
      <c r="J15" s="20"/>
    </row>
    <row r="16" spans="2:11" x14ac:dyDescent="0.25">
      <c r="B16" s="47" t="s">
        <v>5</v>
      </c>
      <c r="C16" s="48" t="s">
        <v>0</v>
      </c>
      <c r="D16" s="49"/>
      <c r="E16" s="49"/>
      <c r="F16" s="49"/>
      <c r="G16" s="49"/>
      <c r="H16" s="50"/>
      <c r="I16" s="51" t="s">
        <v>6</v>
      </c>
      <c r="J16" s="51" t="s">
        <v>7</v>
      </c>
      <c r="K16" t="s">
        <v>552</v>
      </c>
    </row>
    <row r="17" spans="2:10" x14ac:dyDescent="0.25">
      <c r="B17" s="71">
        <v>4</v>
      </c>
      <c r="C17" s="72" t="s">
        <v>66</v>
      </c>
      <c r="D17" s="23"/>
      <c r="E17" s="23"/>
      <c r="F17" s="23"/>
      <c r="G17" s="23"/>
      <c r="H17" s="24"/>
      <c r="I17" s="25"/>
      <c r="J17" s="26"/>
    </row>
    <row r="18" spans="2:10" x14ac:dyDescent="0.25">
      <c r="B18" s="71">
        <f>+B115</f>
        <v>4.03</v>
      </c>
      <c r="C18" s="72" t="str">
        <f>LOOKUP(B18,$B$115:$B$1795,$C$115:$C$1795)</f>
        <v>SISTEMA DE DRENAJE PLUVIAL</v>
      </c>
      <c r="D18" s="23"/>
      <c r="E18" s="23"/>
      <c r="F18" s="23"/>
      <c r="G18" s="23"/>
      <c r="H18" s="24"/>
      <c r="I18" s="25"/>
      <c r="J18" s="26"/>
    </row>
    <row r="19" spans="2:10" x14ac:dyDescent="0.25">
      <c r="B19" s="73" t="s">
        <v>14</v>
      </c>
      <c r="C19" s="74" t="s">
        <v>615</v>
      </c>
      <c r="D19" s="23"/>
      <c r="E19" s="23"/>
      <c r="F19" s="23"/>
      <c r="G19" s="23"/>
      <c r="H19" s="24"/>
      <c r="I19" s="25"/>
      <c r="J19" s="26"/>
    </row>
    <row r="20" spans="2:10" x14ac:dyDescent="0.25">
      <c r="B20" s="25" t="s">
        <v>15</v>
      </c>
      <c r="C20" s="23" t="s">
        <v>616</v>
      </c>
      <c r="D20" s="23"/>
      <c r="E20" s="23"/>
      <c r="F20" s="23"/>
      <c r="G20" s="23"/>
      <c r="H20" s="24"/>
      <c r="I20" s="25">
        <f ca="1">SUMIF($B$115:$J$1945,B20,$I$115:$I$1945)</f>
        <v>422.18134000000003</v>
      </c>
      <c r="J20" s="26" t="s">
        <v>45</v>
      </c>
    </row>
    <row r="21" spans="2:10" x14ac:dyDescent="0.25">
      <c r="B21" s="25" t="s">
        <v>232</v>
      </c>
      <c r="C21" s="23" t="s">
        <v>617</v>
      </c>
      <c r="D21" s="23"/>
      <c r="E21" s="23"/>
      <c r="F21" s="23"/>
      <c r="G21" s="23"/>
      <c r="H21" s="24"/>
      <c r="I21" s="25">
        <f ca="1">SUMIF($B$115:$J$1945,B21,$I$115:$I$1945)</f>
        <v>422.18134000000003</v>
      </c>
      <c r="J21" s="26" t="s">
        <v>45</v>
      </c>
    </row>
    <row r="22" spans="2:10" x14ac:dyDescent="0.25">
      <c r="B22" s="71"/>
      <c r="C22" s="23"/>
      <c r="D22" s="23"/>
      <c r="E22" s="23"/>
      <c r="F22" s="23"/>
      <c r="G22" s="23"/>
      <c r="H22" s="24"/>
      <c r="I22" s="25"/>
      <c r="J22" s="26"/>
    </row>
    <row r="23" spans="2:10" x14ac:dyDescent="0.25">
      <c r="B23" s="73" t="s">
        <v>16</v>
      </c>
      <c r="C23" s="74" t="s">
        <v>618</v>
      </c>
      <c r="D23" s="23"/>
      <c r="E23" s="23"/>
      <c r="F23" s="23"/>
      <c r="G23" s="23"/>
      <c r="H23" s="24"/>
      <c r="I23" s="25"/>
      <c r="J23" s="26"/>
    </row>
    <row r="24" spans="2:10" x14ac:dyDescent="0.25">
      <c r="B24" s="25" t="s">
        <v>17</v>
      </c>
      <c r="C24" s="23" t="s">
        <v>619</v>
      </c>
      <c r="D24" s="23"/>
      <c r="E24" s="23"/>
      <c r="F24" s="23"/>
      <c r="G24" s="23"/>
      <c r="H24" s="24"/>
      <c r="I24" s="25">
        <f ca="1">SUMIF($B$115:$J$1945,B24,$I$115:$I$1945)</f>
        <v>20.625</v>
      </c>
      <c r="J24" s="26" t="s">
        <v>4</v>
      </c>
    </row>
    <row r="25" spans="2:10" x14ac:dyDescent="0.25">
      <c r="B25" s="25" t="s">
        <v>240</v>
      </c>
      <c r="C25" s="23" t="s">
        <v>635</v>
      </c>
      <c r="D25" s="23"/>
      <c r="E25" s="23"/>
      <c r="F25" s="23"/>
      <c r="G25" s="23"/>
      <c r="H25" s="24"/>
      <c r="I25" s="25">
        <f ca="1">SUMIF($B$115:$J$1945,B25,$I$115:$I$1945)</f>
        <v>108</v>
      </c>
      <c r="J25" s="26" t="s">
        <v>45</v>
      </c>
    </row>
    <row r="26" spans="2:10" x14ac:dyDescent="0.25">
      <c r="B26" s="71"/>
      <c r="C26" s="23"/>
      <c r="D26" s="23"/>
      <c r="E26" s="23"/>
      <c r="F26" s="23"/>
      <c r="G26" s="23"/>
      <c r="H26" s="24"/>
      <c r="I26" s="25"/>
      <c r="J26" s="26"/>
    </row>
    <row r="27" spans="2:10" x14ac:dyDescent="0.25">
      <c r="B27" s="73" t="s">
        <v>18</v>
      </c>
      <c r="C27" s="74" t="s">
        <v>679</v>
      </c>
      <c r="D27" s="23"/>
      <c r="E27" s="23"/>
      <c r="F27" s="23"/>
      <c r="G27" s="23"/>
      <c r="H27" s="24"/>
      <c r="I27" s="25"/>
      <c r="J27" s="26"/>
    </row>
    <row r="28" spans="2:10" x14ac:dyDescent="0.25">
      <c r="B28" s="25" t="s">
        <v>19</v>
      </c>
      <c r="C28" s="23" t="s">
        <v>737</v>
      </c>
      <c r="D28" s="23"/>
      <c r="E28" s="23"/>
      <c r="F28" s="23"/>
      <c r="G28" s="23"/>
      <c r="H28" s="24"/>
      <c r="I28" s="25">
        <f ca="1">SUMIF($B$115:$J$1945,B28,$I$115:$I$1945)</f>
        <v>108</v>
      </c>
      <c r="J28" s="26" t="s">
        <v>45</v>
      </c>
    </row>
    <row r="29" spans="2:10" x14ac:dyDescent="0.25">
      <c r="B29" s="25" t="s">
        <v>20</v>
      </c>
      <c r="C29" s="23" t="s">
        <v>792</v>
      </c>
      <c r="D29" s="23"/>
      <c r="E29" s="23"/>
      <c r="F29" s="23"/>
      <c r="G29" s="23"/>
      <c r="H29" s="24"/>
      <c r="I29" s="25">
        <f ca="1">SUMIF($B$115:$J$1945,B29,$I$115:$I$1945)</f>
        <v>18</v>
      </c>
      <c r="J29" s="26" t="s">
        <v>45</v>
      </c>
    </row>
    <row r="30" spans="2:10" x14ac:dyDescent="0.25">
      <c r="B30" s="71"/>
      <c r="C30" s="23"/>
      <c r="D30" s="23"/>
      <c r="E30" s="23"/>
      <c r="F30" s="23"/>
      <c r="G30" s="23"/>
      <c r="H30" s="24"/>
      <c r="I30" s="25"/>
      <c r="J30" s="26"/>
    </row>
    <row r="31" spans="2:10" x14ac:dyDescent="0.25">
      <c r="B31" s="73" t="s">
        <v>22</v>
      </c>
      <c r="C31" s="74" t="s">
        <v>620</v>
      </c>
      <c r="D31" s="23"/>
      <c r="E31" s="23"/>
      <c r="F31" s="23"/>
      <c r="G31" s="23"/>
      <c r="H31" s="24"/>
      <c r="I31" s="25"/>
      <c r="J31" s="26"/>
    </row>
    <row r="32" spans="2:10" x14ac:dyDescent="0.25">
      <c r="B32" s="25" t="s">
        <v>23</v>
      </c>
      <c r="C32" s="23" t="s">
        <v>621</v>
      </c>
      <c r="D32" s="23"/>
      <c r="E32" s="23"/>
      <c r="F32" s="23"/>
      <c r="G32" s="23"/>
      <c r="H32" s="24"/>
      <c r="I32" s="25">
        <f ca="1">SUMIF($B$115:$J$1945,B32,$I$115:$I$1945)</f>
        <v>31.425000000000001</v>
      </c>
      <c r="J32" s="26" t="s">
        <v>4</v>
      </c>
    </row>
    <row r="33" spans="2:12" x14ac:dyDescent="0.25">
      <c r="B33" s="71"/>
      <c r="C33" s="23"/>
      <c r="D33" s="23"/>
      <c r="E33" s="23"/>
      <c r="F33" s="23"/>
      <c r="G33" s="23"/>
      <c r="H33" s="24"/>
      <c r="I33" s="25"/>
      <c r="J33" s="26"/>
    </row>
    <row r="34" spans="2:12" x14ac:dyDescent="0.25">
      <c r="B34" s="73" t="s">
        <v>25</v>
      </c>
      <c r="C34" s="74" t="s">
        <v>614</v>
      </c>
      <c r="D34" s="23"/>
      <c r="E34" s="23"/>
      <c r="F34" s="23"/>
      <c r="G34" s="23"/>
      <c r="H34" s="24"/>
      <c r="I34" s="25"/>
      <c r="J34" s="26"/>
    </row>
    <row r="35" spans="2:12" x14ac:dyDescent="0.25">
      <c r="B35" s="25" t="s">
        <v>26</v>
      </c>
      <c r="C35" s="23" t="s">
        <v>622</v>
      </c>
      <c r="D35" s="23"/>
      <c r="E35" s="23"/>
      <c r="F35" s="23"/>
      <c r="G35" s="23"/>
      <c r="H35" s="24"/>
      <c r="I35" s="25">
        <f t="shared" ref="I35:I45" ca="1" si="0">SUMIF($B$115:$J$1945,B35,$I$115:$I$1945)</f>
        <v>61.972930000000012</v>
      </c>
      <c r="J35" s="26" t="s">
        <v>4</v>
      </c>
    </row>
    <row r="36" spans="2:12" x14ac:dyDescent="0.25">
      <c r="B36" s="25" t="s">
        <v>654</v>
      </c>
      <c r="C36" s="23" t="s">
        <v>623</v>
      </c>
      <c r="D36" s="23"/>
      <c r="E36" s="23"/>
      <c r="F36" s="23"/>
      <c r="G36" s="23"/>
      <c r="H36" s="24"/>
      <c r="I36" s="25">
        <f t="shared" ca="1" si="0"/>
        <v>38.437900000000006</v>
      </c>
      <c r="J36" s="26" t="s">
        <v>4</v>
      </c>
    </row>
    <row r="37" spans="2:12" x14ac:dyDescent="0.25">
      <c r="B37" s="25" t="s">
        <v>822</v>
      </c>
      <c r="C37" s="23" t="s">
        <v>738</v>
      </c>
      <c r="D37" s="23"/>
      <c r="E37" s="23"/>
      <c r="F37" s="23"/>
      <c r="G37" s="23"/>
      <c r="H37" s="24"/>
      <c r="I37" s="25">
        <f t="shared" ca="1" si="0"/>
        <v>96</v>
      </c>
      <c r="J37" s="26" t="s">
        <v>4</v>
      </c>
    </row>
    <row r="38" spans="2:12" x14ac:dyDescent="0.25">
      <c r="B38" s="25" t="s">
        <v>820</v>
      </c>
      <c r="C38" s="414" t="s">
        <v>779</v>
      </c>
      <c r="D38" s="23"/>
      <c r="E38" s="23"/>
      <c r="F38" s="23"/>
      <c r="G38" s="23"/>
      <c r="H38" s="24"/>
      <c r="I38" s="25">
        <f t="shared" ca="1" si="0"/>
        <v>127.25600000000003</v>
      </c>
      <c r="J38" s="26" t="s">
        <v>45</v>
      </c>
    </row>
    <row r="39" spans="2:12" x14ac:dyDescent="0.25">
      <c r="B39" s="25" t="s">
        <v>821</v>
      </c>
      <c r="C39" s="414" t="s">
        <v>776</v>
      </c>
      <c r="D39" s="23"/>
      <c r="E39" s="23"/>
      <c r="F39" s="23"/>
      <c r="G39" s="23"/>
      <c r="H39" s="24"/>
      <c r="I39" s="25">
        <f t="shared" ca="1" si="0"/>
        <v>264.95115091843331</v>
      </c>
      <c r="J39" s="26" t="s">
        <v>4</v>
      </c>
    </row>
    <row r="40" spans="2:12" x14ac:dyDescent="0.25">
      <c r="B40" s="25" t="s">
        <v>823</v>
      </c>
      <c r="C40" s="28" t="s">
        <v>719</v>
      </c>
      <c r="D40" s="23"/>
      <c r="E40" s="23"/>
      <c r="F40" s="23"/>
      <c r="G40" s="23"/>
      <c r="H40" s="24"/>
      <c r="I40" s="25">
        <f t="shared" ca="1" si="0"/>
        <v>297.56200000000001</v>
      </c>
      <c r="J40" s="26" t="s">
        <v>45</v>
      </c>
    </row>
    <row r="41" spans="2:12" x14ac:dyDescent="0.25">
      <c r="B41" s="25" t="s">
        <v>824</v>
      </c>
      <c r="C41" s="28" t="s">
        <v>718</v>
      </c>
      <c r="D41" s="23"/>
      <c r="E41" s="23"/>
      <c r="F41" s="23"/>
      <c r="G41" s="23"/>
      <c r="H41" s="24"/>
      <c r="I41" s="25">
        <f t="shared" ca="1" si="0"/>
        <v>1081.1380799999999</v>
      </c>
      <c r="J41" s="26" t="s">
        <v>45</v>
      </c>
    </row>
    <row r="42" spans="2:12" x14ac:dyDescent="0.25">
      <c r="B42" s="25" t="s">
        <v>825</v>
      </c>
      <c r="C42" s="28" t="s">
        <v>794</v>
      </c>
      <c r="D42" s="23"/>
      <c r="E42" s="23"/>
      <c r="F42" s="23"/>
      <c r="G42" s="23"/>
      <c r="H42" s="24"/>
      <c r="I42" s="25">
        <f t="shared" ca="1" si="0"/>
        <v>5273.9133047079522</v>
      </c>
      <c r="J42" s="26" t="s">
        <v>12</v>
      </c>
    </row>
    <row r="43" spans="2:12" x14ac:dyDescent="0.25">
      <c r="B43" s="25" t="s">
        <v>899</v>
      </c>
      <c r="C43" s="28" t="s">
        <v>625</v>
      </c>
      <c r="D43" s="23"/>
      <c r="E43" s="23"/>
      <c r="F43" s="23"/>
      <c r="G43" s="23"/>
      <c r="H43" s="24"/>
      <c r="I43" s="25">
        <f t="shared" ca="1" si="0"/>
        <v>56.607799999999997</v>
      </c>
      <c r="J43" s="26" t="s">
        <v>4</v>
      </c>
    </row>
    <row r="44" spans="2:12" x14ac:dyDescent="0.25">
      <c r="B44" s="25" t="s">
        <v>900</v>
      </c>
      <c r="C44" s="28" t="s">
        <v>789</v>
      </c>
      <c r="D44" s="23"/>
      <c r="E44" s="23"/>
      <c r="F44" s="23"/>
      <c r="G44" s="23"/>
      <c r="H44" s="24"/>
      <c r="I44" s="25">
        <f t="shared" ca="1" si="0"/>
        <v>152.36280296822446</v>
      </c>
      <c r="J44" s="26" t="s">
        <v>4</v>
      </c>
    </row>
    <row r="45" spans="2:12" x14ac:dyDescent="0.25">
      <c r="B45" s="25" t="s">
        <v>901</v>
      </c>
      <c r="C45" s="28" t="s">
        <v>624</v>
      </c>
      <c r="D45" s="23"/>
      <c r="E45" s="23"/>
      <c r="F45" s="23"/>
      <c r="G45" s="23"/>
      <c r="H45" s="24"/>
      <c r="I45" s="25">
        <f t="shared" ca="1" si="0"/>
        <v>152.36280296822446</v>
      </c>
      <c r="J45" s="26" t="s">
        <v>4</v>
      </c>
    </row>
    <row r="46" spans="2:12" x14ac:dyDescent="0.25">
      <c r="B46" s="71"/>
      <c r="C46" s="28"/>
      <c r="D46" s="23"/>
      <c r="E46" s="23"/>
      <c r="F46" s="23"/>
      <c r="G46" s="23"/>
      <c r="H46" s="24"/>
      <c r="I46" s="25"/>
      <c r="J46" s="26"/>
    </row>
    <row r="47" spans="2:12" x14ac:dyDescent="0.25">
      <c r="B47" s="73" t="s">
        <v>829</v>
      </c>
      <c r="C47" s="74" t="s">
        <v>626</v>
      </c>
      <c r="D47" s="23"/>
      <c r="E47" s="23"/>
      <c r="F47" s="23"/>
      <c r="G47" s="23"/>
      <c r="H47" s="24"/>
      <c r="I47" s="25"/>
      <c r="J47" s="26"/>
    </row>
    <row r="48" spans="2:12" x14ac:dyDescent="0.25">
      <c r="B48" s="25" t="s">
        <v>830</v>
      </c>
      <c r="C48" s="46" t="s">
        <v>627</v>
      </c>
      <c r="D48" s="23"/>
      <c r="E48" s="23"/>
      <c r="F48" s="23"/>
      <c r="G48" s="23"/>
      <c r="H48" s="24"/>
      <c r="I48" s="25">
        <f ca="1">SUMIF($B$115:$J$1945,B48,$I$115:$I$1945)</f>
        <v>93.915999999999997</v>
      </c>
      <c r="J48" s="26" t="s">
        <v>45</v>
      </c>
      <c r="K48">
        <v>0</v>
      </c>
      <c r="L48" s="52">
        <f ca="1">+I48-K48</f>
        <v>93.915999999999997</v>
      </c>
    </row>
    <row r="49" spans="2:35" x14ac:dyDescent="0.25">
      <c r="B49" s="25" t="s">
        <v>831</v>
      </c>
      <c r="C49" s="28" t="s">
        <v>680</v>
      </c>
      <c r="D49" s="23"/>
      <c r="E49" s="23"/>
      <c r="F49" s="23"/>
      <c r="G49" s="23"/>
      <c r="H49" s="24"/>
      <c r="I49" s="25">
        <f ca="1">SUMIF($B$115:$J$1945,B49,$I$115:$I$1945)</f>
        <v>33.340000000000003</v>
      </c>
      <c r="J49" s="26" t="s">
        <v>45</v>
      </c>
      <c r="K49">
        <v>0</v>
      </c>
      <c r="L49" s="52">
        <f ca="1">+I49-K49</f>
        <v>33.340000000000003</v>
      </c>
    </row>
    <row r="50" spans="2:35" x14ac:dyDescent="0.25">
      <c r="B50" s="71"/>
      <c r="C50" s="28"/>
      <c r="D50" s="23"/>
      <c r="E50" s="23"/>
      <c r="F50" s="23"/>
      <c r="G50" s="23"/>
      <c r="H50" s="24"/>
      <c r="I50" s="25"/>
      <c r="J50" s="26"/>
      <c r="M50" t="s">
        <v>773</v>
      </c>
      <c r="N50" t="s">
        <v>774</v>
      </c>
      <c r="O50" t="s">
        <v>775</v>
      </c>
    </row>
    <row r="51" spans="2:35" x14ac:dyDescent="0.25">
      <c r="B51" s="73" t="s">
        <v>838</v>
      </c>
      <c r="C51" s="74" t="s">
        <v>224</v>
      </c>
      <c r="D51" s="23"/>
      <c r="E51" s="23"/>
      <c r="F51" s="23"/>
      <c r="G51" s="23"/>
      <c r="H51" s="24"/>
      <c r="I51" s="25"/>
      <c r="J51" s="26"/>
      <c r="L51" s="52"/>
    </row>
    <row r="52" spans="2:35" x14ac:dyDescent="0.25">
      <c r="B52" s="43" t="str">
        <f>+B719</f>
        <v>04.03.07.01</v>
      </c>
      <c r="C52" s="46" t="s">
        <v>440</v>
      </c>
      <c r="D52" s="23"/>
      <c r="E52" s="23"/>
      <c r="F52" s="23"/>
      <c r="G52" s="23"/>
      <c r="H52" s="24"/>
      <c r="I52" s="25">
        <f t="shared" ref="I52:I73" ca="1" si="1">SUMIF($B$115:$J$1945,B52,$I$115:$I$1945)</f>
        <v>55.55</v>
      </c>
      <c r="J52" s="26" t="s">
        <v>345</v>
      </c>
      <c r="K52">
        <v>0</v>
      </c>
      <c r="L52" s="52">
        <f t="shared" ref="L52:L69" ca="1" si="2">+I52-K52</f>
        <v>55.55</v>
      </c>
      <c r="S52" t="e">
        <f>+Q52*R52*#REF!</f>
        <v>#REF!</v>
      </c>
      <c r="Y52" t="s">
        <v>753</v>
      </c>
      <c r="Z52" t="s">
        <v>752</v>
      </c>
      <c r="AA52" t="s">
        <v>754</v>
      </c>
      <c r="AB52" t="s">
        <v>765</v>
      </c>
      <c r="AD52" t="s">
        <v>760</v>
      </c>
      <c r="AE52" t="s">
        <v>761</v>
      </c>
      <c r="AF52" t="s">
        <v>762</v>
      </c>
      <c r="AG52" t="s">
        <v>763</v>
      </c>
      <c r="AH52" t="s">
        <v>764</v>
      </c>
      <c r="AI52" t="s">
        <v>765</v>
      </c>
    </row>
    <row r="53" spans="2:35" x14ac:dyDescent="0.25">
      <c r="B53" s="43" t="s">
        <v>840</v>
      </c>
      <c r="C53" s="46" t="s">
        <v>566</v>
      </c>
      <c r="D53" s="23"/>
      <c r="E53" s="23"/>
      <c r="F53" s="23"/>
      <c r="G53" s="23"/>
      <c r="H53" s="24"/>
      <c r="I53" s="25">
        <f t="shared" ca="1" si="1"/>
        <v>24.4</v>
      </c>
      <c r="J53" s="26" t="s">
        <v>345</v>
      </c>
      <c r="K53">
        <v>0</v>
      </c>
      <c r="L53" s="52">
        <f t="shared" ca="1" si="2"/>
        <v>24.4</v>
      </c>
      <c r="S53" t="e">
        <f>+Q53*R53*#REF!</f>
        <v>#REF!</v>
      </c>
      <c r="Y53">
        <f>0.6*1</f>
        <v>0.6</v>
      </c>
      <c r="Z53">
        <f>1*1</f>
        <v>1</v>
      </c>
      <c r="AA53">
        <f>1.45*4.5</f>
        <v>6.5249999999999995</v>
      </c>
      <c r="AB53">
        <f>1.3*5.5</f>
        <v>7.15</v>
      </c>
      <c r="AD53">
        <v>4.0000000000000008E-2</v>
      </c>
      <c r="AE53">
        <v>0.24</v>
      </c>
      <c r="AF53">
        <v>0.36</v>
      </c>
      <c r="AG53">
        <v>0.54</v>
      </c>
      <c r="AH53">
        <v>0.72</v>
      </c>
      <c r="AI53">
        <v>7.15</v>
      </c>
    </row>
    <row r="54" spans="2:35" x14ac:dyDescent="0.25">
      <c r="B54" s="349" t="str">
        <f>+B1605</f>
        <v>04.03.07.03</v>
      </c>
      <c r="C54" s="23" t="s">
        <v>690</v>
      </c>
      <c r="D54" s="23"/>
      <c r="E54" s="23"/>
      <c r="F54" s="23"/>
      <c r="G54" s="23"/>
      <c r="H54" s="24"/>
      <c r="I54" s="25">
        <f t="shared" ca="1" si="1"/>
        <v>24.4</v>
      </c>
      <c r="J54" s="26" t="s">
        <v>345</v>
      </c>
      <c r="K54">
        <v>0</v>
      </c>
      <c r="L54" s="52">
        <f t="shared" ca="1" si="2"/>
        <v>24.4</v>
      </c>
    </row>
    <row r="55" spans="2:35" x14ac:dyDescent="0.25">
      <c r="B55" s="25" t="str">
        <f>+B724</f>
        <v>04.03.07.04</v>
      </c>
      <c r="C55" s="23" t="s">
        <v>647</v>
      </c>
      <c r="D55" s="23"/>
      <c r="E55" s="23"/>
      <c r="F55" s="23"/>
      <c r="G55" s="23"/>
      <c r="H55" s="24"/>
      <c r="I55" s="25">
        <f t="shared" ca="1" si="1"/>
        <v>7.7</v>
      </c>
      <c r="J55" s="26" t="s">
        <v>13</v>
      </c>
      <c r="K55">
        <v>0</v>
      </c>
      <c r="L55" s="52">
        <f t="shared" ca="1" si="2"/>
        <v>7.7</v>
      </c>
      <c r="S55" t="e">
        <f>+Q55*R55*#REF!</f>
        <v>#REF!</v>
      </c>
      <c r="W55" t="s">
        <v>755</v>
      </c>
      <c r="Y55">
        <v>0.57410000000000005</v>
      </c>
      <c r="Z55">
        <v>0.73409999999999997</v>
      </c>
      <c r="AA55">
        <v>3.4666999999999999</v>
      </c>
      <c r="AB55">
        <f t="shared" ref="AB55:AB65" si="3">+(($AB$53-$Z$53)/($AA$53-$Z$53))*(AA55-Z55)+Z55</f>
        <v>3.7758176470588243</v>
      </c>
      <c r="AD55">
        <v>0.35010000000000019</v>
      </c>
      <c r="AE55">
        <v>0.43010000000000015</v>
      </c>
      <c r="AF55">
        <v>0.47810000000000008</v>
      </c>
      <c r="AG55">
        <v>0.55010000000000003</v>
      </c>
      <c r="AH55">
        <v>0.62209999999999999</v>
      </c>
      <c r="AI55">
        <v>3.7758176470588243</v>
      </c>
    </row>
    <row r="56" spans="2:35" x14ac:dyDescent="0.25">
      <c r="B56" s="25" t="str">
        <f>+B728</f>
        <v>04.03.07.05</v>
      </c>
      <c r="C56" s="23" t="s">
        <v>561</v>
      </c>
      <c r="D56" s="23"/>
      <c r="E56" s="23"/>
      <c r="F56" s="23"/>
      <c r="G56" s="23"/>
      <c r="H56" s="24"/>
      <c r="I56" s="25">
        <f t="shared" ca="1" si="1"/>
        <v>6</v>
      </c>
      <c r="J56" s="26" t="s">
        <v>13</v>
      </c>
      <c r="K56">
        <v>0</v>
      </c>
      <c r="L56" s="52">
        <f t="shared" ca="1" si="2"/>
        <v>6</v>
      </c>
      <c r="S56" t="e">
        <f>+Q56*R56*#REF!</f>
        <v>#REF!</v>
      </c>
      <c r="W56" t="s">
        <v>742</v>
      </c>
      <c r="Y56">
        <v>0.57410000000000005</v>
      </c>
      <c r="Z56">
        <v>0.73409999999999997</v>
      </c>
      <c r="AA56">
        <v>3.4666999999999999</v>
      </c>
      <c r="AB56">
        <f t="shared" si="3"/>
        <v>3.7758176470588243</v>
      </c>
      <c r="AD56">
        <v>0.35010000000000019</v>
      </c>
      <c r="AE56">
        <v>0.43010000000000015</v>
      </c>
      <c r="AF56">
        <v>0.47810000000000008</v>
      </c>
      <c r="AG56">
        <v>0.55010000000000003</v>
      </c>
      <c r="AH56">
        <v>0.62209999999999999</v>
      </c>
      <c r="AI56">
        <v>3.7758176470588243</v>
      </c>
    </row>
    <row r="57" spans="2:35" x14ac:dyDescent="0.25">
      <c r="B57" s="43" t="str">
        <f>+B1625</f>
        <v>04.03.07.06</v>
      </c>
      <c r="C57" s="23" t="s">
        <v>564</v>
      </c>
      <c r="D57" s="23"/>
      <c r="E57" s="23"/>
      <c r="F57" s="23"/>
      <c r="G57" s="23"/>
      <c r="H57" s="24"/>
      <c r="I57" s="25">
        <f t="shared" ca="1" si="1"/>
        <v>0.89999999999999991</v>
      </c>
      <c r="J57" s="26" t="s">
        <v>345</v>
      </c>
      <c r="K57">
        <v>0</v>
      </c>
      <c r="L57" s="52">
        <f t="shared" ca="1" si="2"/>
        <v>0.89999999999999991</v>
      </c>
      <c r="S57" t="e">
        <f>+Q57*R57*#REF!</f>
        <v>#REF!</v>
      </c>
      <c r="W57" t="s">
        <v>743</v>
      </c>
      <c r="Y57">
        <v>70.790000000000006</v>
      </c>
      <c r="Z57">
        <v>80.69</v>
      </c>
      <c r="AA57">
        <v>416.3</v>
      </c>
      <c r="AB57">
        <f t="shared" si="3"/>
        <v>454.26493212669692</v>
      </c>
      <c r="AD57">
        <v>56.930000000000021</v>
      </c>
      <c r="AE57">
        <v>61.880000000000017</v>
      </c>
      <c r="AF57">
        <v>64.850000000000009</v>
      </c>
      <c r="AG57">
        <v>69.305000000000007</v>
      </c>
      <c r="AH57">
        <v>73.760000000000005</v>
      </c>
      <c r="AI57">
        <v>454.26493212669692</v>
      </c>
    </row>
    <row r="58" spans="2:35" x14ac:dyDescent="0.25">
      <c r="B58" s="43" t="str">
        <f>+B364</f>
        <v>04.03.07.07</v>
      </c>
      <c r="C58" s="23" t="s">
        <v>562</v>
      </c>
      <c r="D58" s="23"/>
      <c r="E58" s="23"/>
      <c r="F58" s="23"/>
      <c r="G58" s="23"/>
      <c r="H58" s="24"/>
      <c r="I58" s="25">
        <f t="shared" ca="1" si="1"/>
        <v>1.5</v>
      </c>
      <c r="J58" s="26" t="s">
        <v>345</v>
      </c>
      <c r="K58">
        <v>0</v>
      </c>
      <c r="L58" s="52">
        <f t="shared" ca="1" si="2"/>
        <v>1.5</v>
      </c>
      <c r="S58" t="e">
        <f>+Q58*R58*#REF!</f>
        <v>#REF!</v>
      </c>
      <c r="W58" t="s">
        <v>744</v>
      </c>
      <c r="Y58">
        <v>0.53959999999999997</v>
      </c>
      <c r="Z58">
        <v>0.69</v>
      </c>
      <c r="AA58">
        <v>3.2587000000000002</v>
      </c>
      <c r="AB58">
        <f t="shared" si="3"/>
        <v>3.5492769230769241</v>
      </c>
      <c r="AD58">
        <v>0.32904000000000005</v>
      </c>
      <c r="AE58">
        <v>0.40423999999999999</v>
      </c>
      <c r="AF58">
        <v>0.44935999999999998</v>
      </c>
      <c r="AG58">
        <v>0.51703999999999994</v>
      </c>
      <c r="AH58">
        <v>0.58471999999999991</v>
      </c>
      <c r="AI58">
        <v>3.5492769230769241</v>
      </c>
    </row>
    <row r="59" spans="2:35" s="1" customFormat="1" x14ac:dyDescent="0.25">
      <c r="B59" s="43" t="str">
        <f>B732</f>
        <v>04.03.07.08</v>
      </c>
      <c r="C59" s="23" t="s">
        <v>704</v>
      </c>
      <c r="D59" s="23"/>
      <c r="E59" s="23"/>
      <c r="F59" s="23"/>
      <c r="G59" s="23"/>
      <c r="H59" s="23"/>
      <c r="I59" s="25">
        <f t="shared" ca="1" si="1"/>
        <v>0.7</v>
      </c>
      <c r="J59" s="26" t="s">
        <v>345</v>
      </c>
      <c r="K59" s="1">
        <v>0</v>
      </c>
      <c r="L59" s="1">
        <f t="shared" ca="1" si="2"/>
        <v>0.7</v>
      </c>
      <c r="M59"/>
      <c r="W59" t="s">
        <v>745</v>
      </c>
      <c r="Y59" s="1">
        <v>0.17449999999999999</v>
      </c>
      <c r="Z59" s="1">
        <v>0.22320000000000001</v>
      </c>
      <c r="AA59" s="1">
        <v>1.0539000000000001</v>
      </c>
      <c r="AB59">
        <f t="shared" si="3"/>
        <v>1.1478705882352944</v>
      </c>
      <c r="AD59" s="1">
        <v>0.10631999999999997</v>
      </c>
      <c r="AE59" s="1">
        <v>0.13066999999999998</v>
      </c>
      <c r="AF59" s="1">
        <v>0.14527999999999996</v>
      </c>
      <c r="AG59" s="1">
        <v>0.16719499999999998</v>
      </c>
      <c r="AH59" s="1">
        <v>0.18911</v>
      </c>
      <c r="AI59" s="1">
        <v>1.1478705882352944</v>
      </c>
    </row>
    <row r="60" spans="2:35" x14ac:dyDescent="0.25">
      <c r="B60" s="43" t="s">
        <v>847</v>
      </c>
      <c r="C60" s="23" t="s">
        <v>628</v>
      </c>
      <c r="D60" s="23"/>
      <c r="E60" s="23"/>
      <c r="F60" s="23"/>
      <c r="G60" s="23"/>
      <c r="H60" s="23"/>
      <c r="I60" s="25">
        <f t="shared" ca="1" si="1"/>
        <v>1.1000000000000001</v>
      </c>
      <c r="J60" s="26" t="s">
        <v>345</v>
      </c>
      <c r="K60">
        <v>0</v>
      </c>
      <c r="L60" s="52">
        <f t="shared" ca="1" si="2"/>
        <v>1.1000000000000001</v>
      </c>
      <c r="S60" t="e">
        <f>+Q60*R60*#REF!</f>
        <v>#REF!</v>
      </c>
      <c r="W60" s="1" t="s">
        <v>746</v>
      </c>
      <c r="Y60">
        <v>0.49259999999999998</v>
      </c>
      <c r="Z60">
        <v>0.62980000000000003</v>
      </c>
      <c r="AA60">
        <v>2.9744000000000002</v>
      </c>
      <c r="AB60">
        <f t="shared" si="3"/>
        <v>3.2396262443438921</v>
      </c>
      <c r="AD60">
        <v>0.30051999999999995</v>
      </c>
      <c r="AE60">
        <v>0.36911999999999995</v>
      </c>
      <c r="AF60">
        <v>0.41027999999999998</v>
      </c>
      <c r="AG60">
        <v>0.47202</v>
      </c>
      <c r="AH60">
        <v>0.53376000000000001</v>
      </c>
      <c r="AI60">
        <v>3.2396262443438921</v>
      </c>
    </row>
    <row r="61" spans="2:35" x14ac:dyDescent="0.25">
      <c r="B61" s="43" t="str">
        <f>+B734</f>
        <v>04.03.07.10</v>
      </c>
      <c r="C61" s="23" t="s">
        <v>629</v>
      </c>
      <c r="D61" s="23"/>
      <c r="E61" s="23"/>
      <c r="F61" s="23"/>
      <c r="G61" s="23"/>
      <c r="H61" s="24"/>
      <c r="I61" s="25">
        <f t="shared" ca="1" si="1"/>
        <v>5.7</v>
      </c>
      <c r="J61" s="26" t="s">
        <v>345</v>
      </c>
      <c r="K61">
        <v>0</v>
      </c>
      <c r="L61" s="52">
        <f t="shared" ca="1" si="2"/>
        <v>5.7</v>
      </c>
      <c r="S61" t="e">
        <f>+Q61*R61*#REF!</f>
        <v>#REF!</v>
      </c>
      <c r="W61" t="s">
        <v>747</v>
      </c>
      <c r="Y61">
        <v>7.5968</v>
      </c>
      <c r="Z61">
        <v>9.7141000000000002</v>
      </c>
      <c r="AA61">
        <v>45.874400000000001</v>
      </c>
      <c r="AB61">
        <f t="shared" si="3"/>
        <v>49.964931674208152</v>
      </c>
      <c r="AD61">
        <v>4.6325800000000008</v>
      </c>
      <c r="AE61">
        <v>5.69123</v>
      </c>
      <c r="AF61">
        <v>6.3264199999999997</v>
      </c>
      <c r="AG61">
        <v>7.2792050000000001</v>
      </c>
      <c r="AH61">
        <v>8.2319899999999997</v>
      </c>
      <c r="AI61">
        <v>49.964931674208152</v>
      </c>
    </row>
    <row r="62" spans="2:35" x14ac:dyDescent="0.25">
      <c r="B62" s="25" t="str">
        <f>+B204</f>
        <v>04.03.07.11</v>
      </c>
      <c r="C62" s="23" t="s">
        <v>902</v>
      </c>
      <c r="D62" s="23"/>
      <c r="E62" s="23"/>
      <c r="F62" s="23"/>
      <c r="G62" s="23"/>
      <c r="H62" s="24"/>
      <c r="I62" s="25">
        <f t="shared" ca="1" si="1"/>
        <v>108.88000000000001</v>
      </c>
      <c r="J62" s="26" t="str">
        <f>VLOOKUP(B62,$B$115:$J$1789,9)</f>
        <v>ml</v>
      </c>
      <c r="K62">
        <v>0</v>
      </c>
      <c r="L62" s="52">
        <f t="shared" ca="1" si="2"/>
        <v>108.88000000000001</v>
      </c>
      <c r="Q62" s="52">
        <f ca="1">+I62</f>
        <v>108.88000000000001</v>
      </c>
      <c r="R62">
        <v>3</v>
      </c>
      <c r="S62" t="e">
        <f ca="1">+Q62*R62*#REF!</f>
        <v>#REF!</v>
      </c>
      <c r="W62" t="s">
        <v>748</v>
      </c>
      <c r="Y62">
        <v>24.0397</v>
      </c>
      <c r="Z62">
        <v>30.739699999999999</v>
      </c>
      <c r="AA62">
        <v>145.16669999999999</v>
      </c>
      <c r="AB62">
        <f t="shared" si="3"/>
        <v>158.11093076923078</v>
      </c>
      <c r="AD62">
        <v>14.659700000000003</v>
      </c>
      <c r="AE62">
        <v>18.009700000000002</v>
      </c>
      <c r="AF62">
        <v>20.0197</v>
      </c>
      <c r="AG62">
        <v>23.034700000000001</v>
      </c>
      <c r="AH62">
        <v>26.049700000000001</v>
      </c>
      <c r="AI62">
        <v>158.11093076923078</v>
      </c>
    </row>
    <row r="63" spans="2:35" x14ac:dyDescent="0.25">
      <c r="B63" s="25" t="s">
        <v>850</v>
      </c>
      <c r="C63" s="23" t="s">
        <v>781</v>
      </c>
      <c r="D63" s="23"/>
      <c r="E63" s="23"/>
      <c r="F63" s="23"/>
      <c r="G63" s="23"/>
      <c r="H63" s="24"/>
      <c r="I63" s="25">
        <f t="shared" ca="1" si="1"/>
        <v>57.9</v>
      </c>
      <c r="J63" s="26" t="str">
        <f>VLOOKUP(B63,$B$115:$J$1789,9)</f>
        <v>ml</v>
      </c>
      <c r="K63">
        <v>0</v>
      </c>
      <c r="L63" s="52">
        <f t="shared" ca="1" si="2"/>
        <v>57.9</v>
      </c>
      <c r="Q63" s="52">
        <f ca="1">+I63</f>
        <v>57.9</v>
      </c>
      <c r="R63">
        <v>4</v>
      </c>
      <c r="S63" t="e">
        <f ca="1">+Q63*R63*#REF!</f>
        <v>#REF!</v>
      </c>
      <c r="W63" t="s">
        <v>749</v>
      </c>
      <c r="Y63">
        <v>3</v>
      </c>
      <c r="Z63">
        <v>3</v>
      </c>
      <c r="AA63">
        <v>3</v>
      </c>
      <c r="AB63">
        <f t="shared" si="3"/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</row>
    <row r="64" spans="2:35" x14ac:dyDescent="0.25">
      <c r="B64" s="25" t="s">
        <v>851</v>
      </c>
      <c r="C64" s="23" t="s">
        <v>782</v>
      </c>
      <c r="D64" s="23"/>
      <c r="E64" s="23"/>
      <c r="F64" s="23"/>
      <c r="G64" s="23"/>
      <c r="H64" s="24"/>
      <c r="I64" s="25">
        <f t="shared" ca="1" si="1"/>
        <v>74.06</v>
      </c>
      <c r="J64" s="26" t="str">
        <f>VLOOKUP(B64,$B$115:$J$1789,9)</f>
        <v>ml</v>
      </c>
      <c r="K64">
        <v>0</v>
      </c>
      <c r="L64" s="52">
        <f t="shared" ca="1" si="2"/>
        <v>74.06</v>
      </c>
      <c r="Q64" s="52">
        <f ca="1">+I64</f>
        <v>74.06</v>
      </c>
      <c r="R64">
        <v>6</v>
      </c>
      <c r="S64" t="e">
        <f ca="1">+Q64*R64*#REF!</f>
        <v>#REF!</v>
      </c>
      <c r="W64" t="s">
        <v>750</v>
      </c>
      <c r="Y64">
        <v>0.57140000000000002</v>
      </c>
      <c r="Z64">
        <v>0.2286</v>
      </c>
      <c r="AA64">
        <v>8</v>
      </c>
      <c r="AB64">
        <f t="shared" si="3"/>
        <v>8.8791176470588251</v>
      </c>
      <c r="AD64">
        <v>1.05132</v>
      </c>
      <c r="AE64">
        <v>0.87992000000000004</v>
      </c>
      <c r="AF64">
        <v>0.77707999999999999</v>
      </c>
      <c r="AG64">
        <v>0.62281999999999993</v>
      </c>
      <c r="AH64">
        <v>0.46856000000000003</v>
      </c>
      <c r="AI64">
        <v>8.8791176470588251</v>
      </c>
    </row>
    <row r="65" spans="2:35" x14ac:dyDescent="0.25">
      <c r="B65" s="25" t="str">
        <f>+B739</f>
        <v>04.03.07.14</v>
      </c>
      <c r="C65" s="23" t="s">
        <v>783</v>
      </c>
      <c r="D65" s="23"/>
      <c r="E65" s="23"/>
      <c r="F65" s="23"/>
      <c r="G65" s="23"/>
      <c r="H65" s="24"/>
      <c r="I65" s="25">
        <f t="shared" ca="1" si="1"/>
        <v>125</v>
      </c>
      <c r="J65" s="26" t="s">
        <v>13</v>
      </c>
      <c r="K65">
        <v>0</v>
      </c>
      <c r="L65" s="52">
        <f t="shared" ca="1" si="2"/>
        <v>125</v>
      </c>
      <c r="M65" s="375"/>
      <c r="Q65" s="52">
        <f ca="1">+I65</f>
        <v>125</v>
      </c>
      <c r="R65">
        <v>16</v>
      </c>
      <c r="S65" t="e">
        <f ca="1">+Q65*R65*#REF!</f>
        <v>#REF!</v>
      </c>
      <c r="W65" t="s">
        <v>751</v>
      </c>
      <c r="Y65">
        <v>0.57140000000000002</v>
      </c>
      <c r="Z65">
        <v>0.2286</v>
      </c>
      <c r="AA65">
        <v>8</v>
      </c>
      <c r="AB65">
        <f t="shared" si="3"/>
        <v>8.8791176470588251</v>
      </c>
      <c r="AD65">
        <v>1.05132</v>
      </c>
      <c r="AE65">
        <v>0.87992000000000004</v>
      </c>
      <c r="AF65">
        <v>0.77707999999999999</v>
      </c>
      <c r="AG65">
        <v>0.62281999999999993</v>
      </c>
      <c r="AH65">
        <v>0.46856000000000003</v>
      </c>
      <c r="AI65">
        <v>8.8791176470588251</v>
      </c>
    </row>
    <row r="66" spans="2:35" x14ac:dyDescent="0.25">
      <c r="B66" s="25" t="str">
        <f>+B1627</f>
        <v>04.03.07.15</v>
      </c>
      <c r="C66" s="23" t="s">
        <v>739</v>
      </c>
      <c r="D66" s="23"/>
      <c r="E66" s="23"/>
      <c r="F66" s="23"/>
      <c r="G66" s="23"/>
      <c r="H66" s="24"/>
      <c r="I66" s="25">
        <f t="shared" ca="1" si="1"/>
        <v>3</v>
      </c>
      <c r="J66" s="26" t="s">
        <v>13</v>
      </c>
      <c r="K66">
        <v>0</v>
      </c>
      <c r="L66" s="52">
        <f t="shared" ca="1" si="2"/>
        <v>3</v>
      </c>
      <c r="S66" t="e">
        <f>+Q66*R66*#REF!</f>
        <v>#REF!</v>
      </c>
    </row>
    <row r="67" spans="2:35" x14ac:dyDescent="0.25">
      <c r="B67" s="25" t="str">
        <f>+B209</f>
        <v>04.03.07.16</v>
      </c>
      <c r="C67" s="23" t="s">
        <v>695</v>
      </c>
      <c r="D67" s="23"/>
      <c r="E67" s="23"/>
      <c r="F67" s="23"/>
      <c r="G67" s="23"/>
      <c r="H67" s="24"/>
      <c r="I67" s="25">
        <f t="shared" ca="1" si="1"/>
        <v>11</v>
      </c>
      <c r="J67" s="26" t="str">
        <f>VLOOKUP(B67,$B$115:$J$1789,9)</f>
        <v>ml</v>
      </c>
      <c r="K67">
        <v>0</v>
      </c>
      <c r="L67" s="52">
        <f t="shared" ca="1" si="2"/>
        <v>11</v>
      </c>
      <c r="S67" t="e">
        <f>+Q67*R67*#REF!</f>
        <v>#REF!</v>
      </c>
      <c r="W67" t="s">
        <v>756</v>
      </c>
      <c r="AA67">
        <v>3</v>
      </c>
    </row>
    <row r="68" spans="2:35" x14ac:dyDescent="0.25">
      <c r="B68" s="25" t="s">
        <v>855</v>
      </c>
      <c r="C68" s="23" t="s">
        <v>655</v>
      </c>
      <c r="D68" s="23"/>
      <c r="E68" s="23"/>
      <c r="F68" s="23"/>
      <c r="G68" s="23"/>
      <c r="H68" s="24"/>
      <c r="I68" s="25">
        <f t="shared" ca="1" si="1"/>
        <v>12</v>
      </c>
      <c r="J68" s="26" t="str">
        <f>VLOOKUP(B68,$B$115:$J$1789,9)</f>
        <v>ml</v>
      </c>
      <c r="K68">
        <v>0</v>
      </c>
      <c r="L68" s="52">
        <f t="shared" ca="1" si="2"/>
        <v>12</v>
      </c>
      <c r="S68" t="e">
        <f>+Q68*R68*#REF!</f>
        <v>#REF!</v>
      </c>
      <c r="W68" t="s">
        <v>757</v>
      </c>
      <c r="AA68">
        <v>42</v>
      </c>
    </row>
    <row r="69" spans="2:35" x14ac:dyDescent="0.25">
      <c r="B69" s="25" t="s">
        <v>856</v>
      </c>
      <c r="C69" s="23" t="s">
        <v>740</v>
      </c>
      <c r="D69" s="23"/>
      <c r="E69" s="23"/>
      <c r="F69" s="23"/>
      <c r="G69" s="23"/>
      <c r="H69" s="24"/>
      <c r="I69" s="25">
        <f t="shared" ca="1" si="1"/>
        <v>6</v>
      </c>
      <c r="J69" s="26" t="str">
        <f>VLOOKUP(B69,$B$115:$J$1789,9)</f>
        <v>ml</v>
      </c>
      <c r="K69">
        <v>0</v>
      </c>
      <c r="L69" s="52">
        <f t="shared" ca="1" si="2"/>
        <v>6</v>
      </c>
      <c r="M69" s="1"/>
      <c r="S69" t="e">
        <f>+Q69*R69*#REF!</f>
        <v>#REF!</v>
      </c>
      <c r="W69" t="s">
        <v>758</v>
      </c>
      <c r="AA69">
        <v>22.8</v>
      </c>
    </row>
    <row r="70" spans="2:35" x14ac:dyDescent="0.25">
      <c r="B70" s="25" t="str">
        <f>+B1881</f>
        <v>04.03.07.19</v>
      </c>
      <c r="C70" s="23" t="s">
        <v>741</v>
      </c>
      <c r="D70" s="23"/>
      <c r="E70" s="23"/>
      <c r="F70" s="23"/>
      <c r="G70" s="23"/>
      <c r="H70" s="24"/>
      <c r="I70" s="25">
        <f t="shared" ca="1" si="1"/>
        <v>1</v>
      </c>
      <c r="J70" s="26"/>
      <c r="L70" s="52"/>
      <c r="W70" t="s">
        <v>756</v>
      </c>
      <c r="AA70">
        <v>8</v>
      </c>
    </row>
    <row r="71" spans="2:35" x14ac:dyDescent="0.25">
      <c r="B71" s="25" t="s">
        <v>858</v>
      </c>
      <c r="C71" s="23" t="s">
        <v>759</v>
      </c>
      <c r="D71" s="23"/>
      <c r="E71" s="23"/>
      <c r="F71" s="23"/>
      <c r="G71" s="23"/>
      <c r="H71" s="24"/>
      <c r="I71" s="25">
        <f t="shared" ca="1" si="1"/>
        <v>0.38</v>
      </c>
      <c r="J71" s="26" t="s">
        <v>13</v>
      </c>
      <c r="K71">
        <v>0</v>
      </c>
      <c r="L71" s="52">
        <f ca="1">+I71-K71</f>
        <v>0.38</v>
      </c>
      <c r="S71" t="e">
        <f>+Q71*R71*#REF!</f>
        <v>#REF!</v>
      </c>
    </row>
    <row r="72" spans="2:35" x14ac:dyDescent="0.25">
      <c r="B72" s="25" t="s">
        <v>859</v>
      </c>
      <c r="C72" s="23" t="s">
        <v>735</v>
      </c>
      <c r="D72" s="23"/>
      <c r="E72" s="23"/>
      <c r="F72" s="23"/>
      <c r="G72" s="23"/>
      <c r="H72" s="24"/>
      <c r="I72" s="25">
        <f t="shared" ca="1" si="1"/>
        <v>105.24000000000001</v>
      </c>
      <c r="J72" s="26" t="s">
        <v>45</v>
      </c>
      <c r="L72" s="52"/>
    </row>
    <row r="73" spans="2:35" ht="13.5" customHeight="1" x14ac:dyDescent="0.25">
      <c r="B73" s="25" t="s">
        <v>860</v>
      </c>
      <c r="C73" s="23" t="s">
        <v>736</v>
      </c>
      <c r="D73" s="23"/>
      <c r="E73" s="23"/>
      <c r="F73" s="23"/>
      <c r="G73" s="23"/>
      <c r="H73" s="24"/>
      <c r="I73" s="25">
        <f t="shared" ca="1" si="1"/>
        <v>256.66499999999996</v>
      </c>
      <c r="J73" s="26" t="s">
        <v>45</v>
      </c>
      <c r="L73" s="52"/>
      <c r="Z73" t="s">
        <v>796</v>
      </c>
    </row>
    <row r="74" spans="2:35" x14ac:dyDescent="0.25">
      <c r="B74" s="107"/>
      <c r="C74" s="23"/>
      <c r="D74" s="23"/>
      <c r="E74" s="23"/>
      <c r="F74" s="23"/>
      <c r="G74" s="23"/>
      <c r="H74" s="24"/>
      <c r="I74" s="25"/>
      <c r="J74" s="26"/>
      <c r="L74" s="52"/>
      <c r="Z74">
        <v>1.4</v>
      </c>
      <c r="AA74">
        <v>1.45</v>
      </c>
    </row>
    <row r="75" spans="2:35" x14ac:dyDescent="0.25">
      <c r="B75" s="73" t="s">
        <v>876</v>
      </c>
      <c r="C75" s="74" t="s">
        <v>223</v>
      </c>
      <c r="D75" s="23"/>
      <c r="E75" s="23"/>
      <c r="F75" s="23"/>
      <c r="G75" s="23"/>
      <c r="H75" s="24"/>
      <c r="I75" s="25"/>
      <c r="J75" s="26"/>
      <c r="L75" s="52"/>
      <c r="Z75">
        <v>2.36</v>
      </c>
      <c r="AA75">
        <v>2.1</v>
      </c>
    </row>
    <row r="76" spans="2:35" x14ac:dyDescent="0.25">
      <c r="B76" s="25" t="s">
        <v>877</v>
      </c>
      <c r="C76" s="23" t="s">
        <v>657</v>
      </c>
      <c r="D76" s="23"/>
      <c r="E76" s="29"/>
      <c r="F76" s="29"/>
      <c r="G76" s="29"/>
      <c r="H76" s="24"/>
      <c r="I76" s="25">
        <f t="shared" ref="I76:I90" ca="1" si="4">SUMIF($B$115:$J$1945,B76,$I$115:$I$1945)</f>
        <v>145</v>
      </c>
      <c r="J76" s="26" t="s">
        <v>13</v>
      </c>
      <c r="K76">
        <v>0</v>
      </c>
      <c r="L76" s="52">
        <f t="shared" ref="L76:L90" ca="1" si="5">+I76-K76</f>
        <v>145</v>
      </c>
      <c r="Z76" t="e">
        <f>+PRODUCT(#REF!)</f>
        <v>#REF!</v>
      </c>
      <c r="AA76" t="e">
        <f>+PRODUCT(#REF!)</f>
        <v>#REF!</v>
      </c>
      <c r="AC76" t="e">
        <f>+PRODUCT(#REF!)</f>
        <v>#REF!</v>
      </c>
      <c r="AD76" t="e">
        <f>+PRODUCT(#REF!)</f>
        <v>#REF!</v>
      </c>
      <c r="AE76" t="e">
        <f>+PRODUCT(#REF!)</f>
        <v>#REF!</v>
      </c>
      <c r="AF76" t="e">
        <f>SUM(Z76:AE76)</f>
        <v>#REF!</v>
      </c>
      <c r="AG76">
        <v>0.99</v>
      </c>
      <c r="AH76" s="376" t="e">
        <f>+AF76*AG76</f>
        <v>#REF!</v>
      </c>
    </row>
    <row r="77" spans="2:35" x14ac:dyDescent="0.25">
      <c r="B77" s="25" t="str">
        <f>+B1893</f>
        <v>04.03.08.02</v>
      </c>
      <c r="C77" s="23" t="s">
        <v>670</v>
      </c>
      <c r="D77" s="23"/>
      <c r="E77" s="29"/>
      <c r="F77" s="29"/>
      <c r="G77" s="29"/>
      <c r="H77" s="24"/>
      <c r="I77" s="112">
        <f t="shared" ca="1" si="4"/>
        <v>117</v>
      </c>
      <c r="J77" s="26" t="s">
        <v>13</v>
      </c>
      <c r="K77">
        <v>0</v>
      </c>
      <c r="L77" s="52">
        <f t="shared" ca="1" si="5"/>
        <v>117</v>
      </c>
    </row>
    <row r="78" spans="2:35" x14ac:dyDescent="0.25">
      <c r="B78" s="25" t="s">
        <v>879</v>
      </c>
      <c r="C78" s="23" t="s">
        <v>903</v>
      </c>
      <c r="D78" s="23"/>
      <c r="E78" s="29"/>
      <c r="F78" s="29"/>
      <c r="G78" s="29"/>
      <c r="H78" s="24"/>
      <c r="I78" s="25">
        <f t="shared" ca="1" si="4"/>
        <v>2</v>
      </c>
      <c r="J78" s="26" t="s">
        <v>13</v>
      </c>
      <c r="L78" s="52"/>
    </row>
    <row r="79" spans="2:35" x14ac:dyDescent="0.25">
      <c r="B79" s="25" t="str">
        <f>+B975</f>
        <v>04.03.08.04</v>
      </c>
      <c r="C79" s="23" t="s">
        <v>911</v>
      </c>
      <c r="D79" s="23"/>
      <c r="E79" s="29"/>
      <c r="F79" s="29"/>
      <c r="G79" s="29"/>
      <c r="H79" s="24"/>
      <c r="I79" s="25">
        <f t="shared" ca="1" si="4"/>
        <v>5</v>
      </c>
      <c r="J79" s="26" t="s">
        <v>13</v>
      </c>
      <c r="K79">
        <v>0</v>
      </c>
      <c r="L79" s="52">
        <f t="shared" ca="1" si="5"/>
        <v>5</v>
      </c>
    </row>
    <row r="80" spans="2:35" x14ac:dyDescent="0.25">
      <c r="B80" s="25" t="str">
        <f>+B226</f>
        <v>04.03.08.05</v>
      </c>
      <c r="C80" s="28" t="s">
        <v>910</v>
      </c>
      <c r="D80" s="23"/>
      <c r="E80" s="29"/>
      <c r="F80" s="29"/>
      <c r="G80" s="29"/>
      <c r="H80" s="24"/>
      <c r="I80" s="25">
        <f t="shared" ca="1" si="4"/>
        <v>7</v>
      </c>
      <c r="J80" s="26" t="s">
        <v>13</v>
      </c>
      <c r="K80">
        <v>0</v>
      </c>
      <c r="L80" s="52">
        <f t="shared" ca="1" si="5"/>
        <v>7</v>
      </c>
      <c r="Z80" t="s">
        <v>797</v>
      </c>
    </row>
    <row r="81" spans="2:32" x14ac:dyDescent="0.25">
      <c r="B81" s="25" t="s">
        <v>882</v>
      </c>
      <c r="C81" s="28" t="s">
        <v>912</v>
      </c>
      <c r="D81" s="23"/>
      <c r="E81" s="29"/>
      <c r="F81" s="29"/>
      <c r="G81" s="29"/>
      <c r="H81" s="24"/>
      <c r="I81" s="25">
        <f t="shared" ca="1" si="4"/>
        <v>4</v>
      </c>
      <c r="J81" s="26" t="s">
        <v>13</v>
      </c>
      <c r="K81">
        <v>0</v>
      </c>
      <c r="L81" s="52">
        <f t="shared" ca="1" si="5"/>
        <v>4</v>
      </c>
    </row>
    <row r="82" spans="2:32" x14ac:dyDescent="0.25">
      <c r="B82" s="25" t="s">
        <v>883</v>
      </c>
      <c r="C82" s="28" t="s">
        <v>913</v>
      </c>
      <c r="D82" s="29"/>
      <c r="E82" s="29"/>
      <c r="F82" s="29"/>
      <c r="G82" s="29"/>
      <c r="H82" s="24"/>
      <c r="I82" s="25">
        <f t="shared" ca="1" si="4"/>
        <v>1</v>
      </c>
      <c r="J82" s="26" t="s">
        <v>13</v>
      </c>
      <c r="K82">
        <v>0</v>
      </c>
      <c r="L82" s="52">
        <f t="shared" ca="1" si="5"/>
        <v>1</v>
      </c>
      <c r="W82" t="s">
        <v>802</v>
      </c>
      <c r="Y82" t="s">
        <v>801</v>
      </c>
      <c r="Z82" t="s">
        <v>798</v>
      </c>
      <c r="AA82" t="s">
        <v>799</v>
      </c>
      <c r="AB82" t="s">
        <v>800</v>
      </c>
    </row>
    <row r="83" spans="2:32" x14ac:dyDescent="0.25">
      <c r="B83" s="25" t="str">
        <f>+B1322</f>
        <v>04.03.08.08</v>
      </c>
      <c r="C83" s="28" t="s">
        <v>914</v>
      </c>
      <c r="D83" s="29"/>
      <c r="E83" s="29"/>
      <c r="F83" s="29"/>
      <c r="G83" s="29"/>
      <c r="H83" s="24"/>
      <c r="I83" s="25">
        <f t="shared" ca="1" si="4"/>
        <v>2</v>
      </c>
      <c r="J83" s="26" t="s">
        <v>13</v>
      </c>
      <c r="K83">
        <v>0</v>
      </c>
      <c r="L83" s="52">
        <f t="shared" ca="1" si="5"/>
        <v>2</v>
      </c>
      <c r="Y83">
        <v>2</v>
      </c>
      <c r="Z83">
        <f>1.87+0.2</f>
        <v>2.0700000000000003</v>
      </c>
      <c r="AA83">
        <v>0.2</v>
      </c>
      <c r="AB83">
        <v>0.3</v>
      </c>
      <c r="AC83">
        <f>+PRODUCT(Y83:AB83)</f>
        <v>0.24840000000000004</v>
      </c>
    </row>
    <row r="84" spans="2:32" x14ac:dyDescent="0.25">
      <c r="B84" s="25" t="str">
        <f>+B1145</f>
        <v>04.03.08.09</v>
      </c>
      <c r="C84" s="28" t="s">
        <v>915</v>
      </c>
      <c r="D84" s="29"/>
      <c r="E84" s="29"/>
      <c r="F84" s="29"/>
      <c r="G84" s="29"/>
      <c r="H84" s="24"/>
      <c r="I84" s="25">
        <f t="shared" ca="1" si="4"/>
        <v>1</v>
      </c>
      <c r="J84" s="26" t="s">
        <v>13</v>
      </c>
      <c r="K84">
        <v>0</v>
      </c>
      <c r="L84" s="52">
        <f t="shared" ca="1" si="5"/>
        <v>1</v>
      </c>
      <c r="Y84">
        <v>2</v>
      </c>
      <c r="Z84">
        <v>1.3</v>
      </c>
      <c r="AA84">
        <v>0.2</v>
      </c>
      <c r="AB84">
        <v>0.3</v>
      </c>
      <c r="AC84">
        <f t="shared" ref="AC84:AC93" si="6">+PRODUCT(Y84:AB84)</f>
        <v>0.156</v>
      </c>
    </row>
    <row r="85" spans="2:32" x14ac:dyDescent="0.25">
      <c r="B85" s="25" t="str">
        <f>+B228</f>
        <v>04.03.08.10</v>
      </c>
      <c r="C85" s="28" t="s">
        <v>916</v>
      </c>
      <c r="D85" s="29"/>
      <c r="E85" s="29"/>
      <c r="F85" s="29"/>
      <c r="G85" s="29"/>
      <c r="H85" s="24"/>
      <c r="I85" s="25">
        <f t="shared" ca="1" si="4"/>
        <v>4</v>
      </c>
      <c r="J85" s="26" t="s">
        <v>13</v>
      </c>
      <c r="K85">
        <v>0</v>
      </c>
      <c r="L85" s="52">
        <f t="shared" ca="1" si="5"/>
        <v>4</v>
      </c>
      <c r="Y85">
        <v>2</v>
      </c>
      <c r="Z85">
        <v>2.8</v>
      </c>
      <c r="AA85">
        <v>0.2</v>
      </c>
      <c r="AB85">
        <v>0.3</v>
      </c>
      <c r="AC85">
        <f t="shared" si="6"/>
        <v>0.33599999999999997</v>
      </c>
    </row>
    <row r="86" spans="2:32" x14ac:dyDescent="0.25">
      <c r="B86" s="25" t="str">
        <f>+B979</f>
        <v>04.03.08.11</v>
      </c>
      <c r="C86" s="28" t="s">
        <v>921</v>
      </c>
      <c r="D86" s="29"/>
      <c r="E86" s="29"/>
      <c r="F86" s="29"/>
      <c r="G86" s="29"/>
      <c r="H86" s="24"/>
      <c r="I86" s="25">
        <f t="shared" ca="1" si="4"/>
        <v>23</v>
      </c>
      <c r="J86" s="26" t="s">
        <v>13</v>
      </c>
      <c r="K86">
        <v>0</v>
      </c>
      <c r="L86" s="52">
        <f t="shared" ca="1" si="5"/>
        <v>23</v>
      </c>
      <c r="Y86">
        <v>2</v>
      </c>
      <c r="Z86">
        <v>1.55</v>
      </c>
      <c r="AA86">
        <v>0.2</v>
      </c>
      <c r="AB86">
        <v>0.3</v>
      </c>
      <c r="AC86">
        <f t="shared" si="6"/>
        <v>0.18600000000000003</v>
      </c>
    </row>
    <row r="87" spans="2:32" x14ac:dyDescent="0.25">
      <c r="B87" s="25" t="str">
        <f>+B231</f>
        <v>04.03.08.12</v>
      </c>
      <c r="C87" s="28" t="s">
        <v>917</v>
      </c>
      <c r="D87" s="29"/>
      <c r="E87" s="29"/>
      <c r="F87" s="29"/>
      <c r="G87" s="29"/>
      <c r="H87" s="24"/>
      <c r="I87" s="25">
        <f t="shared" ca="1" si="4"/>
        <v>9</v>
      </c>
      <c r="J87" s="26" t="s">
        <v>13</v>
      </c>
      <c r="K87">
        <v>0</v>
      </c>
      <c r="L87" s="52">
        <f t="shared" ca="1" si="5"/>
        <v>9</v>
      </c>
      <c r="Y87">
        <v>2</v>
      </c>
      <c r="Z87">
        <v>0.85</v>
      </c>
      <c r="AA87">
        <v>0.2</v>
      </c>
      <c r="AB87">
        <v>0.3</v>
      </c>
      <c r="AC87">
        <f t="shared" si="6"/>
        <v>0.10200000000000001</v>
      </c>
    </row>
    <row r="88" spans="2:32" x14ac:dyDescent="0.25">
      <c r="B88" s="25" t="str">
        <f>+B984</f>
        <v>04.03.08.13</v>
      </c>
      <c r="C88" s="28" t="s">
        <v>918</v>
      </c>
      <c r="D88" s="29"/>
      <c r="E88" s="29"/>
      <c r="F88" s="29"/>
      <c r="G88" s="29"/>
      <c r="H88" s="24"/>
      <c r="I88" s="25">
        <f t="shared" ca="1" si="4"/>
        <v>5</v>
      </c>
      <c r="J88" s="26" t="s">
        <v>13</v>
      </c>
      <c r="K88">
        <v>0</v>
      </c>
      <c r="L88" s="52">
        <f t="shared" ca="1" si="5"/>
        <v>5</v>
      </c>
    </row>
    <row r="89" spans="2:32" x14ac:dyDescent="0.25">
      <c r="B89" s="25" t="str">
        <f>+B393</f>
        <v>04.03.08.14</v>
      </c>
      <c r="C89" s="28" t="s">
        <v>919</v>
      </c>
      <c r="D89" s="29"/>
      <c r="E89" s="29"/>
      <c r="F89" s="29"/>
      <c r="G89" s="29"/>
      <c r="H89" s="24"/>
      <c r="I89" s="25">
        <f t="shared" ca="1" si="4"/>
        <v>8</v>
      </c>
      <c r="J89" s="26" t="s">
        <v>13</v>
      </c>
      <c r="K89">
        <v>0</v>
      </c>
      <c r="L89" s="52">
        <f t="shared" ca="1" si="5"/>
        <v>8</v>
      </c>
    </row>
    <row r="90" spans="2:32" x14ac:dyDescent="0.25">
      <c r="B90" s="34" t="str">
        <f>+B237</f>
        <v>04.03.08.15</v>
      </c>
      <c r="C90" s="33" t="s">
        <v>920</v>
      </c>
      <c r="D90" s="34"/>
      <c r="E90" s="34"/>
      <c r="F90" s="34"/>
      <c r="G90" s="34"/>
      <c r="H90" s="35"/>
      <c r="I90" s="25">
        <f t="shared" ca="1" si="4"/>
        <v>3</v>
      </c>
      <c r="J90" s="36" t="s">
        <v>13</v>
      </c>
      <c r="K90">
        <v>0</v>
      </c>
      <c r="L90" s="52">
        <f t="shared" ca="1" si="5"/>
        <v>3</v>
      </c>
      <c r="W90" t="s">
        <v>803</v>
      </c>
      <c r="Y90">
        <v>1</v>
      </c>
      <c r="Z90">
        <v>1.31</v>
      </c>
      <c r="AA90">
        <v>1.3</v>
      </c>
      <c r="AB90">
        <v>0.3</v>
      </c>
      <c r="AC90">
        <f t="shared" si="6"/>
        <v>0.51090000000000002</v>
      </c>
    </row>
    <row r="91" spans="2:32" x14ac:dyDescent="0.25">
      <c r="D91" s="23"/>
      <c r="E91" s="23"/>
      <c r="F91" s="23"/>
      <c r="G91" s="23"/>
      <c r="H91" s="23"/>
      <c r="I91" s="23"/>
      <c r="J91" s="67"/>
      <c r="Y91">
        <v>1</v>
      </c>
      <c r="Z91">
        <v>0.96</v>
      </c>
      <c r="AA91">
        <v>1.3</v>
      </c>
      <c r="AB91">
        <v>0.3</v>
      </c>
      <c r="AC91">
        <f t="shared" si="6"/>
        <v>0.37440000000000001</v>
      </c>
    </row>
    <row r="92" spans="2:32" x14ac:dyDescent="0.25">
      <c r="D92" s="23"/>
      <c r="E92" s="23"/>
      <c r="G92" s="23"/>
      <c r="H92" s="23"/>
      <c r="I92" s="23"/>
      <c r="J92" s="67"/>
    </row>
    <row r="93" spans="2:32" x14ac:dyDescent="0.25">
      <c r="D93" s="23"/>
      <c r="E93" s="23"/>
      <c r="F93" s="23"/>
      <c r="G93" s="23"/>
      <c r="H93" s="23"/>
      <c r="I93" s="23"/>
      <c r="J93" s="67"/>
      <c r="W93" t="s">
        <v>805</v>
      </c>
      <c r="Y93">
        <v>1</v>
      </c>
      <c r="Z93">
        <f>1.3+0.2+2.8+1.55</f>
        <v>5.85</v>
      </c>
      <c r="AA93">
        <v>1.3</v>
      </c>
      <c r="AB93">
        <v>0.3</v>
      </c>
      <c r="AC93">
        <f t="shared" si="6"/>
        <v>2.2814999999999999</v>
      </c>
    </row>
    <row r="94" spans="2:32" x14ac:dyDescent="0.25">
      <c r="D94" s="23"/>
      <c r="E94" s="23"/>
      <c r="F94" s="23"/>
      <c r="G94" s="23"/>
      <c r="H94" s="23"/>
      <c r="I94" s="23"/>
      <c r="J94" s="67"/>
      <c r="AC94" s="376">
        <f>+SUM(AC83:AC93)</f>
        <v>4.1951999999999998</v>
      </c>
      <c r="AD94" s="376" t="s">
        <v>804</v>
      </c>
      <c r="AE94" s="374">
        <f>+AC94*9.5</f>
        <v>39.854399999999998</v>
      </c>
      <c r="AF94" s="374" t="s">
        <v>815</v>
      </c>
    </row>
    <row r="95" spans="2:32" s="1" customFormat="1" ht="12.75" x14ac:dyDescent="0.2">
      <c r="B95" s="37"/>
      <c r="C95" s="38"/>
      <c r="D95" s="38"/>
      <c r="E95" s="38"/>
      <c r="F95" s="38"/>
      <c r="G95" s="38"/>
      <c r="H95" s="38"/>
      <c r="I95" s="38"/>
      <c r="J95" s="38"/>
    </row>
    <row r="96" spans="2:32" s="1" customFormat="1" x14ac:dyDescent="0.25">
      <c r="B96" s="37"/>
      <c r="C96" s="38"/>
      <c r="D96" s="38"/>
      <c r="E96" s="38"/>
      <c r="F96" s="38"/>
      <c r="G96" s="38"/>
      <c r="H96" s="38"/>
      <c r="I96" s="38"/>
      <c r="J96" s="38"/>
      <c r="W96" s="1" t="s">
        <v>816</v>
      </c>
      <c r="Y96" s="1">
        <v>1</v>
      </c>
      <c r="Z96" s="1">
        <v>5.9</v>
      </c>
      <c r="AA96" s="1">
        <v>0.5</v>
      </c>
      <c r="AB96" s="1">
        <v>0.2</v>
      </c>
      <c r="AC96">
        <f t="shared" ref="AC96" si="7">+PRODUCT(Y96:AB96)</f>
        <v>0.59000000000000008</v>
      </c>
    </row>
    <row r="97" spans="2:34" s="1" customFormat="1" x14ac:dyDescent="0.25">
      <c r="B97" s="37"/>
      <c r="C97" s="38"/>
      <c r="D97" s="38"/>
      <c r="E97" s="38"/>
      <c r="F97" s="38"/>
      <c r="G97" s="38"/>
      <c r="H97" s="38"/>
      <c r="I97" s="38"/>
      <c r="J97" s="38"/>
      <c r="AC97" s="1">
        <f>+SUM(AC94:AC96)</f>
        <v>4.7851999999999997</v>
      </c>
      <c r="AE97" s="374">
        <f>+AC97*9.5</f>
        <v>45.459399999999995</v>
      </c>
    </row>
    <row r="98" spans="2:34" s="1" customFormat="1" ht="12.75" x14ac:dyDescent="0.2">
      <c r="B98" s="37"/>
      <c r="C98" s="38"/>
      <c r="D98" s="38"/>
      <c r="E98" s="38"/>
      <c r="F98" s="38"/>
      <c r="G98" s="38"/>
      <c r="H98" s="38"/>
      <c r="I98" s="38"/>
      <c r="J98" s="38"/>
    </row>
    <row r="99" spans="2:34" s="1" customFormat="1" ht="12.75" x14ac:dyDescent="0.2">
      <c r="B99" s="37"/>
      <c r="C99" s="38"/>
      <c r="D99" s="38"/>
      <c r="E99" s="38"/>
      <c r="F99" s="38"/>
      <c r="G99" s="38"/>
      <c r="H99" s="38"/>
      <c r="I99" s="38"/>
      <c r="J99" s="38"/>
      <c r="Y99" s="1" t="s">
        <v>808</v>
      </c>
      <c r="Z99" s="1" t="s">
        <v>809</v>
      </c>
      <c r="AA99" s="1" t="s">
        <v>810</v>
      </c>
      <c r="AB99" s="1" t="s">
        <v>811</v>
      </c>
      <c r="AD99" s="1" t="s">
        <v>811</v>
      </c>
      <c r="AE99" s="1" t="s">
        <v>812</v>
      </c>
      <c r="AF99" s="1" t="s">
        <v>813</v>
      </c>
      <c r="AG99" s="1" t="s">
        <v>814</v>
      </c>
      <c r="AH99" s="1">
        <v>5.7</v>
      </c>
    </row>
    <row r="100" spans="2:34" s="1" customFormat="1" ht="12.75" x14ac:dyDescent="0.2">
      <c r="C100" s="499" t="s">
        <v>37</v>
      </c>
      <c r="D100" s="499"/>
      <c r="E100" s="499"/>
      <c r="F100" s="499"/>
      <c r="G100" s="499"/>
      <c r="H100" s="499"/>
      <c r="Y100" s="395">
        <f>0.3*1</f>
        <v>0.3</v>
      </c>
      <c r="Z100" s="1">
        <f>0.4*1</f>
        <v>0.4</v>
      </c>
      <c r="AA100" s="1">
        <f>0.7*1</f>
        <v>0.7</v>
      </c>
      <c r="AB100" s="1">
        <f>+AE100</f>
        <v>0.35</v>
      </c>
      <c r="AC100" s="1">
        <f>+AG100</f>
        <v>7.9799999999999995</v>
      </c>
      <c r="AD100" s="1">
        <f>0.3*0.3</f>
        <v>0.09</v>
      </c>
      <c r="AE100" s="1">
        <f>0.5*0.7</f>
        <v>0.35</v>
      </c>
      <c r="AF100" s="1">
        <f>0.7*1.1</f>
        <v>0.77</v>
      </c>
      <c r="AG100" s="1">
        <f>1.4*5.7</f>
        <v>7.9799999999999995</v>
      </c>
    </row>
    <row r="101" spans="2:34" s="1" customFormat="1" ht="12.75" x14ac:dyDescent="0.2">
      <c r="C101" s="499" t="s">
        <v>38</v>
      </c>
      <c r="D101" s="499"/>
      <c r="E101" s="499"/>
      <c r="F101" s="499"/>
      <c r="G101" s="499"/>
      <c r="H101" s="499"/>
    </row>
    <row r="102" spans="2:34" s="1" customFormat="1" x14ac:dyDescent="0.25">
      <c r="C102" s="499" t="s">
        <v>39</v>
      </c>
      <c r="D102" s="499"/>
      <c r="E102" s="499"/>
      <c r="F102" s="499"/>
      <c r="G102" s="499"/>
      <c r="H102" s="499"/>
      <c r="X102" s="1" t="s">
        <v>756</v>
      </c>
      <c r="Y102" s="1">
        <v>0.5</v>
      </c>
      <c r="Z102" s="1">
        <v>0.5</v>
      </c>
      <c r="AA102" s="1">
        <v>0.5</v>
      </c>
      <c r="AB102">
        <f>+(($AB$100-$Y$100)/($Z$100-$Y$100))*(Z102-Y102)+Y102</f>
        <v>0.5</v>
      </c>
      <c r="AC102">
        <f>+(($AC$100-$AA$100)/($AB$100-$AA$100))*(AB102-AA102)+AA102</f>
        <v>0.5</v>
      </c>
      <c r="AD102" s="1">
        <v>0.5</v>
      </c>
      <c r="AE102" s="1">
        <v>0.5</v>
      </c>
      <c r="AF102" s="1">
        <v>0.5</v>
      </c>
      <c r="AG102" s="1">
        <v>0.5</v>
      </c>
    </row>
    <row r="103" spans="2:34" s="1" customFormat="1" x14ac:dyDescent="0.25">
      <c r="C103" s="500" t="s">
        <v>40</v>
      </c>
      <c r="D103" s="500"/>
      <c r="E103" s="500"/>
      <c r="F103" s="500"/>
      <c r="G103" s="500"/>
      <c r="H103" s="500"/>
      <c r="X103" s="1" t="s">
        <v>757</v>
      </c>
      <c r="Y103" s="1">
        <v>10</v>
      </c>
      <c r="Z103" s="1">
        <v>14.67</v>
      </c>
      <c r="AA103" s="1">
        <v>25.67</v>
      </c>
      <c r="AB103">
        <f t="shared" ref="AB103:AB104" si="8">+(($AB$100-$Y$100)/($Z$100-$Y$100))*(Z103-Y103)+Y103</f>
        <v>12.334999999999999</v>
      </c>
      <c r="AC103">
        <f>+(($AC$100-$Z$100)/($AA$100-$Z$100))*(AA103-Z103)+Z103</f>
        <v>292.60333333333341</v>
      </c>
      <c r="AD103" s="1">
        <v>0.19300000000000317</v>
      </c>
      <c r="AE103" s="1">
        <v>12.334999999999999</v>
      </c>
      <c r="AF103" s="1">
        <v>28.236666666666672</v>
      </c>
      <c r="AG103" s="1">
        <v>292.60333333333341</v>
      </c>
    </row>
    <row r="104" spans="2:34" s="1" customFormat="1" x14ac:dyDescent="0.25">
      <c r="C104" s="401"/>
      <c r="D104" s="401"/>
      <c r="E104" s="401"/>
      <c r="F104" s="401"/>
      <c r="G104" s="401"/>
      <c r="H104" s="401"/>
      <c r="X104" s="1" t="s">
        <v>807</v>
      </c>
      <c r="Y104" s="1">
        <v>2.1</v>
      </c>
      <c r="Z104" s="1">
        <v>2.1</v>
      </c>
      <c r="AA104" s="1">
        <v>2.1</v>
      </c>
      <c r="AB104">
        <f t="shared" si="8"/>
        <v>2.1</v>
      </c>
      <c r="AC104">
        <f>+(($AC$100-$AA$100)/($AB$100-$AA$100))*(AB104-AA104)+AA104</f>
        <v>2.1</v>
      </c>
      <c r="AD104" s="1">
        <v>2.1</v>
      </c>
      <c r="AE104" s="1">
        <v>2.1</v>
      </c>
      <c r="AF104" s="1">
        <v>2.1</v>
      </c>
      <c r="AG104" s="1">
        <v>2.1</v>
      </c>
    </row>
    <row r="105" spans="2:34" s="1" customFormat="1" ht="15.75" x14ac:dyDescent="0.2">
      <c r="B105" s="501" t="s">
        <v>65</v>
      </c>
      <c r="C105" s="502"/>
      <c r="D105" s="502"/>
      <c r="E105" s="502"/>
      <c r="F105" s="502"/>
      <c r="G105" s="502"/>
      <c r="H105" s="502"/>
      <c r="I105" s="502"/>
      <c r="J105" s="503"/>
    </row>
    <row r="106" spans="2:34" s="1" customFormat="1" ht="20.25" x14ac:dyDescent="0.2">
      <c r="B106" s="543" t="s">
        <v>179</v>
      </c>
      <c r="C106" s="544"/>
      <c r="D106" s="544"/>
      <c r="E106" s="544"/>
      <c r="F106" s="544"/>
      <c r="G106" s="544"/>
      <c r="H106" s="544"/>
      <c r="I106" s="544"/>
      <c r="J106" s="545"/>
    </row>
    <row r="107" spans="2:34" s="1" customFormat="1" ht="13.5" thickBot="1" x14ac:dyDescent="0.25">
      <c r="B107" s="405"/>
      <c r="C107" s="405"/>
      <c r="D107" s="405"/>
      <c r="E107" s="405"/>
      <c r="F107" s="405"/>
      <c r="G107" s="405"/>
      <c r="H107" s="405"/>
      <c r="I107" s="405"/>
      <c r="J107" s="405"/>
    </row>
    <row r="108" spans="2:34" s="1" customFormat="1" ht="24.75" customHeight="1" x14ac:dyDescent="0.2">
      <c r="B108" s="494" t="s">
        <v>27</v>
      </c>
      <c r="C108" s="495"/>
      <c r="D108" s="495"/>
      <c r="E108" s="495"/>
      <c r="F108" s="495"/>
      <c r="G108" s="495"/>
      <c r="H108" s="495"/>
      <c r="I108" s="495"/>
      <c r="J108" s="496"/>
    </row>
    <row r="109" spans="2:34" s="1" customFormat="1" ht="12.75" x14ac:dyDescent="0.2">
      <c r="B109" s="2" t="s">
        <v>35</v>
      </c>
      <c r="C109" s="3" t="s">
        <v>36</v>
      </c>
      <c r="D109" s="3"/>
      <c r="E109" s="4"/>
      <c r="F109" s="5"/>
      <c r="G109" s="6" t="s">
        <v>8</v>
      </c>
      <c r="H109" s="497">
        <v>42879</v>
      </c>
      <c r="I109" s="497"/>
      <c r="J109" s="7"/>
    </row>
    <row r="110" spans="2:34" s="1" customFormat="1" ht="12.75" x14ac:dyDescent="0.2">
      <c r="B110" s="2" t="s">
        <v>33</v>
      </c>
      <c r="C110" s="3" t="s">
        <v>29</v>
      </c>
      <c r="D110" s="8"/>
      <c r="E110" s="8"/>
      <c r="F110" s="3"/>
      <c r="G110" s="9" t="s">
        <v>32</v>
      </c>
      <c r="H110" s="4" t="s">
        <v>29</v>
      </c>
      <c r="I110" s="10"/>
      <c r="J110" s="11"/>
    </row>
    <row r="111" spans="2:34" s="1" customFormat="1" ht="12.75" x14ac:dyDescent="0.2">
      <c r="B111" s="2" t="s">
        <v>34</v>
      </c>
      <c r="C111" s="3" t="s">
        <v>29</v>
      </c>
      <c r="D111" s="8"/>
      <c r="E111" s="8"/>
      <c r="F111" s="3"/>
      <c r="G111" s="9" t="s">
        <v>30</v>
      </c>
      <c r="H111" s="4" t="s">
        <v>31</v>
      </c>
      <c r="I111" s="10"/>
      <c r="J111" s="11"/>
    </row>
    <row r="112" spans="2:34" s="1" customFormat="1" ht="13.5" thickBot="1" x14ac:dyDescent="0.25">
      <c r="B112" s="12" t="s">
        <v>43</v>
      </c>
      <c r="C112" s="13" t="s">
        <v>44</v>
      </c>
      <c r="D112" s="14"/>
      <c r="E112" s="14"/>
      <c r="F112" s="13"/>
      <c r="G112" s="15" t="s">
        <v>41</v>
      </c>
      <c r="H112" s="16" t="s">
        <v>42</v>
      </c>
      <c r="I112" s="17"/>
      <c r="J112" s="18"/>
    </row>
    <row r="113" spans="2:10" s="1" customFormat="1" ht="12.75" x14ac:dyDescent="0.2">
      <c r="B113" s="405"/>
      <c r="C113" s="405"/>
      <c r="D113" s="405"/>
      <c r="E113" s="405"/>
      <c r="F113" s="405"/>
      <c r="G113" s="405"/>
      <c r="H113" s="405"/>
      <c r="I113" s="405"/>
      <c r="J113" s="405"/>
    </row>
    <row r="114" spans="2:10" s="1" customFormat="1" ht="12.75" x14ac:dyDescent="0.2">
      <c r="B114" s="21" t="s">
        <v>5</v>
      </c>
      <c r="C114" s="22" t="s">
        <v>0</v>
      </c>
      <c r="D114" s="22" t="s">
        <v>9</v>
      </c>
      <c r="E114" s="22" t="s">
        <v>10</v>
      </c>
      <c r="F114" s="22" t="s">
        <v>1</v>
      </c>
      <c r="G114" s="22" t="s">
        <v>2</v>
      </c>
      <c r="H114" s="22" t="s">
        <v>11</v>
      </c>
      <c r="I114" s="22" t="s">
        <v>6</v>
      </c>
      <c r="J114" s="22" t="s">
        <v>7</v>
      </c>
    </row>
    <row r="115" spans="2:10" s="1" customFormat="1" ht="12.75" x14ac:dyDescent="0.2">
      <c r="B115" s="55">
        <v>4.03</v>
      </c>
      <c r="C115" s="56" t="s">
        <v>222</v>
      </c>
      <c r="D115" s="60"/>
      <c r="E115" s="40"/>
      <c r="F115" s="40"/>
      <c r="G115" s="40"/>
      <c r="H115" s="40"/>
      <c r="I115" s="40"/>
      <c r="J115" s="41"/>
    </row>
    <row r="116" spans="2:10" s="1" customFormat="1" ht="12.75" x14ac:dyDescent="0.2">
      <c r="B116" s="73" t="s">
        <v>14</v>
      </c>
      <c r="C116" s="73" t="s">
        <v>615</v>
      </c>
      <c r="D116" s="60"/>
      <c r="E116" s="40"/>
      <c r="F116" s="40"/>
      <c r="G116" s="40"/>
      <c r="H116" s="40"/>
      <c r="I116" s="40"/>
      <c r="J116" s="41"/>
    </row>
    <row r="117" spans="2:10" s="1" customFormat="1" ht="12.75" x14ac:dyDescent="0.2">
      <c r="B117" s="25" t="s">
        <v>15</v>
      </c>
      <c r="C117" s="28" t="s">
        <v>616</v>
      </c>
      <c r="D117" s="60"/>
      <c r="E117" s="40"/>
      <c r="F117" s="40"/>
      <c r="G117" s="40"/>
      <c r="H117" s="40"/>
      <c r="I117" s="40">
        <f>+SUM(H118:H122)</f>
        <v>30.881999999999998</v>
      </c>
      <c r="J117" s="41" t="s">
        <v>45</v>
      </c>
    </row>
    <row r="118" spans="2:10" s="1" customFormat="1" ht="12.75" x14ac:dyDescent="0.2">
      <c r="B118" s="46"/>
      <c r="C118" s="39" t="s">
        <v>447</v>
      </c>
      <c r="D118" s="40">
        <v>1</v>
      </c>
      <c r="E118" s="40">
        <v>0.6</v>
      </c>
      <c r="F118" s="40">
        <v>0.8</v>
      </c>
      <c r="G118" s="40"/>
      <c r="H118" s="40">
        <f>IF(AND(F118=0,G118=0),D118*E118,IF(AND(E118=0,G118=0),D118*F118,IF(AND(E118=0,F118=0),D118*G118,IF(AND(E118=0),D118*F118*G118,IF(AND(F118=0),D118*E118*G118,IF(AND(G118=0),D118*E118*F118,D118*E118*F118*G118))))))</f>
        <v>0.48</v>
      </c>
      <c r="I118" s="40"/>
      <c r="J118" s="41"/>
    </row>
    <row r="119" spans="2:10" s="1" customFormat="1" ht="12.75" x14ac:dyDescent="0.2">
      <c r="B119" s="46"/>
      <c r="C119" s="39" t="s">
        <v>413</v>
      </c>
      <c r="D119" s="40">
        <v>1</v>
      </c>
      <c r="E119" s="40">
        <v>0.6</v>
      </c>
      <c r="F119" s="40">
        <v>0.8</v>
      </c>
      <c r="G119" s="40"/>
      <c r="H119" s="40">
        <f>IF(AND(F119=0,G119=0),D119*E119,IF(AND(E119=0,G119=0),D119*F119,IF(AND(E119=0,F119=0),D119*G119,IF(AND(E119=0),D119*F119*G119,IF(AND(F119=0),D119*E119*G119,IF(AND(G119=0),D119*E119*F119,D119*E119*F119*G119))))))</f>
        <v>0.48</v>
      </c>
      <c r="I119" s="40"/>
      <c r="J119" s="41"/>
    </row>
    <row r="120" spans="2:10" s="1" customFormat="1" ht="12.75" x14ac:dyDescent="0.2">
      <c r="B120" s="46"/>
      <c r="C120" s="43" t="s">
        <v>468</v>
      </c>
      <c r="D120" s="60"/>
      <c r="E120" s="40"/>
      <c r="F120" s="40"/>
      <c r="G120" s="40"/>
      <c r="H120" s="40"/>
      <c r="I120" s="40"/>
      <c r="J120" s="41"/>
    </row>
    <row r="121" spans="2:10" s="1" customFormat="1" ht="12.75" x14ac:dyDescent="0.2">
      <c r="B121" s="46"/>
      <c r="C121" s="39" t="s">
        <v>469</v>
      </c>
      <c r="D121" s="60">
        <v>1</v>
      </c>
      <c r="E121" s="40">
        <f>2.26+0.66+3.46</f>
        <v>6.38</v>
      </c>
      <c r="F121" s="40">
        <v>0.6</v>
      </c>
      <c r="G121" s="40"/>
      <c r="H121" s="40">
        <f>IF(AND(F121=0,G121=0),D121*E121,IF(AND(E121=0,G121=0),D121*F121,IF(AND(E121=0,F121=0),D121*G121,IF(AND(E121=0),D121*F121*G121,IF(AND(F121=0),D121*E121*G121,IF(AND(G121=0),D121*E121*F121,D121*E121*F121*G121))))))</f>
        <v>3.8279999999999998</v>
      </c>
      <c r="I121" s="40"/>
      <c r="J121" s="41"/>
    </row>
    <row r="122" spans="2:10" s="1" customFormat="1" ht="12.75" x14ac:dyDescent="0.2">
      <c r="B122" s="46"/>
      <c r="C122" s="39" t="s">
        <v>470</v>
      </c>
      <c r="D122" s="60">
        <v>1</v>
      </c>
      <c r="E122" s="40">
        <f>6.11+17.91+19.47</f>
        <v>43.489999999999995</v>
      </c>
      <c r="F122" s="40">
        <v>0.6</v>
      </c>
      <c r="G122" s="40"/>
      <c r="H122" s="40">
        <f>IF(AND(F122=0,G122=0),D122*E122,IF(AND(E122=0,G122=0),D122*F122,IF(AND(E122=0,F122=0),D122*G122,IF(AND(E122=0),D122*F122*G122,IF(AND(F122=0),D122*E122*G122,IF(AND(G122=0),D122*E122*F122,D122*E122*F122*G122))))))</f>
        <v>26.093999999999998</v>
      </c>
      <c r="I122" s="40"/>
      <c r="J122" s="41"/>
    </row>
    <row r="123" spans="2:10" x14ac:dyDescent="0.25">
      <c r="B123" s="25" t="s">
        <v>232</v>
      </c>
      <c r="C123" s="28" t="s">
        <v>617</v>
      </c>
      <c r="D123" s="23"/>
      <c r="E123" s="23"/>
      <c r="F123" s="23"/>
      <c r="G123" s="23"/>
      <c r="H123" s="24"/>
      <c r="I123" s="25">
        <f>+I117</f>
        <v>30.881999999999998</v>
      </c>
      <c r="J123" s="26" t="s">
        <v>45</v>
      </c>
    </row>
    <row r="124" spans="2:10" s="1" customFormat="1" ht="14.25" customHeight="1" x14ac:dyDescent="0.2">
      <c r="B124" s="46"/>
      <c r="C124" s="59"/>
      <c r="D124" s="60"/>
      <c r="E124" s="40"/>
      <c r="F124" s="40"/>
      <c r="G124" s="40"/>
      <c r="H124" s="40"/>
      <c r="I124" s="40"/>
      <c r="J124" s="41"/>
    </row>
    <row r="125" spans="2:10" x14ac:dyDescent="0.25">
      <c r="B125" s="73" t="s">
        <v>16</v>
      </c>
      <c r="C125" s="73" t="s">
        <v>618</v>
      </c>
      <c r="D125" s="23"/>
      <c r="E125" s="23"/>
      <c r="F125" s="23"/>
      <c r="G125" s="23"/>
      <c r="H125" s="24"/>
      <c r="I125" s="25"/>
      <c r="J125" s="26"/>
    </row>
    <row r="126" spans="2:10" s="1" customFormat="1" ht="12.75" x14ac:dyDescent="0.2">
      <c r="B126" s="1" t="s">
        <v>17</v>
      </c>
      <c r="C126" s="28" t="s">
        <v>619</v>
      </c>
      <c r="D126" s="40"/>
      <c r="E126" s="40"/>
      <c r="F126" s="40"/>
      <c r="G126" s="40"/>
      <c r="H126" s="40"/>
      <c r="I126" s="40">
        <f>+H127</f>
        <v>0</v>
      </c>
      <c r="J126" s="41" t="s">
        <v>4</v>
      </c>
    </row>
    <row r="127" spans="2:10" x14ac:dyDescent="0.25">
      <c r="B127" s="25"/>
      <c r="D127" s="23"/>
      <c r="E127" s="23"/>
      <c r="F127" s="23"/>
      <c r="G127" s="23"/>
      <c r="H127" s="24">
        <v>0</v>
      </c>
      <c r="I127" s="25"/>
      <c r="J127" s="26"/>
    </row>
    <row r="128" spans="2:10" s="1" customFormat="1" ht="12.75" x14ac:dyDescent="0.2">
      <c r="B128" s="1" t="s">
        <v>240</v>
      </c>
      <c r="C128" s="28" t="s">
        <v>635</v>
      </c>
      <c r="D128" s="40"/>
      <c r="E128" s="40"/>
      <c r="F128" s="40"/>
      <c r="G128" s="40"/>
      <c r="H128" s="40"/>
      <c r="I128" s="40">
        <f>+H129</f>
        <v>0</v>
      </c>
      <c r="J128" s="41" t="s">
        <v>45</v>
      </c>
    </row>
    <row r="129" spans="2:10" s="1" customFormat="1" ht="12.75" x14ac:dyDescent="0.2">
      <c r="B129" s="57"/>
      <c r="C129" s="39"/>
      <c r="D129" s="40"/>
      <c r="E129" s="40"/>
      <c r="F129" s="40"/>
      <c r="G129" s="40"/>
      <c r="H129" s="40">
        <v>0</v>
      </c>
      <c r="I129" s="40"/>
      <c r="J129" s="41"/>
    </row>
    <row r="130" spans="2:10" x14ac:dyDescent="0.25">
      <c r="B130" s="73" t="s">
        <v>18</v>
      </c>
      <c r="C130" s="73" t="s">
        <v>679</v>
      </c>
      <c r="D130" s="23"/>
      <c r="E130" s="23"/>
      <c r="F130" s="23"/>
      <c r="G130" s="23"/>
      <c r="H130" s="24"/>
      <c r="I130" s="25"/>
      <c r="J130" s="26"/>
    </row>
    <row r="131" spans="2:10" s="1" customFormat="1" ht="12.75" x14ac:dyDescent="0.2">
      <c r="B131" s="1" t="s">
        <v>19</v>
      </c>
      <c r="C131" s="28" t="s">
        <v>737</v>
      </c>
      <c r="D131" s="40"/>
      <c r="E131" s="40"/>
      <c r="F131" s="40"/>
      <c r="G131" s="40"/>
      <c r="H131" s="40"/>
      <c r="I131" s="40">
        <f>+H132</f>
        <v>0</v>
      </c>
      <c r="J131" s="41" t="s">
        <v>45</v>
      </c>
    </row>
    <row r="132" spans="2:10" x14ac:dyDescent="0.25">
      <c r="B132" s="25"/>
      <c r="D132" s="23"/>
      <c r="E132" s="23"/>
      <c r="F132" s="23"/>
      <c r="G132" s="23"/>
      <c r="H132" s="24">
        <v>0</v>
      </c>
      <c r="I132" s="25"/>
      <c r="J132" s="26"/>
    </row>
    <row r="133" spans="2:10" s="1" customFormat="1" ht="12.75" x14ac:dyDescent="0.2">
      <c r="B133" s="1" t="s">
        <v>20</v>
      </c>
      <c r="C133" s="28" t="s">
        <v>792</v>
      </c>
      <c r="D133" s="40"/>
      <c r="E133" s="40"/>
      <c r="F133" s="40"/>
      <c r="G133" s="40"/>
      <c r="H133" s="40"/>
      <c r="I133" s="40">
        <f>+H134</f>
        <v>0</v>
      </c>
      <c r="J133" s="41" t="s">
        <v>45</v>
      </c>
    </row>
    <row r="134" spans="2:10" s="1" customFormat="1" ht="12.75" x14ac:dyDescent="0.2">
      <c r="B134" s="57"/>
      <c r="C134" s="39"/>
      <c r="D134" s="40"/>
      <c r="E134" s="40"/>
      <c r="F134" s="40"/>
      <c r="G134" s="40"/>
      <c r="H134" s="40">
        <v>0</v>
      </c>
      <c r="I134" s="40"/>
      <c r="J134" s="41"/>
    </row>
    <row r="135" spans="2:10" x14ac:dyDescent="0.25">
      <c r="B135" s="73" t="s">
        <v>22</v>
      </c>
      <c r="C135" s="73" t="s">
        <v>620</v>
      </c>
      <c r="D135" s="23"/>
      <c r="E135" s="23"/>
      <c r="F135" s="23"/>
      <c r="G135" s="23"/>
      <c r="H135" s="24"/>
      <c r="I135" s="25">
        <f>+H136</f>
        <v>0</v>
      </c>
      <c r="J135" s="26"/>
    </row>
    <row r="136" spans="2:10" s="1" customFormat="1" ht="12.75" x14ac:dyDescent="0.2">
      <c r="B136" s="25" t="s">
        <v>23</v>
      </c>
      <c r="C136" s="28" t="s">
        <v>621</v>
      </c>
      <c r="D136" s="40"/>
      <c r="E136" s="40"/>
      <c r="F136" s="40"/>
      <c r="G136" s="40"/>
      <c r="H136" s="40">
        <v>0</v>
      </c>
      <c r="I136" s="40"/>
      <c r="J136" s="41" t="s">
        <v>4</v>
      </c>
    </row>
    <row r="137" spans="2:10" s="1" customFormat="1" ht="12.75" x14ac:dyDescent="0.2">
      <c r="C137" s="39"/>
      <c r="D137" s="40"/>
      <c r="E137" s="40"/>
      <c r="F137" s="40"/>
      <c r="G137" s="40"/>
      <c r="H137" s="40"/>
      <c r="I137" s="40"/>
      <c r="J137" s="41"/>
    </row>
    <row r="138" spans="2:10" x14ac:dyDescent="0.25">
      <c r="B138" s="73" t="s">
        <v>25</v>
      </c>
      <c r="C138" s="73" t="s">
        <v>614</v>
      </c>
      <c r="D138" s="23"/>
      <c r="E138" s="23"/>
      <c r="F138" s="23"/>
      <c r="G138" s="23"/>
      <c r="H138" s="24"/>
      <c r="I138" s="25"/>
      <c r="J138" s="26"/>
    </row>
    <row r="139" spans="2:10" s="1" customFormat="1" ht="12.75" x14ac:dyDescent="0.2">
      <c r="B139" s="25" t="s">
        <v>26</v>
      </c>
      <c r="C139" s="1" t="s">
        <v>622</v>
      </c>
      <c r="D139" s="60"/>
      <c r="E139" s="40"/>
      <c r="F139" s="40"/>
      <c r="G139" s="40"/>
      <c r="H139" s="24"/>
      <c r="I139" s="25">
        <f>+SUM(H140)</f>
        <v>0</v>
      </c>
      <c r="J139" s="26" t="s">
        <v>4</v>
      </c>
    </row>
    <row r="140" spans="2:10" s="1" customFormat="1" ht="12.75" x14ac:dyDescent="0.2">
      <c r="B140" s="57"/>
      <c r="C140" s="39"/>
      <c r="D140" s="40"/>
      <c r="E140" s="40"/>
      <c r="F140" s="40"/>
      <c r="G140" s="40"/>
      <c r="H140" s="40">
        <f>IF(AND(F140=0,G140=0),D140*E140,IF(AND(E140=0,G140=0),D140*F140,IF(AND(E140=0,F140=0),D140*G140,IF(AND(E140=0),D140*F140*G140,IF(AND(F140=0),D140*E140*G140,IF(AND(G140=0),D140*E140*F140,D140*E140*F140*G140))))))</f>
        <v>0</v>
      </c>
      <c r="I140" s="40"/>
      <c r="J140" s="41"/>
    </row>
    <row r="141" spans="2:10" x14ac:dyDescent="0.25">
      <c r="B141" s="25" t="s">
        <v>654</v>
      </c>
      <c r="C141" s="1" t="s">
        <v>623</v>
      </c>
      <c r="D141" s="23"/>
      <c r="E141" s="23"/>
      <c r="F141" s="23"/>
      <c r="G141" s="23"/>
      <c r="H141" s="24"/>
      <c r="I141" s="25">
        <f>+SUM(H142:H143)</f>
        <v>0.48</v>
      </c>
      <c r="J141" s="26" t="s">
        <v>4</v>
      </c>
    </row>
    <row r="142" spans="2:10" s="1" customFormat="1" ht="12.75" x14ac:dyDescent="0.2">
      <c r="C142" s="39" t="s">
        <v>447</v>
      </c>
      <c r="D142" s="40">
        <v>1</v>
      </c>
      <c r="E142" s="40">
        <v>0.6</v>
      </c>
      <c r="F142" s="40">
        <v>0.8</v>
      </c>
      <c r="G142" s="40">
        <f>0.3+0.2</f>
        <v>0.5</v>
      </c>
      <c r="H142" s="40">
        <f>IF(AND(F142=0,G142=0),D142*E142,IF(AND(E142=0,G142=0),D142*F142,IF(AND(E142=0,F142=0),D142*G142,IF(AND(E142=0),D142*F142*G142,IF(AND(F142=0),D142*E142*G142,IF(AND(G142=0),D142*E142*F142,D142*E142*F142*G142))))))</f>
        <v>0.24</v>
      </c>
      <c r="I142" s="40"/>
      <c r="J142" s="41"/>
    </row>
    <row r="143" spans="2:10" s="1" customFormat="1" ht="12.75" x14ac:dyDescent="0.2">
      <c r="C143" s="39" t="s">
        <v>413</v>
      </c>
      <c r="D143" s="40">
        <v>1</v>
      </c>
      <c r="E143" s="40">
        <v>0.6</v>
      </c>
      <c r="F143" s="40">
        <v>0.8</v>
      </c>
      <c r="G143" s="40">
        <f>0.3+0.2</f>
        <v>0.5</v>
      </c>
      <c r="H143" s="40">
        <f>IF(AND(F143=0,G143=0),D143*E143,IF(AND(E143=0,G143=0),D143*F143,IF(AND(E143=0,F143=0),D143*G143,IF(AND(E143=0),D143*F143*G143,IF(AND(F143=0),D143*E143*G143,IF(AND(G143=0),D143*E143*F143,D143*E143*F143*G143))))))</f>
        <v>0.24</v>
      </c>
      <c r="I143" s="40"/>
      <c r="J143" s="41"/>
    </row>
    <row r="144" spans="2:10" s="1" customFormat="1" ht="12.75" x14ac:dyDescent="0.2">
      <c r="B144" s="25" t="s">
        <v>822</v>
      </c>
      <c r="C144" s="1" t="s">
        <v>738</v>
      </c>
      <c r="D144" s="60"/>
      <c r="E144" s="40"/>
      <c r="F144" s="40"/>
      <c r="G144" s="40"/>
      <c r="H144" s="40"/>
      <c r="I144" s="40">
        <f>+SUM(H145)</f>
        <v>0</v>
      </c>
      <c r="J144" s="41" t="s">
        <v>4</v>
      </c>
    </row>
    <row r="145" spans="2:10" s="1" customFormat="1" ht="12.75" x14ac:dyDescent="0.2">
      <c r="B145" s="46"/>
      <c r="C145" s="39"/>
      <c r="E145" s="40"/>
      <c r="F145" s="40"/>
      <c r="G145" s="40"/>
      <c r="H145" s="40">
        <f>IF(AND(F145=0,G145=0),D145*E145,IF(AND(E145=0,G145=0),D145*F145,IF(AND(E145=0,F145=0),D145*G145,IF(AND(E145=0),D145*F145*G145,IF(AND(F145=0),D145*E145*G145,IF(AND(G145=0),D145*E145*F145,D145*E145*F145*G145))))))</f>
        <v>0</v>
      </c>
      <c r="I145" s="40"/>
      <c r="J145" s="41"/>
    </row>
    <row r="146" spans="2:10" x14ac:dyDescent="0.25">
      <c r="B146" s="25" t="s">
        <v>820</v>
      </c>
      <c r="C146" s="1" t="s">
        <v>779</v>
      </c>
      <c r="D146" s="23"/>
      <c r="E146" s="23"/>
      <c r="F146" s="23"/>
      <c r="G146" s="23"/>
      <c r="I146" s="24">
        <f>+SUM(H147:H148)</f>
        <v>0.96</v>
      </c>
      <c r="J146" s="26" t="s">
        <v>45</v>
      </c>
    </row>
    <row r="147" spans="2:10" x14ac:dyDescent="0.25">
      <c r="B147" s="107"/>
      <c r="C147" s="39" t="s">
        <v>447</v>
      </c>
      <c r="D147" s="40">
        <v>1</v>
      </c>
      <c r="E147" s="40">
        <v>0.6</v>
      </c>
      <c r="F147" s="40">
        <v>0.8</v>
      </c>
      <c r="G147" s="40"/>
      <c r="H147" s="40">
        <f>IF(AND(F147=0,G147=0),D147*E147,IF(AND(E147=0,G147=0),D147*F147,IF(AND(E147=0,F147=0),D147*G147,IF(AND(E147=0),D147*F147*G147,IF(AND(F147=0),D147*E147*G147,IF(AND(G147=0),D147*E147*F147,D147*E147*F147*G147))))))</f>
        <v>0.48</v>
      </c>
      <c r="I147" s="25"/>
      <c r="J147" s="26"/>
    </row>
    <row r="148" spans="2:10" x14ac:dyDescent="0.25">
      <c r="B148" s="107"/>
      <c r="C148" s="39" t="s">
        <v>413</v>
      </c>
      <c r="D148" s="40">
        <v>1</v>
      </c>
      <c r="E148" s="40">
        <v>0.6</v>
      </c>
      <c r="F148" s="40">
        <v>0.8</v>
      </c>
      <c r="G148" s="40"/>
      <c r="H148" s="40">
        <f t="shared" ref="H148" si="9">IF(AND(F148=0,G148=0),D148*E148,IF(AND(E148=0,G148=0),D148*F148,IF(AND(E148=0,F148=0),D148*G148,IF(AND(E148=0),D148*F148*G148,IF(AND(F148=0),D148*E148*G148,IF(AND(G148=0),D148*E148*F148,D148*E148*F148*G148))))))</f>
        <v>0.48</v>
      </c>
      <c r="I148" s="25"/>
      <c r="J148" s="26"/>
    </row>
    <row r="149" spans="2:10" x14ac:dyDescent="0.25">
      <c r="B149" s="107"/>
      <c r="C149" s="370"/>
      <c r="D149" s="23"/>
      <c r="E149" s="23"/>
      <c r="F149" s="23"/>
      <c r="G149" s="23"/>
      <c r="H149" s="24"/>
      <c r="I149" s="25"/>
      <c r="J149" s="26"/>
    </row>
    <row r="150" spans="2:10" s="1" customFormat="1" ht="12.75" x14ac:dyDescent="0.2">
      <c r="B150" s="25" t="s">
        <v>821</v>
      </c>
      <c r="C150" s="1" t="s">
        <v>776</v>
      </c>
      <c r="D150" s="60"/>
      <c r="E150" s="40"/>
      <c r="F150" s="40"/>
      <c r="G150" s="40"/>
      <c r="H150" s="40"/>
      <c r="I150" s="40">
        <f>+SUM(H152:H153)-H155</f>
        <v>17.391197928626678</v>
      </c>
      <c r="J150" s="41" t="s">
        <v>4</v>
      </c>
    </row>
    <row r="151" spans="2:10" s="1" customFormat="1" ht="12.75" x14ac:dyDescent="0.2">
      <c r="B151" s="46"/>
      <c r="C151" s="43" t="s">
        <v>468</v>
      </c>
      <c r="D151" s="60"/>
      <c r="E151" s="40"/>
      <c r="F151" s="40"/>
      <c r="G151" s="40"/>
      <c r="H151" s="40"/>
      <c r="I151" s="40"/>
      <c r="J151" s="41"/>
    </row>
    <row r="152" spans="2:10" s="1" customFormat="1" ht="12.75" x14ac:dyDescent="0.2">
      <c r="B152" s="46"/>
      <c r="C152" s="39" t="s">
        <v>469</v>
      </c>
      <c r="D152" s="60">
        <v>1</v>
      </c>
      <c r="E152" s="40">
        <f>2.26+0.66+3.46</f>
        <v>6.38</v>
      </c>
      <c r="F152" s="40">
        <v>0.6</v>
      </c>
      <c r="G152" s="40">
        <v>0.35</v>
      </c>
      <c r="H152" s="40">
        <f>IF(AND(F152=0,G152=0),D152*E152,IF(AND(E152=0,G152=0),D152*F152,IF(AND(E152=0,F152=0),D152*G152,IF(AND(E152=0),D152*F152*G152,IF(AND(F152=0),D152*E152*G152,IF(AND(G152=0),D152*E152*F152,D152*E152*F152*G152))))))</f>
        <v>1.3397999999999999</v>
      </c>
      <c r="I152" s="40"/>
      <c r="J152" s="41"/>
    </row>
    <row r="153" spans="2:10" s="1" customFormat="1" ht="12.75" x14ac:dyDescent="0.2">
      <c r="B153" s="46"/>
      <c r="C153" s="39" t="s">
        <v>470</v>
      </c>
      <c r="D153" s="60">
        <v>1</v>
      </c>
      <c r="E153" s="40">
        <f>6.11+17.91+19.47</f>
        <v>43.489999999999995</v>
      </c>
      <c r="F153" s="40">
        <v>0.6</v>
      </c>
      <c r="G153" s="40">
        <v>0.65</v>
      </c>
      <c r="H153" s="40">
        <f>IF(AND(F153=0,G153=0),D153*E153,IF(AND(E153=0,G153=0),D153*F153,IF(AND(E153=0,F153=0),D153*G153,IF(AND(E153=0),D153*F153*G153,IF(AND(F153=0),D153*E153*G153,IF(AND(G153=0),D153*E153*F153,D153*E153*F153*G153))))))</f>
        <v>16.961099999999998</v>
      </c>
      <c r="I153" s="40"/>
      <c r="J153" s="41"/>
    </row>
    <row r="154" spans="2:10" s="1" customFormat="1" ht="12.75" x14ac:dyDescent="0.2">
      <c r="B154" s="46"/>
      <c r="F154" s="40" t="s">
        <v>786</v>
      </c>
      <c r="G154" s="40">
        <v>6</v>
      </c>
      <c r="I154" s="40"/>
      <c r="J154" s="41"/>
    </row>
    <row r="155" spans="2:10" s="1" customFormat="1" ht="12.75" x14ac:dyDescent="0.2">
      <c r="B155" s="46"/>
      <c r="C155" s="39" t="s">
        <v>784</v>
      </c>
      <c r="D155" s="60">
        <v>1</v>
      </c>
      <c r="E155" s="40">
        <f>+SUM(E152:E153)</f>
        <v>49.87</v>
      </c>
      <c r="F155" s="40" t="s">
        <v>785</v>
      </c>
      <c r="G155" s="40">
        <f>+PI()*((G154*0.0254)^2)/4</f>
        <v>1.8241469247509915E-2</v>
      </c>
      <c r="H155" s="40">
        <f>+E155*G155</f>
        <v>0.90970207137331938</v>
      </c>
      <c r="I155" s="40"/>
      <c r="J155" s="41"/>
    </row>
    <row r="156" spans="2:10" s="1" customFormat="1" ht="12.75" x14ac:dyDescent="0.2">
      <c r="B156" s="46"/>
      <c r="C156" s="59"/>
      <c r="D156" s="60"/>
      <c r="E156" s="40"/>
      <c r="F156" s="40"/>
      <c r="G156" s="40"/>
      <c r="H156" s="40"/>
      <c r="I156" s="40"/>
      <c r="J156" s="41"/>
    </row>
    <row r="157" spans="2:10" s="1" customFormat="1" ht="12.75" x14ac:dyDescent="0.2">
      <c r="B157" s="46" t="s">
        <v>823</v>
      </c>
      <c r="C157" s="1" t="s">
        <v>719</v>
      </c>
      <c r="D157" s="60"/>
      <c r="E157" s="40"/>
      <c r="F157" s="40"/>
      <c r="G157" s="40"/>
      <c r="H157" s="40"/>
      <c r="I157" s="40">
        <f>+SUM(H158)</f>
        <v>0</v>
      </c>
      <c r="J157" s="41" t="s">
        <v>45</v>
      </c>
    </row>
    <row r="158" spans="2:10" s="1" customFormat="1" ht="12.75" x14ac:dyDescent="0.2">
      <c r="B158" s="46"/>
      <c r="C158" s="59"/>
      <c r="D158" s="60"/>
      <c r="E158" s="40"/>
      <c r="F158" s="40"/>
      <c r="G158" s="40"/>
      <c r="H158" s="40">
        <f>+(F158+G158*2)*E158</f>
        <v>0</v>
      </c>
      <c r="I158" s="40"/>
      <c r="J158" s="41"/>
    </row>
    <row r="159" spans="2:10" x14ac:dyDescent="0.25">
      <c r="B159" s="25" t="s">
        <v>824</v>
      </c>
      <c r="C159" s="28" t="s">
        <v>718</v>
      </c>
      <c r="D159" s="23"/>
      <c r="E159" s="23"/>
      <c r="F159" s="23"/>
      <c r="G159" s="23"/>
      <c r="H159" s="24"/>
      <c r="I159" s="25">
        <f>+SUM(H161:H162)</f>
        <v>90.924999999999983</v>
      </c>
      <c r="J159" s="26" t="s">
        <v>45</v>
      </c>
    </row>
    <row r="160" spans="2:10" s="1" customFormat="1" ht="12.75" x14ac:dyDescent="0.2">
      <c r="B160" s="46"/>
      <c r="C160" s="43" t="s">
        <v>468</v>
      </c>
      <c r="D160" s="60"/>
      <c r="E160" s="40"/>
      <c r="F160" s="40"/>
      <c r="G160" s="40"/>
      <c r="H160" s="40"/>
      <c r="I160" s="40"/>
      <c r="J160" s="41"/>
    </row>
    <row r="161" spans="2:10" s="1" customFormat="1" ht="12.75" x14ac:dyDescent="0.2">
      <c r="B161" s="46"/>
      <c r="C161" s="39" t="s">
        <v>469</v>
      </c>
      <c r="D161" s="60">
        <v>1</v>
      </c>
      <c r="E161" s="40">
        <f>2.26+0.66+3.46</f>
        <v>6.38</v>
      </c>
      <c r="F161" s="40">
        <v>0.6</v>
      </c>
      <c r="G161" s="40">
        <v>0.35</v>
      </c>
      <c r="H161" s="40">
        <f>+(F161+G161*2)*E161</f>
        <v>8.2939999999999987</v>
      </c>
      <c r="I161" s="40"/>
      <c r="J161" s="41"/>
    </row>
    <row r="162" spans="2:10" s="1" customFormat="1" ht="12.75" x14ac:dyDescent="0.2">
      <c r="B162" s="46"/>
      <c r="C162" s="39" t="s">
        <v>470</v>
      </c>
      <c r="D162" s="60">
        <v>1</v>
      </c>
      <c r="E162" s="40">
        <f>6.11+17.91+19.47</f>
        <v>43.489999999999995</v>
      </c>
      <c r="F162" s="40">
        <v>0.6</v>
      </c>
      <c r="G162" s="40">
        <v>0.65</v>
      </c>
      <c r="H162" s="40">
        <f>+(F162+G162*2)*E162</f>
        <v>82.630999999999986</v>
      </c>
      <c r="I162" s="40"/>
      <c r="J162" s="41"/>
    </row>
    <row r="163" spans="2:10" s="1" customFormat="1" ht="12.75" x14ac:dyDescent="0.2">
      <c r="B163" s="46"/>
      <c r="C163" s="59"/>
      <c r="D163" s="60"/>
      <c r="E163" s="40"/>
      <c r="F163" s="40"/>
      <c r="G163" s="40"/>
      <c r="H163" s="40"/>
      <c r="I163" s="40"/>
      <c r="J163" s="41"/>
    </row>
    <row r="164" spans="2:10" s="1" customFormat="1" ht="12.75" x14ac:dyDescent="0.2">
      <c r="B164" s="46"/>
      <c r="C164" s="59"/>
      <c r="D164" s="60"/>
      <c r="E164" s="40"/>
      <c r="F164" s="40"/>
      <c r="G164" s="40"/>
      <c r="H164" s="40"/>
      <c r="I164" s="40"/>
      <c r="J164" s="41"/>
    </row>
    <row r="165" spans="2:10" s="1" customFormat="1" ht="12.75" x14ac:dyDescent="0.2">
      <c r="B165" s="25" t="s">
        <v>825</v>
      </c>
      <c r="C165" s="28" t="s">
        <v>794</v>
      </c>
      <c r="D165" s="60"/>
      <c r="E165" s="40"/>
      <c r="F165" s="40" t="s">
        <v>795</v>
      </c>
      <c r="G165" s="40"/>
      <c r="H165" s="40"/>
      <c r="I165" s="40">
        <f>+SUM(H167:H176)</f>
        <v>239.27936809605484</v>
      </c>
      <c r="J165" s="41" t="s">
        <v>12</v>
      </c>
    </row>
    <row r="166" spans="2:10" s="1" customFormat="1" ht="12.75" x14ac:dyDescent="0.2">
      <c r="B166" s="380"/>
      <c r="C166" s="43" t="s">
        <v>267</v>
      </c>
      <c r="D166" s="60"/>
      <c r="E166" s="40"/>
      <c r="F166" s="40"/>
      <c r="G166" s="40"/>
      <c r="H166" s="40"/>
      <c r="J166" s="41"/>
    </row>
    <row r="167" spans="2:10" s="1" customFormat="1" ht="12.75" x14ac:dyDescent="0.2">
      <c r="B167" s="380"/>
      <c r="C167" s="39" t="s">
        <v>452</v>
      </c>
      <c r="D167" s="60">
        <v>1</v>
      </c>
      <c r="E167" s="40">
        <f>14+0.55</f>
        <v>14.55</v>
      </c>
      <c r="F167" s="40">
        <f>8.2/5</f>
        <v>1.64</v>
      </c>
      <c r="G167" s="40"/>
      <c r="H167" s="40">
        <f>IF(AND(F167=0,G167=0),D167*E167,IF(AND(E167=0,G167=0),D167*F167,IF(AND(E167=0,F167=0),D167*G167,IF(AND(E167=0),D167*F167*G167,IF(AND(F167=0),D167*E167*G167,IF(AND(G167=0),D167*E167*F167,D167*E167*F167*G167))))))</f>
        <v>23.861999999999998</v>
      </c>
      <c r="I167" s="40"/>
      <c r="J167" s="41"/>
    </row>
    <row r="168" spans="2:10" s="1" customFormat="1" ht="12.75" x14ac:dyDescent="0.2">
      <c r="B168" s="380"/>
      <c r="C168" s="39" t="s">
        <v>453</v>
      </c>
      <c r="D168" s="40">
        <v>1</v>
      </c>
      <c r="E168" s="40">
        <v>10.52</v>
      </c>
      <c r="F168" s="40">
        <f t="shared" ref="F168:F170" si="10">8.2/5</f>
        <v>1.64</v>
      </c>
      <c r="G168" s="40"/>
      <c r="H168" s="40">
        <f t="shared" ref="H168:H176" si="11">IF(AND(F168=0,G168=0),D168*E168,IF(AND(E168=0,G168=0),D168*F168,IF(AND(E168=0,F168=0),D168*G168,IF(AND(E168=0),D168*F168*G168,IF(AND(F168=0),D168*E168*G168,IF(AND(G168=0),D168*E168*F168,D168*E168*F168*G168))))))</f>
        <v>17.252799999999997</v>
      </c>
      <c r="I168" s="40"/>
      <c r="J168" s="41"/>
    </row>
    <row r="169" spans="2:10" s="1" customFormat="1" ht="12.75" x14ac:dyDescent="0.2">
      <c r="B169" s="380"/>
      <c r="C169" s="39" t="s">
        <v>369</v>
      </c>
      <c r="D169" s="40">
        <v>1</v>
      </c>
      <c r="E169" s="40">
        <f t="shared" ref="E169" si="12">14+0.55</f>
        <v>14.55</v>
      </c>
      <c r="F169" s="40">
        <f t="shared" si="10"/>
        <v>1.64</v>
      </c>
      <c r="G169" s="40"/>
      <c r="H169" s="40">
        <f t="shared" si="11"/>
        <v>23.861999999999998</v>
      </c>
      <c r="I169" s="40"/>
      <c r="J169" s="41"/>
    </row>
    <row r="170" spans="2:10" s="1" customFormat="1" ht="12.75" x14ac:dyDescent="0.2">
      <c r="B170" s="380"/>
      <c r="C170" s="39" t="s">
        <v>474</v>
      </c>
      <c r="D170" s="60">
        <v>1</v>
      </c>
      <c r="E170" s="40">
        <f>3.24+0.52</f>
        <v>3.7600000000000002</v>
      </c>
      <c r="F170" s="40">
        <f t="shared" si="10"/>
        <v>1.64</v>
      </c>
      <c r="G170" s="40"/>
      <c r="H170" s="40">
        <f t="shared" si="11"/>
        <v>6.1664000000000003</v>
      </c>
      <c r="I170" s="40"/>
      <c r="J170" s="41"/>
    </row>
    <row r="171" spans="2:10" s="1" customFormat="1" ht="12.75" x14ac:dyDescent="0.2">
      <c r="B171" s="380"/>
      <c r="C171" s="393" t="s">
        <v>780</v>
      </c>
      <c r="D171" s="60"/>
      <c r="E171" s="40"/>
      <c r="F171" s="40"/>
      <c r="G171" s="40"/>
      <c r="H171" s="40"/>
      <c r="I171" s="40"/>
      <c r="J171" s="41"/>
    </row>
    <row r="172" spans="2:10" s="1" customFormat="1" ht="12.75" x14ac:dyDescent="0.2">
      <c r="B172" s="380"/>
      <c r="C172" s="39" t="s">
        <v>473</v>
      </c>
      <c r="D172" s="60">
        <v>1</v>
      </c>
      <c r="E172" s="40">
        <f>5+0.7+0.15+0.17+0.33+0.2</f>
        <v>6.5500000000000007</v>
      </c>
      <c r="F172" s="40">
        <v>1.64</v>
      </c>
      <c r="G172" s="40"/>
      <c r="H172" s="40">
        <f t="shared" si="11"/>
        <v>10.742000000000001</v>
      </c>
      <c r="I172" s="40"/>
      <c r="J172" s="41"/>
    </row>
    <row r="173" spans="2:10" s="1" customFormat="1" ht="12.75" x14ac:dyDescent="0.2">
      <c r="B173" s="380"/>
      <c r="C173" s="39"/>
      <c r="D173" s="60"/>
      <c r="E173" s="40"/>
      <c r="F173" s="40"/>
      <c r="G173" s="40"/>
      <c r="H173" s="40"/>
      <c r="I173" s="40"/>
      <c r="J173" s="41"/>
    </row>
    <row r="174" spans="2:10" s="1" customFormat="1" ht="12.75" x14ac:dyDescent="0.2">
      <c r="B174" s="380"/>
      <c r="C174" s="43" t="s">
        <v>468</v>
      </c>
      <c r="D174" s="60"/>
      <c r="E174" s="40"/>
      <c r="F174" s="40"/>
      <c r="G174" s="40"/>
      <c r="H174" s="40"/>
      <c r="I174" s="40"/>
      <c r="J174" s="41"/>
    </row>
    <row r="175" spans="2:10" s="1" customFormat="1" ht="12.75" x14ac:dyDescent="0.2">
      <c r="B175" s="380"/>
      <c r="C175" s="39" t="s">
        <v>469</v>
      </c>
      <c r="D175" s="60">
        <v>1</v>
      </c>
      <c r="E175" s="40">
        <f>2.26+0.66+3.46</f>
        <v>6.38</v>
      </c>
      <c r="F175" s="40">
        <f>18.4/5.83</f>
        <v>3.1560891938250424</v>
      </c>
      <c r="G175" s="40"/>
      <c r="H175" s="40">
        <f t="shared" si="11"/>
        <v>20.135849056603771</v>
      </c>
      <c r="I175" s="40"/>
      <c r="J175" s="41"/>
    </row>
    <row r="176" spans="2:10" s="1" customFormat="1" ht="12.75" x14ac:dyDescent="0.2">
      <c r="B176" s="380"/>
      <c r="C176" s="39" t="s">
        <v>470</v>
      </c>
      <c r="D176" s="60">
        <v>1</v>
      </c>
      <c r="E176" s="40">
        <f>6.11+17.91+19.47</f>
        <v>43.489999999999995</v>
      </c>
      <c r="F176" s="40">
        <f>18.4/5.83</f>
        <v>3.1560891938250424</v>
      </c>
      <c r="G176" s="40"/>
      <c r="H176" s="40">
        <f t="shared" si="11"/>
        <v>137.25831903945107</v>
      </c>
      <c r="I176" s="40"/>
      <c r="J176" s="41"/>
    </row>
    <row r="177" spans="2:10" s="1" customFormat="1" ht="12.75" x14ac:dyDescent="0.2">
      <c r="B177" s="380"/>
      <c r="C177" s="111"/>
      <c r="D177" s="60"/>
      <c r="E177" s="40"/>
      <c r="F177" s="40"/>
      <c r="G177" s="40"/>
      <c r="H177" s="40"/>
      <c r="I177" s="40"/>
      <c r="J177" s="41"/>
    </row>
    <row r="178" spans="2:10" s="1" customFormat="1" ht="12.75" x14ac:dyDescent="0.2">
      <c r="B178" s="380"/>
      <c r="C178" s="111"/>
      <c r="D178" s="60"/>
      <c r="E178" s="40"/>
      <c r="F178" s="40"/>
      <c r="G178" s="40"/>
      <c r="H178" s="40"/>
      <c r="I178" s="40"/>
      <c r="J178" s="41"/>
    </row>
    <row r="179" spans="2:10" s="1" customFormat="1" ht="12.75" x14ac:dyDescent="0.2">
      <c r="B179" s="25" t="s">
        <v>899</v>
      </c>
      <c r="C179" s="28" t="s">
        <v>625</v>
      </c>
      <c r="D179" s="60"/>
      <c r="E179" s="40"/>
      <c r="F179" s="40"/>
      <c r="G179" s="40"/>
      <c r="H179" s="40"/>
      <c r="I179" s="40">
        <f>+SUM(H180:H183)</f>
        <v>0.19200000000000003</v>
      </c>
      <c r="J179" s="41" t="s">
        <v>4</v>
      </c>
    </row>
    <row r="180" spans="2:10" s="1" customFormat="1" ht="12.75" x14ac:dyDescent="0.2">
      <c r="B180" s="46"/>
      <c r="C180" s="39" t="s">
        <v>447</v>
      </c>
      <c r="D180" s="60">
        <v>2</v>
      </c>
      <c r="E180" s="40">
        <v>0.8</v>
      </c>
      <c r="F180" s="40">
        <v>0.1</v>
      </c>
      <c r="G180" s="40">
        <v>0.4</v>
      </c>
      <c r="H180" s="40">
        <f>IF(AND(F180=0,G180=0),D180*E180,IF(AND(E180=0,G180=0),D180*F180,IF(AND(E180=0,F180=0),D180*G180,IF(AND(E180=0),D180*F180*G180,IF(AND(F180=0),D180*E180*G180,IF(AND(G180=0),D180*E180*F180,D180*E180*F180*G180))))))</f>
        <v>6.4000000000000015E-2</v>
      </c>
      <c r="I180" s="40"/>
      <c r="J180" s="41"/>
    </row>
    <row r="181" spans="2:10" s="1" customFormat="1" ht="12.75" x14ac:dyDescent="0.2">
      <c r="B181" s="46"/>
      <c r="D181" s="1">
        <v>2</v>
      </c>
      <c r="E181" s="40">
        <v>0.4</v>
      </c>
      <c r="F181" s="40">
        <v>0.1</v>
      </c>
      <c r="G181" s="40">
        <v>0.4</v>
      </c>
      <c r="H181" s="40">
        <f>IF(AND(F181=0,G181=0),D181*E181,IF(AND(E181=0,G181=0),D181*F181,IF(AND(E181=0,F181=0),D181*G181,IF(AND(E181=0),D181*F181*G181,IF(AND(F181=0),D181*E181*G181,IF(AND(G181=0),D181*E181*F181,D181*E181*F181*G181))))))</f>
        <v>3.2000000000000008E-2</v>
      </c>
      <c r="I181" s="40"/>
      <c r="J181" s="41"/>
    </row>
    <row r="182" spans="2:10" s="1" customFormat="1" ht="12.75" x14ac:dyDescent="0.2">
      <c r="B182" s="46"/>
      <c r="C182" s="39" t="s">
        <v>413</v>
      </c>
      <c r="D182" s="60">
        <v>2</v>
      </c>
      <c r="E182" s="40">
        <v>0.8</v>
      </c>
      <c r="F182" s="40">
        <v>0.1</v>
      </c>
      <c r="G182" s="40">
        <v>0.4</v>
      </c>
      <c r="H182" s="40">
        <f t="shared" ref="H182:H183" si="13">IF(AND(F182=0,G182=0),D182*E182,IF(AND(E182=0,G182=0),D182*F182,IF(AND(E182=0,F182=0),D182*G182,IF(AND(E182=0),D182*F182*G182,IF(AND(F182=0),D182*E182*G182,IF(AND(G182=0),D182*E182*F182,D182*E182*F182*G182))))))</f>
        <v>6.4000000000000015E-2</v>
      </c>
      <c r="I182" s="40"/>
      <c r="J182" s="41"/>
    </row>
    <row r="183" spans="2:10" s="1" customFormat="1" ht="12.75" x14ac:dyDescent="0.2">
      <c r="B183" s="46"/>
      <c r="C183" s="59"/>
      <c r="D183" s="60">
        <v>2</v>
      </c>
      <c r="E183" s="40">
        <v>0.4</v>
      </c>
      <c r="F183" s="40">
        <v>0.1</v>
      </c>
      <c r="G183" s="40">
        <v>0.4</v>
      </c>
      <c r="H183" s="40">
        <f t="shared" si="13"/>
        <v>3.2000000000000008E-2</v>
      </c>
      <c r="I183" s="40"/>
      <c r="J183" s="41"/>
    </row>
    <row r="184" spans="2:10" s="1" customFormat="1" ht="12.75" x14ac:dyDescent="0.2">
      <c r="B184" s="46"/>
      <c r="C184" s="59"/>
      <c r="D184" s="60"/>
      <c r="E184" s="40"/>
      <c r="F184" s="40"/>
      <c r="G184" s="40"/>
      <c r="H184" s="40"/>
      <c r="I184" s="40"/>
      <c r="J184" s="41"/>
    </row>
    <row r="185" spans="2:10" s="1" customFormat="1" ht="12.75" x14ac:dyDescent="0.2">
      <c r="B185" s="46"/>
      <c r="C185" s="59"/>
      <c r="D185" s="60"/>
      <c r="E185" s="40"/>
      <c r="F185" s="40"/>
      <c r="G185" s="40"/>
      <c r="H185" s="40"/>
      <c r="I185" s="40"/>
      <c r="J185" s="41"/>
    </row>
    <row r="186" spans="2:10" s="1" customFormat="1" ht="12.75" x14ac:dyDescent="0.2">
      <c r="B186" s="25" t="s">
        <v>900</v>
      </c>
      <c r="C186" s="28" t="s">
        <v>789</v>
      </c>
      <c r="D186" s="60" t="s">
        <v>791</v>
      </c>
      <c r="E186" s="40"/>
      <c r="F186" s="40"/>
      <c r="G186" s="40"/>
      <c r="H186" s="40"/>
      <c r="I186" s="40">
        <f>+SUM(H187:H191)</f>
        <v>1.7371275892166493</v>
      </c>
      <c r="J186" s="41" t="s">
        <v>4</v>
      </c>
    </row>
    <row r="187" spans="2:10" s="1" customFormat="1" ht="12.75" x14ac:dyDescent="0.2">
      <c r="B187" s="107"/>
      <c r="C187" s="39" t="s">
        <v>447</v>
      </c>
      <c r="D187" s="40">
        <v>1.25</v>
      </c>
      <c r="E187" s="40">
        <v>0.6</v>
      </c>
      <c r="F187" s="40">
        <v>0.8</v>
      </c>
      <c r="G187" s="40">
        <f>0.3+0.2</f>
        <v>0.5</v>
      </c>
      <c r="H187" s="40">
        <f>IF(AND(F187=0,G187=0),D187*E187,IF(AND(E187=0,G187=0),D187*F187,IF(AND(E187=0,F187=0),D187*G187,IF(AND(E187=0),D187*F187*G187,IF(AND(F187=0),D187*E187*G187,IF(AND(G187=0),D187*E187*F187,D187*E187*F187*G187))))))</f>
        <v>0.30000000000000004</v>
      </c>
      <c r="I187" s="40"/>
      <c r="J187" s="41"/>
    </row>
    <row r="188" spans="2:10" s="1" customFormat="1" ht="12.75" x14ac:dyDescent="0.2">
      <c r="B188" s="107"/>
      <c r="C188" s="39" t="s">
        <v>413</v>
      </c>
      <c r="D188" s="40">
        <v>1.25</v>
      </c>
      <c r="E188" s="40">
        <v>0.6</v>
      </c>
      <c r="F188" s="40">
        <v>0.8</v>
      </c>
      <c r="G188" s="40">
        <f>0.3+0.2</f>
        <v>0.5</v>
      </c>
      <c r="H188" s="40">
        <f>IF(AND(F188=0,G188=0),D188*E188,IF(AND(E188=0,G188=0),D188*F188,IF(AND(E188=0,F188=0),D188*G188,IF(AND(E188=0),D188*F188*G188,IF(AND(F188=0),D188*E188*G188,IF(AND(G188=0),D188*E188*F188,D188*E188*F188*G188))))))</f>
        <v>0.30000000000000004</v>
      </c>
      <c r="I188" s="40"/>
      <c r="J188" s="41"/>
    </row>
    <row r="189" spans="2:10" s="1" customFormat="1" ht="12.75" x14ac:dyDescent="0.2">
      <c r="B189" s="107"/>
      <c r="C189" s="43" t="s">
        <v>468</v>
      </c>
      <c r="D189" s="60"/>
      <c r="E189" s="40"/>
      <c r="F189" s="40"/>
      <c r="G189" s="40"/>
      <c r="H189" s="40"/>
      <c r="I189" s="40"/>
      <c r="J189" s="41"/>
    </row>
    <row r="190" spans="2:10" s="1" customFormat="1" ht="12.75" x14ac:dyDescent="0.2">
      <c r="B190" s="107"/>
      <c r="F190" s="40" t="s">
        <v>786</v>
      </c>
      <c r="G190" s="40">
        <v>6</v>
      </c>
      <c r="I190" s="40"/>
      <c r="J190" s="41"/>
    </row>
    <row r="191" spans="2:10" s="1" customFormat="1" ht="12.75" x14ac:dyDescent="0.2">
      <c r="B191" s="107"/>
      <c r="C191" s="39" t="s">
        <v>784</v>
      </c>
      <c r="D191" s="60">
        <v>1.25</v>
      </c>
      <c r="E191" s="40">
        <f>+E155</f>
        <v>49.87</v>
      </c>
      <c r="F191" s="40" t="s">
        <v>785</v>
      </c>
      <c r="G191" s="40">
        <f>+PI()*((G190*0.0254)^2)/4</f>
        <v>1.8241469247509915E-2</v>
      </c>
      <c r="H191" s="40">
        <f>+D191*E191*G191</f>
        <v>1.1371275892166492</v>
      </c>
      <c r="I191" s="40"/>
      <c r="J191" s="41"/>
    </row>
    <row r="192" spans="2:10" s="1" customFormat="1" ht="12.75" x14ac:dyDescent="0.2">
      <c r="B192" s="107"/>
      <c r="C192" s="343"/>
      <c r="D192" s="60"/>
      <c r="E192" s="40"/>
      <c r="F192" s="40"/>
      <c r="G192" s="40"/>
      <c r="H192" s="40"/>
      <c r="I192" s="40"/>
      <c r="J192" s="41"/>
    </row>
    <row r="193" spans="2:12" s="1" customFormat="1" ht="12.75" x14ac:dyDescent="0.2">
      <c r="B193" s="107"/>
      <c r="C193" s="343"/>
      <c r="D193" s="60"/>
      <c r="E193" s="40"/>
      <c r="F193" s="40"/>
      <c r="G193" s="40"/>
      <c r="H193" s="40"/>
      <c r="I193" s="40"/>
      <c r="J193" s="41"/>
    </row>
    <row r="194" spans="2:12" s="1" customFormat="1" ht="12.75" x14ac:dyDescent="0.2">
      <c r="B194" s="393" t="s">
        <v>901</v>
      </c>
      <c r="C194" s="394" t="s">
        <v>624</v>
      </c>
      <c r="D194" s="60"/>
      <c r="E194" s="40"/>
      <c r="F194" s="40"/>
      <c r="G194" s="40"/>
      <c r="H194" s="40"/>
      <c r="I194" s="40">
        <f>+I186</f>
        <v>1.7371275892166493</v>
      </c>
      <c r="J194" s="41" t="s">
        <v>4</v>
      </c>
    </row>
    <row r="195" spans="2:12" s="1" customFormat="1" ht="12.75" x14ac:dyDescent="0.2">
      <c r="B195" s="46"/>
      <c r="C195" s="59"/>
      <c r="D195" s="60"/>
      <c r="E195" s="40"/>
      <c r="F195" s="40"/>
      <c r="G195" s="40"/>
      <c r="H195" s="40"/>
      <c r="I195" s="40"/>
      <c r="J195" s="41"/>
    </row>
    <row r="196" spans="2:12" x14ac:dyDescent="0.25">
      <c r="B196" s="73" t="s">
        <v>829</v>
      </c>
      <c r="C196" s="74" t="s">
        <v>626</v>
      </c>
      <c r="D196" s="23"/>
      <c r="E196" s="23"/>
      <c r="F196" s="23"/>
      <c r="G196" s="23"/>
      <c r="H196" s="24"/>
      <c r="I196" s="25"/>
      <c r="J196" s="26"/>
    </row>
    <row r="197" spans="2:12" s="1" customFormat="1" ht="12.75" x14ac:dyDescent="0.2">
      <c r="B197" s="43" t="s">
        <v>830</v>
      </c>
      <c r="C197" s="25" t="s">
        <v>627</v>
      </c>
      <c r="D197" s="60"/>
      <c r="E197" s="40"/>
      <c r="F197" s="40"/>
      <c r="G197" s="40"/>
      <c r="H197" s="40"/>
      <c r="I197" s="44">
        <f>+H198</f>
        <v>0</v>
      </c>
      <c r="J197" s="45" t="s">
        <v>45</v>
      </c>
      <c r="K197" s="1">
        <v>0</v>
      </c>
      <c r="L197" s="1">
        <f>+I197-K197</f>
        <v>0</v>
      </c>
    </row>
    <row r="198" spans="2:12" s="1" customFormat="1" ht="12.75" x14ac:dyDescent="0.2">
      <c r="B198" s="43"/>
      <c r="C198" s="39"/>
      <c r="D198" s="60"/>
      <c r="E198" s="40"/>
      <c r="F198" s="40"/>
      <c r="G198" s="40"/>
      <c r="H198" s="40">
        <v>0</v>
      </c>
      <c r="I198" s="44"/>
      <c r="J198" s="45"/>
    </row>
    <row r="199" spans="2:12" s="1" customFormat="1" ht="12.75" x14ac:dyDescent="0.2">
      <c r="B199" s="43" t="s">
        <v>831</v>
      </c>
      <c r="C199" s="25" t="s">
        <v>680</v>
      </c>
      <c r="D199" s="60"/>
      <c r="E199" s="40"/>
      <c r="F199" s="40"/>
      <c r="G199" s="40"/>
      <c r="H199" s="40"/>
      <c r="I199" s="44">
        <f>+SUM(H200:H201)</f>
        <v>0.96</v>
      </c>
      <c r="J199" s="45" t="s">
        <v>45</v>
      </c>
      <c r="K199" s="1">
        <v>0</v>
      </c>
      <c r="L199" s="1">
        <f>+I199-K199</f>
        <v>0.96</v>
      </c>
    </row>
    <row r="200" spans="2:12" s="1" customFormat="1" ht="12.75" x14ac:dyDescent="0.2">
      <c r="C200" s="39" t="s">
        <v>447</v>
      </c>
      <c r="D200" s="40">
        <v>1</v>
      </c>
      <c r="E200" s="40">
        <v>0.6</v>
      </c>
      <c r="F200" s="40">
        <v>0.8</v>
      </c>
      <c r="G200" s="40"/>
      <c r="H200" s="40">
        <f>IF(AND(F200=0,G200=0),D200*E200,IF(AND(E200=0,G200=0),D200*F200,IF(AND(E200=0,F200=0),D200*G200,IF(AND(E200=0),D200*F200*G200,IF(AND(F200=0),D200*E200*G200,IF(AND(G200=0),D200*E200*F200,D200*E200*F200*G200))))))</f>
        <v>0.48</v>
      </c>
      <c r="I200" s="40"/>
      <c r="J200" s="41"/>
    </row>
    <row r="201" spans="2:12" s="1" customFormat="1" ht="12.75" x14ac:dyDescent="0.2">
      <c r="C201" s="39" t="s">
        <v>413</v>
      </c>
      <c r="D201" s="40">
        <v>1</v>
      </c>
      <c r="E201" s="40">
        <v>0.6</v>
      </c>
      <c r="F201" s="40">
        <v>0.8</v>
      </c>
      <c r="G201" s="40"/>
      <c r="H201" s="40">
        <f>IF(AND(F201=0,G201=0),D201*E201,IF(AND(E201=0,G201=0),D201*F201,IF(AND(E201=0,F201=0),D201*G201,IF(AND(E201=0),D201*F201*G201,IF(AND(F201=0),D201*E201*G201,IF(AND(G201=0),D201*E201*F201,D201*E201*F201*G201))))))</f>
        <v>0.48</v>
      </c>
      <c r="I201" s="40"/>
      <c r="J201" s="41"/>
    </row>
    <row r="202" spans="2:12" s="1" customFormat="1" ht="12.75" x14ac:dyDescent="0.2">
      <c r="B202" s="43"/>
      <c r="C202" s="39"/>
      <c r="D202" s="60"/>
      <c r="E202" s="40"/>
      <c r="F202" s="40"/>
      <c r="G202" s="40"/>
      <c r="H202" s="40"/>
      <c r="I202" s="44"/>
      <c r="J202" s="45"/>
    </row>
    <row r="203" spans="2:12" s="1" customFormat="1" ht="12.75" x14ac:dyDescent="0.2">
      <c r="B203" s="57" t="s">
        <v>838</v>
      </c>
      <c r="C203" s="58" t="s">
        <v>224</v>
      </c>
      <c r="D203" s="60"/>
      <c r="E203" s="40"/>
      <c r="F203" s="40"/>
      <c r="G203" s="40"/>
      <c r="H203" s="40"/>
      <c r="I203" s="40"/>
      <c r="J203" s="41"/>
    </row>
    <row r="204" spans="2:12" s="1" customFormat="1" ht="12.75" x14ac:dyDescent="0.2">
      <c r="B204" s="43" t="s">
        <v>849</v>
      </c>
      <c r="C204" s="25" t="s">
        <v>902</v>
      </c>
      <c r="D204" s="60"/>
      <c r="E204" s="40"/>
      <c r="F204" s="40"/>
      <c r="G204" s="40"/>
      <c r="H204" s="40"/>
      <c r="I204" s="44">
        <f>+SUM(H205:H205)</f>
        <v>6.5500000000000007</v>
      </c>
      <c r="J204" s="45" t="s">
        <v>345</v>
      </c>
    </row>
    <row r="205" spans="2:12" s="1" customFormat="1" ht="12.75" x14ac:dyDescent="0.2">
      <c r="B205" s="43"/>
      <c r="C205" s="39" t="s">
        <v>473</v>
      </c>
      <c r="D205" s="60">
        <v>1</v>
      </c>
      <c r="E205" s="40">
        <f>5+0.7+0.15+0.17+0.33+0.2</f>
        <v>6.5500000000000007</v>
      </c>
      <c r="F205" s="40"/>
      <c r="G205" s="40"/>
      <c r="H205" s="40">
        <f>IF(AND(F205=0,G205=0),D205*E205,IF(AND(E205=0,G205=0),D205*F205,IF(AND(E205=0,F205=0),D205*G205,IF(AND(E205=0),D205*F205*G205,IF(AND(F205=0),D205*E205*G205,IF(AND(G205=0),D205*E205*F205,D205*E205*F205*G205))))))</f>
        <v>6.5500000000000007</v>
      </c>
      <c r="I205" s="44"/>
      <c r="J205" s="45"/>
    </row>
    <row r="206" spans="2:12" s="1" customFormat="1" ht="12.75" x14ac:dyDescent="0.2">
      <c r="B206" s="43" t="s">
        <v>851</v>
      </c>
      <c r="C206" s="43" t="s">
        <v>468</v>
      </c>
      <c r="D206" s="60"/>
      <c r="E206" s="40"/>
      <c r="F206" s="40"/>
      <c r="G206" s="40"/>
      <c r="H206" s="40"/>
      <c r="I206" s="44">
        <f>+SUM(H207:H208)</f>
        <v>49.87</v>
      </c>
      <c r="J206" s="45" t="s">
        <v>345</v>
      </c>
    </row>
    <row r="207" spans="2:12" s="1" customFormat="1" ht="12.75" x14ac:dyDescent="0.2">
      <c r="C207" s="39" t="s">
        <v>469</v>
      </c>
      <c r="D207" s="60">
        <v>1</v>
      </c>
      <c r="E207" s="40">
        <f>2.26+0.66+3.46</f>
        <v>6.38</v>
      </c>
      <c r="F207" s="40"/>
      <c r="G207" s="40"/>
      <c r="H207" s="40">
        <f>IF(AND(F207=0,G207=0),D207*E207,IF(AND(E207=0,G207=0),D207*F207,IF(AND(E207=0,F207=0),D207*G207,IF(AND(E207=0),D207*F207*G207,IF(AND(F207=0),D207*E207*G207,IF(AND(G207=0),D207*E207*F207,D207*E207*F207*G207))))))</f>
        <v>6.38</v>
      </c>
      <c r="I207" s="44"/>
      <c r="J207" s="45"/>
    </row>
    <row r="208" spans="2:12" s="1" customFormat="1" ht="12.75" x14ac:dyDescent="0.2">
      <c r="C208" s="39" t="s">
        <v>470</v>
      </c>
      <c r="D208" s="60">
        <v>1</v>
      </c>
      <c r="E208" s="40">
        <f>6.11+17.91+19.47</f>
        <v>43.489999999999995</v>
      </c>
      <c r="F208" s="40"/>
      <c r="G208" s="40"/>
      <c r="H208" s="40">
        <f>IF(AND(F208=0,G208=0),D208*E208,IF(AND(E208=0,G208=0),D208*F208,IF(AND(E208=0,F208=0),D208*G208,IF(AND(E208=0),D208*F208*G208,IF(AND(F208=0),D208*E208*G208,IF(AND(G208=0),D208*E208*F208,D208*E208*F208*G208))))))</f>
        <v>43.489999999999995</v>
      </c>
      <c r="I208" s="44"/>
      <c r="J208" s="45"/>
    </row>
    <row r="209" spans="2:10" s="1" customFormat="1" ht="12.75" x14ac:dyDescent="0.2">
      <c r="B209" s="43" t="s">
        <v>854</v>
      </c>
      <c r="C209" s="43" t="s">
        <v>695</v>
      </c>
      <c r="D209" s="60"/>
      <c r="E209" s="40"/>
      <c r="F209" s="40"/>
      <c r="G209" s="40"/>
      <c r="H209" s="40"/>
      <c r="I209" s="44">
        <f>SUM(H210:H211)</f>
        <v>2</v>
      </c>
      <c r="J209" s="45" t="s">
        <v>13</v>
      </c>
    </row>
    <row r="210" spans="2:10" s="1" customFormat="1" ht="12.75" x14ac:dyDescent="0.2">
      <c r="B210" s="57"/>
      <c r="C210" s="39" t="s">
        <v>447</v>
      </c>
      <c r="D210" s="40">
        <v>1</v>
      </c>
      <c r="E210" s="40"/>
      <c r="F210" s="40"/>
      <c r="G210" s="40"/>
      <c r="H210" s="40">
        <f>+D210</f>
        <v>1</v>
      </c>
      <c r="I210" s="40"/>
      <c r="J210" s="41"/>
    </row>
    <row r="211" spans="2:10" x14ac:dyDescent="0.25">
      <c r="C211" s="39" t="s">
        <v>413</v>
      </c>
      <c r="D211" s="40">
        <v>1</v>
      </c>
      <c r="F211" s="40"/>
      <c r="G211" s="40"/>
      <c r="H211" s="40">
        <f>+D211</f>
        <v>1</v>
      </c>
    </row>
    <row r="212" spans="2:10" s="1" customFormat="1" ht="12.75" x14ac:dyDescent="0.2">
      <c r="B212" s="25" t="s">
        <v>859</v>
      </c>
      <c r="C212" s="28" t="s">
        <v>735</v>
      </c>
      <c r="D212" s="60"/>
      <c r="E212" s="40"/>
      <c r="F212" s="40"/>
      <c r="G212" s="40"/>
      <c r="H212" s="40"/>
      <c r="I212" s="40">
        <f>+SUM(H213:H216)</f>
        <v>2.76</v>
      </c>
      <c r="J212" s="41" t="s">
        <v>45</v>
      </c>
    </row>
    <row r="213" spans="2:10" s="1" customFormat="1" ht="12.75" x14ac:dyDescent="0.2">
      <c r="B213" s="107"/>
      <c r="C213" s="39" t="s">
        <v>447</v>
      </c>
      <c r="D213" s="40">
        <v>1</v>
      </c>
      <c r="E213" s="40">
        <v>2</v>
      </c>
      <c r="F213" s="40"/>
      <c r="G213" s="40">
        <f>0.3+0.15</f>
        <v>0.44999999999999996</v>
      </c>
      <c r="H213" s="40">
        <f>IF(AND(F213=0,G213=0),D213*E213,IF(AND(E213=0,G213=0),D213*F213,IF(AND(E213=0,F213=0),D213*G213,IF(AND(E213=0),D213*F213*G213,IF(AND(F213=0),D213*E213*G213,IF(AND(G213=0),D213*E213*F213,D213*E213*F213*G213))))))</f>
        <v>0.89999999999999991</v>
      </c>
      <c r="I213" s="40"/>
      <c r="J213" s="41"/>
    </row>
    <row r="214" spans="2:10" s="1" customFormat="1" ht="12.75" x14ac:dyDescent="0.2">
      <c r="B214" s="107"/>
      <c r="C214" s="39"/>
      <c r="D214" s="60">
        <v>1</v>
      </c>
      <c r="E214" s="40">
        <v>0.6</v>
      </c>
      <c r="F214" s="40"/>
      <c r="G214" s="40">
        <v>0.8</v>
      </c>
      <c r="H214" s="40">
        <f>IF(AND(F214=0,G214=0),D214*E214,IF(AND(E214=0,G214=0),D214*F214,IF(AND(E214=0,F214=0),D214*G214,IF(AND(E214=0),D214*F214*G214,IF(AND(F214=0),D214*E214*G214,IF(AND(G214=0),D214*E214*F214,D214*E214*F214*G214))))))</f>
        <v>0.48</v>
      </c>
      <c r="I214" s="40"/>
      <c r="J214" s="41"/>
    </row>
    <row r="215" spans="2:10" s="1" customFormat="1" ht="12.75" x14ac:dyDescent="0.2">
      <c r="B215" s="107"/>
      <c r="C215" s="39" t="s">
        <v>413</v>
      </c>
      <c r="D215" s="40">
        <v>1</v>
      </c>
      <c r="E215" s="40">
        <v>2</v>
      </c>
      <c r="F215" s="40"/>
      <c r="G215" s="40">
        <f>0.3+0.15</f>
        <v>0.44999999999999996</v>
      </c>
      <c r="H215" s="40">
        <f>IF(AND(F215=0,G215=0),D215*E215,IF(AND(E215=0,G215=0),D215*F215,IF(AND(E215=0,F215=0),D215*G215,IF(AND(E215=0),D215*F215*G215,IF(AND(F215=0),D215*E215*G215,IF(AND(G215=0),D215*E215*F215,D215*E215*F215*G215))))))</f>
        <v>0.89999999999999991</v>
      </c>
      <c r="I215" s="40"/>
      <c r="J215" s="41"/>
    </row>
    <row r="216" spans="2:10" s="1" customFormat="1" ht="12.75" x14ac:dyDescent="0.2">
      <c r="B216" s="107"/>
      <c r="C216" s="59"/>
      <c r="D216" s="60">
        <v>1</v>
      </c>
      <c r="E216" s="40">
        <v>0.6</v>
      </c>
      <c r="F216" s="40"/>
      <c r="G216" s="40">
        <v>0.8</v>
      </c>
      <c r="H216" s="40">
        <f>IF(AND(F216=0,G216=0),D216*E216,IF(AND(E216=0,G216=0),D216*F216,IF(AND(E216=0,F216=0),D216*G216,IF(AND(E216=0),D216*F216*G216,IF(AND(F216=0),D216*E216*G216,IF(AND(G216=0),D216*E216*F216,D216*E216*F216*G216))))))</f>
        <v>0.48</v>
      </c>
      <c r="I216" s="40"/>
      <c r="J216" s="41"/>
    </row>
    <row r="217" spans="2:10" s="1" customFormat="1" ht="12.75" x14ac:dyDescent="0.2">
      <c r="C217" s="39"/>
      <c r="D217" s="60"/>
      <c r="E217" s="40"/>
      <c r="F217" s="40"/>
      <c r="G217" s="40"/>
      <c r="H217" s="40"/>
      <c r="I217" s="40"/>
      <c r="J217" s="41"/>
    </row>
    <row r="218" spans="2:10" s="1" customFormat="1" ht="12.75" x14ac:dyDescent="0.2">
      <c r="B218" s="57" t="s">
        <v>876</v>
      </c>
      <c r="C218" s="58" t="s">
        <v>223</v>
      </c>
      <c r="D218" s="60"/>
      <c r="E218" s="40"/>
      <c r="F218" s="40"/>
      <c r="G218" s="40"/>
      <c r="H218" s="40"/>
      <c r="I218" s="40"/>
      <c r="J218" s="41"/>
    </row>
    <row r="219" spans="2:10" s="1" customFormat="1" ht="12.75" x14ac:dyDescent="0.2">
      <c r="B219" s="43" t="s">
        <v>877</v>
      </c>
      <c r="C219" s="412" t="s">
        <v>657</v>
      </c>
      <c r="D219" s="60"/>
      <c r="E219" s="40"/>
      <c r="F219" s="40"/>
      <c r="G219" s="40"/>
      <c r="H219" s="40"/>
      <c r="I219" s="44">
        <f>+SUM(H220:H224)</f>
        <v>19</v>
      </c>
      <c r="J219" s="45" t="s">
        <v>13</v>
      </c>
    </row>
    <row r="220" spans="2:10" s="1" customFormat="1" ht="12.75" x14ac:dyDescent="0.2">
      <c r="B220" s="46"/>
      <c r="C220" s="39" t="s">
        <v>454</v>
      </c>
      <c r="D220" s="60">
        <v>3</v>
      </c>
      <c r="E220" s="40"/>
      <c r="F220" s="40"/>
      <c r="G220" s="40"/>
      <c r="H220" s="40">
        <f>+D220</f>
        <v>3</v>
      </c>
      <c r="I220" s="40"/>
      <c r="J220" s="41"/>
    </row>
    <row r="221" spans="2:10" s="1" customFormat="1" ht="12.75" x14ac:dyDescent="0.2">
      <c r="B221" s="46"/>
      <c r="C221" s="39" t="s">
        <v>455</v>
      </c>
      <c r="D221" s="60">
        <v>2</v>
      </c>
      <c r="E221" s="40"/>
      <c r="F221" s="40"/>
      <c r="G221" s="40"/>
      <c r="H221" s="40">
        <f>+D221</f>
        <v>2</v>
      </c>
      <c r="I221" s="40"/>
      <c r="J221" s="41"/>
    </row>
    <row r="222" spans="2:10" s="1" customFormat="1" ht="12.75" x14ac:dyDescent="0.2">
      <c r="B222" s="46"/>
      <c r="C222" s="39" t="s">
        <v>456</v>
      </c>
      <c r="D222" s="60">
        <v>2</v>
      </c>
      <c r="E222" s="40"/>
      <c r="F222" s="40"/>
      <c r="G222" s="40"/>
      <c r="H222" s="40">
        <f>+D222</f>
        <v>2</v>
      </c>
      <c r="I222" s="40"/>
      <c r="J222" s="41"/>
    </row>
    <row r="223" spans="2:10" s="1" customFormat="1" ht="12.75" x14ac:dyDescent="0.2">
      <c r="B223" s="46"/>
      <c r="C223" s="59" t="s">
        <v>72</v>
      </c>
      <c r="D223" s="60">
        <v>10</v>
      </c>
      <c r="E223" s="40"/>
      <c r="F223" s="40"/>
      <c r="G223" s="40"/>
      <c r="H223" s="40">
        <f>+D223</f>
        <v>10</v>
      </c>
      <c r="I223" s="40"/>
      <c r="J223" s="41"/>
    </row>
    <row r="224" spans="2:10" s="1" customFormat="1" ht="12.75" x14ac:dyDescent="0.2">
      <c r="B224" s="46"/>
      <c r="C224" s="59" t="s">
        <v>475</v>
      </c>
      <c r="D224" s="60">
        <v>2</v>
      </c>
      <c r="E224" s="40"/>
      <c r="F224" s="40"/>
      <c r="G224" s="40"/>
      <c r="H224" s="40">
        <f>+D224</f>
        <v>2</v>
      </c>
      <c r="I224" s="40"/>
      <c r="J224" s="41"/>
    </row>
    <row r="225" spans="2:10" s="1" customFormat="1" ht="12.75" x14ac:dyDescent="0.2">
      <c r="B225" s="46"/>
      <c r="C225" s="59"/>
      <c r="D225" s="60"/>
      <c r="E225" s="40"/>
      <c r="F225" s="40"/>
      <c r="G225" s="40"/>
      <c r="H225" s="40"/>
      <c r="I225" s="40"/>
      <c r="J225" s="41"/>
    </row>
    <row r="226" spans="2:10" s="1" customFormat="1" ht="12.75" x14ac:dyDescent="0.2">
      <c r="B226" s="43" t="s">
        <v>881</v>
      </c>
      <c r="C226" s="43" t="s">
        <v>477</v>
      </c>
      <c r="D226" s="60"/>
      <c r="E226" s="40"/>
      <c r="F226" s="40"/>
      <c r="G226" s="40"/>
      <c r="H226" s="40"/>
      <c r="I226" s="44">
        <f>+SUM(H227)</f>
        <v>2</v>
      </c>
      <c r="J226" s="45" t="s">
        <v>13</v>
      </c>
    </row>
    <row r="227" spans="2:10" s="1" customFormat="1" ht="12.75" x14ac:dyDescent="0.2">
      <c r="B227" s="46"/>
      <c r="C227" s="39" t="s">
        <v>478</v>
      </c>
      <c r="D227" s="60">
        <v>2</v>
      </c>
      <c r="E227" s="40"/>
      <c r="F227" s="40"/>
      <c r="G227" s="40"/>
      <c r="H227" s="40">
        <f>+D227</f>
        <v>2</v>
      </c>
      <c r="I227" s="40"/>
      <c r="J227" s="41"/>
    </row>
    <row r="228" spans="2:10" s="1" customFormat="1" ht="12.75" x14ac:dyDescent="0.2">
      <c r="B228" s="43" t="s">
        <v>886</v>
      </c>
      <c r="C228" s="43" t="s">
        <v>479</v>
      </c>
      <c r="D228" s="60"/>
      <c r="E228" s="40"/>
      <c r="F228" s="40"/>
      <c r="G228" s="40"/>
      <c r="H228" s="40"/>
      <c r="I228" s="44">
        <f>+SUM(H229:H230)</f>
        <v>2</v>
      </c>
      <c r="J228" s="45" t="s">
        <v>13</v>
      </c>
    </row>
    <row r="229" spans="2:10" s="1" customFormat="1" ht="12.75" x14ac:dyDescent="0.2">
      <c r="B229" s="46"/>
      <c r="C229" s="59" t="s">
        <v>480</v>
      </c>
      <c r="D229" s="60">
        <v>2</v>
      </c>
      <c r="E229" s="40"/>
      <c r="F229" s="40"/>
      <c r="G229" s="40"/>
      <c r="H229" s="40">
        <f>+D229</f>
        <v>2</v>
      </c>
      <c r="I229" s="40"/>
      <c r="J229" s="41"/>
    </row>
    <row r="230" spans="2:10" s="1" customFormat="1" ht="12.75" x14ac:dyDescent="0.2">
      <c r="B230" s="46"/>
      <c r="C230" s="59"/>
      <c r="D230" s="60"/>
      <c r="E230" s="40"/>
      <c r="F230" s="40"/>
      <c r="G230" s="40"/>
      <c r="H230" s="40"/>
      <c r="I230" s="40"/>
      <c r="J230" s="41"/>
    </row>
    <row r="231" spans="2:10" s="1" customFormat="1" ht="12.75" x14ac:dyDescent="0.2">
      <c r="B231" s="43" t="s">
        <v>888</v>
      </c>
      <c r="C231" s="28" t="s">
        <v>544</v>
      </c>
      <c r="D231" s="60"/>
      <c r="E231" s="40"/>
      <c r="F231" s="40"/>
      <c r="G231" s="40"/>
      <c r="H231" s="40"/>
      <c r="I231" s="44">
        <f>+SUM(H232:H233)</f>
        <v>1</v>
      </c>
      <c r="J231" s="45" t="s">
        <v>13</v>
      </c>
    </row>
    <row r="232" spans="2:10" s="1" customFormat="1" ht="12.75" x14ac:dyDescent="0.2">
      <c r="B232" s="46"/>
      <c r="C232" s="59" t="s">
        <v>481</v>
      </c>
      <c r="D232" s="60">
        <v>1</v>
      </c>
      <c r="E232" s="40"/>
      <c r="F232" s="40"/>
      <c r="G232" s="40"/>
      <c r="H232" s="40">
        <f>+D232</f>
        <v>1</v>
      </c>
      <c r="I232" s="40"/>
      <c r="J232" s="41"/>
    </row>
    <row r="233" spans="2:10" s="1" customFormat="1" ht="12.75" x14ac:dyDescent="0.2">
      <c r="B233" s="46"/>
      <c r="C233" s="59"/>
      <c r="D233" s="60"/>
      <c r="E233" s="40"/>
      <c r="F233" s="40"/>
      <c r="G233" s="40"/>
      <c r="H233" s="40"/>
      <c r="I233" s="40"/>
      <c r="J233" s="41"/>
    </row>
    <row r="234" spans="2:10" s="1" customFormat="1" ht="12.75" x14ac:dyDescent="0.2">
      <c r="B234" s="43" t="s">
        <v>890</v>
      </c>
      <c r="C234" s="28" t="s">
        <v>546</v>
      </c>
      <c r="D234" s="60"/>
      <c r="E234" s="40"/>
      <c r="F234" s="40"/>
      <c r="G234" s="40"/>
      <c r="H234" s="40"/>
      <c r="I234" s="44">
        <f>+SUM(H235:H235)</f>
        <v>1</v>
      </c>
      <c r="J234" s="45" t="s">
        <v>13</v>
      </c>
    </row>
    <row r="235" spans="2:10" s="1" customFormat="1" ht="12.75" x14ac:dyDescent="0.2">
      <c r="B235" s="46"/>
      <c r="C235" s="59" t="s">
        <v>481</v>
      </c>
      <c r="D235" s="60">
        <v>1</v>
      </c>
      <c r="E235" s="40"/>
      <c r="F235" s="40"/>
      <c r="G235" s="40"/>
      <c r="H235" s="40">
        <f>+D235</f>
        <v>1</v>
      </c>
      <c r="I235" s="40"/>
      <c r="J235" s="41"/>
    </row>
    <row r="236" spans="2:10" s="1" customFormat="1" ht="12.75" x14ac:dyDescent="0.2">
      <c r="B236" s="46"/>
      <c r="C236" s="59"/>
      <c r="D236" s="60"/>
      <c r="E236" s="40"/>
      <c r="F236" s="40"/>
      <c r="G236" s="40"/>
      <c r="H236" s="40"/>
      <c r="I236" s="40"/>
      <c r="J236" s="41"/>
    </row>
    <row r="237" spans="2:10" s="1" customFormat="1" ht="12.75" x14ac:dyDescent="0.2">
      <c r="B237" s="43" t="s">
        <v>891</v>
      </c>
      <c r="C237" s="426" t="s">
        <v>547</v>
      </c>
      <c r="D237" s="60"/>
      <c r="E237" s="40"/>
      <c r="F237" s="40"/>
      <c r="G237" s="40"/>
      <c r="H237" s="40"/>
      <c r="I237" s="44">
        <f>+SUM(H238:H239)</f>
        <v>1</v>
      </c>
      <c r="J237" s="45" t="s">
        <v>13</v>
      </c>
    </row>
    <row r="238" spans="2:10" s="1" customFormat="1" ht="12.75" x14ac:dyDescent="0.2">
      <c r="B238" s="46"/>
      <c r="C238" s="59" t="s">
        <v>481</v>
      </c>
      <c r="D238" s="60">
        <v>1</v>
      </c>
      <c r="E238" s="40"/>
      <c r="F238" s="40"/>
      <c r="G238" s="40"/>
      <c r="H238" s="40">
        <f>+D238</f>
        <v>1</v>
      </c>
      <c r="I238" s="40"/>
      <c r="J238" s="41"/>
    </row>
    <row r="239" spans="2:10" s="1" customFormat="1" ht="12.75" x14ac:dyDescent="0.2">
      <c r="B239" s="46"/>
      <c r="C239" s="59"/>
      <c r="D239" s="60"/>
      <c r="E239" s="40"/>
      <c r="F239" s="40"/>
      <c r="G239" s="40"/>
      <c r="H239" s="40"/>
      <c r="I239" s="40"/>
      <c r="J239" s="41"/>
    </row>
    <row r="240" spans="2:10" s="1" customFormat="1" ht="12.75" x14ac:dyDescent="0.2">
      <c r="B240" s="46"/>
      <c r="C240" s="59"/>
      <c r="D240" s="60"/>
      <c r="E240" s="40"/>
      <c r="F240" s="40"/>
      <c r="G240" s="40"/>
      <c r="H240" s="40"/>
      <c r="I240" s="44"/>
      <c r="J240" s="41"/>
    </row>
    <row r="241" spans="2:10" s="1" customFormat="1" ht="12.75" x14ac:dyDescent="0.2">
      <c r="B241" s="46"/>
      <c r="C241" s="59"/>
      <c r="D241" s="60"/>
      <c r="E241" s="40"/>
      <c r="F241" s="40"/>
      <c r="G241" s="40"/>
      <c r="H241" s="40"/>
      <c r="I241" s="40"/>
      <c r="J241" s="41"/>
    </row>
    <row r="242" spans="2:10" s="1" customFormat="1" ht="12.75" x14ac:dyDescent="0.2">
      <c r="B242" s="46"/>
      <c r="C242" s="59"/>
      <c r="D242" s="60"/>
      <c r="E242" s="40"/>
      <c r="F242" s="40"/>
      <c r="G242" s="40"/>
      <c r="H242" s="40"/>
      <c r="I242" s="40"/>
      <c r="J242" s="41"/>
    </row>
    <row r="243" spans="2:10" s="1" customFormat="1" ht="12.75" x14ac:dyDescent="0.2">
      <c r="B243" s="46"/>
      <c r="C243" s="59"/>
      <c r="D243" s="60"/>
      <c r="E243" s="40"/>
      <c r="F243" s="40"/>
      <c r="G243" s="40"/>
      <c r="H243" s="40"/>
      <c r="I243" s="40"/>
      <c r="J243" s="41"/>
    </row>
    <row r="244" spans="2:10" s="1" customFormat="1" ht="12.75" x14ac:dyDescent="0.2">
      <c r="B244" s="46"/>
      <c r="C244" s="59"/>
      <c r="D244" s="60"/>
      <c r="E244" s="40"/>
      <c r="F244" s="40"/>
      <c r="G244" s="40"/>
      <c r="H244" s="40"/>
      <c r="I244" s="40"/>
      <c r="J244" s="41"/>
    </row>
    <row r="245" spans="2:10" s="1" customFormat="1" ht="12.75" x14ac:dyDescent="0.2">
      <c r="B245" s="46"/>
      <c r="C245" s="59"/>
      <c r="D245" s="60"/>
      <c r="E245" s="40"/>
      <c r="F245" s="40"/>
      <c r="G245" s="40"/>
      <c r="H245" s="40"/>
      <c r="I245" s="40"/>
      <c r="J245" s="41"/>
    </row>
    <row r="246" spans="2:10" s="1" customFormat="1" ht="12.75" x14ac:dyDescent="0.2">
      <c r="B246" s="46"/>
      <c r="C246" s="59"/>
      <c r="D246" s="60"/>
      <c r="E246" s="40"/>
      <c r="F246" s="40"/>
      <c r="G246" s="40"/>
      <c r="H246" s="40"/>
      <c r="I246" s="40"/>
      <c r="J246" s="41"/>
    </row>
    <row r="247" spans="2:10" s="1" customFormat="1" ht="12.75" x14ac:dyDescent="0.2">
      <c r="B247" s="46"/>
      <c r="C247" s="59"/>
      <c r="D247" s="60"/>
      <c r="E247" s="40"/>
      <c r="F247" s="40"/>
      <c r="G247" s="40"/>
      <c r="H247" s="40"/>
      <c r="I247" s="40"/>
      <c r="J247" s="41"/>
    </row>
    <row r="248" spans="2:10" s="1" customFormat="1" ht="12.75" x14ac:dyDescent="0.2">
      <c r="B248" s="46"/>
      <c r="C248" s="59"/>
      <c r="D248" s="60"/>
      <c r="E248" s="40"/>
      <c r="F248" s="40"/>
      <c r="G248" s="40"/>
      <c r="H248" s="40"/>
      <c r="I248" s="40"/>
      <c r="J248" s="41"/>
    </row>
    <row r="249" spans="2:10" s="1" customFormat="1" ht="12.75" x14ac:dyDescent="0.2">
      <c r="B249" s="46"/>
      <c r="C249" s="59"/>
      <c r="D249" s="60"/>
      <c r="E249" s="40"/>
      <c r="F249" s="40"/>
      <c r="G249" s="40"/>
      <c r="H249" s="40"/>
      <c r="I249" s="40"/>
      <c r="J249" s="41"/>
    </row>
    <row r="250" spans="2:10" s="1" customFormat="1" ht="12.75" x14ac:dyDescent="0.2">
      <c r="B250" s="46"/>
      <c r="C250" s="59"/>
      <c r="D250" s="60"/>
      <c r="E250" s="40"/>
      <c r="F250" s="40"/>
      <c r="G250" s="40"/>
      <c r="H250" s="40"/>
      <c r="I250" s="40"/>
      <c r="J250" s="41"/>
    </row>
    <row r="251" spans="2:10" s="1" customFormat="1" ht="12.75" x14ac:dyDescent="0.2">
      <c r="B251" s="46"/>
      <c r="C251" s="59"/>
      <c r="D251" s="60"/>
      <c r="E251" s="40"/>
      <c r="F251" s="40"/>
      <c r="G251" s="40"/>
      <c r="H251" s="40"/>
      <c r="I251" s="40"/>
      <c r="J251" s="41"/>
    </row>
    <row r="252" spans="2:10" s="1" customFormat="1" ht="12.75" x14ac:dyDescent="0.2">
      <c r="B252" s="46"/>
      <c r="C252" s="59"/>
      <c r="D252" s="60"/>
      <c r="E252" s="40"/>
      <c r="F252" s="40"/>
      <c r="G252" s="40"/>
      <c r="H252" s="40"/>
      <c r="I252" s="40"/>
      <c r="J252" s="41"/>
    </row>
    <row r="253" spans="2:10" s="1" customFormat="1" ht="12.75" x14ac:dyDescent="0.2">
      <c r="B253" s="46"/>
      <c r="C253" s="59"/>
      <c r="D253" s="60"/>
      <c r="E253" s="40"/>
      <c r="F253" s="40"/>
      <c r="G253" s="40"/>
      <c r="H253" s="40"/>
      <c r="I253" s="40"/>
      <c r="J253" s="41"/>
    </row>
    <row r="254" spans="2:10" s="1" customFormat="1" ht="12.75" x14ac:dyDescent="0.2">
      <c r="B254" s="46"/>
      <c r="C254" s="59"/>
      <c r="D254" s="60"/>
      <c r="E254" s="40"/>
      <c r="F254" s="40"/>
      <c r="G254" s="40"/>
      <c r="H254" s="40"/>
      <c r="I254" s="40"/>
      <c r="J254" s="41"/>
    </row>
    <row r="255" spans="2:10" s="1" customFormat="1" ht="12.75" x14ac:dyDescent="0.2">
      <c r="B255" s="46"/>
      <c r="C255" s="59"/>
      <c r="D255" s="60"/>
      <c r="E255" s="40"/>
      <c r="F255" s="40"/>
      <c r="G255" s="40"/>
      <c r="H255" s="40"/>
      <c r="I255" s="40"/>
      <c r="J255" s="41"/>
    </row>
    <row r="256" spans="2:10" s="1" customFormat="1" ht="12.75" x14ac:dyDescent="0.2">
      <c r="B256" s="46"/>
      <c r="C256" s="59"/>
      <c r="D256" s="60"/>
      <c r="E256" s="40"/>
      <c r="F256" s="40"/>
      <c r="G256" s="40"/>
      <c r="H256" s="40"/>
      <c r="I256" s="40"/>
      <c r="J256" s="41"/>
    </row>
    <row r="257" spans="2:10" s="1" customFormat="1" ht="12.75" x14ac:dyDescent="0.2">
      <c r="B257" s="46"/>
      <c r="C257" s="59"/>
      <c r="D257" s="60"/>
      <c r="E257" s="40"/>
      <c r="F257" s="40"/>
      <c r="G257" s="40"/>
      <c r="H257" s="40"/>
      <c r="I257" s="40"/>
      <c r="J257" s="41"/>
    </row>
    <row r="258" spans="2:10" s="1" customFormat="1" ht="12.75" x14ac:dyDescent="0.2">
      <c r="B258" s="46"/>
      <c r="C258" s="59"/>
      <c r="D258" s="60"/>
      <c r="E258" s="40"/>
      <c r="F258" s="40"/>
      <c r="G258" s="40"/>
      <c r="H258" s="40"/>
      <c r="I258" s="40"/>
      <c r="J258" s="41"/>
    </row>
    <row r="259" spans="2:10" s="1" customFormat="1" ht="12.75" x14ac:dyDescent="0.2">
      <c r="B259" s="46"/>
      <c r="C259" s="59"/>
      <c r="D259" s="60"/>
      <c r="E259" s="40"/>
      <c r="F259" s="40"/>
      <c r="G259" s="40"/>
      <c r="H259" s="40"/>
      <c r="I259" s="40"/>
      <c r="J259" s="41"/>
    </row>
    <row r="260" spans="2:10" s="1" customFormat="1" ht="12.75" x14ac:dyDescent="0.2">
      <c r="B260" s="46"/>
      <c r="C260" s="59"/>
      <c r="D260" s="60"/>
      <c r="E260" s="40"/>
      <c r="F260" s="40"/>
      <c r="G260" s="40"/>
      <c r="H260" s="40"/>
      <c r="I260" s="40"/>
      <c r="J260" s="41"/>
    </row>
    <row r="261" spans="2:10" s="1" customFormat="1" ht="12.75" x14ac:dyDescent="0.2">
      <c r="B261" s="46"/>
      <c r="C261" s="59"/>
      <c r="D261" s="60"/>
      <c r="E261" s="40"/>
      <c r="F261" s="40"/>
      <c r="G261" s="40"/>
      <c r="H261" s="40"/>
      <c r="I261" s="40"/>
      <c r="J261" s="41"/>
    </row>
    <row r="262" spans="2:10" s="1" customFormat="1" ht="12.75" x14ac:dyDescent="0.2">
      <c r="B262" s="46"/>
      <c r="C262" s="59"/>
      <c r="D262" s="60"/>
      <c r="E262" s="40"/>
      <c r="F262" s="40"/>
      <c r="G262" s="40"/>
      <c r="H262" s="40"/>
      <c r="I262" s="40"/>
      <c r="J262" s="41"/>
    </row>
    <row r="263" spans="2:10" s="1" customFormat="1" ht="12.75" x14ac:dyDescent="0.2">
      <c r="B263" s="46"/>
      <c r="C263" s="59"/>
      <c r="D263" s="60"/>
      <c r="E263" s="40"/>
      <c r="F263" s="40"/>
      <c r="G263" s="40"/>
      <c r="H263" s="40"/>
      <c r="I263" s="40"/>
      <c r="J263" s="41"/>
    </row>
    <row r="264" spans="2:10" s="1" customFormat="1" ht="12.75" x14ac:dyDescent="0.2">
      <c r="B264" s="46"/>
      <c r="C264" s="59"/>
      <c r="D264" s="60"/>
      <c r="E264" s="40"/>
      <c r="F264" s="40"/>
      <c r="G264" s="40"/>
      <c r="H264" s="40"/>
      <c r="I264" s="40"/>
      <c r="J264" s="41"/>
    </row>
    <row r="265" spans="2:10" s="1" customFormat="1" ht="12.75" x14ac:dyDescent="0.2">
      <c r="B265" s="46"/>
      <c r="C265" s="59"/>
      <c r="D265" s="60"/>
      <c r="E265" s="40"/>
      <c r="F265" s="40"/>
      <c r="G265" s="40"/>
      <c r="H265" s="40"/>
      <c r="I265" s="40"/>
      <c r="J265" s="41"/>
    </row>
    <row r="266" spans="2:10" s="1" customFormat="1" ht="12.75" x14ac:dyDescent="0.2">
      <c r="B266" s="46"/>
      <c r="C266" s="59"/>
      <c r="D266" s="60"/>
      <c r="E266" s="40"/>
      <c r="F266" s="40"/>
      <c r="G266" s="40"/>
      <c r="H266" s="40"/>
      <c r="I266" s="40"/>
      <c r="J266" s="41"/>
    </row>
    <row r="267" spans="2:10" s="1" customFormat="1" ht="12.75" x14ac:dyDescent="0.2">
      <c r="B267" s="37"/>
      <c r="C267" s="38"/>
      <c r="D267" s="38"/>
      <c r="E267" s="38"/>
      <c r="F267" s="38"/>
      <c r="G267" s="38"/>
      <c r="H267" s="38"/>
      <c r="I267" s="38"/>
      <c r="J267" s="38"/>
    </row>
    <row r="268" spans="2:10" s="1" customFormat="1" ht="12.75" x14ac:dyDescent="0.2">
      <c r="C268" s="499" t="s">
        <v>37</v>
      </c>
      <c r="D268" s="499"/>
      <c r="E268" s="499"/>
      <c r="F268" s="499"/>
      <c r="G268" s="499"/>
      <c r="H268" s="499"/>
    </row>
    <row r="269" spans="2:10" s="1" customFormat="1" ht="12.75" x14ac:dyDescent="0.2">
      <c r="C269" s="499" t="s">
        <v>38</v>
      </c>
      <c r="D269" s="499"/>
      <c r="E269" s="499"/>
      <c r="F269" s="499"/>
      <c r="G269" s="499"/>
      <c r="H269" s="499"/>
    </row>
    <row r="270" spans="2:10" s="1" customFormat="1" ht="12.75" x14ac:dyDescent="0.2">
      <c r="C270" s="499" t="s">
        <v>39</v>
      </c>
      <c r="D270" s="499"/>
      <c r="E270" s="499"/>
      <c r="F270" s="499"/>
      <c r="G270" s="499"/>
      <c r="H270" s="499"/>
    </row>
    <row r="271" spans="2:10" s="1" customFormat="1" ht="12.75" x14ac:dyDescent="0.2">
      <c r="C271" s="500" t="s">
        <v>40</v>
      </c>
      <c r="D271" s="500"/>
      <c r="E271" s="500"/>
      <c r="F271" s="500"/>
      <c r="G271" s="500"/>
      <c r="H271" s="500"/>
    </row>
    <row r="272" spans="2:10" s="1" customFormat="1" ht="12.75" x14ac:dyDescent="0.2">
      <c r="C272" s="401"/>
      <c r="D272" s="401"/>
      <c r="E272" s="401"/>
      <c r="F272" s="401"/>
      <c r="G272" s="401"/>
      <c r="H272" s="401"/>
    </row>
    <row r="273" spans="2:10" s="1" customFormat="1" ht="27" customHeight="1" x14ac:dyDescent="0.2">
      <c r="B273" s="402" t="s">
        <v>65</v>
      </c>
      <c r="C273" s="403"/>
      <c r="D273" s="403"/>
      <c r="E273" s="403"/>
      <c r="F273" s="403"/>
      <c r="G273" s="403"/>
      <c r="H273" s="403"/>
      <c r="I273" s="403"/>
      <c r="J273" s="404"/>
    </row>
    <row r="274" spans="2:10" s="1" customFormat="1" ht="20.25" x14ac:dyDescent="0.2">
      <c r="B274" s="406" t="s">
        <v>360</v>
      </c>
      <c r="C274" s="407"/>
      <c r="D274" s="407"/>
      <c r="E274" s="407"/>
      <c r="F274" s="407"/>
      <c r="G274" s="407"/>
      <c r="H274" s="407"/>
      <c r="I274" s="407"/>
      <c r="J274" s="408"/>
    </row>
    <row r="275" spans="2:10" s="1" customFormat="1" ht="13.5" thickBot="1" x14ac:dyDescent="0.25">
      <c r="B275" s="405"/>
      <c r="C275" s="405"/>
      <c r="D275" s="405"/>
      <c r="E275" s="405"/>
      <c r="F275" s="405"/>
      <c r="G275" s="405"/>
      <c r="H275" s="405"/>
      <c r="I275" s="405"/>
      <c r="J275" s="405"/>
    </row>
    <row r="276" spans="2:10" s="1" customFormat="1" ht="24.75" customHeight="1" x14ac:dyDescent="0.2">
      <c r="B276" s="494" t="s">
        <v>27</v>
      </c>
      <c r="C276" s="495"/>
      <c r="D276" s="495"/>
      <c r="E276" s="495"/>
      <c r="F276" s="495"/>
      <c r="G276" s="495"/>
      <c r="H276" s="495"/>
      <c r="I276" s="495"/>
      <c r="J276" s="496"/>
    </row>
    <row r="277" spans="2:10" s="1" customFormat="1" ht="12.75" x14ac:dyDescent="0.2">
      <c r="B277" s="2" t="s">
        <v>35</v>
      </c>
      <c r="C277" s="3" t="s">
        <v>36</v>
      </c>
      <c r="D277" s="3"/>
      <c r="E277" s="4"/>
      <c r="F277" s="5"/>
      <c r="G277" s="6" t="s">
        <v>8</v>
      </c>
      <c r="H277" s="497">
        <v>42879</v>
      </c>
      <c r="I277" s="497"/>
      <c r="J277" s="7"/>
    </row>
    <row r="278" spans="2:10" s="1" customFormat="1" ht="12.75" x14ac:dyDescent="0.2">
      <c r="B278" s="2" t="s">
        <v>33</v>
      </c>
      <c r="C278" s="3" t="s">
        <v>29</v>
      </c>
      <c r="D278" s="8"/>
      <c r="E278" s="8"/>
      <c r="F278" s="3"/>
      <c r="G278" s="9" t="s">
        <v>32</v>
      </c>
      <c r="H278" s="4" t="s">
        <v>29</v>
      </c>
      <c r="I278" s="10"/>
      <c r="J278" s="11"/>
    </row>
    <row r="279" spans="2:10" s="1" customFormat="1" ht="12.75" x14ac:dyDescent="0.2">
      <c r="B279" s="2" t="s">
        <v>34</v>
      </c>
      <c r="C279" s="3" t="s">
        <v>29</v>
      </c>
      <c r="D279" s="8"/>
      <c r="E279" s="8"/>
      <c r="F279" s="3"/>
      <c r="G279" s="9" t="s">
        <v>30</v>
      </c>
      <c r="H279" s="4" t="s">
        <v>31</v>
      </c>
      <c r="I279" s="10"/>
      <c r="J279" s="11"/>
    </row>
    <row r="280" spans="2:10" s="1" customFormat="1" ht="13.5" thickBot="1" x14ac:dyDescent="0.25">
      <c r="B280" s="12" t="s">
        <v>43</v>
      </c>
      <c r="C280" s="13" t="s">
        <v>44</v>
      </c>
      <c r="D280" s="14"/>
      <c r="E280" s="14"/>
      <c r="F280" s="13"/>
      <c r="G280" s="15" t="s">
        <v>41</v>
      </c>
      <c r="H280" s="16" t="s">
        <v>42</v>
      </c>
      <c r="I280" s="17"/>
      <c r="J280" s="18"/>
    </row>
    <row r="281" spans="2:10" s="1" customFormat="1" ht="12.75" x14ac:dyDescent="0.2">
      <c r="B281" s="405"/>
      <c r="C281" s="405"/>
      <c r="D281" s="405"/>
      <c r="E281" s="405"/>
      <c r="F281" s="405"/>
      <c r="G281" s="405"/>
      <c r="H281" s="405"/>
      <c r="I281" s="405"/>
      <c r="J281" s="405"/>
    </row>
    <row r="282" spans="2:10" s="1" customFormat="1" ht="12.75" x14ac:dyDescent="0.2">
      <c r="B282" s="21" t="s">
        <v>5</v>
      </c>
      <c r="C282" s="22" t="s">
        <v>0</v>
      </c>
      <c r="D282" s="22" t="s">
        <v>9</v>
      </c>
      <c r="E282" s="22" t="s">
        <v>10</v>
      </c>
      <c r="F282" s="22" t="s">
        <v>1</v>
      </c>
      <c r="G282" s="22" t="s">
        <v>2</v>
      </c>
      <c r="H282" s="22" t="s">
        <v>11</v>
      </c>
      <c r="I282" s="22" t="s">
        <v>6</v>
      </c>
      <c r="J282" s="22" t="s">
        <v>7</v>
      </c>
    </row>
    <row r="283" spans="2:10" s="1" customFormat="1" ht="12.75" x14ac:dyDescent="0.2">
      <c r="B283" s="55">
        <v>4.03</v>
      </c>
      <c r="C283" s="56" t="s">
        <v>222</v>
      </c>
      <c r="D283" s="60"/>
      <c r="E283" s="40"/>
      <c r="F283" s="40"/>
      <c r="G283" s="40"/>
      <c r="H283" s="40"/>
      <c r="I283" s="40"/>
      <c r="J283" s="41"/>
    </row>
    <row r="284" spans="2:10" s="1" customFormat="1" ht="12.75" x14ac:dyDescent="0.2">
      <c r="B284" s="57" t="s">
        <v>14</v>
      </c>
      <c r="C284" s="58" t="s">
        <v>615</v>
      </c>
      <c r="D284" s="60"/>
      <c r="E284" s="40"/>
      <c r="F284" s="40"/>
      <c r="G284" s="40"/>
      <c r="H284" s="40"/>
      <c r="I284" s="40"/>
      <c r="J284" s="41"/>
    </row>
    <row r="285" spans="2:10" s="1" customFormat="1" ht="12.75" x14ac:dyDescent="0.2">
      <c r="B285" s="25" t="s">
        <v>15</v>
      </c>
      <c r="C285" s="28" t="s">
        <v>616</v>
      </c>
      <c r="D285" s="60"/>
      <c r="E285" s="40"/>
      <c r="F285" s="40"/>
      <c r="G285" s="40"/>
      <c r="H285" s="40"/>
      <c r="I285" s="40">
        <f>+SUM(H286:H291)</f>
        <v>17.297379999999997</v>
      </c>
      <c r="J285" s="41" t="s">
        <v>45</v>
      </c>
    </row>
    <row r="286" spans="2:10" s="1" customFormat="1" ht="12.75" x14ac:dyDescent="0.2">
      <c r="B286" s="46"/>
      <c r="C286" s="39" t="s">
        <v>720</v>
      </c>
      <c r="D286" s="60">
        <v>1</v>
      </c>
      <c r="E286" s="40">
        <v>4.1500000000000004</v>
      </c>
      <c r="F286" s="40">
        <v>0.5</v>
      </c>
      <c r="G286" s="40"/>
      <c r="H286" s="40">
        <f t="shared" ref="H286:H291" si="14">IF(AND(F286=0,G286=0),D286*E286,IF(AND(E286=0,G286=0),D286*F286,IF(AND(E286=0,F286=0),D286*G286,IF(AND(E286=0),D286*F286*G286,IF(AND(F286=0),D286*E286*G286,IF(AND(G286=0),D286*E286*F286,D286*E286*F286*G286))))))</f>
        <v>2.0750000000000002</v>
      </c>
      <c r="I286" s="40"/>
      <c r="J286" s="41"/>
    </row>
    <row r="287" spans="2:10" s="1" customFormat="1" ht="12.75" x14ac:dyDescent="0.2">
      <c r="B287" s="46"/>
      <c r="C287" s="39" t="s">
        <v>394</v>
      </c>
      <c r="D287" s="40">
        <v>1</v>
      </c>
      <c r="E287" s="40">
        <v>0.6</v>
      </c>
      <c r="F287" s="40">
        <v>0.8</v>
      </c>
      <c r="G287" s="40"/>
      <c r="H287" s="40">
        <f t="shared" si="14"/>
        <v>0.48</v>
      </c>
      <c r="I287" s="40"/>
      <c r="J287" s="41"/>
    </row>
    <row r="288" spans="2:10" s="1" customFormat="1" ht="12.75" x14ac:dyDescent="0.2">
      <c r="B288" s="46"/>
      <c r="C288" s="39" t="s">
        <v>448</v>
      </c>
      <c r="D288" s="60">
        <v>1</v>
      </c>
      <c r="E288" s="40">
        <v>0.6</v>
      </c>
      <c r="F288" s="40">
        <v>0.8</v>
      </c>
      <c r="G288" s="40"/>
      <c r="H288" s="40">
        <f t="shared" si="14"/>
        <v>0.48</v>
      </c>
      <c r="I288" s="40"/>
      <c r="J288" s="41"/>
    </row>
    <row r="289" spans="2:10" s="1" customFormat="1" ht="12.75" x14ac:dyDescent="0.2">
      <c r="B289" s="46"/>
      <c r="C289" s="39" t="s">
        <v>449</v>
      </c>
      <c r="D289" s="60">
        <v>1</v>
      </c>
      <c r="E289" s="40">
        <v>0.6</v>
      </c>
      <c r="F289" s="40">
        <v>0.8</v>
      </c>
      <c r="G289" s="40"/>
      <c r="H289" s="40">
        <f t="shared" si="14"/>
        <v>0.48</v>
      </c>
      <c r="I289" s="40"/>
      <c r="J289" s="41"/>
    </row>
    <row r="290" spans="2:10" s="1" customFormat="1" ht="12.75" x14ac:dyDescent="0.2">
      <c r="B290" s="46"/>
      <c r="C290" s="43" t="s">
        <v>468</v>
      </c>
      <c r="D290" s="60"/>
      <c r="E290" s="40"/>
      <c r="F290" s="40"/>
      <c r="G290" s="40"/>
      <c r="H290" s="40"/>
      <c r="I290" s="40"/>
      <c r="J290" s="41"/>
    </row>
    <row r="291" spans="2:10" s="1" customFormat="1" ht="12.75" x14ac:dyDescent="0.2">
      <c r="B291" s="46"/>
      <c r="C291" s="43" t="s">
        <v>471</v>
      </c>
      <c r="D291" s="60">
        <v>1</v>
      </c>
      <c r="E291" s="40">
        <f>7.6+8.7+8.15+0.1*5</f>
        <v>24.949999999999996</v>
      </c>
      <c r="F291" s="40">
        <f>6*0.0254+0.4</f>
        <v>0.5524</v>
      </c>
      <c r="G291" s="40"/>
      <c r="H291" s="40">
        <f t="shared" si="14"/>
        <v>13.782379999999998</v>
      </c>
      <c r="I291" s="40"/>
      <c r="J291" s="41"/>
    </row>
    <row r="292" spans="2:10" s="1" customFormat="1" ht="12.75" x14ac:dyDescent="0.2">
      <c r="B292" s="46"/>
      <c r="C292" s="59"/>
      <c r="D292" s="60"/>
      <c r="E292" s="40"/>
      <c r="F292" s="40"/>
      <c r="G292" s="40"/>
      <c r="H292" s="40"/>
      <c r="I292" s="40"/>
      <c r="J292" s="41"/>
    </row>
    <row r="293" spans="2:10" x14ac:dyDescent="0.25">
      <c r="B293" s="25" t="s">
        <v>232</v>
      </c>
      <c r="C293" s="28" t="s">
        <v>617</v>
      </c>
      <c r="D293" s="23"/>
      <c r="E293" s="23"/>
      <c r="F293" s="23"/>
      <c r="G293" s="23"/>
      <c r="H293" s="24"/>
      <c r="I293" s="25">
        <f>+I285</f>
        <v>17.297379999999997</v>
      </c>
      <c r="J293" s="26" t="s">
        <v>45</v>
      </c>
    </row>
    <row r="294" spans="2:10" s="1" customFormat="1" ht="12.75" x14ac:dyDescent="0.2">
      <c r="B294" s="46"/>
      <c r="C294" s="59"/>
      <c r="D294" s="60"/>
      <c r="E294" s="40"/>
      <c r="F294" s="40"/>
      <c r="G294" s="40"/>
      <c r="H294" s="40"/>
      <c r="I294" s="40"/>
      <c r="J294" s="41"/>
    </row>
    <row r="295" spans="2:10" s="118" customFormat="1" ht="17.25" customHeight="1" x14ac:dyDescent="0.25">
      <c r="B295" s="57" t="s">
        <v>25</v>
      </c>
      <c r="C295" s="58" t="s">
        <v>614</v>
      </c>
      <c r="D295" s="23"/>
      <c r="E295" s="23"/>
      <c r="F295" s="23"/>
      <c r="G295" s="23"/>
      <c r="H295" s="24"/>
      <c r="I295" s="25"/>
      <c r="J295" s="26"/>
    </row>
    <row r="296" spans="2:10" s="414" customFormat="1" ht="17.25" customHeight="1" x14ac:dyDescent="0.2">
      <c r="B296" s="25" t="s">
        <v>26</v>
      </c>
      <c r="C296" s="414" t="s">
        <v>622</v>
      </c>
      <c r="D296" s="60"/>
      <c r="E296" s="40"/>
      <c r="F296" s="40"/>
      <c r="G296" s="40"/>
      <c r="H296" s="24"/>
      <c r="I296" s="25">
        <f>+SUM(H297)</f>
        <v>1.1412500000000001</v>
      </c>
      <c r="J296" s="26" t="s">
        <v>4</v>
      </c>
    </row>
    <row r="297" spans="2:10" s="414" customFormat="1" ht="17.25" customHeight="1" x14ac:dyDescent="0.2">
      <c r="B297" s="25"/>
      <c r="C297" s="39" t="s">
        <v>439</v>
      </c>
      <c r="D297" s="60">
        <v>1</v>
      </c>
      <c r="E297" s="40">
        <v>4.1500000000000004</v>
      </c>
      <c r="F297" s="40">
        <v>0.5</v>
      </c>
      <c r="G297" s="40">
        <f>0.35+0.2</f>
        <v>0.55000000000000004</v>
      </c>
      <c r="H297" s="40">
        <f>IF(AND(F297=0,G297=0),D297*E297,IF(AND(E297=0,G297=0),D297*F297,IF(AND(E297=0,F297=0),D297*G297,IF(AND(E297=0),D297*F297*G297,IF(AND(F297=0),D297*E297*G297,IF(AND(G297=0),D297*E297*F297,D297*E297*F297*G297))))))</f>
        <v>1.1412500000000001</v>
      </c>
      <c r="I297" s="40"/>
      <c r="J297" s="41"/>
    </row>
    <row r="298" spans="2:10" s="414" customFormat="1" ht="17.25" customHeight="1" x14ac:dyDescent="0.2">
      <c r="B298" s="25"/>
      <c r="D298" s="60"/>
      <c r="E298" s="40"/>
      <c r="F298" s="40"/>
      <c r="G298" s="40"/>
      <c r="H298" s="40"/>
      <c r="I298" s="40"/>
      <c r="J298" s="41"/>
    </row>
    <row r="299" spans="2:10" s="414" customFormat="1" ht="17.25" customHeight="1" x14ac:dyDescent="0.2">
      <c r="B299" s="25" t="s">
        <v>654</v>
      </c>
      <c r="C299" s="414" t="s">
        <v>623</v>
      </c>
      <c r="D299" s="60"/>
      <c r="E299" s="40"/>
      <c r="F299" s="40"/>
      <c r="G299" s="40"/>
      <c r="H299" s="24"/>
      <c r="I299" s="25">
        <f>+SUM(H300:H302)</f>
        <v>1.1088</v>
      </c>
      <c r="J299" s="26" t="s">
        <v>4</v>
      </c>
    </row>
    <row r="300" spans="2:10" s="414" customFormat="1" ht="17.25" customHeight="1" x14ac:dyDescent="0.2">
      <c r="B300" s="413"/>
      <c r="C300" s="39" t="s">
        <v>394</v>
      </c>
      <c r="D300" s="40">
        <v>1</v>
      </c>
      <c r="E300" s="40">
        <v>0.6</v>
      </c>
      <c r="F300" s="40">
        <v>0.8</v>
      </c>
      <c r="G300" s="40">
        <f>0.93+0.2</f>
        <v>1.1300000000000001</v>
      </c>
      <c r="H300" s="40">
        <f>IF(AND(F300=0,G300=0),D300*E300,IF(AND(E300=0,G300=0),D300*F300,IF(AND(E300=0,F300=0),D300*G300,IF(AND(E300=0),D300*F300*G300,IF(AND(F300=0),D300*E300*G300,IF(AND(G300=0),D300*E300*F300,D300*E300*F300*G300))))))</f>
        <v>0.54239999999999999</v>
      </c>
      <c r="I300" s="40"/>
      <c r="J300" s="41"/>
    </row>
    <row r="301" spans="2:10" s="414" customFormat="1" ht="17.25" customHeight="1" x14ac:dyDescent="0.2">
      <c r="B301" s="413"/>
      <c r="C301" s="39" t="s">
        <v>448</v>
      </c>
      <c r="D301" s="60">
        <v>1</v>
      </c>
      <c r="E301" s="40">
        <v>0.6</v>
      </c>
      <c r="F301" s="40">
        <v>0.8</v>
      </c>
      <c r="G301" s="40">
        <f>0.35+0.2</f>
        <v>0.55000000000000004</v>
      </c>
      <c r="H301" s="40">
        <f>IF(AND(F301=0,G301=0),D301*E301,IF(AND(E301=0,G301=0),D301*F301,IF(AND(E301=0,F301=0),D301*G301,IF(AND(E301=0),D301*F301*G301,IF(AND(F301=0),D301*E301*G301,IF(AND(G301=0),D301*E301*F301,D301*E301*F301*G301))))))</f>
        <v>0.26400000000000001</v>
      </c>
      <c r="I301" s="40"/>
      <c r="J301" s="41"/>
    </row>
    <row r="302" spans="2:10" s="414" customFormat="1" ht="17.25" customHeight="1" x14ac:dyDescent="0.2">
      <c r="B302" s="413"/>
      <c r="C302" s="39" t="s">
        <v>449</v>
      </c>
      <c r="D302" s="60">
        <v>1</v>
      </c>
      <c r="E302" s="40">
        <v>0.6</v>
      </c>
      <c r="F302" s="40">
        <v>0.8</v>
      </c>
      <c r="G302" s="40">
        <f>0.43+0.2</f>
        <v>0.63</v>
      </c>
      <c r="H302" s="40">
        <f>IF(AND(F302=0,G302=0),D302*E302,IF(AND(E302=0,G302=0),D302*F302,IF(AND(E302=0,F302=0),D302*G302,IF(AND(E302=0),D302*F302*G302,IF(AND(F302=0),D302*E302*G302,IF(AND(G302=0),D302*E302*F302,D302*E302*F302*G302))))))</f>
        <v>0.3024</v>
      </c>
      <c r="I302" s="40"/>
      <c r="J302" s="41"/>
    </row>
    <row r="303" spans="2:10" s="1" customFormat="1" ht="12.75" x14ac:dyDescent="0.2">
      <c r="B303" s="25" t="s">
        <v>822</v>
      </c>
      <c r="C303" s="1" t="s">
        <v>738</v>
      </c>
      <c r="D303" s="60"/>
      <c r="E303" s="40"/>
      <c r="F303" s="40"/>
      <c r="G303" s="40"/>
      <c r="H303" s="40"/>
      <c r="I303" s="40">
        <f>+SUM(H305)</f>
        <v>0</v>
      </c>
      <c r="J303" s="41" t="s">
        <v>4</v>
      </c>
    </row>
    <row r="304" spans="2:10" s="1" customFormat="1" ht="12.75" x14ac:dyDescent="0.2">
      <c r="B304" s="46"/>
      <c r="C304" s="43" t="s">
        <v>468</v>
      </c>
      <c r="D304" s="60"/>
      <c r="E304" s="40"/>
      <c r="F304" s="40"/>
      <c r="G304" s="40"/>
      <c r="H304" s="40"/>
      <c r="J304" s="41"/>
    </row>
    <row r="305" spans="2:10" s="1" customFormat="1" ht="12.75" x14ac:dyDescent="0.2">
      <c r="B305" s="46"/>
      <c r="C305" s="39"/>
      <c r="E305" s="40"/>
      <c r="F305" s="40"/>
      <c r="G305" s="40"/>
      <c r="H305" s="40">
        <f>IF(AND(F305=0,G305=0),D305*E305,IF(AND(E305=0,G305=0),D305*F305,IF(AND(E305=0,F305=0),D305*G305,IF(AND(E305=0),D305*F305*G305,IF(AND(F305=0),D305*E305*G305,IF(AND(G305=0),D305*E305*F305,D305*E305*F305*G305))))))</f>
        <v>0</v>
      </c>
      <c r="I305" s="40"/>
      <c r="J305" s="41"/>
    </row>
    <row r="306" spans="2:10" s="118" customFormat="1" ht="17.25" customHeight="1" x14ac:dyDescent="0.25">
      <c r="B306" s="25" t="s">
        <v>820</v>
      </c>
      <c r="C306" s="414" t="s">
        <v>779</v>
      </c>
      <c r="D306" s="23"/>
      <c r="E306" s="23"/>
      <c r="F306" s="23"/>
      <c r="G306" s="23"/>
      <c r="H306" s="414"/>
      <c r="I306" s="24">
        <f>+SUM(H307:H310)</f>
        <v>3.5150000000000001</v>
      </c>
      <c r="J306" s="26" t="s">
        <v>45</v>
      </c>
    </row>
    <row r="307" spans="2:10" s="118" customFormat="1" ht="17.25" customHeight="1" x14ac:dyDescent="0.25">
      <c r="B307" s="25"/>
      <c r="C307" s="39" t="s">
        <v>394</v>
      </c>
      <c r="D307" s="40">
        <v>1</v>
      </c>
      <c r="E307" s="40">
        <v>0.6</v>
      </c>
      <c r="F307" s="40">
        <v>0.8</v>
      </c>
      <c r="G307" s="40"/>
      <c r="H307" s="40">
        <f>IF(AND(F307=0,G307=0),D307*E307,IF(AND(E307=0,G307=0),D307*F307,IF(AND(E307=0,F307=0),D307*G307,IF(AND(E307=0),D307*F307*G307,IF(AND(F307=0),D307*E307*G307,IF(AND(G307=0),D307*E307*F307,D307*E307*F307*G307))))))</f>
        <v>0.48</v>
      </c>
      <c r="I307" s="25"/>
      <c r="J307" s="26"/>
    </row>
    <row r="308" spans="2:10" s="118" customFormat="1" ht="17.25" customHeight="1" x14ac:dyDescent="0.25">
      <c r="B308" s="25"/>
      <c r="C308" s="39" t="s">
        <v>448</v>
      </c>
      <c r="D308" s="60">
        <v>1</v>
      </c>
      <c r="E308" s="40">
        <v>0.6</v>
      </c>
      <c r="F308" s="40">
        <v>0.8</v>
      </c>
      <c r="G308" s="40"/>
      <c r="H308" s="40">
        <f>IF(AND(F308=0,G308=0),D308*E308,IF(AND(E308=0,G308=0),D308*F308,IF(AND(E308=0,F308=0),D308*G308,IF(AND(E308=0),D308*F308*G308,IF(AND(F308=0),D308*E308*G308,IF(AND(G308=0),D308*E308*F308,D308*E308*F308*G308))))))</f>
        <v>0.48</v>
      </c>
      <c r="I308" s="25"/>
      <c r="J308" s="26"/>
    </row>
    <row r="309" spans="2:10" s="118" customFormat="1" ht="17.25" customHeight="1" x14ac:dyDescent="0.25">
      <c r="B309" s="25"/>
      <c r="C309" s="39" t="s">
        <v>449</v>
      </c>
      <c r="D309" s="60">
        <v>1</v>
      </c>
      <c r="E309" s="40">
        <v>0.6</v>
      </c>
      <c r="F309" s="40">
        <v>0.8</v>
      </c>
      <c r="G309" s="40"/>
      <c r="H309" s="40">
        <f>IF(AND(F309=0,G309=0),D309*E309,IF(AND(E309=0,G309=0),D309*F309,IF(AND(E309=0,F309=0),D309*G309,IF(AND(E309=0),D309*F309*G309,IF(AND(F309=0),D309*E309*G309,IF(AND(G309=0),D309*E309*F309,D309*E309*F309*G309))))))</f>
        <v>0.48</v>
      </c>
      <c r="I309" s="25"/>
      <c r="J309" s="26"/>
    </row>
    <row r="310" spans="2:10" s="118" customFormat="1" ht="17.25" customHeight="1" x14ac:dyDescent="0.25">
      <c r="B310" s="25"/>
      <c r="C310" s="39" t="s">
        <v>720</v>
      </c>
      <c r="D310" s="60">
        <v>1</v>
      </c>
      <c r="E310" s="40">
        <v>4.1500000000000004</v>
      </c>
      <c r="F310" s="40">
        <v>0.5</v>
      </c>
      <c r="G310" s="40"/>
      <c r="H310" s="40">
        <f>+(F310+G310*2)*E310</f>
        <v>2.0750000000000002</v>
      </c>
      <c r="I310" s="25"/>
      <c r="J310" s="26"/>
    </row>
    <row r="311" spans="2:10" s="118" customFormat="1" ht="17.25" customHeight="1" x14ac:dyDescent="0.25">
      <c r="B311" s="25"/>
      <c r="C311" s="414"/>
      <c r="D311" s="23"/>
      <c r="E311" s="23"/>
      <c r="F311" s="23"/>
      <c r="G311" s="23"/>
      <c r="H311" s="24"/>
      <c r="I311" s="25"/>
      <c r="J311" s="26"/>
    </row>
    <row r="312" spans="2:10" s="414" customFormat="1" ht="17.25" customHeight="1" x14ac:dyDescent="0.2">
      <c r="B312" s="25" t="s">
        <v>821</v>
      </c>
      <c r="C312" s="414" t="s">
        <v>776</v>
      </c>
      <c r="D312" s="60"/>
      <c r="E312" s="40"/>
      <c r="F312" s="40"/>
      <c r="G312" s="40"/>
      <c r="H312" s="40"/>
      <c r="I312" s="40">
        <f>+SUM(H314:H314)-H316</f>
        <v>6.2813753422746261</v>
      </c>
      <c r="J312" s="41" t="s">
        <v>4</v>
      </c>
    </row>
    <row r="313" spans="2:10" s="414" customFormat="1" ht="17.25" customHeight="1" x14ac:dyDescent="0.2">
      <c r="B313" s="46"/>
      <c r="C313" s="43" t="s">
        <v>468</v>
      </c>
      <c r="D313" s="60"/>
      <c r="E313" s="40"/>
      <c r="F313" s="40"/>
      <c r="G313" s="40"/>
      <c r="H313" s="40"/>
      <c r="I313" s="40"/>
      <c r="J313" s="41"/>
    </row>
    <row r="314" spans="2:10" s="414" customFormat="1" ht="17.25" customHeight="1" x14ac:dyDescent="0.2">
      <c r="B314" s="46"/>
      <c r="C314" s="43" t="s">
        <v>471</v>
      </c>
      <c r="D314" s="60">
        <v>1</v>
      </c>
      <c r="E314" s="40">
        <f>7.6+8.7+8.15+0.1*5</f>
        <v>24.949999999999996</v>
      </c>
      <c r="F314" s="40">
        <v>0.6</v>
      </c>
      <c r="G314" s="40">
        <v>0.45</v>
      </c>
      <c r="H314" s="40">
        <f>IF(AND(F314=0,G314=0),D314*E314,IF(AND(E314=0,G314=0),D314*F314,IF(AND(E314=0,F314=0),D314*G314,IF(AND(E314=0),D314*F314*G314,IF(AND(F314=0),D314*E314*G314,IF(AND(G314=0),D314*E314*F314,D314*E314*F314*G314))))))</f>
        <v>6.7364999999999986</v>
      </c>
      <c r="I314" s="40"/>
      <c r="J314" s="41"/>
    </row>
    <row r="315" spans="2:10" s="414" customFormat="1" ht="17.25" customHeight="1" x14ac:dyDescent="0.2">
      <c r="B315" s="46"/>
      <c r="F315" s="40" t="s">
        <v>786</v>
      </c>
      <c r="G315" s="40">
        <v>6</v>
      </c>
      <c r="I315" s="40"/>
      <c r="J315" s="41"/>
    </row>
    <row r="316" spans="2:10" s="414" customFormat="1" ht="17.25" customHeight="1" x14ac:dyDescent="0.2">
      <c r="B316" s="46"/>
      <c r="C316" s="39" t="s">
        <v>784</v>
      </c>
      <c r="D316" s="60">
        <v>1</v>
      </c>
      <c r="E316" s="40">
        <f>+SUM(E314:E314)</f>
        <v>24.949999999999996</v>
      </c>
      <c r="F316" s="40" t="s">
        <v>785</v>
      </c>
      <c r="G316" s="40">
        <f>+PI()*((G315*0.0254)^2)/4</f>
        <v>1.8241469247509915E-2</v>
      </c>
      <c r="H316" s="40">
        <f>+E316*G316</f>
        <v>0.45512465772537231</v>
      </c>
      <c r="I316" s="40"/>
      <c r="J316" s="41"/>
    </row>
    <row r="317" spans="2:10" s="414" customFormat="1" ht="17.25" customHeight="1" x14ac:dyDescent="0.2">
      <c r="B317" s="46"/>
      <c r="C317" s="59"/>
      <c r="D317" s="60"/>
      <c r="E317" s="40"/>
      <c r="F317" s="40"/>
      <c r="G317" s="40"/>
      <c r="H317" s="40"/>
      <c r="I317" s="40"/>
      <c r="J317" s="41"/>
    </row>
    <row r="318" spans="2:10" s="414" customFormat="1" ht="17.25" customHeight="1" x14ac:dyDescent="0.2">
      <c r="B318" s="46"/>
      <c r="C318" s="59"/>
      <c r="D318" s="60"/>
      <c r="E318" s="40"/>
      <c r="F318" s="40"/>
      <c r="G318" s="40"/>
      <c r="H318" s="40"/>
      <c r="I318" s="40"/>
      <c r="J318" s="41"/>
    </row>
    <row r="319" spans="2:10" s="414" customFormat="1" ht="18.75" customHeight="1" x14ac:dyDescent="0.2">
      <c r="B319" s="25" t="s">
        <v>823</v>
      </c>
      <c r="C319" s="28" t="s">
        <v>719</v>
      </c>
      <c r="D319" s="60"/>
      <c r="E319" s="40"/>
      <c r="F319" s="40"/>
      <c r="G319" s="40"/>
      <c r="H319" s="40"/>
      <c r="I319" s="40">
        <f>+SUM(H320)</f>
        <v>6.6400000000000006</v>
      </c>
      <c r="J319" s="41" t="s">
        <v>45</v>
      </c>
    </row>
    <row r="320" spans="2:10" s="414" customFormat="1" ht="18.75" customHeight="1" x14ac:dyDescent="0.2">
      <c r="B320" s="25"/>
      <c r="C320" s="39" t="s">
        <v>439</v>
      </c>
      <c r="D320" s="60">
        <v>1</v>
      </c>
      <c r="E320" s="40">
        <v>4.1500000000000004</v>
      </c>
      <c r="F320" s="40">
        <v>0.5</v>
      </c>
      <c r="G320" s="40">
        <f>0.35+0.2</f>
        <v>0.55000000000000004</v>
      </c>
      <c r="H320" s="40">
        <f>+(F320+G320*2)*E320</f>
        <v>6.6400000000000006</v>
      </c>
      <c r="I320" s="40"/>
      <c r="J320" s="41"/>
    </row>
    <row r="321" spans="2:10" s="414" customFormat="1" ht="17.25" customHeight="1" x14ac:dyDescent="0.2">
      <c r="B321" s="25" t="s">
        <v>824</v>
      </c>
      <c r="C321" s="28" t="s">
        <v>718</v>
      </c>
      <c r="D321" s="60"/>
      <c r="E321" s="40"/>
      <c r="F321" s="40"/>
      <c r="G321" s="40"/>
      <c r="H321" s="40"/>
      <c r="I321" s="40">
        <f>+SUM(H323)</f>
        <v>37.424999999999997</v>
      </c>
      <c r="J321" s="41" t="s">
        <v>45</v>
      </c>
    </row>
    <row r="322" spans="2:10" s="414" customFormat="1" ht="17.25" customHeight="1" x14ac:dyDescent="0.2">
      <c r="B322" s="46"/>
      <c r="C322" s="43" t="s">
        <v>468</v>
      </c>
      <c r="D322" s="60"/>
      <c r="E322" s="40"/>
      <c r="F322" s="40"/>
      <c r="G322" s="40"/>
      <c r="H322" s="40"/>
    </row>
    <row r="323" spans="2:10" s="414" customFormat="1" ht="12.75" x14ac:dyDescent="0.2">
      <c r="B323" s="46"/>
      <c r="C323" s="43" t="s">
        <v>471</v>
      </c>
      <c r="D323" s="60">
        <v>1</v>
      </c>
      <c r="E323" s="40">
        <f>7.6+8.7+8.15+0.1*5</f>
        <v>24.949999999999996</v>
      </c>
      <c r="F323" s="40">
        <v>0.6</v>
      </c>
      <c r="G323" s="40">
        <v>0.45</v>
      </c>
      <c r="H323" s="40">
        <f>+(F323+G323*2)*E323</f>
        <v>37.424999999999997</v>
      </c>
      <c r="I323" s="40"/>
      <c r="J323" s="41"/>
    </row>
    <row r="324" spans="2:10" s="414" customFormat="1" ht="12.75" x14ac:dyDescent="0.2">
      <c r="B324" s="46"/>
      <c r="C324" s="59"/>
      <c r="D324" s="60"/>
      <c r="E324" s="40"/>
      <c r="F324" s="40"/>
      <c r="G324" s="40"/>
      <c r="H324" s="40"/>
      <c r="I324" s="40"/>
      <c r="J324" s="41"/>
    </row>
    <row r="325" spans="2:10" s="414" customFormat="1" ht="12.75" x14ac:dyDescent="0.2">
      <c r="B325" s="46"/>
      <c r="C325" s="59"/>
      <c r="D325" s="60"/>
      <c r="E325" s="40"/>
      <c r="F325" s="40"/>
      <c r="G325" s="40"/>
      <c r="H325" s="40"/>
      <c r="I325" s="40"/>
      <c r="J325" s="41"/>
    </row>
    <row r="326" spans="2:10" s="414" customFormat="1" ht="12.75" x14ac:dyDescent="0.2">
      <c r="B326" s="46"/>
      <c r="C326" s="59"/>
      <c r="D326" s="60"/>
      <c r="E326" s="40"/>
      <c r="F326" s="40"/>
      <c r="G326" s="40"/>
      <c r="H326" s="40"/>
      <c r="I326" s="40"/>
      <c r="J326" s="41"/>
    </row>
    <row r="327" spans="2:10" s="414" customFormat="1" ht="12.75" x14ac:dyDescent="0.2">
      <c r="B327" s="46"/>
      <c r="C327" s="59"/>
      <c r="D327" s="60"/>
      <c r="E327" s="40"/>
      <c r="F327" s="40"/>
      <c r="G327" s="40"/>
      <c r="H327" s="40"/>
      <c r="I327" s="40"/>
      <c r="J327" s="41"/>
    </row>
    <row r="328" spans="2:10" s="414" customFormat="1" ht="12.75" x14ac:dyDescent="0.2">
      <c r="B328" s="25" t="s">
        <v>825</v>
      </c>
      <c r="C328" s="28" t="s">
        <v>794</v>
      </c>
      <c r="D328" s="60"/>
      <c r="E328" s="40"/>
      <c r="F328" s="40" t="s">
        <v>795</v>
      </c>
      <c r="G328" s="40"/>
      <c r="H328" s="40"/>
      <c r="I328" s="40">
        <f>+SUM(H329:H331)</f>
        <v>244.66573241852484</v>
      </c>
      <c r="J328" s="41" t="s">
        <v>12</v>
      </c>
    </row>
    <row r="329" spans="2:10" s="414" customFormat="1" ht="12.75" x14ac:dyDescent="0.2">
      <c r="B329" s="380"/>
      <c r="C329" s="39" t="s">
        <v>456</v>
      </c>
      <c r="D329" s="60">
        <v>7</v>
      </c>
      <c r="E329" s="40">
        <v>14.55</v>
      </c>
      <c r="F329" s="40">
        <v>1.64</v>
      </c>
      <c r="G329" s="40"/>
      <c r="H329" s="40">
        <f>IF(AND(F329=0,G329=0),D329*E329,IF(AND(E329=0,G329=0),D329*F329,IF(AND(E329=0,F329=0),D329*G329,IF(AND(E329=0),D329*F329*G329,IF(AND(F329=0),D329*E329*G329,IF(AND(G329=0),D329*E329*F329,D329*E329*F329*G329))))))</f>
        <v>167.03399999999999</v>
      </c>
      <c r="I329" s="40"/>
      <c r="J329" s="41"/>
    </row>
    <row r="330" spans="2:10" s="414" customFormat="1" ht="12.75" x14ac:dyDescent="0.2">
      <c r="B330" s="380"/>
      <c r="C330" s="43" t="s">
        <v>468</v>
      </c>
      <c r="D330" s="60"/>
      <c r="E330" s="40"/>
      <c r="F330" s="40"/>
      <c r="G330" s="40"/>
      <c r="H330" s="40"/>
      <c r="I330" s="40"/>
      <c r="J330" s="41"/>
    </row>
    <row r="331" spans="2:10" s="414" customFormat="1" ht="12.75" x14ac:dyDescent="0.2">
      <c r="B331" s="380"/>
      <c r="C331" s="43" t="s">
        <v>471</v>
      </c>
      <c r="D331" s="60">
        <v>1</v>
      </c>
      <c r="E331" s="40">
        <f>7.6+8.7+8.15+0.1*5</f>
        <v>24.949999999999996</v>
      </c>
      <c r="F331" s="40">
        <f>18.14/5.83</f>
        <v>3.1114922813036023</v>
      </c>
      <c r="G331" s="40"/>
      <c r="H331" s="40">
        <f t="shared" ref="H331" si="15">IF(AND(F331=0,G331=0),D331*E331,IF(AND(E331=0,G331=0),D331*F331,IF(AND(E331=0,F331=0),D331*G331,IF(AND(E331=0),D331*F331*G331,IF(AND(F331=0),D331*E331*G331,IF(AND(G331=0),D331*E331*F331,D331*E331*F331*G331))))))</f>
        <v>77.631732418524862</v>
      </c>
      <c r="I331" s="40"/>
      <c r="J331" s="41"/>
    </row>
    <row r="332" spans="2:10" s="414" customFormat="1" ht="12.75" x14ac:dyDescent="0.2">
      <c r="B332" s="380"/>
      <c r="C332" s="111"/>
      <c r="D332" s="60"/>
      <c r="E332" s="40"/>
      <c r="F332" s="40"/>
      <c r="G332" s="40"/>
      <c r="H332" s="40"/>
      <c r="I332" s="40"/>
      <c r="J332" s="41"/>
    </row>
    <row r="333" spans="2:10" s="414" customFormat="1" ht="12.75" x14ac:dyDescent="0.2">
      <c r="B333" s="380"/>
      <c r="C333" s="111"/>
      <c r="D333" s="60"/>
      <c r="E333" s="40"/>
      <c r="F333" s="40"/>
      <c r="G333" s="40"/>
      <c r="H333" s="40"/>
      <c r="I333" s="40"/>
      <c r="J333" s="41"/>
    </row>
    <row r="334" spans="2:10" s="1" customFormat="1" ht="12.75" x14ac:dyDescent="0.2">
      <c r="B334" s="25" t="s">
        <v>899</v>
      </c>
      <c r="C334" s="28" t="s">
        <v>625</v>
      </c>
      <c r="D334" s="60"/>
      <c r="E334" s="40"/>
      <c r="F334" s="40"/>
      <c r="G334" s="40"/>
      <c r="H334" s="40"/>
      <c r="I334" s="40">
        <f>+SUM(H335:H342)</f>
        <v>0.98040000000000016</v>
      </c>
      <c r="J334" s="41" t="s">
        <v>4</v>
      </c>
    </row>
    <row r="335" spans="2:10" s="1" customFormat="1" ht="12.75" x14ac:dyDescent="0.2">
      <c r="B335" s="46"/>
      <c r="C335" s="39" t="s">
        <v>720</v>
      </c>
      <c r="D335" s="60">
        <v>2</v>
      </c>
      <c r="E335" s="40">
        <v>4.1500000000000004</v>
      </c>
      <c r="F335" s="40">
        <v>0.1</v>
      </c>
      <c r="G335" s="40">
        <v>0.35</v>
      </c>
      <c r="H335" s="40">
        <f t="shared" ref="H335:H342" si="16">IF(AND(F335=0,G335=0),D335*E335,IF(AND(E335=0,G335=0),D335*F335,IF(AND(E335=0,F335=0),D335*G335,IF(AND(E335=0),D335*F335*G335,IF(AND(F335=0),D335*E335*G335,IF(AND(G335=0),D335*E335*F335,D335*E335*F335*G335))))))</f>
        <v>0.29049999999999998</v>
      </c>
      <c r="I335" s="40"/>
      <c r="J335" s="41"/>
    </row>
    <row r="336" spans="2:10" s="1" customFormat="1" ht="12.75" x14ac:dyDescent="0.2">
      <c r="B336" s="46"/>
      <c r="C336" s="59"/>
      <c r="D336" s="60">
        <v>1</v>
      </c>
      <c r="E336" s="40">
        <v>4.1500000000000004</v>
      </c>
      <c r="F336" s="40">
        <v>0.5</v>
      </c>
      <c r="G336" s="40">
        <v>0.1</v>
      </c>
      <c r="H336" s="40">
        <f t="shared" si="16"/>
        <v>0.20750000000000002</v>
      </c>
      <c r="I336" s="40"/>
      <c r="J336" s="41"/>
    </row>
    <row r="337" spans="2:10" s="1" customFormat="1" ht="12.75" x14ac:dyDescent="0.2">
      <c r="B337" s="46"/>
      <c r="C337" s="39" t="s">
        <v>394</v>
      </c>
      <c r="D337" s="40">
        <v>2</v>
      </c>
      <c r="E337" s="40">
        <v>0.8</v>
      </c>
      <c r="F337" s="40">
        <v>0.1</v>
      </c>
      <c r="G337" s="40">
        <v>1.03</v>
      </c>
      <c r="H337" s="40">
        <f t="shared" si="16"/>
        <v>0.16480000000000003</v>
      </c>
      <c r="I337" s="40"/>
      <c r="J337" s="41"/>
    </row>
    <row r="338" spans="2:10" s="1" customFormat="1" ht="12.75" x14ac:dyDescent="0.2">
      <c r="B338" s="46"/>
      <c r="C338" s="39"/>
      <c r="D338" s="60">
        <v>2</v>
      </c>
      <c r="E338" s="40">
        <v>0.4</v>
      </c>
      <c r="F338" s="40">
        <v>0.1</v>
      </c>
      <c r="G338" s="40">
        <v>1.03</v>
      </c>
      <c r="H338" s="40">
        <f t="shared" si="16"/>
        <v>8.2400000000000015E-2</v>
      </c>
      <c r="I338" s="40"/>
      <c r="J338" s="41"/>
    </row>
    <row r="339" spans="2:10" s="1" customFormat="1" ht="12.75" x14ac:dyDescent="0.2">
      <c r="B339" s="46"/>
      <c r="C339" s="39" t="s">
        <v>448</v>
      </c>
      <c r="D339" s="40">
        <v>2</v>
      </c>
      <c r="E339" s="40">
        <v>0.8</v>
      </c>
      <c r="F339" s="40">
        <v>0.1</v>
      </c>
      <c r="G339" s="40">
        <v>0.45</v>
      </c>
      <c r="H339" s="40">
        <f t="shared" si="16"/>
        <v>7.2000000000000022E-2</v>
      </c>
      <c r="I339" s="40"/>
      <c r="J339" s="41"/>
    </row>
    <row r="340" spans="2:10" s="1" customFormat="1" ht="12.75" x14ac:dyDescent="0.2">
      <c r="B340" s="46"/>
      <c r="C340" s="39"/>
      <c r="D340" s="60">
        <v>2</v>
      </c>
      <c r="E340" s="40">
        <v>0.4</v>
      </c>
      <c r="F340" s="40">
        <v>0.1</v>
      </c>
      <c r="G340" s="40">
        <v>0.45</v>
      </c>
      <c r="H340" s="40">
        <f t="shared" si="16"/>
        <v>3.6000000000000011E-2</v>
      </c>
      <c r="I340" s="40"/>
      <c r="J340" s="41"/>
    </row>
    <row r="341" spans="2:10" s="1" customFormat="1" ht="12.75" x14ac:dyDescent="0.2">
      <c r="B341" s="46"/>
      <c r="C341" s="39" t="s">
        <v>449</v>
      </c>
      <c r="D341" s="40">
        <v>2</v>
      </c>
      <c r="E341" s="40">
        <v>0.8</v>
      </c>
      <c r="F341" s="40">
        <v>0.1</v>
      </c>
      <c r="G341" s="40">
        <v>0.53</v>
      </c>
      <c r="H341" s="40">
        <f t="shared" si="16"/>
        <v>8.4800000000000014E-2</v>
      </c>
      <c r="I341" s="40"/>
      <c r="J341" s="41"/>
    </row>
    <row r="342" spans="2:10" s="1" customFormat="1" ht="12.75" x14ac:dyDescent="0.2">
      <c r="B342" s="46"/>
      <c r="C342" s="59"/>
      <c r="D342" s="60">
        <v>2</v>
      </c>
      <c r="E342" s="40">
        <v>0.4</v>
      </c>
      <c r="F342" s="40">
        <v>0.1</v>
      </c>
      <c r="G342" s="40">
        <v>0.53</v>
      </c>
      <c r="H342" s="40">
        <f t="shared" si="16"/>
        <v>4.2400000000000007E-2</v>
      </c>
      <c r="I342" s="40"/>
      <c r="J342" s="41"/>
    </row>
    <row r="343" spans="2:10" s="414" customFormat="1" ht="12.75" x14ac:dyDescent="0.2">
      <c r="B343" s="25" t="s">
        <v>900</v>
      </c>
      <c r="C343" s="28" t="s">
        <v>789</v>
      </c>
      <c r="D343" s="60" t="s">
        <v>791</v>
      </c>
      <c r="E343" s="40"/>
      <c r="F343" s="40"/>
      <c r="G343" s="40"/>
      <c r="H343" s="40"/>
      <c r="I343" s="40">
        <f>+SUM(H344:H350)</f>
        <v>8.5949058221567149</v>
      </c>
      <c r="J343" s="41" t="s">
        <v>4</v>
      </c>
    </row>
    <row r="344" spans="2:10" s="414" customFormat="1" ht="12.75" x14ac:dyDescent="0.2">
      <c r="B344" s="25"/>
      <c r="C344" s="39" t="s">
        <v>720</v>
      </c>
      <c r="D344" s="60">
        <v>1.25</v>
      </c>
      <c r="E344" s="40">
        <v>4.1500000000000004</v>
      </c>
      <c r="F344" s="40">
        <v>0.5</v>
      </c>
      <c r="G344" s="40">
        <v>0.55000000000000004</v>
      </c>
      <c r="H344" s="40">
        <f>+(F344+G344*2)*E344</f>
        <v>6.6400000000000006</v>
      </c>
      <c r="I344" s="40"/>
      <c r="J344" s="41"/>
    </row>
    <row r="345" spans="2:10" s="414" customFormat="1" ht="12.75" x14ac:dyDescent="0.2">
      <c r="B345" s="25"/>
      <c r="C345" s="39" t="s">
        <v>394</v>
      </c>
      <c r="D345" s="60">
        <v>1.25</v>
      </c>
      <c r="E345" s="40">
        <v>0.6</v>
      </c>
      <c r="F345" s="40">
        <v>0.8</v>
      </c>
      <c r="G345" s="40">
        <f>0.93+0.2</f>
        <v>1.1300000000000001</v>
      </c>
      <c r="H345" s="40">
        <f>IF(AND(F345=0,G345=0),D345*E345,IF(AND(E345=0,G345=0),D345*F345,IF(AND(E345=0,F345=0),D345*G345,IF(AND(E345=0),D345*F345*G345,IF(AND(F345=0),D345*E345*G345,IF(AND(G345=0),D345*E345*F345,D345*E345*F345*G345))))))</f>
        <v>0.67800000000000016</v>
      </c>
      <c r="I345" s="40"/>
      <c r="J345" s="41"/>
    </row>
    <row r="346" spans="2:10" s="414" customFormat="1" ht="12.75" x14ac:dyDescent="0.2">
      <c r="B346" s="25"/>
      <c r="C346" s="39" t="s">
        <v>448</v>
      </c>
      <c r="D346" s="60">
        <v>1.25</v>
      </c>
      <c r="E346" s="40">
        <v>0.6</v>
      </c>
      <c r="F346" s="40">
        <v>0.8</v>
      </c>
      <c r="G346" s="40">
        <f>0.35+0.2</f>
        <v>0.55000000000000004</v>
      </c>
      <c r="H346" s="40">
        <f>IF(AND(F346=0,G346=0),D346*E346,IF(AND(E346=0,G346=0),D346*F346,IF(AND(E346=0,F346=0),D346*G346,IF(AND(E346=0),D346*F346*G346,IF(AND(F346=0),D346*E346*G346,IF(AND(G346=0),D346*E346*F346,D346*E346*F346*G346))))))</f>
        <v>0.33000000000000007</v>
      </c>
      <c r="I346" s="40"/>
      <c r="J346" s="41"/>
    </row>
    <row r="347" spans="2:10" s="414" customFormat="1" ht="12.75" x14ac:dyDescent="0.2">
      <c r="B347" s="25"/>
      <c r="C347" s="39" t="s">
        <v>449</v>
      </c>
      <c r="D347" s="60">
        <v>1.25</v>
      </c>
      <c r="E347" s="40">
        <v>0.6</v>
      </c>
      <c r="F347" s="40">
        <v>0.8</v>
      </c>
      <c r="G347" s="40">
        <f>0.43+0.2</f>
        <v>0.63</v>
      </c>
      <c r="H347" s="40">
        <f>IF(AND(F347=0,G347=0),D347*E347,IF(AND(E347=0,G347=0),D347*F347,IF(AND(E347=0,F347=0),D347*G347,IF(AND(E347=0),D347*F347*G347,IF(AND(F347=0),D347*E347*G347,IF(AND(G347=0),D347*E347*F347,D347*E347*F347*G347))))))</f>
        <v>0.37800000000000006</v>
      </c>
      <c r="I347" s="40"/>
      <c r="J347" s="41"/>
    </row>
    <row r="348" spans="2:10" s="414" customFormat="1" ht="12.75" x14ac:dyDescent="0.2">
      <c r="B348" s="25"/>
      <c r="C348" s="43" t="s">
        <v>468</v>
      </c>
      <c r="D348" s="60"/>
      <c r="E348" s="40"/>
      <c r="F348" s="40"/>
      <c r="G348" s="40"/>
      <c r="H348" s="40"/>
      <c r="I348" s="40"/>
      <c r="J348" s="41"/>
    </row>
    <row r="349" spans="2:10" s="414" customFormat="1" ht="12.75" x14ac:dyDescent="0.2">
      <c r="B349" s="25"/>
      <c r="F349" s="40" t="s">
        <v>786</v>
      </c>
      <c r="G349" s="40">
        <v>6</v>
      </c>
      <c r="I349" s="40"/>
      <c r="J349" s="41"/>
    </row>
    <row r="350" spans="2:10" s="414" customFormat="1" ht="12.75" x14ac:dyDescent="0.2">
      <c r="B350" s="25"/>
      <c r="C350" s="39" t="s">
        <v>784</v>
      </c>
      <c r="D350" s="60">
        <v>1.25</v>
      </c>
      <c r="E350" s="40">
        <f>+E291</f>
        <v>24.949999999999996</v>
      </c>
      <c r="F350" s="40" t="s">
        <v>785</v>
      </c>
      <c r="G350" s="40">
        <f>+PI()*((G349*0.0254)^2)/4</f>
        <v>1.8241469247509915E-2</v>
      </c>
      <c r="H350" s="40">
        <f>+D350*E350*G350</f>
        <v>0.56890582215671537</v>
      </c>
      <c r="I350" s="40"/>
      <c r="J350" s="41"/>
    </row>
    <row r="351" spans="2:10" s="414" customFormat="1" ht="12.75" x14ac:dyDescent="0.2">
      <c r="B351" s="25"/>
      <c r="C351" s="28"/>
      <c r="D351" s="60"/>
      <c r="E351" s="40"/>
      <c r="F351" s="40"/>
      <c r="G351" s="40"/>
      <c r="H351" s="40"/>
      <c r="I351" s="40"/>
      <c r="J351" s="41"/>
    </row>
    <row r="352" spans="2:10" s="414" customFormat="1" ht="12.75" x14ac:dyDescent="0.2">
      <c r="B352" s="25"/>
      <c r="C352" s="28"/>
      <c r="D352" s="60"/>
      <c r="E352" s="40"/>
      <c r="F352" s="40"/>
      <c r="G352" s="40"/>
      <c r="H352" s="40"/>
      <c r="I352" s="40"/>
      <c r="J352" s="41"/>
    </row>
    <row r="353" spans="2:10" s="414" customFormat="1" ht="12.75" x14ac:dyDescent="0.2">
      <c r="B353" s="25" t="s">
        <v>901</v>
      </c>
      <c r="C353" s="28" t="s">
        <v>624</v>
      </c>
      <c r="D353" s="60"/>
      <c r="E353" s="40"/>
      <c r="F353" s="40"/>
      <c r="G353" s="40"/>
      <c r="H353" s="40"/>
      <c r="I353" s="40">
        <f>+I343</f>
        <v>8.5949058221567149</v>
      </c>
      <c r="J353" s="41" t="s">
        <v>4</v>
      </c>
    </row>
    <row r="354" spans="2:10" s="414" customFormat="1" ht="12.75" x14ac:dyDescent="0.2">
      <c r="B354" s="46"/>
      <c r="C354" s="59"/>
      <c r="D354" s="60"/>
      <c r="E354" s="40"/>
      <c r="F354" s="40"/>
      <c r="G354" s="40"/>
      <c r="H354" s="40"/>
      <c r="I354" s="40"/>
      <c r="J354" s="41"/>
    </row>
    <row r="355" spans="2:10" x14ac:dyDescent="0.25">
      <c r="B355" s="73" t="s">
        <v>829</v>
      </c>
      <c r="C355" s="74" t="s">
        <v>626</v>
      </c>
      <c r="D355" s="23"/>
      <c r="E355" s="23"/>
      <c r="F355" s="23"/>
      <c r="G355" s="23"/>
      <c r="H355" s="24"/>
      <c r="I355" s="25"/>
      <c r="J355" s="26"/>
    </row>
    <row r="356" spans="2:10" s="1" customFormat="1" ht="12.75" x14ac:dyDescent="0.2">
      <c r="B356" s="43" t="s">
        <v>830</v>
      </c>
      <c r="C356" s="25" t="s">
        <v>627</v>
      </c>
      <c r="D356" s="60"/>
      <c r="E356" s="40"/>
      <c r="F356" s="40"/>
      <c r="G356" s="40"/>
      <c r="H356" s="40"/>
      <c r="I356" s="44">
        <f>+H357</f>
        <v>2.0750000000000002</v>
      </c>
      <c r="J356" s="45" t="s">
        <v>45</v>
      </c>
    </row>
    <row r="357" spans="2:10" s="414" customFormat="1" ht="17.25" customHeight="1" x14ac:dyDescent="0.2">
      <c r="B357" s="25"/>
      <c r="C357" s="39" t="s">
        <v>439</v>
      </c>
      <c r="D357" s="60">
        <v>1</v>
      </c>
      <c r="E357" s="40">
        <v>4.1500000000000004</v>
      </c>
      <c r="F357" s="40">
        <v>0.5</v>
      </c>
      <c r="G357" s="40"/>
      <c r="H357" s="40">
        <f>IF(AND(F357=0,G357=0),D357*E357,IF(AND(E357=0,G357=0),D357*F357,IF(AND(E357=0,F357=0),D357*G357,IF(AND(E357=0),D357*F357*G357,IF(AND(F357=0),D357*E357*G357,IF(AND(G357=0),D357*E357*F357,D357*E357*F357*G357))))))</f>
        <v>2.0750000000000002</v>
      </c>
      <c r="I357" s="40"/>
      <c r="J357" s="41"/>
    </row>
    <row r="358" spans="2:10" s="1" customFormat="1" ht="12.75" x14ac:dyDescent="0.2">
      <c r="B358" s="43" t="s">
        <v>831</v>
      </c>
      <c r="C358" s="25" t="s">
        <v>680</v>
      </c>
      <c r="D358" s="60"/>
      <c r="E358" s="40"/>
      <c r="F358" s="40"/>
      <c r="G358" s="40"/>
      <c r="H358" s="40"/>
      <c r="I358" s="44">
        <f>+SUM(H359:H361)</f>
        <v>1.44</v>
      </c>
      <c r="J358" s="45" t="s">
        <v>45</v>
      </c>
    </row>
    <row r="359" spans="2:10" s="414" customFormat="1" ht="17.25" customHeight="1" x14ac:dyDescent="0.2">
      <c r="B359" s="413"/>
      <c r="C359" s="39" t="s">
        <v>394</v>
      </c>
      <c r="D359" s="40">
        <v>1</v>
      </c>
      <c r="E359" s="40">
        <v>0.6</v>
      </c>
      <c r="F359" s="40">
        <v>0.8</v>
      </c>
      <c r="G359" s="40"/>
      <c r="H359" s="40">
        <f>IF(AND(F359=0,G359=0),D359*E359,IF(AND(E359=0,G359=0),D359*F359,IF(AND(E359=0,F359=0),D359*G359,IF(AND(E359=0),D359*F359*G359,IF(AND(F359=0),D359*E359*G359,IF(AND(G359=0),D359*E359*F359,D359*E359*F359*G359))))))</f>
        <v>0.48</v>
      </c>
      <c r="I359" s="40"/>
      <c r="J359" s="41"/>
    </row>
    <row r="360" spans="2:10" s="414" customFormat="1" ht="17.25" customHeight="1" x14ac:dyDescent="0.2">
      <c r="B360" s="413"/>
      <c r="C360" s="39" t="s">
        <v>448</v>
      </c>
      <c r="D360" s="60">
        <v>1</v>
      </c>
      <c r="E360" s="40">
        <v>0.6</v>
      </c>
      <c r="F360" s="40">
        <v>0.8</v>
      </c>
      <c r="G360" s="40"/>
      <c r="H360" s="40">
        <f>IF(AND(F360=0,G360=0),D360*E360,IF(AND(E360=0,G360=0),D360*F360,IF(AND(E360=0,F360=0),D360*G360,IF(AND(E360=0),D360*F360*G360,IF(AND(F360=0),D360*E360*G360,IF(AND(G360=0),D360*E360*F360,D360*E360*F360*G360))))))</f>
        <v>0.48</v>
      </c>
      <c r="I360" s="40"/>
      <c r="J360" s="41"/>
    </row>
    <row r="361" spans="2:10" s="414" customFormat="1" ht="17.25" customHeight="1" x14ac:dyDescent="0.2">
      <c r="B361" s="413"/>
      <c r="C361" s="39" t="s">
        <v>449</v>
      </c>
      <c r="D361" s="60">
        <v>1</v>
      </c>
      <c r="E361" s="40">
        <v>0.6</v>
      </c>
      <c r="F361" s="40">
        <v>0.8</v>
      </c>
      <c r="G361" s="40"/>
      <c r="H361" s="40">
        <f>IF(AND(F361=0,G361=0),D361*E361,IF(AND(E361=0,G361=0),D361*F361,IF(AND(E361=0,F361=0),D361*G361,IF(AND(E361=0),D361*F361*G361,IF(AND(F361=0),D361*E361*G361,IF(AND(G361=0),D361*E361*F361,D361*E361*F361*G361))))))</f>
        <v>0.48</v>
      </c>
      <c r="I361" s="40"/>
      <c r="J361" s="41"/>
    </row>
    <row r="362" spans="2:10" s="1" customFormat="1" ht="12.75" x14ac:dyDescent="0.2">
      <c r="B362" s="43"/>
      <c r="C362" s="39"/>
      <c r="D362" s="60"/>
      <c r="E362" s="40"/>
      <c r="F362" s="40"/>
      <c r="G362" s="40"/>
      <c r="H362" s="40"/>
      <c r="I362" s="44"/>
      <c r="J362" s="45"/>
    </row>
    <row r="363" spans="2:10" s="1" customFormat="1" ht="12.75" x14ac:dyDescent="0.2">
      <c r="B363" s="57" t="s">
        <v>838</v>
      </c>
      <c r="C363" s="58" t="s">
        <v>224</v>
      </c>
      <c r="D363" s="60"/>
      <c r="E363" s="40"/>
      <c r="F363" s="40"/>
      <c r="G363" s="40"/>
      <c r="H363" s="40"/>
      <c r="I363" s="40"/>
      <c r="J363" s="41"/>
    </row>
    <row r="364" spans="2:10" x14ac:dyDescent="0.25">
      <c r="B364" s="43" t="s">
        <v>845</v>
      </c>
      <c r="C364" s="43" t="s">
        <v>562</v>
      </c>
      <c r="D364" s="60"/>
      <c r="E364" s="40"/>
      <c r="F364" s="40"/>
      <c r="G364" s="40"/>
      <c r="H364" s="40"/>
      <c r="I364" s="44">
        <f>SUM(H365:H366)</f>
        <v>1</v>
      </c>
      <c r="J364" s="45" t="s">
        <v>345</v>
      </c>
    </row>
    <row r="365" spans="2:10" s="1" customFormat="1" ht="12.75" x14ac:dyDescent="0.2">
      <c r="B365" s="413"/>
      <c r="C365" s="39" t="s">
        <v>448</v>
      </c>
      <c r="D365" s="60">
        <v>1</v>
      </c>
      <c r="E365" s="40">
        <v>0.5</v>
      </c>
      <c r="F365" s="40"/>
      <c r="G365" s="40"/>
      <c r="H365" s="40">
        <f t="shared" ref="H365:H366" si="17">IF(AND(F365=0,G365=0),D365*E365,IF(AND(E365=0,G365=0),D365*F365,IF(AND(E365=0,F365=0),D365*G365,IF(AND(E365=0),D365*F365*G365,IF(AND(F365=0),D365*E365*G365,IF(AND(G365=0),D365*E365*F365,D365*E365*F365*G365))))))</f>
        <v>0.5</v>
      </c>
      <c r="I365" s="40"/>
      <c r="J365" s="41"/>
    </row>
    <row r="366" spans="2:10" s="1" customFormat="1" ht="12.75" x14ac:dyDescent="0.2">
      <c r="B366" s="413"/>
      <c r="C366" s="39" t="s">
        <v>449</v>
      </c>
      <c r="D366" s="60">
        <v>1</v>
      </c>
      <c r="E366" s="40">
        <v>0.5</v>
      </c>
      <c r="F366" s="40"/>
      <c r="G366" s="40"/>
      <c r="H366" s="40">
        <f t="shared" si="17"/>
        <v>0.5</v>
      </c>
      <c r="I366" s="40"/>
      <c r="J366" s="41"/>
    </row>
    <row r="367" spans="2:10" s="1" customFormat="1" ht="12.75" x14ac:dyDescent="0.2">
      <c r="B367" s="43" t="s">
        <v>851</v>
      </c>
      <c r="C367" s="43" t="s">
        <v>468</v>
      </c>
      <c r="D367" s="60"/>
      <c r="E367" s="40"/>
      <c r="F367" s="40"/>
      <c r="G367" s="40"/>
      <c r="H367" s="40"/>
      <c r="I367" s="40"/>
      <c r="J367" s="41"/>
    </row>
    <row r="368" spans="2:10" s="1" customFormat="1" ht="12.75" x14ac:dyDescent="0.2">
      <c r="B368" s="43"/>
      <c r="C368" s="43" t="s">
        <v>471</v>
      </c>
      <c r="D368" s="60">
        <v>1</v>
      </c>
      <c r="E368" s="40">
        <f>7.6+8.7+8.15+0.1*5</f>
        <v>24.949999999999996</v>
      </c>
      <c r="F368" s="40"/>
      <c r="G368" s="40"/>
      <c r="H368" s="40">
        <f>IF(AND(F368=0,G368=0),D368*E368,IF(AND(E368=0,G368=0),D368*F368,IF(AND(E368=0,F368=0),D368*G368,IF(AND(E368=0),D368*F368*G368,IF(AND(F368=0),D368*E368*G368,IF(AND(G368=0),D368*E368*F368,D368*E368*F368*G368))))))</f>
        <v>24.949999999999996</v>
      </c>
      <c r="I368" s="44"/>
      <c r="J368" s="45"/>
    </row>
    <row r="369" spans="2:10" s="1" customFormat="1" ht="12.75" x14ac:dyDescent="0.2">
      <c r="B369" s="43" t="s">
        <v>854</v>
      </c>
      <c r="C369" s="43" t="s">
        <v>695</v>
      </c>
      <c r="D369" s="60"/>
      <c r="E369" s="40"/>
      <c r="F369" s="40"/>
      <c r="G369" s="40"/>
      <c r="H369" s="40"/>
      <c r="I369" s="44">
        <f>SUM(H370:H372)</f>
        <v>3</v>
      </c>
      <c r="J369" s="45" t="s">
        <v>13</v>
      </c>
    </row>
    <row r="370" spans="2:10" s="1" customFormat="1" ht="12.75" x14ac:dyDescent="0.2">
      <c r="B370" s="413"/>
      <c r="C370" s="39" t="s">
        <v>394</v>
      </c>
      <c r="D370" s="40">
        <v>1</v>
      </c>
      <c r="E370" s="40"/>
      <c r="F370" s="40"/>
      <c r="G370" s="40"/>
      <c r="H370" s="40">
        <f>+D370</f>
        <v>1</v>
      </c>
      <c r="I370" s="40"/>
      <c r="J370" s="41"/>
    </row>
    <row r="371" spans="2:10" s="1" customFormat="1" ht="12.75" x14ac:dyDescent="0.2">
      <c r="B371" s="413"/>
      <c r="C371" s="39" t="s">
        <v>448</v>
      </c>
      <c r="D371" s="60">
        <v>1</v>
      </c>
      <c r="E371" s="40"/>
      <c r="F371" s="40"/>
      <c r="G371" s="40"/>
      <c r="H371" s="40">
        <f>+D371</f>
        <v>1</v>
      </c>
      <c r="I371" s="40"/>
      <c r="J371" s="41"/>
    </row>
    <row r="372" spans="2:10" s="1" customFormat="1" ht="12.75" x14ac:dyDescent="0.2">
      <c r="B372" s="413"/>
      <c r="C372" s="39" t="s">
        <v>449</v>
      </c>
      <c r="D372" s="60">
        <v>1</v>
      </c>
      <c r="E372" s="40"/>
      <c r="G372" s="40"/>
      <c r="H372" s="40">
        <f>+D372</f>
        <v>1</v>
      </c>
      <c r="I372" s="40"/>
      <c r="J372" s="41"/>
    </row>
    <row r="373" spans="2:10" s="1" customFormat="1" ht="12.75" x14ac:dyDescent="0.2">
      <c r="B373" s="413"/>
      <c r="C373" s="39"/>
      <c r="D373" s="60"/>
      <c r="E373" s="40"/>
      <c r="F373" s="40"/>
      <c r="G373" s="40"/>
      <c r="H373" s="40"/>
      <c r="I373" s="40"/>
      <c r="J373" s="41"/>
    </row>
    <row r="374" spans="2:10" s="1" customFormat="1" ht="12.75" x14ac:dyDescent="0.2">
      <c r="B374" s="46"/>
      <c r="C374" s="59"/>
      <c r="D374" s="60"/>
      <c r="E374" s="40"/>
      <c r="F374" s="40"/>
      <c r="G374" s="40"/>
      <c r="H374" s="40"/>
      <c r="I374" s="40"/>
      <c r="J374" s="41"/>
    </row>
    <row r="375" spans="2:10" s="1" customFormat="1" ht="12.75" x14ac:dyDescent="0.2">
      <c r="B375" s="25" t="s">
        <v>859</v>
      </c>
      <c r="C375" s="28" t="s">
        <v>735</v>
      </c>
      <c r="D375" s="60"/>
      <c r="E375" s="40"/>
      <c r="F375" s="40"/>
      <c r="G375" s="40"/>
      <c r="H375" s="40"/>
      <c r="I375" s="40">
        <f>+SUM(H376:H381)</f>
        <v>5.76</v>
      </c>
      <c r="J375" s="41" t="s">
        <v>45</v>
      </c>
    </row>
    <row r="376" spans="2:10" s="1" customFormat="1" ht="12.75" x14ac:dyDescent="0.2">
      <c r="B376" s="25"/>
      <c r="C376" s="39" t="s">
        <v>394</v>
      </c>
      <c r="D376" s="40">
        <v>1</v>
      </c>
      <c r="E376" s="40">
        <v>2</v>
      </c>
      <c r="F376" s="40"/>
      <c r="G376" s="40">
        <f>0.93+0.15</f>
        <v>1.08</v>
      </c>
      <c r="H376" s="40">
        <f t="shared" ref="H376:H384" si="18">IF(AND(F376=0,G376=0),D376*E376,IF(AND(E376=0,G376=0),D376*F376,IF(AND(E376=0,F376=0),D376*G376,IF(AND(E376=0),D376*F376*G376,IF(AND(F376=0),D376*E376*G376,IF(AND(G376=0),D376*E376*F376,D376*E376*F376*G376))))))</f>
        <v>2.16</v>
      </c>
      <c r="I376" s="40"/>
      <c r="J376" s="41"/>
    </row>
    <row r="377" spans="2:10" s="1" customFormat="1" ht="12.75" x14ac:dyDescent="0.2">
      <c r="B377" s="25"/>
      <c r="C377" s="39"/>
      <c r="D377" s="60">
        <v>1</v>
      </c>
      <c r="E377" s="40">
        <v>0.6</v>
      </c>
      <c r="F377" s="40"/>
      <c r="G377" s="40">
        <v>0.8</v>
      </c>
      <c r="H377" s="40">
        <f t="shared" si="18"/>
        <v>0.48</v>
      </c>
      <c r="I377" s="40"/>
      <c r="J377" s="41"/>
    </row>
    <row r="378" spans="2:10" s="1" customFormat="1" ht="12.75" x14ac:dyDescent="0.2">
      <c r="B378" s="25"/>
      <c r="C378" s="39" t="s">
        <v>448</v>
      </c>
      <c r="D378" s="40">
        <v>1</v>
      </c>
      <c r="E378" s="40">
        <v>2</v>
      </c>
      <c r="F378" s="40"/>
      <c r="G378" s="40">
        <f>0.35+0.15</f>
        <v>0.5</v>
      </c>
      <c r="H378" s="40">
        <f t="shared" si="18"/>
        <v>1</v>
      </c>
      <c r="I378" s="40"/>
      <c r="J378" s="41"/>
    </row>
    <row r="379" spans="2:10" s="1" customFormat="1" ht="12.75" x14ac:dyDescent="0.2">
      <c r="B379" s="25"/>
      <c r="C379" s="39"/>
      <c r="D379" s="60">
        <v>1</v>
      </c>
      <c r="E379" s="40">
        <v>0.6</v>
      </c>
      <c r="F379" s="40"/>
      <c r="G379" s="40">
        <v>0.8</v>
      </c>
      <c r="H379" s="40">
        <f t="shared" si="18"/>
        <v>0.48</v>
      </c>
      <c r="I379" s="40"/>
      <c r="J379" s="41"/>
    </row>
    <row r="380" spans="2:10" s="1" customFormat="1" ht="12.75" x14ac:dyDescent="0.2">
      <c r="B380" s="25"/>
      <c r="C380" s="39" t="s">
        <v>449</v>
      </c>
      <c r="D380" s="40">
        <v>1</v>
      </c>
      <c r="E380" s="40">
        <v>2</v>
      </c>
      <c r="F380" s="40"/>
      <c r="G380" s="40">
        <f>0.43+0.15</f>
        <v>0.57999999999999996</v>
      </c>
      <c r="H380" s="40">
        <f t="shared" si="18"/>
        <v>1.1599999999999999</v>
      </c>
      <c r="I380" s="40"/>
      <c r="J380" s="41"/>
    </row>
    <row r="381" spans="2:10" s="1" customFormat="1" ht="12.75" x14ac:dyDescent="0.2">
      <c r="B381" s="25"/>
      <c r="C381" s="59"/>
      <c r="D381" s="60">
        <v>1</v>
      </c>
      <c r="E381" s="40">
        <v>0.6</v>
      </c>
      <c r="F381" s="40"/>
      <c r="G381" s="40">
        <v>0.8</v>
      </c>
      <c r="H381" s="40">
        <f t="shared" si="18"/>
        <v>0.48</v>
      </c>
      <c r="I381" s="40"/>
      <c r="J381" s="41"/>
    </row>
    <row r="382" spans="2:10" s="1" customFormat="1" ht="12.75" x14ac:dyDescent="0.2">
      <c r="B382" s="25" t="s">
        <v>860</v>
      </c>
      <c r="C382" s="28" t="s">
        <v>736</v>
      </c>
      <c r="D382" s="60"/>
      <c r="E382" s="40"/>
      <c r="F382" s="40"/>
      <c r="G382" s="40"/>
      <c r="H382" s="40"/>
      <c r="I382" s="40">
        <f>+SUM(H383:H384)</f>
        <v>5.3950000000000005</v>
      </c>
      <c r="J382" s="41" t="s">
        <v>45</v>
      </c>
    </row>
    <row r="383" spans="2:10" s="1" customFormat="1" ht="12.75" x14ac:dyDescent="0.2">
      <c r="B383" s="46"/>
      <c r="C383" s="39" t="s">
        <v>720</v>
      </c>
      <c r="D383" s="60">
        <v>2</v>
      </c>
      <c r="E383" s="40">
        <v>4.1500000000000004</v>
      </c>
      <c r="F383" s="40"/>
      <c r="G383" s="40">
        <f>0.35+0.15</f>
        <v>0.5</v>
      </c>
      <c r="H383" s="40">
        <f t="shared" si="18"/>
        <v>4.1500000000000004</v>
      </c>
      <c r="I383" s="40"/>
      <c r="J383" s="41"/>
    </row>
    <row r="384" spans="2:10" s="1" customFormat="1" ht="12.75" x14ac:dyDescent="0.2">
      <c r="B384" s="46"/>
      <c r="C384" s="59"/>
      <c r="D384" s="60">
        <v>1</v>
      </c>
      <c r="E384" s="40">
        <v>4.1500000000000004</v>
      </c>
      <c r="F384" s="40"/>
      <c r="G384" s="40">
        <v>0.3</v>
      </c>
      <c r="H384" s="40">
        <f t="shared" si="18"/>
        <v>1.2450000000000001</v>
      </c>
      <c r="I384" s="40"/>
      <c r="J384" s="41"/>
    </row>
    <row r="385" spans="2:10" s="1" customFormat="1" ht="12.75" x14ac:dyDescent="0.2">
      <c r="B385" s="57"/>
      <c r="C385" s="39"/>
      <c r="D385" s="60"/>
      <c r="E385" s="40"/>
      <c r="F385" s="40"/>
      <c r="G385" s="40"/>
      <c r="H385" s="40"/>
      <c r="I385" s="40"/>
      <c r="J385" s="41"/>
    </row>
    <row r="386" spans="2:10" s="1" customFormat="1" ht="12.75" x14ac:dyDescent="0.2">
      <c r="B386" s="57" t="s">
        <v>876</v>
      </c>
      <c r="C386" s="58" t="s">
        <v>223</v>
      </c>
      <c r="D386" s="60"/>
      <c r="E386" s="40"/>
      <c r="F386" s="40"/>
      <c r="G386" s="40"/>
      <c r="H386" s="40"/>
      <c r="I386" s="40"/>
      <c r="J386" s="41"/>
    </row>
    <row r="387" spans="2:10" s="1" customFormat="1" ht="12.75" x14ac:dyDescent="0.2">
      <c r="B387" s="43" t="s">
        <v>877</v>
      </c>
      <c r="C387" s="412" t="s">
        <v>657</v>
      </c>
      <c r="D387" s="60"/>
      <c r="E387" s="40"/>
      <c r="F387" s="40"/>
      <c r="G387" s="40"/>
      <c r="H387" s="40"/>
      <c r="I387" s="44">
        <f>+SUM(H388:H388)</f>
        <v>14</v>
      </c>
      <c r="J387" s="45" t="s">
        <v>13</v>
      </c>
    </row>
    <row r="388" spans="2:10" s="1" customFormat="1" ht="12.75" x14ac:dyDescent="0.2">
      <c r="B388" s="46"/>
      <c r="C388" s="39" t="s">
        <v>456</v>
      </c>
      <c r="D388" s="60">
        <f>7*2</f>
        <v>14</v>
      </c>
      <c r="E388" s="40"/>
      <c r="F388" s="40"/>
      <c r="G388" s="40"/>
      <c r="H388" s="40">
        <f t="shared" ref="H388" si="19">+D388</f>
        <v>14</v>
      </c>
      <c r="I388" s="40"/>
      <c r="J388" s="41"/>
    </row>
    <row r="389" spans="2:10" s="1" customFormat="1" ht="12.75" x14ac:dyDescent="0.2">
      <c r="B389" s="46"/>
      <c r="C389" s="59"/>
      <c r="D389" s="60"/>
      <c r="E389" s="40"/>
      <c r="F389" s="40"/>
      <c r="G389" s="40"/>
      <c r="H389" s="40"/>
      <c r="I389" s="40"/>
      <c r="J389" s="41"/>
    </row>
    <row r="390" spans="2:10" s="1" customFormat="1" ht="12.75" x14ac:dyDescent="0.2">
      <c r="B390" s="43" t="s">
        <v>888</v>
      </c>
      <c r="C390" s="28" t="s">
        <v>544</v>
      </c>
      <c r="D390" s="60"/>
      <c r="E390" s="40"/>
      <c r="F390" s="40"/>
      <c r="G390" s="40"/>
      <c r="H390" s="40"/>
      <c r="I390" s="44">
        <f>+SUM(H391:H392)</f>
        <v>7</v>
      </c>
      <c r="J390" s="45" t="s">
        <v>13</v>
      </c>
    </row>
    <row r="391" spans="2:10" s="1" customFormat="1" ht="12.75" x14ac:dyDescent="0.2">
      <c r="B391" s="46"/>
      <c r="C391" s="59" t="s">
        <v>471</v>
      </c>
      <c r="D391" s="60">
        <v>7</v>
      </c>
      <c r="E391" s="40"/>
      <c r="F391" s="40"/>
      <c r="G391" s="40"/>
      <c r="H391" s="40">
        <f>+D391</f>
        <v>7</v>
      </c>
      <c r="I391" s="40"/>
      <c r="J391" s="41"/>
    </row>
    <row r="392" spans="2:10" s="1" customFormat="1" ht="12.75" x14ac:dyDescent="0.2">
      <c r="B392" s="46"/>
      <c r="C392" s="59"/>
      <c r="D392" s="60"/>
      <c r="E392" s="40"/>
      <c r="F392" s="40"/>
      <c r="G392" s="40"/>
      <c r="H392" s="40"/>
      <c r="I392" s="40"/>
      <c r="J392" s="41"/>
    </row>
    <row r="393" spans="2:10" s="1" customFormat="1" ht="12.75" x14ac:dyDescent="0.2">
      <c r="B393" s="43" t="s">
        <v>890</v>
      </c>
      <c r="C393" s="28" t="s">
        <v>546</v>
      </c>
      <c r="D393" s="60"/>
      <c r="E393" s="40"/>
      <c r="F393" s="40"/>
      <c r="G393" s="40"/>
      <c r="H393" s="40"/>
      <c r="I393" s="44">
        <f>+SUM(H394)</f>
        <v>7</v>
      </c>
      <c r="J393" s="45" t="s">
        <v>13</v>
      </c>
    </row>
    <row r="394" spans="2:10" s="1" customFormat="1" ht="12.75" x14ac:dyDescent="0.2">
      <c r="B394" s="46"/>
      <c r="C394" s="59" t="s">
        <v>471</v>
      </c>
      <c r="D394" s="60">
        <v>7</v>
      </c>
      <c r="E394" s="40"/>
      <c r="F394" s="40"/>
      <c r="G394" s="40"/>
      <c r="H394" s="40">
        <f>+D394</f>
        <v>7</v>
      </c>
      <c r="I394" s="40"/>
      <c r="J394" s="41"/>
    </row>
    <row r="395" spans="2:10" s="1" customFormat="1" ht="12.75" x14ac:dyDescent="0.2">
      <c r="B395" s="46"/>
      <c r="C395" s="59"/>
      <c r="D395" s="60"/>
      <c r="E395" s="40"/>
      <c r="F395" s="40"/>
      <c r="G395" s="40"/>
      <c r="H395" s="40"/>
      <c r="I395" s="40"/>
      <c r="J395" s="41"/>
    </row>
    <row r="396" spans="2:10" s="1" customFormat="1" ht="12.75" x14ac:dyDescent="0.2">
      <c r="B396" s="46"/>
      <c r="C396" s="59"/>
      <c r="D396" s="60"/>
      <c r="E396" s="40"/>
      <c r="F396" s="40"/>
      <c r="G396" s="40"/>
      <c r="H396" s="40"/>
      <c r="I396" s="40"/>
      <c r="J396" s="41"/>
    </row>
    <row r="397" spans="2:10" s="1" customFormat="1" ht="12.75" x14ac:dyDescent="0.2">
      <c r="B397" s="46"/>
      <c r="C397" s="59"/>
      <c r="D397" s="60"/>
      <c r="E397" s="40"/>
      <c r="F397" s="40"/>
      <c r="G397" s="40"/>
      <c r="H397" s="40"/>
      <c r="I397" s="40"/>
      <c r="J397" s="41"/>
    </row>
    <row r="398" spans="2:10" s="1" customFormat="1" ht="12.75" x14ac:dyDescent="0.2">
      <c r="B398" s="46"/>
      <c r="C398" s="59"/>
      <c r="D398" s="60"/>
      <c r="E398" s="40"/>
      <c r="F398" s="40"/>
      <c r="G398" s="40"/>
      <c r="H398" s="40"/>
      <c r="I398" s="40"/>
      <c r="J398" s="41"/>
    </row>
    <row r="399" spans="2:10" s="1" customFormat="1" ht="12.75" x14ac:dyDescent="0.2">
      <c r="B399" s="46"/>
      <c r="C399" s="59"/>
      <c r="D399" s="60"/>
      <c r="E399" s="40"/>
      <c r="F399" s="40"/>
      <c r="G399" s="40"/>
      <c r="H399" s="40"/>
      <c r="I399" s="40"/>
      <c r="J399" s="41"/>
    </row>
    <row r="400" spans="2:10" s="1" customFormat="1" ht="12.75" x14ac:dyDescent="0.2">
      <c r="B400" s="46"/>
      <c r="C400" s="59"/>
      <c r="D400" s="60"/>
      <c r="E400" s="40"/>
      <c r="F400" s="40"/>
      <c r="G400" s="40"/>
      <c r="H400" s="40"/>
      <c r="I400" s="40"/>
      <c r="J400" s="41"/>
    </row>
    <row r="401" spans="2:10" s="1" customFormat="1" ht="12.75" x14ac:dyDescent="0.2">
      <c r="B401" s="46"/>
      <c r="C401" s="59"/>
      <c r="D401" s="60"/>
      <c r="E401" s="40"/>
      <c r="F401" s="40"/>
      <c r="G401" s="40"/>
      <c r="H401" s="40"/>
      <c r="I401" s="40"/>
      <c r="J401" s="41"/>
    </row>
    <row r="402" spans="2:10" s="1" customFormat="1" ht="12.75" x14ac:dyDescent="0.2">
      <c r="B402" s="46"/>
      <c r="C402" s="59"/>
      <c r="D402" s="60"/>
      <c r="E402" s="40"/>
      <c r="F402" s="40"/>
      <c r="G402" s="40"/>
      <c r="H402" s="40"/>
      <c r="I402" s="40"/>
      <c r="J402" s="41"/>
    </row>
    <row r="403" spans="2:10" s="1" customFormat="1" ht="12.75" x14ac:dyDescent="0.2">
      <c r="B403" s="46"/>
      <c r="C403" s="59"/>
      <c r="D403" s="60"/>
      <c r="E403" s="40"/>
      <c r="F403" s="40"/>
      <c r="G403" s="40"/>
      <c r="H403" s="40"/>
      <c r="I403" s="40"/>
      <c r="J403" s="41"/>
    </row>
    <row r="404" spans="2:10" s="1" customFormat="1" ht="12.75" x14ac:dyDescent="0.2">
      <c r="B404" s="46"/>
      <c r="C404" s="59"/>
      <c r="D404" s="60"/>
      <c r="E404" s="40"/>
      <c r="F404" s="40"/>
      <c r="G404" s="40"/>
      <c r="H404" s="40"/>
      <c r="I404" s="40"/>
      <c r="J404" s="41"/>
    </row>
    <row r="405" spans="2:10" s="1" customFormat="1" ht="12.75" x14ac:dyDescent="0.2">
      <c r="B405" s="46"/>
      <c r="C405" s="59"/>
      <c r="D405" s="60"/>
      <c r="E405" s="40"/>
      <c r="F405" s="40"/>
      <c r="G405" s="40"/>
      <c r="H405" s="40"/>
      <c r="I405" s="40"/>
      <c r="J405" s="41"/>
    </row>
    <row r="406" spans="2:10" s="1" customFormat="1" ht="12.75" x14ac:dyDescent="0.2">
      <c r="B406" s="37"/>
      <c r="C406" s="38"/>
      <c r="D406" s="38"/>
      <c r="E406" s="38"/>
      <c r="F406" s="38"/>
      <c r="G406" s="38"/>
      <c r="H406" s="38"/>
      <c r="I406" s="38"/>
      <c r="J406" s="38"/>
    </row>
    <row r="407" spans="2:10" s="1" customFormat="1" ht="12.75" x14ac:dyDescent="0.2">
      <c r="C407" s="499" t="s">
        <v>37</v>
      </c>
      <c r="D407" s="499"/>
      <c r="E407" s="499"/>
      <c r="F407" s="499"/>
      <c r="G407" s="499"/>
      <c r="H407" s="499"/>
    </row>
    <row r="408" spans="2:10" s="1" customFormat="1" ht="12.75" x14ac:dyDescent="0.2">
      <c r="C408" s="499" t="s">
        <v>38</v>
      </c>
      <c r="D408" s="499"/>
      <c r="E408" s="499"/>
      <c r="F408" s="499"/>
      <c r="G408" s="499"/>
      <c r="H408" s="499"/>
    </row>
    <row r="409" spans="2:10" s="1" customFormat="1" ht="12.75" x14ac:dyDescent="0.2">
      <c r="C409" s="499" t="s">
        <v>39</v>
      </c>
      <c r="D409" s="499"/>
      <c r="E409" s="499"/>
      <c r="F409" s="499"/>
      <c r="G409" s="499"/>
      <c r="H409" s="499"/>
    </row>
    <row r="410" spans="2:10" s="1" customFormat="1" ht="12.75" x14ac:dyDescent="0.2">
      <c r="C410" s="500" t="s">
        <v>40</v>
      </c>
      <c r="D410" s="500"/>
      <c r="E410" s="500"/>
      <c r="F410" s="500"/>
      <c r="G410" s="500"/>
      <c r="H410" s="500"/>
    </row>
    <row r="411" spans="2:10" s="1" customFormat="1" ht="12.75" x14ac:dyDescent="0.2">
      <c r="C411" s="401"/>
      <c r="D411" s="401"/>
      <c r="E411" s="401"/>
      <c r="F411" s="401"/>
      <c r="G411" s="401"/>
      <c r="H411" s="401"/>
    </row>
    <row r="412" spans="2:10" s="1" customFormat="1" ht="33.75" customHeight="1" x14ac:dyDescent="0.2">
      <c r="B412" s="402" t="s">
        <v>65</v>
      </c>
      <c r="C412" s="403"/>
      <c r="D412" s="403"/>
      <c r="E412" s="403"/>
      <c r="F412" s="403"/>
      <c r="G412" s="403"/>
      <c r="H412" s="403"/>
      <c r="I412" s="403"/>
      <c r="J412" s="404"/>
    </row>
    <row r="413" spans="2:10" s="1" customFormat="1" ht="20.25" x14ac:dyDescent="0.2">
      <c r="B413" s="406" t="s">
        <v>362</v>
      </c>
      <c r="C413" s="407"/>
      <c r="D413" s="407"/>
      <c r="E413" s="407"/>
      <c r="F413" s="407"/>
      <c r="G413" s="407"/>
      <c r="H413" s="407"/>
      <c r="I413" s="407"/>
      <c r="J413" s="408"/>
    </row>
    <row r="414" spans="2:10" s="1" customFormat="1" ht="13.5" thickBot="1" x14ac:dyDescent="0.25">
      <c r="B414" s="405"/>
      <c r="C414" s="405"/>
      <c r="D414" s="405"/>
      <c r="E414" s="405"/>
      <c r="F414" s="405"/>
      <c r="G414" s="405"/>
      <c r="H414" s="405"/>
      <c r="I414" s="405"/>
      <c r="J414" s="405"/>
    </row>
    <row r="415" spans="2:10" s="1" customFormat="1" ht="24.75" customHeight="1" x14ac:dyDescent="0.2">
      <c r="B415" s="494" t="s">
        <v>27</v>
      </c>
      <c r="C415" s="495"/>
      <c r="D415" s="495"/>
      <c r="E415" s="495"/>
      <c r="F415" s="495"/>
      <c r="G415" s="495"/>
      <c r="H415" s="495"/>
      <c r="I415" s="495"/>
      <c r="J415" s="496"/>
    </row>
    <row r="416" spans="2:10" s="1" customFormat="1" ht="12.75" x14ac:dyDescent="0.2">
      <c r="B416" s="2" t="s">
        <v>35</v>
      </c>
      <c r="C416" s="3" t="s">
        <v>36</v>
      </c>
      <c r="D416" s="3"/>
      <c r="E416" s="4"/>
      <c r="F416" s="5"/>
      <c r="G416" s="6" t="s">
        <v>8</v>
      </c>
      <c r="H416" s="497">
        <v>42879</v>
      </c>
      <c r="I416" s="497"/>
      <c r="J416" s="7"/>
    </row>
    <row r="417" spans="2:10" s="1" customFormat="1" ht="12.75" x14ac:dyDescent="0.2">
      <c r="B417" s="2" t="s">
        <v>33</v>
      </c>
      <c r="C417" s="3" t="s">
        <v>29</v>
      </c>
      <c r="D417" s="8"/>
      <c r="E417" s="8"/>
      <c r="F417" s="3"/>
      <c r="G417" s="9" t="s">
        <v>32</v>
      </c>
      <c r="H417" s="4" t="s">
        <v>29</v>
      </c>
      <c r="I417" s="10"/>
      <c r="J417" s="11"/>
    </row>
    <row r="418" spans="2:10" s="1" customFormat="1" ht="12.75" x14ac:dyDescent="0.2">
      <c r="B418" s="2" t="s">
        <v>34</v>
      </c>
      <c r="C418" s="3" t="s">
        <v>29</v>
      </c>
      <c r="D418" s="8"/>
      <c r="E418" s="8"/>
      <c r="F418" s="3"/>
      <c r="G418" s="9" t="s">
        <v>30</v>
      </c>
      <c r="H418" s="4" t="s">
        <v>31</v>
      </c>
      <c r="I418" s="10"/>
      <c r="J418" s="11"/>
    </row>
    <row r="419" spans="2:10" s="1" customFormat="1" ht="13.5" thickBot="1" x14ac:dyDescent="0.25">
      <c r="B419" s="12" t="s">
        <v>43</v>
      </c>
      <c r="C419" s="13" t="s">
        <v>44</v>
      </c>
      <c r="D419" s="14"/>
      <c r="E419" s="14"/>
      <c r="F419" s="13"/>
      <c r="G419" s="15" t="s">
        <v>41</v>
      </c>
      <c r="H419" s="16" t="s">
        <v>42</v>
      </c>
      <c r="I419" s="17"/>
      <c r="J419" s="18"/>
    </row>
    <row r="420" spans="2:10" s="1" customFormat="1" ht="12.75" x14ac:dyDescent="0.2">
      <c r="B420" s="405"/>
      <c r="C420" s="405"/>
      <c r="D420" s="405"/>
      <c r="E420" s="405"/>
      <c r="F420" s="405"/>
      <c r="G420" s="405"/>
      <c r="H420" s="405"/>
      <c r="I420" s="405"/>
      <c r="J420" s="405"/>
    </row>
    <row r="421" spans="2:10" s="1" customFormat="1" ht="12.75" x14ac:dyDescent="0.2">
      <c r="B421" s="21" t="s">
        <v>5</v>
      </c>
      <c r="C421" s="22" t="s">
        <v>0</v>
      </c>
      <c r="D421" s="22" t="s">
        <v>9</v>
      </c>
      <c r="E421" s="22" t="s">
        <v>10</v>
      </c>
      <c r="F421" s="22" t="s">
        <v>1</v>
      </c>
      <c r="G421" s="22" t="s">
        <v>2</v>
      </c>
      <c r="H421" s="22" t="s">
        <v>11</v>
      </c>
      <c r="I421" s="22" t="s">
        <v>6</v>
      </c>
      <c r="J421" s="22" t="s">
        <v>7</v>
      </c>
    </row>
    <row r="422" spans="2:10" s="1" customFormat="1" ht="12.75" x14ac:dyDescent="0.2">
      <c r="B422" s="55">
        <v>4.03</v>
      </c>
      <c r="C422" s="56" t="s">
        <v>222</v>
      </c>
      <c r="D422" s="60"/>
      <c r="E422" s="40"/>
      <c r="F422" s="40"/>
      <c r="G422" s="40"/>
      <c r="H422" s="40"/>
      <c r="I422" s="40"/>
      <c r="J422" s="41"/>
    </row>
    <row r="423" spans="2:10" s="1" customFormat="1" ht="12.75" x14ac:dyDescent="0.2">
      <c r="B423" s="73" t="s">
        <v>14</v>
      </c>
      <c r="C423" s="73" t="s">
        <v>615</v>
      </c>
      <c r="D423" s="60"/>
      <c r="E423" s="40"/>
      <c r="F423" s="40"/>
      <c r="G423" s="40"/>
      <c r="H423" s="40"/>
      <c r="I423" s="40"/>
      <c r="J423" s="41"/>
    </row>
    <row r="424" spans="2:10" s="1" customFormat="1" ht="12.75" x14ac:dyDescent="0.2">
      <c r="B424" s="25" t="s">
        <v>15</v>
      </c>
      <c r="C424" s="28" t="s">
        <v>616</v>
      </c>
      <c r="D424" s="60"/>
      <c r="E424" s="40"/>
      <c r="F424" s="40"/>
      <c r="G424" s="40"/>
      <c r="H424" s="40"/>
      <c r="I424" s="40">
        <f>+SUM(H425:H432)</f>
        <v>8.7885200000000001</v>
      </c>
      <c r="J424" s="41" t="s">
        <v>45</v>
      </c>
    </row>
    <row r="425" spans="2:10" s="1" customFormat="1" ht="12.75" x14ac:dyDescent="0.2">
      <c r="B425" s="25"/>
      <c r="C425" s="39" t="s">
        <v>713</v>
      </c>
      <c r="D425" s="40">
        <v>1</v>
      </c>
      <c r="E425" s="40">
        <v>0.6</v>
      </c>
      <c r="F425" s="40">
        <v>0.8</v>
      </c>
      <c r="G425" s="40"/>
      <c r="H425" s="40">
        <f t="shared" ref="H425:H429" si="20">IF(AND(F425=0,G425=0),D425*E425,IF(AND(E425=0,G425=0),D425*F425,IF(AND(E425=0,F425=0),D425*G425,IF(AND(E425=0),D425*F425*G425,IF(AND(F425=0),D425*E425*G425,IF(AND(G425=0),D425*E425*F425,D425*E425*F425*G425))))))</f>
        <v>0.48</v>
      </c>
      <c r="I425" s="40"/>
      <c r="J425" s="41"/>
    </row>
    <row r="426" spans="2:10" s="1" customFormat="1" ht="12.75" x14ac:dyDescent="0.2">
      <c r="B426" s="25"/>
      <c r="C426" s="43" t="s">
        <v>472</v>
      </c>
      <c r="D426" s="60"/>
      <c r="E426" s="40"/>
      <c r="F426" s="40"/>
      <c r="G426" s="40"/>
      <c r="H426" s="40"/>
      <c r="I426" s="40"/>
      <c r="J426" s="41"/>
    </row>
    <row r="427" spans="2:10" s="1" customFormat="1" ht="12.75" x14ac:dyDescent="0.2">
      <c r="B427" s="25"/>
      <c r="C427" s="39" t="s">
        <v>482</v>
      </c>
      <c r="D427" s="60">
        <v>1</v>
      </c>
      <c r="E427" s="40">
        <f>3.8+3.95</f>
        <v>7.75</v>
      </c>
      <c r="F427" s="40">
        <v>0.5</v>
      </c>
      <c r="G427" s="40"/>
      <c r="H427" s="40">
        <f t="shared" si="20"/>
        <v>3.875</v>
      </c>
      <c r="I427" s="40"/>
      <c r="J427" s="41"/>
    </row>
    <row r="428" spans="2:10" s="1" customFormat="1" ht="12.75" x14ac:dyDescent="0.2">
      <c r="B428" s="25"/>
      <c r="C428" s="43" t="s">
        <v>228</v>
      </c>
      <c r="D428" s="60"/>
      <c r="E428" s="40"/>
      <c r="F428" s="40"/>
      <c r="G428" s="40"/>
      <c r="H428" s="40"/>
      <c r="I428" s="40"/>
      <c r="J428" s="41"/>
    </row>
    <row r="429" spans="2:10" s="1" customFormat="1" ht="12.75" x14ac:dyDescent="0.2">
      <c r="B429" s="25"/>
      <c r="C429" s="39" t="s">
        <v>484</v>
      </c>
      <c r="D429" s="40">
        <v>1</v>
      </c>
      <c r="E429" s="40">
        <v>7.35</v>
      </c>
      <c r="F429" s="40">
        <f>8*0.0254+0.4</f>
        <v>0.60319999999999996</v>
      </c>
      <c r="G429" s="40"/>
      <c r="H429" s="40">
        <f t="shared" si="20"/>
        <v>4.4335199999999997</v>
      </c>
      <c r="I429" s="40"/>
      <c r="J429" s="41"/>
    </row>
    <row r="430" spans="2:10" x14ac:dyDescent="0.25">
      <c r="B430" s="25" t="s">
        <v>232</v>
      </c>
      <c r="C430" s="28" t="s">
        <v>617</v>
      </c>
      <c r="D430" s="23"/>
      <c r="E430" s="23"/>
      <c r="F430" s="23"/>
      <c r="G430" s="23"/>
      <c r="H430" s="24"/>
      <c r="I430" s="25">
        <f>+I424</f>
        <v>8.7885200000000001</v>
      </c>
      <c r="J430" s="26" t="s">
        <v>45</v>
      </c>
    </row>
    <row r="431" spans="2:10" s="1" customFormat="1" ht="12.75" x14ac:dyDescent="0.2">
      <c r="B431" s="46"/>
      <c r="C431" s="59"/>
      <c r="D431" s="60"/>
      <c r="E431" s="40"/>
      <c r="F431" s="40"/>
      <c r="G431" s="40"/>
      <c r="H431" s="40"/>
      <c r="I431" s="40"/>
      <c r="J431" s="41"/>
    </row>
    <row r="432" spans="2:10" s="1" customFormat="1" ht="12.75" x14ac:dyDescent="0.2">
      <c r="B432" s="25"/>
      <c r="C432" s="65"/>
      <c r="D432" s="60"/>
      <c r="E432" s="40"/>
      <c r="F432" s="40"/>
      <c r="G432" s="40"/>
      <c r="H432" s="40"/>
      <c r="I432" s="40"/>
      <c r="J432" s="41"/>
    </row>
    <row r="433" spans="2:10" x14ac:dyDescent="0.25">
      <c r="B433" s="73" t="s">
        <v>25</v>
      </c>
      <c r="C433" s="73" t="s">
        <v>614</v>
      </c>
      <c r="D433" s="23"/>
      <c r="E433" s="23"/>
      <c r="F433" s="23"/>
      <c r="G433" s="23"/>
      <c r="H433" s="24"/>
      <c r="I433" s="25"/>
      <c r="J433" s="26"/>
    </row>
    <row r="434" spans="2:10" s="1" customFormat="1" ht="12.75" x14ac:dyDescent="0.2">
      <c r="B434" s="25" t="s">
        <v>26</v>
      </c>
      <c r="C434" s="1" t="s">
        <v>622</v>
      </c>
      <c r="D434" s="60"/>
      <c r="E434" s="40"/>
      <c r="F434" s="40"/>
      <c r="G434" s="40"/>
      <c r="H434" s="24"/>
      <c r="I434" s="25">
        <f>+SUM(H435:H436)</f>
        <v>0</v>
      </c>
      <c r="J434" s="26" t="s">
        <v>4</v>
      </c>
    </row>
    <row r="435" spans="2:10" s="1" customFormat="1" ht="12.75" x14ac:dyDescent="0.2">
      <c r="B435" s="25"/>
      <c r="C435" s="39"/>
      <c r="D435" s="60"/>
      <c r="F435" s="40"/>
      <c r="G435" s="40"/>
      <c r="H435" s="40">
        <f>IF(AND(F435=0,G435=0),D435*E435,IF(AND(E435=0,G435=0),D435*F435,IF(AND(E435=0,F435=0),D435*G435,IF(AND(E435=0),D435*F435*G435,IF(AND(F435=0),D435*E435*G435,IF(AND(G435=0),D435*E435*F435,D435*E435*F435*G435))))))</f>
        <v>0</v>
      </c>
      <c r="I435" s="40"/>
      <c r="J435" s="41"/>
    </row>
    <row r="436" spans="2:10" s="1" customFormat="1" ht="12.75" x14ac:dyDescent="0.2">
      <c r="B436" s="25" t="s">
        <v>654</v>
      </c>
      <c r="C436" s="414" t="s">
        <v>623</v>
      </c>
      <c r="D436" s="60"/>
      <c r="E436" s="40"/>
      <c r="F436" s="40"/>
      <c r="G436" s="40"/>
      <c r="H436" s="24"/>
      <c r="I436" s="25">
        <f>+SUM(H437:H440)</f>
        <v>0.4032</v>
      </c>
      <c r="J436" s="26" t="s">
        <v>4</v>
      </c>
    </row>
    <row r="437" spans="2:10" s="1" customFormat="1" ht="12.75" x14ac:dyDescent="0.2">
      <c r="B437" s="413"/>
      <c r="C437" s="39" t="s">
        <v>713</v>
      </c>
      <c r="D437" s="40">
        <v>1</v>
      </c>
      <c r="E437" s="40">
        <v>0.6</v>
      </c>
      <c r="F437" s="40">
        <v>0.8</v>
      </c>
      <c r="G437" s="40">
        <f>0.64+0.2</f>
        <v>0.84000000000000008</v>
      </c>
      <c r="H437" s="40">
        <f>IF(AND(F437=0,G437=0),D437*E437,IF(AND(E437=0,G437=0),D437*F437,IF(AND(E437=0,F437=0),D437*G437,IF(AND(E437=0),D437*F437*G437,IF(AND(F437=0),D437*E437*G437,IF(AND(G437=0),D437*E437*F437,D437*E437*F437*G437))))))</f>
        <v>0.4032</v>
      </c>
      <c r="I437" s="40"/>
      <c r="J437" s="41"/>
    </row>
    <row r="438" spans="2:10" s="1" customFormat="1" ht="12.75" x14ac:dyDescent="0.2">
      <c r="B438" s="25" t="s">
        <v>822</v>
      </c>
      <c r="C438" s="1" t="s">
        <v>738</v>
      </c>
      <c r="D438" s="60"/>
      <c r="E438" s="40"/>
      <c r="F438" s="40"/>
      <c r="G438" s="40"/>
      <c r="H438" s="40"/>
      <c r="I438" s="25">
        <f>+SUM(H439:H440)</f>
        <v>0</v>
      </c>
      <c r="J438" s="26" t="s">
        <v>4</v>
      </c>
    </row>
    <row r="439" spans="2:10" s="1" customFormat="1" ht="12.75" x14ac:dyDescent="0.2">
      <c r="B439" s="46"/>
      <c r="C439" s="43" t="s">
        <v>468</v>
      </c>
      <c r="D439" s="60"/>
      <c r="E439" s="40"/>
      <c r="F439" s="40"/>
      <c r="G439" s="40"/>
      <c r="H439" s="40"/>
      <c r="J439" s="41"/>
    </row>
    <row r="440" spans="2:10" s="1" customFormat="1" ht="12.75" x14ac:dyDescent="0.2">
      <c r="B440" s="413"/>
      <c r="C440" s="39"/>
      <c r="D440" s="60"/>
      <c r="E440" s="40"/>
      <c r="F440" s="40"/>
      <c r="G440" s="40"/>
      <c r="H440" s="40">
        <v>0</v>
      </c>
      <c r="I440" s="40"/>
      <c r="J440" s="41"/>
    </row>
    <row r="441" spans="2:10" x14ac:dyDescent="0.25">
      <c r="B441" s="25" t="s">
        <v>820</v>
      </c>
      <c r="C441" s="414" t="s">
        <v>779</v>
      </c>
      <c r="D441" s="23"/>
      <c r="E441" s="23"/>
      <c r="F441" s="23"/>
      <c r="G441" s="23"/>
      <c r="I441" s="24">
        <f>+SUM(H442:H442)</f>
        <v>0.48</v>
      </c>
      <c r="J441" s="26" t="s">
        <v>45</v>
      </c>
    </row>
    <row r="442" spans="2:10" x14ac:dyDescent="0.25">
      <c r="B442" s="25"/>
      <c r="C442" s="39" t="s">
        <v>713</v>
      </c>
      <c r="D442" s="40">
        <v>1</v>
      </c>
      <c r="E442" s="40">
        <v>0.6</v>
      </c>
      <c r="F442" s="40">
        <v>0.8</v>
      </c>
      <c r="G442" s="40"/>
      <c r="H442" s="40">
        <f>IF(AND(F442=0,G442=0),D442*E442,IF(AND(E442=0,G442=0),D442*F442,IF(AND(E442=0,F442=0),D442*G442,IF(AND(E442=0),D442*F442*G442,IF(AND(F442=0),D442*E442*G442,IF(AND(G442=0),D442*E442*F442,D442*E442*F442*G442))))))</f>
        <v>0.48</v>
      </c>
      <c r="I442" s="25"/>
      <c r="J442" s="26"/>
    </row>
    <row r="443" spans="2:10" s="1" customFormat="1" ht="12.75" x14ac:dyDescent="0.2">
      <c r="B443" s="25" t="s">
        <v>821</v>
      </c>
      <c r="C443" s="414" t="s">
        <v>776</v>
      </c>
      <c r="D443" s="60"/>
      <c r="E443" s="40"/>
      <c r="F443" s="40"/>
      <c r="G443" s="40"/>
      <c r="H443" s="40"/>
      <c r="I443" s="40">
        <f>+H445+H449-(H447+H451)</f>
        <v>5.6282087551654856</v>
      </c>
      <c r="J443" s="41" t="s">
        <v>4</v>
      </c>
    </row>
    <row r="444" spans="2:10" s="1" customFormat="1" ht="12.75" x14ac:dyDescent="0.2">
      <c r="B444" s="46"/>
      <c r="C444" s="25" t="s">
        <v>902</v>
      </c>
      <c r="D444" s="60"/>
      <c r="E444" s="40"/>
      <c r="F444" s="40"/>
      <c r="G444" s="40"/>
      <c r="H444" s="40"/>
      <c r="I444" s="40"/>
      <c r="J444" s="41"/>
    </row>
    <row r="445" spans="2:10" s="1" customFormat="1" ht="12.75" x14ac:dyDescent="0.2">
      <c r="B445" s="46"/>
      <c r="C445" s="39" t="s">
        <v>482</v>
      </c>
      <c r="D445" s="60">
        <v>1</v>
      </c>
      <c r="E445" s="40">
        <f>3.8+3.95</f>
        <v>7.75</v>
      </c>
      <c r="F445" s="40">
        <v>0.5</v>
      </c>
      <c r="G445" s="40">
        <f>3*0.054+0.4</f>
        <v>0.56200000000000006</v>
      </c>
      <c r="H445" s="40">
        <f>IF(AND(F445=0,G445=0),D445*E445,IF(AND(E445=0,G445=0),D445*F445,IF(AND(E445=0,F445=0),D445*G445,IF(AND(E445=0),D445*F445*G445,IF(AND(F445=0),D445*E445*G445,IF(AND(G445=0),D445*E445*F445,D445*E445*F445*G445))))))</f>
        <v>2.1777500000000001</v>
      </c>
      <c r="I445" s="40"/>
      <c r="J445" s="41"/>
    </row>
    <row r="446" spans="2:10" s="1" customFormat="1" ht="12.75" x14ac:dyDescent="0.2">
      <c r="B446" s="46"/>
      <c r="C446" s="414"/>
      <c r="F446" s="40" t="s">
        <v>786</v>
      </c>
      <c r="G446" s="40">
        <v>3</v>
      </c>
      <c r="I446" s="40"/>
      <c r="J446" s="41"/>
    </row>
    <row r="447" spans="2:10" s="1" customFormat="1" ht="12.75" x14ac:dyDescent="0.2">
      <c r="B447" s="46"/>
      <c r="C447" s="39" t="s">
        <v>784</v>
      </c>
      <c r="D447" s="60">
        <v>1</v>
      </c>
      <c r="E447" s="40">
        <f>+SUM(E445)</f>
        <v>7.75</v>
      </c>
      <c r="F447" s="40" t="s">
        <v>785</v>
      </c>
      <c r="G447" s="379">
        <f>+PI()*((G446*0.0254)^2)/4</f>
        <v>4.5603673118774788E-3</v>
      </c>
      <c r="H447" s="40">
        <f>+E447*G447</f>
        <v>3.5342846667050461E-2</v>
      </c>
      <c r="I447" s="40"/>
      <c r="J447" s="41"/>
    </row>
    <row r="448" spans="2:10" s="1" customFormat="1" ht="12.75" x14ac:dyDescent="0.2">
      <c r="B448" s="46"/>
      <c r="C448" s="43" t="s">
        <v>228</v>
      </c>
      <c r="D448" s="60"/>
      <c r="E448" s="40"/>
      <c r="F448" s="40"/>
      <c r="G448" s="40"/>
      <c r="H448" s="40"/>
      <c r="I448" s="40"/>
      <c r="J448" s="41"/>
    </row>
    <row r="449" spans="2:10" s="1" customFormat="1" ht="12.75" x14ac:dyDescent="0.2">
      <c r="B449" s="46"/>
      <c r="C449" s="39" t="s">
        <v>484</v>
      </c>
      <c r="D449" s="40">
        <v>1</v>
      </c>
      <c r="E449" s="40">
        <v>7.35</v>
      </c>
      <c r="F449" s="40">
        <f>8*0.0254+0.4</f>
        <v>0.60319999999999996</v>
      </c>
      <c r="G449" s="40">
        <v>0.84</v>
      </c>
      <c r="H449" s="40">
        <f>IF(AND(F449=0,G449=0),D449*E449,IF(AND(E449=0,G449=0),D449*F449,IF(AND(E449=0,F449=0),D449*G449,IF(AND(E449=0),D449*F449*G449,IF(AND(F449=0),D449*E449*G449,IF(AND(G449=0),D449*E449*F449,D449*E449*F449*G449))))))</f>
        <v>3.7241567999999994</v>
      </c>
      <c r="I449" s="40"/>
      <c r="J449" s="41"/>
    </row>
    <row r="450" spans="2:10" s="1" customFormat="1" ht="12.75" x14ac:dyDescent="0.2">
      <c r="B450" s="46"/>
      <c r="C450" s="414"/>
      <c r="F450" s="40" t="s">
        <v>786</v>
      </c>
      <c r="G450" s="40">
        <v>8</v>
      </c>
      <c r="I450" s="40"/>
      <c r="J450" s="41"/>
    </row>
    <row r="451" spans="2:10" s="1" customFormat="1" ht="12.75" x14ac:dyDescent="0.2">
      <c r="B451" s="46"/>
      <c r="C451" s="39" t="s">
        <v>784</v>
      </c>
      <c r="D451" s="60">
        <v>1</v>
      </c>
      <c r="E451" s="40">
        <f>+SUM(E449)</f>
        <v>7.35</v>
      </c>
      <c r="F451" s="40" t="s">
        <v>785</v>
      </c>
      <c r="G451" s="40">
        <f>+PI()*((G450*0.0254)^2)/4</f>
        <v>3.2429278662239852E-2</v>
      </c>
      <c r="H451" s="40">
        <f>+E451*G451</f>
        <v>0.2383551981674629</v>
      </c>
      <c r="I451" s="40"/>
      <c r="J451" s="41"/>
    </row>
    <row r="452" spans="2:10" s="1" customFormat="1" ht="12.75" x14ac:dyDescent="0.2">
      <c r="B452" s="46" t="s">
        <v>823</v>
      </c>
      <c r="C452" s="1" t="s">
        <v>719</v>
      </c>
      <c r="D452" s="60"/>
      <c r="E452" s="40"/>
      <c r="F452" s="40"/>
      <c r="G452" s="40"/>
      <c r="H452" s="40"/>
      <c r="I452" s="40">
        <f>+SUM(H453)</f>
        <v>0</v>
      </c>
      <c r="J452" s="41" t="s">
        <v>45</v>
      </c>
    </row>
    <row r="453" spans="2:10" s="1" customFormat="1" ht="12.75" x14ac:dyDescent="0.2">
      <c r="B453" s="46"/>
      <c r="C453" s="59"/>
      <c r="D453" s="60"/>
      <c r="E453" s="40"/>
      <c r="F453" s="40"/>
      <c r="G453" s="40"/>
      <c r="H453" s="40">
        <f>+(F453+G453*2)*E453</f>
        <v>0</v>
      </c>
      <c r="I453" s="40"/>
      <c r="J453" s="41"/>
    </row>
    <row r="454" spans="2:10" s="1" customFormat="1" ht="12.75" x14ac:dyDescent="0.2">
      <c r="B454" s="25" t="s">
        <v>824</v>
      </c>
      <c r="C454" s="28" t="s">
        <v>718</v>
      </c>
      <c r="D454" s="60"/>
      <c r="E454" s="40"/>
      <c r="F454" s="40"/>
      <c r="G454" s="40"/>
      <c r="H454" s="40"/>
      <c r="I454" s="40">
        <f>+SUM(H456:H458)</f>
        <v>29.367519999999999</v>
      </c>
      <c r="J454" s="41" t="s">
        <v>45</v>
      </c>
    </row>
    <row r="455" spans="2:10" s="1" customFormat="1" ht="12.75" x14ac:dyDescent="0.2">
      <c r="B455" s="46"/>
      <c r="C455" s="43" t="s">
        <v>472</v>
      </c>
      <c r="D455" s="60"/>
      <c r="E455" s="40"/>
      <c r="F455" s="40"/>
      <c r="G455" s="40"/>
      <c r="H455" s="40"/>
      <c r="I455" s="40"/>
      <c r="J455" s="41"/>
    </row>
    <row r="456" spans="2:10" s="1" customFormat="1" ht="12.75" x14ac:dyDescent="0.2">
      <c r="B456" s="46"/>
      <c r="C456" s="39" t="s">
        <v>482</v>
      </c>
      <c r="D456" s="60">
        <v>1</v>
      </c>
      <c r="E456" s="40">
        <f>3.8+3.95</f>
        <v>7.75</v>
      </c>
      <c r="F456" s="40">
        <v>0.5</v>
      </c>
      <c r="G456" s="40">
        <f>3*0.054+0.4</f>
        <v>0.56200000000000006</v>
      </c>
      <c r="H456" s="40">
        <f>+(F456+G456*2)*E456</f>
        <v>12.586</v>
      </c>
      <c r="I456" s="40"/>
      <c r="J456" s="41"/>
    </row>
    <row r="457" spans="2:10" s="1" customFormat="1" ht="12.75" x14ac:dyDescent="0.2">
      <c r="B457" s="46"/>
      <c r="C457" s="43" t="s">
        <v>228</v>
      </c>
      <c r="D457" s="60"/>
      <c r="E457" s="40"/>
      <c r="F457" s="40"/>
      <c r="G457" s="40"/>
      <c r="H457" s="40"/>
      <c r="I457" s="40"/>
      <c r="J457" s="41"/>
    </row>
    <row r="458" spans="2:10" s="1" customFormat="1" ht="12.75" x14ac:dyDescent="0.2">
      <c r="B458" s="46"/>
      <c r="C458" s="39" t="s">
        <v>484</v>
      </c>
      <c r="D458" s="40">
        <v>1</v>
      </c>
      <c r="E458" s="40">
        <v>7.35</v>
      </c>
      <c r="F458" s="40">
        <f>8*0.0254+0.4</f>
        <v>0.60319999999999996</v>
      </c>
      <c r="G458" s="40">
        <v>0.84</v>
      </c>
      <c r="H458" s="40">
        <f>+(F458+G458*2)*E458</f>
        <v>16.781519999999997</v>
      </c>
      <c r="I458" s="40"/>
      <c r="J458" s="41"/>
    </row>
    <row r="459" spans="2:10" s="1" customFormat="1" ht="12.75" x14ac:dyDescent="0.2">
      <c r="B459" s="25" t="s">
        <v>825</v>
      </c>
      <c r="C459" s="28" t="s">
        <v>794</v>
      </c>
      <c r="D459" s="60"/>
      <c r="E459" s="40"/>
      <c r="F459" s="40" t="s">
        <v>795</v>
      </c>
      <c r="G459" s="40"/>
      <c r="H459" s="40"/>
      <c r="I459" s="40">
        <f>+SUM(H460:H467)</f>
        <v>97.863329896907203</v>
      </c>
      <c r="J459" s="41" t="s">
        <v>12</v>
      </c>
    </row>
    <row r="460" spans="2:10" s="1" customFormat="1" ht="12.75" x14ac:dyDescent="0.2">
      <c r="B460" s="380"/>
      <c r="C460" s="39" t="s">
        <v>456</v>
      </c>
      <c r="D460" s="60">
        <v>1</v>
      </c>
      <c r="E460" s="40">
        <v>14.55</v>
      </c>
      <c r="F460" s="40">
        <v>1.64</v>
      </c>
      <c r="G460" s="40"/>
      <c r="H460" s="40">
        <f>IF(AND(F460=0,G460=0),D460*E460,IF(AND(E460=0,G460=0),D460*F460,IF(AND(E460=0,F460=0),D460*G460,IF(AND(E460=0),D460*F460*G460,IF(AND(F460=0),D460*E460*G460,IF(AND(G460=0),D460*E460*F460,D460*E460*F460*G460))))))</f>
        <v>23.861999999999998</v>
      </c>
      <c r="J460" s="41"/>
    </row>
    <row r="461" spans="2:10" s="1" customFormat="1" ht="12.75" x14ac:dyDescent="0.2">
      <c r="B461" s="380"/>
      <c r="C461" s="39" t="s">
        <v>528</v>
      </c>
      <c r="D461" s="60">
        <v>1</v>
      </c>
      <c r="E461" s="89">
        <v>14.55</v>
      </c>
      <c r="F461" s="40">
        <v>1.64</v>
      </c>
      <c r="G461" s="40"/>
      <c r="H461" s="40">
        <f t="shared" ref="H461:H462" si="21">IF(AND(F461=0,G461=0),D461*E461,IF(AND(E461=0,G461=0),D461*F461,IF(AND(E461=0,F461=0),D461*G461,IF(AND(E461=0),D461*F461*G461,IF(AND(F461=0),D461*E461*G461,IF(AND(G461=0),D461*E461*F461,D461*E461*F461*G461))))))</f>
        <v>23.861999999999998</v>
      </c>
      <c r="I461" s="40"/>
      <c r="J461" s="41"/>
    </row>
    <row r="462" spans="2:10" s="1" customFormat="1" ht="12.75" x14ac:dyDescent="0.2">
      <c r="B462" s="380"/>
      <c r="C462" s="39" t="s">
        <v>656</v>
      </c>
      <c r="D462" s="40">
        <v>1</v>
      </c>
      <c r="E462" s="40">
        <v>1.5</v>
      </c>
      <c r="F462" s="40">
        <v>1.64</v>
      </c>
      <c r="G462" s="40"/>
      <c r="H462" s="40">
        <f t="shared" si="21"/>
        <v>2.46</v>
      </c>
      <c r="I462" s="40"/>
      <c r="J462" s="41"/>
    </row>
    <row r="463" spans="2:10" s="1" customFormat="1" ht="12.75" x14ac:dyDescent="0.2">
      <c r="B463" s="380"/>
      <c r="C463" s="43" t="s">
        <v>472</v>
      </c>
      <c r="D463" s="60"/>
      <c r="E463" s="40"/>
      <c r="G463" s="40"/>
      <c r="H463" s="40"/>
      <c r="I463" s="40"/>
      <c r="J463" s="41"/>
    </row>
    <row r="464" spans="2:10" s="1" customFormat="1" ht="12.75" x14ac:dyDescent="0.2">
      <c r="B464" s="380"/>
      <c r="C464" s="39" t="s">
        <v>482</v>
      </c>
      <c r="D464" s="60">
        <v>1</v>
      </c>
      <c r="E464" s="40">
        <f>3.8+3.95</f>
        <v>7.75</v>
      </c>
      <c r="F464" s="40">
        <v>1.64</v>
      </c>
      <c r="G464" s="40"/>
      <c r="H464" s="40">
        <f t="shared" ref="H464:H467" si="22">IF(AND(F464=0,G464=0),D464*E464,IF(AND(E464=0,G464=0),D464*F464,IF(AND(E464=0,F464=0),D464*G464,IF(AND(E464=0),D464*F464*G464,IF(AND(F464=0),D464*E464*G464,IF(AND(G464=0),D464*E464*F464,D464*E464*F464*G464))))))</f>
        <v>12.709999999999999</v>
      </c>
      <c r="I464" s="40"/>
      <c r="J464" s="41"/>
    </row>
    <row r="465" spans="2:10" s="1" customFormat="1" ht="12.75" x14ac:dyDescent="0.2">
      <c r="B465" s="380"/>
      <c r="C465" s="39"/>
      <c r="D465" s="60"/>
      <c r="E465" s="40"/>
      <c r="F465" s="40"/>
      <c r="G465" s="40"/>
      <c r="H465" s="40"/>
      <c r="I465" s="40"/>
      <c r="J465" s="41"/>
    </row>
    <row r="466" spans="2:10" s="1" customFormat="1" ht="12.75" x14ac:dyDescent="0.2">
      <c r="B466" s="380"/>
      <c r="C466" s="43" t="s">
        <v>228</v>
      </c>
      <c r="D466" s="60"/>
      <c r="E466" s="40"/>
      <c r="F466" s="40"/>
      <c r="G466" s="40"/>
      <c r="H466" s="40"/>
      <c r="I466" s="40"/>
      <c r="J466" s="41"/>
    </row>
    <row r="467" spans="2:10" s="1" customFormat="1" ht="12.75" x14ac:dyDescent="0.2">
      <c r="B467" s="380"/>
      <c r="C467" s="39" t="s">
        <v>484</v>
      </c>
      <c r="D467" s="40">
        <v>1</v>
      </c>
      <c r="E467" s="40">
        <v>7.35</v>
      </c>
      <c r="F467" s="40">
        <f>27.69/5.82</f>
        <v>4.7577319587628866</v>
      </c>
      <c r="G467" s="40"/>
      <c r="H467" s="40">
        <f t="shared" si="22"/>
        <v>34.969329896907212</v>
      </c>
      <c r="I467" s="40"/>
      <c r="J467" s="41"/>
    </row>
    <row r="468" spans="2:10" s="1" customFormat="1" ht="12.75" x14ac:dyDescent="0.2">
      <c r="B468" s="25" t="s">
        <v>899</v>
      </c>
      <c r="C468" s="28" t="s">
        <v>625</v>
      </c>
      <c r="D468" s="60"/>
      <c r="E468" s="40"/>
      <c r="F468" s="40"/>
      <c r="G468" s="40"/>
      <c r="H468" s="40"/>
      <c r="I468" s="40">
        <f>+SUM(H469:H470)</f>
        <v>0.17760000000000004</v>
      </c>
      <c r="J468" s="41" t="s">
        <v>4</v>
      </c>
    </row>
    <row r="469" spans="2:10" s="1" customFormat="1" ht="12.75" x14ac:dyDescent="0.2">
      <c r="B469" s="46"/>
      <c r="C469" s="39" t="s">
        <v>713</v>
      </c>
      <c r="D469" s="60">
        <v>2</v>
      </c>
      <c r="E469" s="40">
        <v>0.8</v>
      </c>
      <c r="F469" s="40">
        <v>0.1</v>
      </c>
      <c r="G469" s="40">
        <v>0.74</v>
      </c>
      <c r="H469" s="40">
        <f>IF(AND(F469=0,G469=0),D469*E469,IF(AND(E469=0,G469=0),D469*F469,IF(AND(E469=0,F469=0),D469*G469,IF(AND(E469=0),D469*F469*G469,IF(AND(F469=0),D469*E469*G469,IF(AND(G469=0),D469*E469*F469,D469*E469*F469*G469))))))</f>
        <v>0.11840000000000002</v>
      </c>
      <c r="I469" s="40"/>
      <c r="J469" s="41"/>
    </row>
    <row r="470" spans="2:10" s="1" customFormat="1" ht="12.75" x14ac:dyDescent="0.2">
      <c r="B470" s="46"/>
      <c r="C470" s="59"/>
      <c r="D470" s="1">
        <v>2</v>
      </c>
      <c r="E470" s="40">
        <v>0.4</v>
      </c>
      <c r="F470" s="40">
        <v>0.1</v>
      </c>
      <c r="G470" s="40">
        <v>0.74</v>
      </c>
      <c r="H470" s="40">
        <f>IF(AND(F470=0,G470=0),D470*E470,IF(AND(E470=0,G470=0),D470*F470,IF(AND(E470=0,F470=0),D470*G470,IF(AND(E470=0),D470*F470*G470,IF(AND(F470=0),D470*E470*G470,IF(AND(G470=0),D470*E470*F470,D470*E470*F470*G470))))))</f>
        <v>5.920000000000001E-2</v>
      </c>
      <c r="I470" s="40"/>
      <c r="J470" s="41"/>
    </row>
    <row r="471" spans="2:10" s="1" customFormat="1" ht="12.75" x14ac:dyDescent="0.2">
      <c r="B471" s="25" t="s">
        <v>900</v>
      </c>
      <c r="C471" s="28" t="s">
        <v>789</v>
      </c>
      <c r="D471" s="60" t="s">
        <v>791</v>
      </c>
      <c r="E471" s="40"/>
      <c r="F471" s="40"/>
      <c r="G471" s="40"/>
      <c r="H471" s="40"/>
      <c r="I471" s="40">
        <f>+SUM(H472:H478)</f>
        <v>1.3937720570453107</v>
      </c>
      <c r="J471" s="41" t="s">
        <v>4</v>
      </c>
    </row>
    <row r="472" spans="2:10" s="1" customFormat="1" ht="12.75" x14ac:dyDescent="0.2">
      <c r="B472" s="25"/>
      <c r="C472" s="39" t="s">
        <v>713</v>
      </c>
      <c r="D472" s="40">
        <v>1.25</v>
      </c>
      <c r="E472" s="40">
        <v>0.6</v>
      </c>
      <c r="F472" s="40">
        <v>0.8</v>
      </c>
      <c r="G472" s="40">
        <f>0.64+0.2</f>
        <v>0.84000000000000008</v>
      </c>
      <c r="H472" s="40">
        <f>IF(AND(F472=0,G472=0),D472*E472,IF(AND(E472=0,G472=0),D472*F472,IF(AND(E472=0,F472=0),D472*G472,IF(AND(E472=0),D472*F472*G472,IF(AND(F472=0),D472*E472*G472,IF(AND(G472=0),D472*E472*F472,D472*E472*F472*G472))))))</f>
        <v>0.50400000000000011</v>
      </c>
      <c r="I472" s="40"/>
      <c r="J472" s="41"/>
    </row>
    <row r="473" spans="2:10" s="1" customFormat="1" ht="12.75" x14ac:dyDescent="0.2">
      <c r="B473" s="25"/>
      <c r="C473" s="43" t="s">
        <v>472</v>
      </c>
      <c r="D473" s="60">
        <v>1.25</v>
      </c>
      <c r="E473" s="40">
        <v>0.6</v>
      </c>
      <c r="F473" s="40">
        <v>0.8</v>
      </c>
      <c r="G473" s="40">
        <f>0.93+0.2</f>
        <v>1.1300000000000001</v>
      </c>
      <c r="H473" s="40">
        <f>IF(AND(F473=0,G473=0),D473*E473,IF(AND(E473=0,G473=0),D473*F473,IF(AND(E473=0,F473=0),D473*G473,IF(AND(E473=0),D473*F473*G473,IF(AND(F473=0),D473*E473*G473,IF(AND(G473=0),D473*E473*F473,D473*E473*F473*G473))))))</f>
        <v>0.67800000000000016</v>
      </c>
      <c r="I473" s="40"/>
      <c r="J473" s="41"/>
    </row>
    <row r="474" spans="2:10" s="1" customFormat="1" ht="12.75" x14ac:dyDescent="0.2">
      <c r="B474" s="25"/>
      <c r="C474" s="414"/>
      <c r="F474" s="40" t="s">
        <v>786</v>
      </c>
      <c r="G474" s="40">
        <v>3</v>
      </c>
      <c r="I474" s="40"/>
      <c r="J474" s="41"/>
    </row>
    <row r="475" spans="2:10" s="1" customFormat="1" ht="12.75" x14ac:dyDescent="0.2">
      <c r="B475" s="25"/>
      <c r="C475" s="39" t="s">
        <v>784</v>
      </c>
      <c r="D475" s="60">
        <v>1.25</v>
      </c>
      <c r="E475" s="40">
        <f>+E447</f>
        <v>7.75</v>
      </c>
      <c r="F475" s="40" t="s">
        <v>785</v>
      </c>
      <c r="G475" s="379">
        <f>+PI()*((G474*0.0254)^2)/4</f>
        <v>4.5603673118774788E-3</v>
      </c>
      <c r="H475" s="381">
        <f>+D475*E475*G475</f>
        <v>4.4178558333813074E-2</v>
      </c>
      <c r="I475" s="40"/>
      <c r="J475" s="41"/>
    </row>
    <row r="476" spans="2:10" s="1" customFormat="1" ht="12.75" x14ac:dyDescent="0.2">
      <c r="B476" s="25"/>
      <c r="C476" s="43" t="s">
        <v>468</v>
      </c>
      <c r="D476" s="60"/>
      <c r="E476" s="40"/>
      <c r="F476" s="40"/>
      <c r="G476" s="40"/>
      <c r="H476" s="40"/>
      <c r="I476" s="40"/>
      <c r="J476" s="41"/>
    </row>
    <row r="477" spans="2:10" s="1" customFormat="1" ht="12.75" x14ac:dyDescent="0.2">
      <c r="B477" s="25"/>
      <c r="C477" s="414"/>
      <c r="F477" s="40" t="s">
        <v>786</v>
      </c>
      <c r="G477" s="40">
        <v>6</v>
      </c>
      <c r="I477" s="40"/>
      <c r="J477" s="41"/>
    </row>
    <row r="478" spans="2:10" s="1" customFormat="1" ht="12.75" x14ac:dyDescent="0.2">
      <c r="B478" s="25"/>
      <c r="C478" s="39" t="s">
        <v>784</v>
      </c>
      <c r="D478" s="60">
        <v>1.25</v>
      </c>
      <c r="E478" s="40">
        <f>+E451</f>
        <v>7.35</v>
      </c>
      <c r="F478" s="40" t="s">
        <v>785</v>
      </c>
      <c r="G478" s="40">
        <f>+PI()*((G477*0.0254)^2)/4</f>
        <v>1.8241469247509915E-2</v>
      </c>
      <c r="H478" s="382">
        <f>+D478*E478*G478</f>
        <v>0.16759349871149734</v>
      </c>
      <c r="I478" s="40"/>
      <c r="J478" s="41"/>
    </row>
    <row r="479" spans="2:10" s="1" customFormat="1" ht="12.75" x14ac:dyDescent="0.2">
      <c r="B479" s="25" t="s">
        <v>901</v>
      </c>
      <c r="C479" s="28" t="s">
        <v>624</v>
      </c>
      <c r="D479" s="60"/>
      <c r="E479" s="40"/>
      <c r="F479" s="40"/>
      <c r="G479" s="40"/>
      <c r="H479" s="40"/>
      <c r="I479" s="40">
        <f>+I471</f>
        <v>1.3937720570453107</v>
      </c>
      <c r="J479" s="41" t="s">
        <v>4</v>
      </c>
    </row>
    <row r="480" spans="2:10" s="1" customFormat="1" ht="12.75" x14ac:dyDescent="0.2">
      <c r="B480" s="46"/>
      <c r="C480" s="59"/>
      <c r="D480" s="60"/>
      <c r="E480" s="40"/>
      <c r="F480" s="40"/>
      <c r="G480" s="40"/>
      <c r="H480" s="40"/>
      <c r="I480" s="40"/>
      <c r="J480" s="41"/>
    </row>
    <row r="481" spans="2:10" x14ac:dyDescent="0.25">
      <c r="B481" s="73" t="s">
        <v>829</v>
      </c>
      <c r="C481" s="74" t="s">
        <v>626</v>
      </c>
      <c r="D481" s="23"/>
      <c r="E481" s="23"/>
      <c r="F481" s="23"/>
      <c r="G481" s="23"/>
      <c r="H481" s="24"/>
      <c r="I481" s="25"/>
      <c r="J481" s="26"/>
    </row>
    <row r="482" spans="2:10" s="1" customFormat="1" ht="12.75" x14ac:dyDescent="0.2">
      <c r="B482" s="43" t="s">
        <v>830</v>
      </c>
      <c r="C482" s="25" t="s">
        <v>627</v>
      </c>
      <c r="D482" s="60"/>
      <c r="E482" s="40"/>
      <c r="F482" s="40"/>
      <c r="G482" s="40"/>
      <c r="H482" s="40"/>
      <c r="I482" s="44">
        <f>+H483</f>
        <v>0</v>
      </c>
      <c r="J482" s="45" t="s">
        <v>45</v>
      </c>
    </row>
    <row r="483" spans="2:10" s="414" customFormat="1" ht="17.25" customHeight="1" x14ac:dyDescent="0.2">
      <c r="B483" s="25"/>
      <c r="C483" s="39"/>
      <c r="D483" s="60"/>
      <c r="E483" s="40"/>
      <c r="F483" s="40"/>
      <c r="G483" s="40"/>
      <c r="H483" s="40">
        <v>0</v>
      </c>
      <c r="I483" s="40"/>
      <c r="J483" s="41"/>
    </row>
    <row r="484" spans="2:10" s="1" customFormat="1" ht="12.75" x14ac:dyDescent="0.2">
      <c r="B484" s="43" t="s">
        <v>831</v>
      </c>
      <c r="C484" s="25" t="s">
        <v>680</v>
      </c>
      <c r="D484" s="60"/>
      <c r="E484" s="40"/>
      <c r="F484" s="40"/>
      <c r="G484" s="40"/>
      <c r="H484" s="40"/>
      <c r="I484" s="44">
        <f>+SUM(H485:H485)</f>
        <v>0.48</v>
      </c>
      <c r="J484" s="45" t="s">
        <v>45</v>
      </c>
    </row>
    <row r="485" spans="2:10" s="1" customFormat="1" ht="12.75" x14ac:dyDescent="0.2">
      <c r="B485" s="413"/>
      <c r="C485" s="39" t="s">
        <v>713</v>
      </c>
      <c r="D485" s="40">
        <v>1</v>
      </c>
      <c r="E485" s="40">
        <v>0.6</v>
      </c>
      <c r="F485" s="40">
        <v>0.8</v>
      </c>
      <c r="G485" s="40"/>
      <c r="H485" s="40">
        <f>IF(AND(F485=0,G485=0),D485*E485,IF(AND(E485=0,G485=0),D485*F485,IF(AND(E485=0,F485=0),D485*G485,IF(AND(E485=0),D485*F485*G485,IF(AND(F485=0),D485*E485*G485,IF(AND(G485=0),D485*E485*F485,D485*E485*F485*G485))))))</f>
        <v>0.48</v>
      </c>
      <c r="I485" s="40"/>
      <c r="J485" s="41"/>
    </row>
    <row r="486" spans="2:10" s="1" customFormat="1" ht="12.75" x14ac:dyDescent="0.2">
      <c r="B486" s="43"/>
      <c r="C486" s="39"/>
      <c r="D486" s="60"/>
      <c r="E486" s="40"/>
      <c r="F486" s="40"/>
      <c r="G486" s="40"/>
      <c r="H486" s="40"/>
      <c r="I486" s="44"/>
      <c r="J486" s="45"/>
    </row>
    <row r="487" spans="2:10" s="1" customFormat="1" ht="12.75" x14ac:dyDescent="0.2">
      <c r="B487" s="57" t="s">
        <v>838</v>
      </c>
      <c r="C487" s="58" t="s">
        <v>224</v>
      </c>
      <c r="D487" s="60"/>
      <c r="E487" s="40"/>
      <c r="F487" s="40"/>
      <c r="G487" s="40"/>
      <c r="H487" s="40"/>
      <c r="I487" s="40"/>
      <c r="J487" s="41"/>
    </row>
    <row r="488" spans="2:10" x14ac:dyDescent="0.25">
      <c r="B488" s="43" t="s">
        <v>845</v>
      </c>
      <c r="C488" s="43" t="s">
        <v>562</v>
      </c>
      <c r="D488" s="60"/>
      <c r="E488" s="40"/>
      <c r="F488" s="40"/>
      <c r="G488" s="40"/>
      <c r="H488" s="40"/>
      <c r="I488" s="44">
        <f>SUM(H489:H489)</f>
        <v>0.5</v>
      </c>
      <c r="J488" s="45" t="s">
        <v>345</v>
      </c>
    </row>
    <row r="489" spans="2:10" s="1" customFormat="1" ht="12.75" x14ac:dyDescent="0.2">
      <c r="B489" s="43"/>
      <c r="C489" s="39" t="s">
        <v>713</v>
      </c>
      <c r="D489" s="60">
        <v>1</v>
      </c>
      <c r="E489" s="40">
        <v>0.5</v>
      </c>
      <c r="F489" s="40"/>
      <c r="G489" s="40"/>
      <c r="H489" s="40">
        <f t="shared" ref="H489" si="23">IF(AND(F489=0,G489=0),D489*E489,IF(AND(E489=0,G489=0),D489*F489,IF(AND(E489=0,F489=0),D489*G489,IF(AND(E489=0),D489*F489*G489,IF(AND(F489=0),D489*E489*G489,IF(AND(G489=0),D489*E489*F489,D489*E489*F489*G489))))))</f>
        <v>0.5</v>
      </c>
      <c r="I489" s="44"/>
      <c r="J489" s="45"/>
    </row>
    <row r="490" spans="2:10" s="1" customFormat="1" ht="12.75" x14ac:dyDescent="0.2">
      <c r="B490" s="43" t="s">
        <v>849</v>
      </c>
      <c r="C490" s="25" t="s">
        <v>902</v>
      </c>
      <c r="D490" s="60"/>
      <c r="E490" s="40"/>
      <c r="F490" s="40"/>
      <c r="G490" s="40"/>
      <c r="H490" s="40"/>
      <c r="I490" s="44">
        <f>+SUM(H491)</f>
        <v>7.75</v>
      </c>
      <c r="J490" s="45" t="s">
        <v>345</v>
      </c>
    </row>
    <row r="491" spans="2:10" s="1" customFormat="1" ht="12.75" x14ac:dyDescent="0.2">
      <c r="B491" s="43"/>
      <c r="C491" s="39" t="s">
        <v>482</v>
      </c>
      <c r="D491" s="60">
        <v>1</v>
      </c>
      <c r="E491" s="40">
        <f>3.8+3.95</f>
        <v>7.75</v>
      </c>
      <c r="F491" s="40"/>
      <c r="G491" s="40"/>
      <c r="H491" s="40">
        <f>IF(AND(F491=0,G491=0),D491*E491,IF(AND(E491=0,G491=0),D491*F491,IF(AND(E491=0,F491=0),D491*G491,IF(AND(E491=0),D491*F491*G491,IF(AND(F491=0),D491*E491*G491,IF(AND(G491=0),D491*E491*F491,D491*E491*F491*G491))))))</f>
        <v>7.75</v>
      </c>
      <c r="I491" s="44"/>
      <c r="J491" s="45"/>
    </row>
    <row r="492" spans="2:10" s="1" customFormat="1" ht="15" customHeight="1" x14ac:dyDescent="0.2">
      <c r="B492" s="43" t="s">
        <v>854</v>
      </c>
      <c r="C492" s="43" t="s">
        <v>695</v>
      </c>
      <c r="D492" s="60"/>
      <c r="E492" s="40"/>
      <c r="F492" s="40"/>
      <c r="G492" s="40"/>
      <c r="H492" s="40"/>
      <c r="I492" s="44">
        <f>SUM(H493:H493)</f>
        <v>1</v>
      </c>
      <c r="J492" s="45" t="s">
        <v>345</v>
      </c>
    </row>
    <row r="493" spans="2:10" s="1" customFormat="1" ht="15" customHeight="1" x14ac:dyDescent="0.2">
      <c r="B493" s="413"/>
      <c r="C493" s="39" t="s">
        <v>713</v>
      </c>
      <c r="D493" s="40">
        <v>1</v>
      </c>
      <c r="E493" s="40"/>
      <c r="F493" s="40"/>
      <c r="G493" s="40"/>
      <c r="H493" s="40">
        <f t="shared" ref="H493" si="24">+D493</f>
        <v>1</v>
      </c>
      <c r="I493" s="40"/>
      <c r="J493" s="41"/>
    </row>
    <row r="494" spans="2:10" s="1" customFormat="1" ht="12.75" x14ac:dyDescent="0.2">
      <c r="B494" s="25" t="s">
        <v>859</v>
      </c>
      <c r="C494" s="28" t="s">
        <v>735</v>
      </c>
      <c r="D494" s="60"/>
      <c r="E494" s="40"/>
      <c r="F494" s="40"/>
      <c r="G494" s="40"/>
      <c r="H494" s="40"/>
      <c r="I494" s="40">
        <f>+SUM(H495:H496)</f>
        <v>2.06</v>
      </c>
      <c r="J494" s="41" t="s">
        <v>45</v>
      </c>
    </row>
    <row r="495" spans="2:10" s="1" customFormat="1" ht="12.75" x14ac:dyDescent="0.2">
      <c r="B495" s="25"/>
      <c r="C495" s="39" t="s">
        <v>713</v>
      </c>
      <c r="D495" s="60">
        <v>1</v>
      </c>
      <c r="E495" s="40">
        <v>2</v>
      </c>
      <c r="F495" s="40"/>
      <c r="G495" s="40">
        <f>0.64+0.15</f>
        <v>0.79</v>
      </c>
      <c r="H495" s="40">
        <f t="shared" ref="H495:H496" si="25">IF(AND(F495=0,G495=0),D495*E495,IF(AND(E495=0,G495=0),D495*F495,IF(AND(E495=0,F495=0),D495*G495,IF(AND(E495=0),D495*F495*G495,IF(AND(F495=0),D495*E495*G495,IF(AND(G495=0),D495*E495*F495,D495*E495*F495*G495))))))</f>
        <v>1.58</v>
      </c>
      <c r="I495" s="40"/>
      <c r="J495" s="41"/>
    </row>
    <row r="496" spans="2:10" s="1" customFormat="1" ht="12.75" x14ac:dyDescent="0.2">
      <c r="B496" s="25"/>
      <c r="C496" s="59"/>
      <c r="D496" s="414">
        <v>1</v>
      </c>
      <c r="E496" s="40">
        <v>0.6</v>
      </c>
      <c r="F496" s="40"/>
      <c r="G496" s="40">
        <v>0.8</v>
      </c>
      <c r="H496" s="40">
        <f t="shared" si="25"/>
        <v>0.48</v>
      </c>
      <c r="I496" s="40"/>
      <c r="J496" s="41"/>
    </row>
    <row r="497" spans="2:10" s="1" customFormat="1" ht="12.75" x14ac:dyDescent="0.2">
      <c r="B497" s="57" t="s">
        <v>876</v>
      </c>
      <c r="C497" s="58" t="s">
        <v>223</v>
      </c>
      <c r="D497" s="60"/>
      <c r="E497" s="40"/>
      <c r="F497" s="40"/>
      <c r="G497" s="40"/>
      <c r="H497" s="40"/>
      <c r="I497" s="40"/>
      <c r="J497" s="41"/>
    </row>
    <row r="498" spans="2:10" s="1" customFormat="1" ht="12.75" x14ac:dyDescent="0.2">
      <c r="B498" s="43" t="s">
        <v>877</v>
      </c>
      <c r="C498" s="412" t="s">
        <v>657</v>
      </c>
      <c r="D498" s="60"/>
      <c r="E498" s="40"/>
      <c r="F498" s="40"/>
      <c r="G498" s="40"/>
      <c r="H498" s="40"/>
      <c r="I498" s="44">
        <f>+SUM(H499:H501)</f>
        <v>10</v>
      </c>
      <c r="J498" s="45" t="s">
        <v>13</v>
      </c>
    </row>
    <row r="499" spans="2:10" s="1" customFormat="1" ht="12.75" x14ac:dyDescent="0.2">
      <c r="B499" s="46"/>
      <c r="C499" s="39" t="s">
        <v>456</v>
      </c>
      <c r="D499" s="60">
        <v>3</v>
      </c>
      <c r="E499" s="40">
        <v>1</v>
      </c>
      <c r="F499" s="40"/>
      <c r="G499" s="40"/>
      <c r="H499" s="40">
        <f t="shared" ref="H499:H500" si="26">+D499</f>
        <v>3</v>
      </c>
      <c r="I499" s="40"/>
      <c r="J499" s="41"/>
    </row>
    <row r="500" spans="2:10" s="1" customFormat="1" ht="12.75" x14ac:dyDescent="0.2">
      <c r="B500" s="46"/>
      <c r="C500" s="59" t="s">
        <v>483</v>
      </c>
      <c r="D500" s="60">
        <v>1</v>
      </c>
      <c r="E500" s="40">
        <v>1</v>
      </c>
      <c r="F500" s="40"/>
      <c r="G500" s="40"/>
      <c r="H500" s="40">
        <f t="shared" si="26"/>
        <v>1</v>
      </c>
      <c r="I500" s="40"/>
      <c r="J500" s="41"/>
    </row>
    <row r="501" spans="2:10" s="1" customFormat="1" ht="12.75" x14ac:dyDescent="0.2">
      <c r="B501" s="46"/>
      <c r="C501" s="59" t="s">
        <v>658</v>
      </c>
      <c r="D501" s="60">
        <v>6</v>
      </c>
      <c r="E501" s="40">
        <v>1</v>
      </c>
      <c r="F501" s="40"/>
      <c r="G501" s="40"/>
      <c r="H501" s="40">
        <f t="shared" ref="H501" si="27">+D501</f>
        <v>6</v>
      </c>
      <c r="I501" s="40"/>
      <c r="J501" s="41"/>
    </row>
    <row r="502" spans="2:10" s="1" customFormat="1" ht="12.75" x14ac:dyDescent="0.2">
      <c r="B502" s="46"/>
      <c r="C502" s="59"/>
      <c r="D502" s="60"/>
      <c r="E502" s="40"/>
      <c r="F502" s="40"/>
      <c r="G502" s="40"/>
      <c r="H502" s="40"/>
      <c r="I502" s="40"/>
      <c r="J502" s="41"/>
    </row>
    <row r="503" spans="2:10" s="1" customFormat="1" ht="12.75" x14ac:dyDescent="0.2">
      <c r="B503" s="46"/>
      <c r="C503" s="59"/>
      <c r="D503" s="60"/>
      <c r="E503" s="40"/>
      <c r="F503" s="40"/>
      <c r="G503" s="40"/>
      <c r="H503" s="40"/>
      <c r="I503" s="40"/>
      <c r="J503" s="41"/>
    </row>
    <row r="504" spans="2:10" s="1" customFormat="1" ht="12.75" x14ac:dyDescent="0.2">
      <c r="B504" s="46"/>
      <c r="C504" s="59"/>
      <c r="D504" s="60"/>
      <c r="E504" s="40"/>
      <c r="F504" s="40"/>
      <c r="G504" s="40"/>
      <c r="H504" s="40"/>
      <c r="I504" s="40"/>
      <c r="J504" s="41"/>
    </row>
    <row r="505" spans="2:10" s="1" customFormat="1" ht="12.75" x14ac:dyDescent="0.2">
      <c r="B505" s="46"/>
      <c r="C505" s="59"/>
      <c r="D505" s="60"/>
      <c r="E505" s="40"/>
      <c r="F505" s="40"/>
      <c r="G505" s="40"/>
      <c r="H505" s="40"/>
      <c r="I505" s="40"/>
      <c r="J505" s="41"/>
    </row>
    <row r="506" spans="2:10" s="1" customFormat="1" ht="12.75" x14ac:dyDescent="0.2">
      <c r="B506" s="46"/>
      <c r="C506" s="59"/>
      <c r="D506" s="60"/>
      <c r="E506" s="40"/>
      <c r="F506" s="40"/>
      <c r="G506" s="40"/>
      <c r="H506" s="40"/>
      <c r="I506" s="40"/>
      <c r="J506" s="41"/>
    </row>
    <row r="507" spans="2:10" s="1" customFormat="1" ht="12.75" x14ac:dyDescent="0.2">
      <c r="B507" s="46"/>
      <c r="C507" s="59"/>
      <c r="D507" s="60"/>
      <c r="E507" s="40"/>
      <c r="F507" s="40"/>
      <c r="G507" s="40"/>
      <c r="H507" s="40"/>
      <c r="I507" s="40"/>
      <c r="J507" s="41"/>
    </row>
    <row r="508" spans="2:10" s="1" customFormat="1" ht="12.75" x14ac:dyDescent="0.2">
      <c r="B508" s="46"/>
      <c r="C508" s="59"/>
      <c r="D508" s="60"/>
      <c r="E508" s="40"/>
      <c r="F508" s="40"/>
      <c r="G508" s="40"/>
      <c r="H508" s="40"/>
      <c r="I508" s="40"/>
      <c r="J508" s="41"/>
    </row>
    <row r="509" spans="2:10" s="1" customFormat="1" ht="12.75" x14ac:dyDescent="0.2">
      <c r="B509" s="46"/>
      <c r="C509" s="59"/>
      <c r="D509" s="60"/>
      <c r="E509" s="40"/>
      <c r="F509" s="40"/>
      <c r="G509" s="40"/>
      <c r="H509" s="40"/>
      <c r="I509" s="40"/>
      <c r="J509" s="41"/>
    </row>
    <row r="510" spans="2:10" s="1" customFormat="1" ht="12.75" x14ac:dyDescent="0.2">
      <c r="B510" s="46"/>
      <c r="C510" s="59"/>
      <c r="D510" s="60"/>
      <c r="E510" s="40"/>
      <c r="F510" s="40"/>
      <c r="G510" s="40"/>
      <c r="H510" s="40"/>
      <c r="I510" s="40"/>
      <c r="J510" s="41"/>
    </row>
    <row r="511" spans="2:10" s="1" customFormat="1" ht="12.75" x14ac:dyDescent="0.2">
      <c r="B511" s="46"/>
      <c r="C511" s="59"/>
      <c r="D511" s="60"/>
      <c r="E511" s="40"/>
      <c r="F511" s="40"/>
      <c r="G511" s="40"/>
      <c r="H511" s="40"/>
      <c r="I511" s="40"/>
      <c r="J511" s="41"/>
    </row>
    <row r="512" spans="2:10" s="1" customFormat="1" ht="12.75" x14ac:dyDescent="0.2">
      <c r="B512" s="46"/>
      <c r="C512" s="59"/>
      <c r="D512" s="60"/>
      <c r="E512" s="40"/>
      <c r="F512" s="40"/>
      <c r="G512" s="40"/>
      <c r="H512" s="40"/>
      <c r="I512" s="40"/>
      <c r="J512" s="41"/>
    </row>
    <row r="513" spans="2:10" s="1" customFormat="1" ht="12.75" x14ac:dyDescent="0.2">
      <c r="B513" s="46"/>
      <c r="C513" s="59"/>
      <c r="D513" s="60"/>
      <c r="E513" s="40"/>
      <c r="F513" s="40"/>
      <c r="G513" s="40"/>
      <c r="H513" s="40"/>
      <c r="I513" s="40"/>
      <c r="J513" s="41"/>
    </row>
    <row r="514" spans="2:10" s="1" customFormat="1" ht="12.75" x14ac:dyDescent="0.2">
      <c r="B514" s="46"/>
      <c r="C514" s="59"/>
      <c r="D514" s="60"/>
      <c r="E514" s="40"/>
      <c r="F514" s="40"/>
      <c r="G514" s="40"/>
      <c r="H514" s="40"/>
      <c r="I514" s="40"/>
      <c r="J514" s="41"/>
    </row>
    <row r="515" spans="2:10" s="1" customFormat="1" ht="12.75" x14ac:dyDescent="0.2">
      <c r="B515" s="46"/>
      <c r="C515" s="59"/>
      <c r="D515" s="60"/>
      <c r="E515" s="40"/>
      <c r="F515" s="40"/>
      <c r="G515" s="40"/>
      <c r="H515" s="40"/>
      <c r="I515" s="40"/>
      <c r="J515" s="41"/>
    </row>
    <row r="516" spans="2:10" s="1" customFormat="1" ht="12.75" x14ac:dyDescent="0.2">
      <c r="B516" s="46"/>
      <c r="C516" s="59"/>
      <c r="D516" s="60"/>
      <c r="E516" s="40"/>
      <c r="F516" s="40"/>
      <c r="G516" s="40"/>
      <c r="H516" s="40"/>
      <c r="I516" s="40"/>
      <c r="J516" s="41"/>
    </row>
    <row r="517" spans="2:10" s="1" customFormat="1" ht="12.75" x14ac:dyDescent="0.2">
      <c r="B517" s="46"/>
      <c r="C517" s="59"/>
      <c r="D517" s="60"/>
      <c r="E517" s="40"/>
      <c r="F517" s="40"/>
      <c r="G517" s="40"/>
      <c r="H517" s="40"/>
      <c r="I517" s="40"/>
      <c r="J517" s="41"/>
    </row>
    <row r="518" spans="2:10" s="1" customFormat="1" ht="12.75" x14ac:dyDescent="0.2">
      <c r="B518" s="46"/>
      <c r="C518" s="59"/>
      <c r="D518" s="60"/>
      <c r="E518" s="40"/>
      <c r="F518" s="40"/>
      <c r="G518" s="40"/>
      <c r="H518" s="40"/>
      <c r="I518" s="40"/>
      <c r="J518" s="41"/>
    </row>
    <row r="519" spans="2:10" s="1" customFormat="1" ht="12.75" x14ac:dyDescent="0.2">
      <c r="B519" s="46"/>
      <c r="C519" s="59"/>
      <c r="D519" s="60"/>
      <c r="E519" s="40"/>
      <c r="F519" s="40"/>
      <c r="G519" s="40"/>
      <c r="H519" s="40"/>
      <c r="I519" s="40"/>
      <c r="J519" s="41"/>
    </row>
    <row r="520" spans="2:10" s="1" customFormat="1" ht="12.75" x14ac:dyDescent="0.2">
      <c r="B520" s="46"/>
      <c r="C520" s="59"/>
      <c r="D520" s="60"/>
      <c r="E520" s="40"/>
      <c r="F520" s="40"/>
      <c r="G520" s="40"/>
      <c r="H520" s="40"/>
      <c r="I520" s="40"/>
      <c r="J520" s="41"/>
    </row>
    <row r="521" spans="2:10" s="1" customFormat="1" ht="12.75" x14ac:dyDescent="0.2">
      <c r="B521" s="46"/>
      <c r="C521" s="59"/>
      <c r="D521" s="60"/>
      <c r="E521" s="40"/>
      <c r="F521" s="40"/>
      <c r="G521" s="40"/>
      <c r="H521" s="40"/>
      <c r="I521" s="40"/>
      <c r="J521" s="41"/>
    </row>
    <row r="522" spans="2:10" s="1" customFormat="1" ht="12.75" x14ac:dyDescent="0.2">
      <c r="B522" s="46"/>
      <c r="C522" s="59"/>
      <c r="D522" s="60"/>
      <c r="E522" s="40"/>
      <c r="F522" s="40"/>
      <c r="G522" s="40"/>
      <c r="H522" s="40"/>
      <c r="I522" s="40"/>
      <c r="J522" s="41"/>
    </row>
    <row r="523" spans="2:10" s="1" customFormat="1" ht="12.75" x14ac:dyDescent="0.2">
      <c r="B523" s="46"/>
      <c r="C523" s="59"/>
      <c r="D523" s="60"/>
      <c r="E523" s="40"/>
      <c r="F523" s="40"/>
      <c r="G523" s="40"/>
      <c r="H523" s="40"/>
      <c r="I523" s="40"/>
      <c r="J523" s="41"/>
    </row>
    <row r="524" spans="2:10" s="1" customFormat="1" ht="12.75" x14ac:dyDescent="0.2">
      <c r="B524" s="46"/>
      <c r="C524" s="59"/>
      <c r="D524" s="60"/>
      <c r="E524" s="40"/>
      <c r="F524" s="40"/>
      <c r="G524" s="40"/>
      <c r="H524" s="40"/>
      <c r="I524" s="40"/>
      <c r="J524" s="41"/>
    </row>
    <row r="525" spans="2:10" s="1" customFormat="1" ht="12.75" x14ac:dyDescent="0.2">
      <c r="B525" s="46"/>
      <c r="C525" s="59"/>
      <c r="D525" s="60"/>
      <c r="E525" s="40"/>
      <c r="F525" s="40"/>
      <c r="G525" s="40"/>
      <c r="H525" s="40"/>
      <c r="I525" s="40"/>
      <c r="J525" s="41"/>
    </row>
    <row r="526" spans="2:10" s="1" customFormat="1" ht="12.75" x14ac:dyDescent="0.2">
      <c r="B526" s="46"/>
      <c r="C526" s="59"/>
      <c r="D526" s="60"/>
      <c r="E526" s="40"/>
      <c r="F526" s="40"/>
      <c r="G526" s="40"/>
      <c r="H526" s="40"/>
      <c r="I526" s="40"/>
      <c r="J526" s="41"/>
    </row>
    <row r="527" spans="2:10" s="1" customFormat="1" ht="12.75" x14ac:dyDescent="0.2">
      <c r="B527" s="46"/>
      <c r="C527" s="59"/>
      <c r="D527" s="60"/>
      <c r="E527" s="40"/>
      <c r="F527" s="40"/>
      <c r="G527" s="40"/>
      <c r="H527" s="40"/>
      <c r="I527" s="40"/>
      <c r="J527" s="41"/>
    </row>
    <row r="528" spans="2:10" s="1" customFormat="1" ht="12.75" x14ac:dyDescent="0.2">
      <c r="C528" s="542" t="s">
        <v>37</v>
      </c>
      <c r="D528" s="542"/>
      <c r="E528" s="542"/>
      <c r="F528" s="542"/>
      <c r="G528" s="542"/>
      <c r="H528" s="542"/>
    </row>
    <row r="529" spans="2:10" s="1" customFormat="1" ht="12.75" x14ac:dyDescent="0.2">
      <c r="C529" s="499" t="s">
        <v>38</v>
      </c>
      <c r="D529" s="499"/>
      <c r="E529" s="499"/>
      <c r="F529" s="499"/>
      <c r="G529" s="499"/>
      <c r="H529" s="499"/>
    </row>
    <row r="530" spans="2:10" s="1" customFormat="1" ht="12.75" x14ac:dyDescent="0.2">
      <c r="C530" s="499" t="s">
        <v>39</v>
      </c>
      <c r="D530" s="499"/>
      <c r="E530" s="499"/>
      <c r="F530" s="499"/>
      <c r="G530" s="499"/>
      <c r="H530" s="499"/>
    </row>
    <row r="531" spans="2:10" s="1" customFormat="1" ht="12.75" x14ac:dyDescent="0.2">
      <c r="C531" s="500" t="s">
        <v>40</v>
      </c>
      <c r="D531" s="500"/>
      <c r="E531" s="500"/>
      <c r="F531" s="500"/>
      <c r="G531" s="500"/>
      <c r="H531" s="500"/>
    </row>
    <row r="532" spans="2:10" s="1" customFormat="1" ht="12.75" x14ac:dyDescent="0.2">
      <c r="C532" s="401"/>
      <c r="D532" s="401"/>
      <c r="E532" s="401"/>
      <c r="F532" s="401"/>
      <c r="G532" s="401"/>
      <c r="H532" s="401"/>
    </row>
    <row r="533" spans="2:10" s="1" customFormat="1" ht="26.25" customHeight="1" x14ac:dyDescent="0.2">
      <c r="B533" s="402" t="s">
        <v>65</v>
      </c>
      <c r="C533" s="403"/>
      <c r="D533" s="403"/>
      <c r="E533" s="403"/>
      <c r="F533" s="403"/>
      <c r="G533" s="403"/>
      <c r="H533" s="403"/>
      <c r="I533" s="403"/>
      <c r="J533" s="404"/>
    </row>
    <row r="534" spans="2:10" s="1" customFormat="1" ht="20.25" x14ac:dyDescent="0.2">
      <c r="B534" s="406" t="s">
        <v>363</v>
      </c>
      <c r="C534" s="407"/>
      <c r="D534" s="407"/>
      <c r="E534" s="407"/>
      <c r="F534" s="407"/>
      <c r="G534" s="407"/>
      <c r="H534" s="407"/>
      <c r="I534" s="407"/>
      <c r="J534" s="408"/>
    </row>
    <row r="535" spans="2:10" s="1" customFormat="1" ht="13.5" thickBot="1" x14ac:dyDescent="0.25">
      <c r="B535" s="405"/>
      <c r="C535" s="405"/>
      <c r="D535" s="405"/>
      <c r="E535" s="405"/>
      <c r="F535" s="405"/>
      <c r="G535" s="405"/>
      <c r="H535" s="405"/>
      <c r="I535" s="405"/>
      <c r="J535" s="405"/>
    </row>
    <row r="536" spans="2:10" s="1" customFormat="1" ht="24.75" customHeight="1" x14ac:dyDescent="0.2">
      <c r="B536" s="494" t="s">
        <v>27</v>
      </c>
      <c r="C536" s="495"/>
      <c r="D536" s="495"/>
      <c r="E536" s="495"/>
      <c r="F536" s="495"/>
      <c r="G536" s="495"/>
      <c r="H536" s="495"/>
      <c r="I536" s="495"/>
      <c r="J536" s="496"/>
    </row>
    <row r="537" spans="2:10" s="1" customFormat="1" ht="12.75" x14ac:dyDescent="0.2">
      <c r="B537" s="2" t="s">
        <v>35</v>
      </c>
      <c r="C537" s="3" t="s">
        <v>36</v>
      </c>
      <c r="D537" s="3"/>
      <c r="E537" s="4"/>
      <c r="F537" s="5"/>
      <c r="G537" s="6" t="s">
        <v>8</v>
      </c>
      <c r="H537" s="497">
        <v>42879</v>
      </c>
      <c r="I537" s="497"/>
      <c r="J537" s="7"/>
    </row>
    <row r="538" spans="2:10" s="1" customFormat="1" ht="12.75" x14ac:dyDescent="0.2">
      <c r="B538" s="2" t="s">
        <v>33</v>
      </c>
      <c r="C538" s="3" t="s">
        <v>29</v>
      </c>
      <c r="D538" s="8"/>
      <c r="E538" s="8"/>
      <c r="F538" s="3"/>
      <c r="G538" s="9" t="s">
        <v>32</v>
      </c>
      <c r="H538" s="4" t="s">
        <v>29</v>
      </c>
      <c r="I538" s="10"/>
      <c r="J538" s="11"/>
    </row>
    <row r="539" spans="2:10" s="1" customFormat="1" ht="12.75" x14ac:dyDescent="0.2">
      <c r="B539" s="2" t="s">
        <v>34</v>
      </c>
      <c r="C539" s="3" t="s">
        <v>29</v>
      </c>
      <c r="D539" s="8"/>
      <c r="E539" s="8"/>
      <c r="F539" s="3"/>
      <c r="G539" s="9" t="s">
        <v>30</v>
      </c>
      <c r="H539" s="4" t="s">
        <v>31</v>
      </c>
      <c r="I539" s="10"/>
      <c r="J539" s="11"/>
    </row>
    <row r="540" spans="2:10" s="1" customFormat="1" ht="13.5" thickBot="1" x14ac:dyDescent="0.25">
      <c r="B540" s="12" t="s">
        <v>43</v>
      </c>
      <c r="C540" s="13" t="s">
        <v>44</v>
      </c>
      <c r="D540" s="14"/>
      <c r="E540" s="14"/>
      <c r="F540" s="13"/>
      <c r="G540" s="15" t="s">
        <v>41</v>
      </c>
      <c r="H540" s="16" t="s">
        <v>42</v>
      </c>
      <c r="I540" s="17"/>
      <c r="J540" s="18"/>
    </row>
    <row r="541" spans="2:10" s="1" customFormat="1" ht="12.75" x14ac:dyDescent="0.2">
      <c r="B541" s="405"/>
      <c r="C541" s="405"/>
      <c r="D541" s="405"/>
      <c r="E541" s="405"/>
      <c r="F541" s="405"/>
      <c r="G541" s="405"/>
      <c r="H541" s="405"/>
      <c r="I541" s="405"/>
      <c r="J541" s="405"/>
    </row>
    <row r="542" spans="2:10" s="1" customFormat="1" ht="12.75" x14ac:dyDescent="0.2">
      <c r="B542" s="21" t="s">
        <v>5</v>
      </c>
      <c r="C542" s="22" t="s">
        <v>0</v>
      </c>
      <c r="D542" s="22" t="s">
        <v>9</v>
      </c>
      <c r="E542" s="22" t="s">
        <v>10</v>
      </c>
      <c r="F542" s="22" t="s">
        <v>1</v>
      </c>
      <c r="G542" s="22" t="s">
        <v>2</v>
      </c>
      <c r="H542" s="22" t="s">
        <v>11</v>
      </c>
      <c r="I542" s="22" t="s">
        <v>6</v>
      </c>
      <c r="J542" s="22" t="s">
        <v>7</v>
      </c>
    </row>
    <row r="543" spans="2:10" s="1" customFormat="1" ht="12.75" x14ac:dyDescent="0.2">
      <c r="B543" s="55">
        <v>4.03</v>
      </c>
      <c r="C543" s="56" t="s">
        <v>222</v>
      </c>
      <c r="D543" s="60"/>
      <c r="E543" s="40"/>
      <c r="F543" s="40"/>
      <c r="G543" s="40"/>
      <c r="H543" s="40"/>
      <c r="I543" s="40"/>
      <c r="J543" s="41"/>
    </row>
    <row r="544" spans="2:10" s="1" customFormat="1" ht="12.75" x14ac:dyDescent="0.2">
      <c r="B544" s="73" t="s">
        <v>14</v>
      </c>
      <c r="C544" s="73" t="s">
        <v>615</v>
      </c>
      <c r="D544" s="60"/>
      <c r="E544" s="40"/>
      <c r="F544" s="40"/>
      <c r="G544" s="40"/>
      <c r="H544" s="40"/>
      <c r="I544" s="40"/>
      <c r="J544" s="41"/>
    </row>
    <row r="545" spans="2:10" s="1" customFormat="1" ht="12.75" x14ac:dyDescent="0.2">
      <c r="B545" s="25" t="s">
        <v>15</v>
      </c>
      <c r="C545" s="28" t="s">
        <v>616</v>
      </c>
      <c r="D545" s="60"/>
      <c r="E545" s="40"/>
      <c r="F545" s="40"/>
      <c r="G545" s="40"/>
      <c r="H545" s="40"/>
      <c r="I545" s="40">
        <f>+SUM(H546:H567)</f>
        <v>86.930920000000015</v>
      </c>
      <c r="J545" s="41" t="s">
        <v>45</v>
      </c>
    </row>
    <row r="546" spans="2:10" s="1" customFormat="1" ht="14.25" customHeight="1" x14ac:dyDescent="0.2">
      <c r="B546" s="46"/>
      <c r="C546" s="39" t="s">
        <v>444</v>
      </c>
      <c r="D546" s="60">
        <v>1</v>
      </c>
      <c r="E546" s="1">
        <v>3</v>
      </c>
      <c r="F546" s="40">
        <v>0.5</v>
      </c>
      <c r="G546" s="40"/>
      <c r="H546" s="40">
        <f t="shared" ref="H546:H567" si="28">IF(AND(F546=0,G546=0),D546*E546,IF(AND(E546=0,G546=0),D546*F546,IF(AND(E546=0,F546=0),D546*G546,IF(AND(E546=0),D546*F546*G546,IF(AND(F546=0),D546*E546*G546,IF(AND(G546=0),D546*E546*F546,D546*E546*F546*G546))))))</f>
        <v>1.5</v>
      </c>
      <c r="I546" s="40"/>
      <c r="J546" s="41"/>
    </row>
    <row r="547" spans="2:10" s="1" customFormat="1" ht="14.25" customHeight="1" x14ac:dyDescent="0.2">
      <c r="B547" s="46"/>
      <c r="C547" s="39" t="s">
        <v>442</v>
      </c>
      <c r="D547" s="8">
        <v>1</v>
      </c>
      <c r="E547" s="86">
        <f>3.5+14.4</f>
        <v>17.899999999999999</v>
      </c>
      <c r="F547" s="40">
        <v>0.5</v>
      </c>
      <c r="G547" s="40"/>
      <c r="H547" s="40">
        <f t="shared" si="28"/>
        <v>8.9499999999999993</v>
      </c>
      <c r="I547" s="40"/>
      <c r="J547" s="41"/>
    </row>
    <row r="548" spans="2:10" s="1" customFormat="1" ht="14.25" customHeight="1" x14ac:dyDescent="0.2">
      <c r="B548" s="46"/>
      <c r="C548" s="39" t="s">
        <v>393</v>
      </c>
      <c r="D548" s="40">
        <v>1</v>
      </c>
      <c r="E548" s="40">
        <v>0.9</v>
      </c>
      <c r="F548" s="40">
        <v>1.2</v>
      </c>
      <c r="G548" s="40"/>
      <c r="H548" s="40">
        <f t="shared" si="28"/>
        <v>1.08</v>
      </c>
      <c r="I548" s="40"/>
      <c r="J548" s="41"/>
    </row>
    <row r="549" spans="2:10" s="1" customFormat="1" ht="14.25" customHeight="1" x14ac:dyDescent="0.2">
      <c r="B549" s="46"/>
      <c r="C549" s="39" t="s">
        <v>412</v>
      </c>
      <c r="D549" s="40">
        <v>1</v>
      </c>
      <c r="E549" s="40">
        <v>0.9</v>
      </c>
      <c r="F549" s="40">
        <v>1.2</v>
      </c>
      <c r="G549" s="40"/>
      <c r="H549" s="40">
        <f t="shared" si="28"/>
        <v>1.08</v>
      </c>
      <c r="I549" s="40"/>
      <c r="J549" s="41"/>
    </row>
    <row r="550" spans="2:10" s="1" customFormat="1" ht="14.25" customHeight="1" x14ac:dyDescent="0.2">
      <c r="B550" s="46"/>
      <c r="C550" s="39" t="s">
        <v>381</v>
      </c>
      <c r="D550" s="60">
        <v>1</v>
      </c>
      <c r="E550" s="40">
        <v>0.9</v>
      </c>
      <c r="F550" s="40">
        <v>1.2</v>
      </c>
      <c r="G550" s="40"/>
      <c r="H550" s="40">
        <f t="shared" si="28"/>
        <v>1.08</v>
      </c>
      <c r="I550" s="40"/>
      <c r="J550" s="41"/>
    </row>
    <row r="551" spans="2:10" s="1" customFormat="1" ht="14.25" customHeight="1" x14ac:dyDescent="0.2">
      <c r="B551" s="46"/>
      <c r="C551" s="39" t="s">
        <v>714</v>
      </c>
      <c r="D551" s="60">
        <v>1</v>
      </c>
      <c r="E551" s="40">
        <v>0.9</v>
      </c>
      <c r="F551" s="40">
        <v>0.9</v>
      </c>
      <c r="G551" s="40"/>
      <c r="H551" s="40">
        <f t="shared" si="28"/>
        <v>0.81</v>
      </c>
      <c r="I551" s="40"/>
      <c r="J551" s="41"/>
    </row>
    <row r="552" spans="2:10" s="1" customFormat="1" ht="14.25" customHeight="1" x14ac:dyDescent="0.2">
      <c r="B552" s="46"/>
      <c r="C552" s="39" t="s">
        <v>414</v>
      </c>
      <c r="D552" s="40">
        <v>1</v>
      </c>
      <c r="E552" s="40">
        <v>0.9</v>
      </c>
      <c r="F552" s="40">
        <v>0.9</v>
      </c>
      <c r="G552" s="40"/>
      <c r="H552" s="40">
        <f t="shared" si="28"/>
        <v>0.81</v>
      </c>
      <c r="I552" s="40"/>
      <c r="J552" s="41"/>
    </row>
    <row r="553" spans="2:10" s="1" customFormat="1" ht="14.25" customHeight="1" x14ac:dyDescent="0.2">
      <c r="B553" s="46"/>
      <c r="C553" s="39" t="s">
        <v>648</v>
      </c>
      <c r="D553" s="40">
        <v>5</v>
      </c>
      <c r="E553" s="40">
        <v>0.9</v>
      </c>
      <c r="F553" s="40">
        <v>0.9</v>
      </c>
      <c r="G553" s="40"/>
      <c r="H553" s="40">
        <f t="shared" si="28"/>
        <v>4.05</v>
      </c>
      <c r="I553" s="40"/>
      <c r="J553" s="41"/>
    </row>
    <row r="554" spans="2:10" s="1" customFormat="1" ht="14.25" customHeight="1" x14ac:dyDescent="0.2">
      <c r="B554" s="46"/>
      <c r="C554" s="39" t="s">
        <v>691</v>
      </c>
      <c r="D554" s="40">
        <v>5</v>
      </c>
      <c r="E554" s="40">
        <v>0.9</v>
      </c>
      <c r="F554" s="40">
        <v>0.9</v>
      </c>
      <c r="G554" s="40"/>
      <c r="H554" s="40">
        <f t="shared" si="28"/>
        <v>4.05</v>
      </c>
      <c r="I554" s="40"/>
      <c r="J554" s="41"/>
    </row>
    <row r="555" spans="2:10" s="1" customFormat="1" ht="14.25" customHeight="1" x14ac:dyDescent="0.2">
      <c r="B555" s="46"/>
      <c r="C555" s="39" t="s">
        <v>377</v>
      </c>
      <c r="D555" s="40">
        <v>1</v>
      </c>
      <c r="E555" s="40">
        <v>1.7</v>
      </c>
      <c r="F555" s="40">
        <v>5.9</v>
      </c>
      <c r="G555" s="40"/>
      <c r="H555" s="40">
        <f t="shared" si="28"/>
        <v>10.030000000000001</v>
      </c>
      <c r="I555" s="40"/>
      <c r="J555" s="41"/>
    </row>
    <row r="556" spans="2:10" s="1" customFormat="1" ht="14.25" customHeight="1" x14ac:dyDescent="0.2">
      <c r="B556" s="46"/>
      <c r="C556" s="39" t="s">
        <v>444</v>
      </c>
      <c r="D556" s="60">
        <v>1</v>
      </c>
      <c r="E556" s="1">
        <v>3</v>
      </c>
      <c r="F556" s="40">
        <v>0.5</v>
      </c>
      <c r="G556" s="40"/>
      <c r="H556" s="40">
        <f t="shared" si="28"/>
        <v>1.5</v>
      </c>
      <c r="I556" s="40"/>
      <c r="J556" s="41"/>
    </row>
    <row r="557" spans="2:10" s="1" customFormat="1" ht="14.25" customHeight="1" x14ac:dyDescent="0.2">
      <c r="B557" s="46"/>
      <c r="C557" s="39" t="s">
        <v>442</v>
      </c>
      <c r="D557" s="8">
        <v>1</v>
      </c>
      <c r="E557" s="86">
        <f>3.5+14.4</f>
        <v>17.899999999999999</v>
      </c>
      <c r="F557" s="40">
        <v>0.5</v>
      </c>
      <c r="G557" s="40"/>
      <c r="H557" s="40">
        <f t="shared" si="28"/>
        <v>8.9499999999999993</v>
      </c>
      <c r="I557" s="40"/>
      <c r="J557" s="41"/>
    </row>
    <row r="558" spans="2:10" s="1" customFormat="1" ht="14.25" customHeight="1" x14ac:dyDescent="0.2">
      <c r="B558" s="46"/>
      <c r="C558" s="43" t="s">
        <v>472</v>
      </c>
      <c r="D558" s="60"/>
      <c r="E558" s="40"/>
      <c r="F558" s="40"/>
      <c r="G558" s="40"/>
      <c r="H558" s="40"/>
      <c r="I558" s="40"/>
      <c r="J558" s="41"/>
    </row>
    <row r="559" spans="2:10" s="1" customFormat="1" ht="14.25" customHeight="1" x14ac:dyDescent="0.2">
      <c r="B559" s="46"/>
      <c r="C559" s="39" t="s">
        <v>487</v>
      </c>
      <c r="D559" s="60">
        <v>1</v>
      </c>
      <c r="E559" s="40">
        <f>1.28+2.12+5.96+1.38</f>
        <v>10.739999999999998</v>
      </c>
      <c r="F559" s="40">
        <v>0.5</v>
      </c>
      <c r="G559" s="40"/>
      <c r="H559" s="40">
        <f t="shared" si="28"/>
        <v>5.3699999999999992</v>
      </c>
      <c r="I559" s="40"/>
      <c r="J559" s="41"/>
    </row>
    <row r="560" spans="2:10" s="1" customFormat="1" ht="14.25" customHeight="1" x14ac:dyDescent="0.2">
      <c r="B560" s="46"/>
      <c r="C560" s="39" t="s">
        <v>486</v>
      </c>
      <c r="D560" s="60">
        <v>1</v>
      </c>
      <c r="E560" s="40">
        <v>22.1</v>
      </c>
      <c r="F560" s="40">
        <v>0.5</v>
      </c>
      <c r="G560" s="40"/>
      <c r="H560" s="40">
        <f t="shared" si="28"/>
        <v>11.05</v>
      </c>
      <c r="I560" s="40"/>
      <c r="J560" s="41"/>
    </row>
    <row r="561" spans="2:10" s="1" customFormat="1" ht="14.25" customHeight="1" x14ac:dyDescent="0.2">
      <c r="B561" s="46"/>
      <c r="C561" s="39"/>
      <c r="D561" s="60"/>
      <c r="E561" s="40"/>
      <c r="F561" s="40"/>
      <c r="G561" s="40"/>
      <c r="H561" s="40">
        <f t="shared" si="28"/>
        <v>0</v>
      </c>
      <c r="I561" s="40"/>
      <c r="J561" s="41"/>
    </row>
    <row r="562" spans="2:10" s="1" customFormat="1" ht="14.25" customHeight="1" x14ac:dyDescent="0.2">
      <c r="B562" s="46"/>
      <c r="C562" s="43" t="s">
        <v>251</v>
      </c>
      <c r="D562" s="60"/>
      <c r="E562" s="40"/>
      <c r="F562" s="40"/>
      <c r="G562" s="40"/>
      <c r="H562" s="40">
        <f t="shared" si="28"/>
        <v>0</v>
      </c>
      <c r="I562" s="40"/>
      <c r="J562" s="41"/>
    </row>
    <row r="563" spans="2:10" s="1" customFormat="1" ht="14.25" customHeight="1" x14ac:dyDescent="0.2">
      <c r="B563" s="46"/>
      <c r="C563" s="39" t="s">
        <v>485</v>
      </c>
      <c r="D563" s="40">
        <v>1</v>
      </c>
      <c r="E563" s="40">
        <v>24.15</v>
      </c>
      <c r="F563" s="40">
        <f>12*0.0254+0.4</f>
        <v>0.70479999999999998</v>
      </c>
      <c r="G563" s="40"/>
      <c r="H563" s="40">
        <f t="shared" si="28"/>
        <v>17.02092</v>
      </c>
      <c r="I563" s="40"/>
      <c r="J563" s="41"/>
    </row>
    <row r="564" spans="2:10" s="1" customFormat="1" ht="14.25" customHeight="1" x14ac:dyDescent="0.2">
      <c r="B564" s="46"/>
      <c r="C564" s="39"/>
      <c r="D564" s="60"/>
      <c r="E564" s="40"/>
      <c r="F564" s="40"/>
      <c r="G564" s="40"/>
      <c r="H564" s="40"/>
      <c r="I564" s="40"/>
      <c r="J564" s="41"/>
    </row>
    <row r="565" spans="2:10" s="1" customFormat="1" ht="14.25" customHeight="1" x14ac:dyDescent="0.2">
      <c r="B565" s="46"/>
      <c r="C565" s="43" t="s">
        <v>252</v>
      </c>
      <c r="D565" s="60"/>
      <c r="E565" s="40"/>
      <c r="F565" s="40"/>
      <c r="G565" s="40"/>
      <c r="H565" s="40"/>
      <c r="I565" s="40"/>
      <c r="J565" s="41"/>
    </row>
    <row r="566" spans="2:10" s="1" customFormat="1" ht="14.25" customHeight="1" x14ac:dyDescent="0.2">
      <c r="B566" s="46"/>
      <c r="C566" s="39" t="s">
        <v>488</v>
      </c>
      <c r="D566" s="40">
        <v>1</v>
      </c>
      <c r="E566" s="40">
        <v>4</v>
      </c>
      <c r="F566" s="40">
        <v>0.8</v>
      </c>
      <c r="G566" s="40"/>
      <c r="H566" s="40">
        <f t="shared" si="28"/>
        <v>3.2</v>
      </c>
      <c r="I566" s="40"/>
      <c r="J566" s="41"/>
    </row>
    <row r="567" spans="2:10" s="1" customFormat="1" ht="14.25" customHeight="1" x14ac:dyDescent="0.2">
      <c r="B567" s="46"/>
      <c r="C567" s="39" t="s">
        <v>489</v>
      </c>
      <c r="D567" s="60">
        <v>1</v>
      </c>
      <c r="E567" s="40">
        <v>8</v>
      </c>
      <c r="F567" s="40">
        <v>0.8</v>
      </c>
      <c r="G567" s="40"/>
      <c r="H567" s="40">
        <f t="shared" si="28"/>
        <v>6.4</v>
      </c>
      <c r="I567" s="40"/>
      <c r="J567" s="41"/>
    </row>
    <row r="568" spans="2:10" x14ac:dyDescent="0.25">
      <c r="B568" s="25" t="s">
        <v>232</v>
      </c>
      <c r="C568" s="28" t="s">
        <v>617</v>
      </c>
      <c r="D568" s="23"/>
      <c r="E568" s="23"/>
      <c r="F568" s="23"/>
      <c r="G568" s="23"/>
      <c r="H568" s="24"/>
      <c r="I568" s="25">
        <f>+I545</f>
        <v>86.930920000000015</v>
      </c>
      <c r="J568" s="26" t="s">
        <v>45</v>
      </c>
    </row>
    <row r="569" spans="2:10" s="1" customFormat="1" ht="12.75" x14ac:dyDescent="0.2">
      <c r="B569" s="46"/>
      <c r="C569" s="59"/>
      <c r="D569" s="60"/>
      <c r="E569" s="40"/>
      <c r="F569" s="40"/>
      <c r="G569" s="40"/>
      <c r="H569" s="40"/>
      <c r="I569" s="40"/>
      <c r="J569" s="41"/>
    </row>
    <row r="570" spans="2:10" s="1" customFormat="1" ht="12.75" x14ac:dyDescent="0.2">
      <c r="B570" s="73" t="s">
        <v>16</v>
      </c>
      <c r="C570" s="73" t="s">
        <v>618</v>
      </c>
      <c r="E570" s="40"/>
      <c r="F570" s="40"/>
      <c r="G570" s="40"/>
      <c r="H570" s="40"/>
      <c r="I570" s="40"/>
      <c r="J570" s="41"/>
    </row>
    <row r="571" spans="2:10" s="1" customFormat="1" ht="12.75" x14ac:dyDescent="0.2">
      <c r="B571" s="46" t="s">
        <v>17</v>
      </c>
      <c r="C571" s="28" t="s">
        <v>619</v>
      </c>
      <c r="D571" s="60"/>
      <c r="E571" s="40"/>
      <c r="F571" s="40" t="s">
        <v>358</v>
      </c>
      <c r="G571" s="40"/>
      <c r="H571" s="40"/>
      <c r="I571" s="44">
        <f>+SUM(H572:H572)</f>
        <v>20.625</v>
      </c>
      <c r="J571" s="45" t="s">
        <v>4</v>
      </c>
    </row>
    <row r="572" spans="2:10" s="1" customFormat="1" ht="12.75" x14ac:dyDescent="0.2">
      <c r="B572" s="46"/>
      <c r="C572" s="59" t="s">
        <v>638</v>
      </c>
      <c r="D572" s="60">
        <v>1</v>
      </c>
      <c r="E572" s="1">
        <v>55</v>
      </c>
      <c r="F572" s="40">
        <f>0.15*1+0.3*0.25+0.15*1</f>
        <v>0.375</v>
      </c>
      <c r="G572" s="40"/>
      <c r="H572" s="40">
        <f>IF(AND(F572=0,G572=0),D572*E572,IF(AND(E572=0,G572=0),D572*F572,IF(AND(E572=0,F572=0),D572*G572,IF(AND(E572=0),D572*F572*G572,IF(AND(F572=0),D572*E572*G572,IF(AND(G572=0),D572*E572*F572,D572*E572*F572*G572))))))</f>
        <v>20.625</v>
      </c>
      <c r="I572" s="40"/>
      <c r="J572" s="41"/>
    </row>
    <row r="573" spans="2:10" s="1" customFormat="1" ht="12.75" x14ac:dyDescent="0.2">
      <c r="B573" s="46"/>
      <c r="C573" s="59"/>
      <c r="D573" s="60"/>
      <c r="E573" s="40"/>
      <c r="F573" s="40"/>
      <c r="G573" s="40"/>
      <c r="H573" s="40"/>
      <c r="I573" s="40"/>
      <c r="J573" s="41"/>
    </row>
    <row r="574" spans="2:10" s="1" customFormat="1" ht="12.75" x14ac:dyDescent="0.2">
      <c r="B574" s="46" t="s">
        <v>240</v>
      </c>
      <c r="C574" s="28" t="s">
        <v>635</v>
      </c>
      <c r="D574" s="60"/>
      <c r="E574" s="40"/>
      <c r="F574" s="40"/>
      <c r="G574" s="40"/>
      <c r="H574" s="40"/>
      <c r="I574" s="44">
        <f>+SUM(H575:H575)</f>
        <v>108</v>
      </c>
      <c r="J574" s="41" t="s">
        <v>45</v>
      </c>
    </row>
    <row r="575" spans="2:10" s="1" customFormat="1" ht="12.75" x14ac:dyDescent="0.2">
      <c r="B575" s="46"/>
      <c r="C575" s="59" t="s">
        <v>639</v>
      </c>
      <c r="D575" s="60">
        <v>1</v>
      </c>
      <c r="E575" s="40">
        <v>120</v>
      </c>
      <c r="F575" s="40">
        <v>0.9</v>
      </c>
      <c r="G575" s="40"/>
      <c r="H575" s="40">
        <f>IF(AND(F575=0,G575=0),D575*E575,IF(AND(E575=0,G575=0),D575*F575,IF(AND(E575=0,F575=0),D575*G575,IF(AND(E575=0),D575*F575*G575,IF(AND(F575=0),D575*E575*G575,IF(AND(G575=0),D575*E575*F575,D575*E575*F575*G575))))))</f>
        <v>108</v>
      </c>
      <c r="I575" s="40"/>
      <c r="J575" s="41"/>
    </row>
    <row r="576" spans="2:10" s="1" customFormat="1" ht="12.75" x14ac:dyDescent="0.2">
      <c r="B576" s="46"/>
      <c r="C576" s="59"/>
      <c r="D576" s="60"/>
      <c r="E576" s="40"/>
      <c r="F576" s="40"/>
      <c r="G576" s="40"/>
      <c r="H576" s="40"/>
    </row>
    <row r="577" spans="2:10" s="1" customFormat="1" ht="12.75" x14ac:dyDescent="0.2">
      <c r="B577" s="73" t="s">
        <v>18</v>
      </c>
      <c r="C577" s="73" t="s">
        <v>679</v>
      </c>
      <c r="D577" s="60"/>
      <c r="E577" s="40"/>
      <c r="F577" s="40"/>
      <c r="G577" s="40"/>
      <c r="H577" s="40"/>
    </row>
    <row r="578" spans="2:10" s="1" customFormat="1" ht="12.75" x14ac:dyDescent="0.2">
      <c r="B578" s="25" t="s">
        <v>19</v>
      </c>
      <c r="C578" s="28" t="s">
        <v>737</v>
      </c>
      <c r="D578" s="60"/>
      <c r="E578" s="40"/>
      <c r="F578" s="40"/>
      <c r="G578" s="40"/>
      <c r="H578" s="40"/>
      <c r="I578" s="421">
        <f>+I574</f>
        <v>108</v>
      </c>
      <c r="J578" s="1" t="s">
        <v>45</v>
      </c>
    </row>
    <row r="579" spans="2:10" s="1" customFormat="1" ht="12.75" x14ac:dyDescent="0.2">
      <c r="B579" s="380"/>
      <c r="C579" s="111"/>
      <c r="D579" s="60"/>
      <c r="E579" s="40"/>
      <c r="F579" s="40"/>
      <c r="G579" s="40"/>
      <c r="H579" s="40"/>
    </row>
    <row r="580" spans="2:10" s="1" customFormat="1" ht="12.75" x14ac:dyDescent="0.2">
      <c r="B580" s="25" t="s">
        <v>20</v>
      </c>
      <c r="C580" s="28" t="s">
        <v>636</v>
      </c>
      <c r="D580" s="60">
        <v>1</v>
      </c>
      <c r="E580" s="40">
        <v>15</v>
      </c>
      <c r="F580" s="40">
        <v>1.2</v>
      </c>
      <c r="G580" s="40"/>
      <c r="H580" s="40">
        <f>IF(AND(F580=0,G580=0),D580*E580,IF(AND(E580=0,G580=0),D580*F580,IF(AND(E580=0,F580=0),D580*G580,IF(AND(E580=0),D580*F580*G580,IF(AND(F580=0),D580*E580*G580,IF(AND(G580=0),D580*E580*F580,D580*E580*F580*G580))))))</f>
        <v>18</v>
      </c>
      <c r="I580" s="44">
        <f>+SUM(H580:H580)</f>
        <v>18</v>
      </c>
      <c r="J580" s="41" t="s">
        <v>637</v>
      </c>
    </row>
    <row r="581" spans="2:10" s="1" customFormat="1" ht="12.75" x14ac:dyDescent="0.2">
      <c r="B581" s="46"/>
      <c r="C581" s="59"/>
      <c r="D581" s="60"/>
      <c r="E581" s="40"/>
      <c r="F581" s="40"/>
      <c r="G581" s="40"/>
      <c r="H581" s="40"/>
      <c r="I581" s="40"/>
      <c r="J581" s="41"/>
    </row>
    <row r="582" spans="2:10" s="1" customFormat="1" ht="12.75" x14ac:dyDescent="0.2">
      <c r="B582" s="73" t="s">
        <v>22</v>
      </c>
      <c r="C582" s="73" t="s">
        <v>620</v>
      </c>
      <c r="D582" s="60"/>
      <c r="E582" s="40"/>
      <c r="F582" s="40" t="s">
        <v>358</v>
      </c>
      <c r="G582" s="40"/>
      <c r="H582" s="40"/>
    </row>
    <row r="583" spans="2:10" s="1" customFormat="1" ht="12.75" x14ac:dyDescent="0.2">
      <c r="B583" s="25" t="s">
        <v>23</v>
      </c>
      <c r="C583" s="1" t="s">
        <v>621</v>
      </c>
      <c r="I583" s="44">
        <f>+SUM(H585:H586)</f>
        <v>31.425000000000001</v>
      </c>
      <c r="J583" s="45" t="s">
        <v>4</v>
      </c>
    </row>
    <row r="584" spans="2:10" s="1" customFormat="1" ht="12.75" x14ac:dyDescent="0.2">
      <c r="B584" s="46"/>
      <c r="C584" s="59"/>
      <c r="D584" s="60"/>
      <c r="F584" s="40" t="s">
        <v>793</v>
      </c>
      <c r="G584" s="40"/>
      <c r="H584" s="40"/>
      <c r="I584" s="40"/>
      <c r="J584" s="41"/>
    </row>
    <row r="585" spans="2:10" s="1" customFormat="1" ht="12.75" x14ac:dyDescent="0.2">
      <c r="B585" s="107"/>
      <c r="C585" s="59" t="s">
        <v>638</v>
      </c>
      <c r="D585" s="60">
        <v>1</v>
      </c>
      <c r="E585" s="1">
        <v>55</v>
      </c>
      <c r="F585" s="40">
        <f>0.15*1+0.3*0.25+0.15*1</f>
        <v>0.375</v>
      </c>
      <c r="G585" s="40"/>
      <c r="H585" s="40">
        <f>IF(AND(F585=0,G585=0),D585*E585,IF(AND(E585=0,G585=0),D585*F585,IF(AND(E585=0,F585=0),D585*G585,IF(AND(E585=0),D585*F585*G585,IF(AND(F585=0),D585*E585*G585,IF(AND(G585=0),D585*E585*F585,D585*E585*F585*G585))))))</f>
        <v>20.625</v>
      </c>
      <c r="I585" s="44"/>
      <c r="J585" s="45"/>
    </row>
    <row r="586" spans="2:10" s="1" customFormat="1" ht="12.75" x14ac:dyDescent="0.2">
      <c r="B586" s="46"/>
      <c r="C586" s="59" t="s">
        <v>639</v>
      </c>
      <c r="D586" s="60">
        <v>1</v>
      </c>
      <c r="E586" s="40">
        <v>120</v>
      </c>
      <c r="F586" s="40">
        <v>0.9</v>
      </c>
      <c r="G586" s="40">
        <v>0.1</v>
      </c>
      <c r="H586" s="40">
        <f>IF(AND(F586=0,G586=0),D586*E586,IF(AND(E586=0,G586=0),D586*F586,IF(AND(E586=0,F586=0),D586*G586,IF(AND(E586=0),D586*F586*G586,IF(AND(F586=0),D586*E586*G586,IF(AND(G586=0),D586*E586*F586,D586*E586*F586*G586))))))</f>
        <v>10.8</v>
      </c>
      <c r="I586" s="40"/>
      <c r="J586" s="41"/>
    </row>
    <row r="587" spans="2:10" s="1" customFormat="1" ht="12.75" x14ac:dyDescent="0.2">
      <c r="B587" s="46"/>
      <c r="C587" s="59"/>
      <c r="D587" s="60"/>
      <c r="E587" s="40"/>
      <c r="F587" s="40"/>
      <c r="G587" s="40"/>
      <c r="H587" s="40"/>
      <c r="I587" s="40"/>
      <c r="J587" s="41"/>
    </row>
    <row r="588" spans="2:10" x14ac:dyDescent="0.25">
      <c r="B588" s="73" t="s">
        <v>25</v>
      </c>
      <c r="C588" s="73" t="s">
        <v>614</v>
      </c>
      <c r="D588" s="23"/>
      <c r="E588" s="23"/>
      <c r="F588" s="23"/>
      <c r="G588" s="23"/>
      <c r="H588" s="24"/>
      <c r="I588" s="25"/>
      <c r="J588" s="26"/>
    </row>
    <row r="589" spans="2:10" s="1" customFormat="1" ht="12.75" x14ac:dyDescent="0.2">
      <c r="B589" s="25" t="s">
        <v>26</v>
      </c>
      <c r="C589" s="1" t="s">
        <v>622</v>
      </c>
      <c r="D589" s="60"/>
      <c r="E589" s="40"/>
      <c r="F589" s="40"/>
      <c r="G589" s="40"/>
      <c r="H589" s="24"/>
      <c r="I589" s="25">
        <f>+SUM(H590:H591)</f>
        <v>11.967499999999999</v>
      </c>
      <c r="J589" s="26" t="s">
        <v>4</v>
      </c>
    </row>
    <row r="590" spans="2:10" s="1" customFormat="1" ht="12.75" x14ac:dyDescent="0.2">
      <c r="B590" s="25"/>
      <c r="C590" s="39" t="s">
        <v>444</v>
      </c>
      <c r="D590" s="60">
        <v>1</v>
      </c>
      <c r="E590" s="1">
        <v>3</v>
      </c>
      <c r="F590" s="40">
        <v>0.5</v>
      </c>
      <c r="G590" s="40">
        <f>0.32+0.2</f>
        <v>0.52</v>
      </c>
      <c r="H590" s="40">
        <f>IF(AND(F590=0,G590=0),D590*E590,IF(AND(E590=0,G590=0),D590*F590,IF(AND(E590=0,F590=0),D590*G590,IF(AND(E590=0),D590*F590*G590,IF(AND(F590=0),D590*E590*G590,IF(AND(G590=0),D590*E590*F590,D590*E590*F590*G590))))))</f>
        <v>0.78</v>
      </c>
      <c r="I590" s="40"/>
      <c r="J590" s="41"/>
    </row>
    <row r="591" spans="2:10" s="1" customFormat="1" ht="12.75" x14ac:dyDescent="0.2">
      <c r="B591" s="25"/>
      <c r="C591" s="39" t="s">
        <v>442</v>
      </c>
      <c r="D591" s="8">
        <v>1</v>
      </c>
      <c r="E591" s="86">
        <f>3.5+14.4</f>
        <v>17.899999999999999</v>
      </c>
      <c r="F591" s="40">
        <v>0.5</v>
      </c>
      <c r="G591" s="40">
        <f>1+0.25</f>
        <v>1.25</v>
      </c>
      <c r="H591" s="40">
        <f>IF(AND(F591=0,G591=0),D591*E591,IF(AND(E591=0,G591=0),D591*F591,IF(AND(E591=0,F591=0),D591*G591,IF(AND(E591=0),D591*F591*G591,IF(AND(F591=0),D591*E591*G591,IF(AND(G591=0),D591*E591*F591,D591*E591*F591*G591))))))</f>
        <v>11.1875</v>
      </c>
      <c r="I591" s="40"/>
      <c r="J591" s="41"/>
    </row>
    <row r="592" spans="2:10" s="1" customFormat="1" ht="12.75" x14ac:dyDescent="0.2">
      <c r="B592" s="25" t="s">
        <v>654</v>
      </c>
      <c r="C592" s="1" t="s">
        <v>623</v>
      </c>
      <c r="D592" s="60"/>
      <c r="E592" s="40"/>
      <c r="F592" s="40"/>
      <c r="G592" s="40"/>
      <c r="H592" s="24"/>
      <c r="I592" s="25">
        <f>+SUM(H593:H600)</f>
        <v>30.404500000000002</v>
      </c>
      <c r="J592" s="26" t="s">
        <v>4</v>
      </c>
    </row>
    <row r="593" spans="2:10" s="1" customFormat="1" ht="12.75" x14ac:dyDescent="0.2">
      <c r="B593" s="57"/>
      <c r="C593" s="39" t="s">
        <v>393</v>
      </c>
      <c r="D593" s="40">
        <v>1</v>
      </c>
      <c r="E593" s="40">
        <v>0.9</v>
      </c>
      <c r="F593" s="40">
        <v>1.2</v>
      </c>
      <c r="G593" s="40">
        <f>0.92+0.25</f>
        <v>1.17</v>
      </c>
      <c r="H593" s="40">
        <f>IF(AND(F593=0,G593=0),D593*E593,IF(AND(E593=0,G593=0),D593*F593,IF(AND(E593=0,F593=0),D593*G593,IF(AND(E593=0),D593*F593*G593,IF(AND(F593=0),D593*E593*G593,IF(AND(G593=0),D593*E593*F593,D593*E593*F593*G593))))))</f>
        <v>1.2636000000000001</v>
      </c>
      <c r="I593" s="40"/>
      <c r="J593" s="41"/>
    </row>
    <row r="594" spans="2:10" s="1" customFormat="1" ht="12.75" x14ac:dyDescent="0.2">
      <c r="B594" s="57"/>
      <c r="C594" s="39" t="s">
        <v>412</v>
      </c>
      <c r="D594" s="40">
        <v>1</v>
      </c>
      <c r="E594" s="40">
        <v>0.9</v>
      </c>
      <c r="F594" s="40">
        <v>1.2</v>
      </c>
      <c r="G594" s="40">
        <f>1.07+0.25</f>
        <v>1.32</v>
      </c>
      <c r="H594" s="40">
        <f>IF(AND(F594=0,G594=0),D594*E594,IF(AND(E594=0,G594=0),D594*F594,IF(AND(E594=0,F594=0),D594*G594,IF(AND(E594=0),D594*F594*G594,IF(AND(F594=0),D594*E594*G594,IF(AND(G594=0),D594*E594*F594,D594*E594*F594*G594))))))</f>
        <v>1.4256000000000002</v>
      </c>
      <c r="I594" s="40"/>
      <c r="J594" s="41"/>
    </row>
    <row r="595" spans="2:10" s="1" customFormat="1" ht="12.75" x14ac:dyDescent="0.2">
      <c r="B595" s="57"/>
      <c r="C595" s="39" t="s">
        <v>381</v>
      </c>
      <c r="D595" s="60">
        <v>1</v>
      </c>
      <c r="E595" s="40">
        <v>0.9</v>
      </c>
      <c r="F595" s="40">
        <v>1.2</v>
      </c>
      <c r="G595" s="40">
        <f>0.61+0.25</f>
        <v>0.86</v>
      </c>
      <c r="H595" s="40">
        <f>IF(AND(F595=0,G595=0),D595*E595,IF(AND(E595=0,G595=0),D595*F595,IF(AND(E595=0,F595=0),D595*G595,IF(AND(E595=0),D595*F595*G595,IF(AND(F595=0),D595*E595*G595,IF(AND(G595=0),D595*E595*F595,D595*E595*F595*G595))))))</f>
        <v>0.92880000000000007</v>
      </c>
      <c r="I595" s="40"/>
      <c r="J595" s="41"/>
    </row>
    <row r="596" spans="2:10" s="1" customFormat="1" ht="12.75" x14ac:dyDescent="0.2">
      <c r="B596" s="57"/>
      <c r="C596" s="39" t="s">
        <v>714</v>
      </c>
      <c r="D596" s="60">
        <v>1</v>
      </c>
      <c r="E596" s="40">
        <v>0.9</v>
      </c>
      <c r="F596" s="40">
        <v>0.9</v>
      </c>
      <c r="G596" s="40">
        <f>0.7+0.25</f>
        <v>0.95</v>
      </c>
      <c r="H596" s="40">
        <f t="shared" ref="H596:H600" si="29">IF(AND(F596=0,G596=0),D596*E596,IF(AND(E596=0,G596=0),D596*F596,IF(AND(E596=0,F596=0),D596*G596,IF(AND(E596=0),D596*F596*G596,IF(AND(F596=0),D596*E596*G596,IF(AND(G596=0),D596*E596*F596,D596*E596*F596*G596))))))</f>
        <v>0.76949999999999996</v>
      </c>
      <c r="I596" s="40"/>
      <c r="J596" s="41"/>
    </row>
    <row r="597" spans="2:10" s="1" customFormat="1" ht="12.75" x14ac:dyDescent="0.2">
      <c r="B597" s="57"/>
      <c r="C597" s="39" t="s">
        <v>414</v>
      </c>
      <c r="D597" s="40">
        <v>1</v>
      </c>
      <c r="E597" s="40">
        <v>0.9</v>
      </c>
      <c r="F597" s="40">
        <v>0.9</v>
      </c>
      <c r="G597" s="40">
        <f>0.7+0.25</f>
        <v>0.95</v>
      </c>
      <c r="H597" s="40">
        <f t="shared" si="29"/>
        <v>0.76949999999999996</v>
      </c>
      <c r="I597" s="40"/>
      <c r="J597" s="41"/>
    </row>
    <row r="598" spans="2:10" s="1" customFormat="1" ht="12.75" x14ac:dyDescent="0.2">
      <c r="B598" s="57"/>
      <c r="C598" s="39" t="s">
        <v>648</v>
      </c>
      <c r="D598" s="40">
        <v>5</v>
      </c>
      <c r="E598" s="40">
        <v>0.9</v>
      </c>
      <c r="F598" s="40">
        <v>0.9</v>
      </c>
      <c r="G598" s="40">
        <f>0.7+0.25</f>
        <v>0.95</v>
      </c>
      <c r="H598" s="40">
        <f t="shared" si="29"/>
        <v>3.8474999999999997</v>
      </c>
      <c r="I598" s="40"/>
      <c r="J598" s="41"/>
    </row>
    <row r="599" spans="2:10" s="1" customFormat="1" ht="12.75" x14ac:dyDescent="0.2">
      <c r="B599" s="57"/>
      <c r="C599" s="39" t="s">
        <v>691</v>
      </c>
      <c r="D599" s="40">
        <v>5</v>
      </c>
      <c r="E599" s="40">
        <v>0.9</v>
      </c>
      <c r="F599" s="40">
        <v>0.9</v>
      </c>
      <c r="G599" s="40">
        <f>0.7+0.25</f>
        <v>0.95</v>
      </c>
      <c r="H599" s="40">
        <f t="shared" si="29"/>
        <v>3.8474999999999997</v>
      </c>
      <c r="I599" s="40"/>
      <c r="J599" s="41"/>
    </row>
    <row r="600" spans="2:10" s="1" customFormat="1" ht="12.75" x14ac:dyDescent="0.2">
      <c r="B600" s="413"/>
      <c r="C600" s="39" t="s">
        <v>377</v>
      </c>
      <c r="D600" s="40">
        <v>1</v>
      </c>
      <c r="E600" s="40">
        <v>1.7</v>
      </c>
      <c r="F600" s="40">
        <v>5.9</v>
      </c>
      <c r="G600" s="40">
        <f>1.45+0.3</f>
        <v>1.75</v>
      </c>
      <c r="H600" s="40">
        <f t="shared" si="29"/>
        <v>17.552500000000002</v>
      </c>
      <c r="I600" s="40"/>
      <c r="J600" s="41"/>
    </row>
    <row r="601" spans="2:10" s="1" customFormat="1" ht="12.75" x14ac:dyDescent="0.2">
      <c r="B601" s="25" t="s">
        <v>822</v>
      </c>
      <c r="C601" s="1" t="s">
        <v>738</v>
      </c>
      <c r="D601" s="60"/>
      <c r="E601" s="40"/>
      <c r="F601" s="40"/>
      <c r="G601" s="40"/>
      <c r="H601" s="40"/>
      <c r="I601" s="40">
        <f>+SUM(H603)</f>
        <v>0</v>
      </c>
      <c r="J601" s="41" t="s">
        <v>4</v>
      </c>
    </row>
    <row r="602" spans="2:10" s="1" customFormat="1" ht="12.75" x14ac:dyDescent="0.2">
      <c r="B602" s="46"/>
      <c r="C602" s="43"/>
      <c r="D602" s="60"/>
      <c r="E602" s="40"/>
      <c r="F602" s="40"/>
      <c r="G602" s="40"/>
      <c r="H602" s="40"/>
      <c r="J602" s="41"/>
    </row>
    <row r="603" spans="2:10" x14ac:dyDescent="0.25">
      <c r="B603" s="25" t="s">
        <v>820</v>
      </c>
      <c r="C603" s="414" t="s">
        <v>779</v>
      </c>
      <c r="D603" s="23"/>
      <c r="E603" s="23"/>
      <c r="F603" s="23"/>
      <c r="G603" s="23"/>
      <c r="I603" s="24">
        <f>+SUM(H604:H613)</f>
        <v>33.44</v>
      </c>
      <c r="J603" s="26" t="s">
        <v>45</v>
      </c>
    </row>
    <row r="604" spans="2:10" s="1" customFormat="1" ht="14.25" customHeight="1" x14ac:dyDescent="0.2">
      <c r="B604" s="46"/>
      <c r="C604" s="39" t="s">
        <v>444</v>
      </c>
      <c r="D604" s="60">
        <v>1</v>
      </c>
      <c r="E604" s="1">
        <v>3</v>
      </c>
      <c r="F604" s="40">
        <v>0.5</v>
      </c>
      <c r="G604" s="40"/>
      <c r="H604" s="40">
        <f>IF(AND(F604=0,G604=0),D604*E604,IF(AND(E604=0,G604=0),D604*F604,IF(AND(E604=0,F604=0),D604*G604,IF(AND(E604=0),D604*F604*G604,IF(AND(F604=0),D604*E604*G604,IF(AND(G604=0),D604*E604*F604,D604*E604*F604*G604))))))</f>
        <v>1.5</v>
      </c>
      <c r="I604" s="40"/>
      <c r="J604" s="41"/>
    </row>
    <row r="605" spans="2:10" s="1" customFormat="1" ht="14.25" customHeight="1" x14ac:dyDescent="0.2">
      <c r="B605" s="46"/>
      <c r="C605" s="39" t="s">
        <v>442</v>
      </c>
      <c r="D605" s="8">
        <v>1</v>
      </c>
      <c r="E605" s="86">
        <f>3.5+14.4</f>
        <v>17.899999999999999</v>
      </c>
      <c r="F605" s="40">
        <v>0.5</v>
      </c>
      <c r="G605" s="40"/>
      <c r="H605" s="40">
        <f>IF(AND(F605=0,G605=0),D605*E605,IF(AND(E605=0,G605=0),D605*F605,IF(AND(E605=0,F605=0),D605*G605,IF(AND(E605=0),D605*F605*G605,IF(AND(F605=0),D605*E605*G605,IF(AND(G605=0),D605*E605*F605,D605*E605*F605*G605))))))</f>
        <v>8.9499999999999993</v>
      </c>
      <c r="I605" s="40"/>
      <c r="J605" s="41"/>
    </row>
    <row r="606" spans="2:10" s="1" customFormat="1" ht="14.25" customHeight="1" x14ac:dyDescent="0.2">
      <c r="B606" s="46"/>
      <c r="C606" s="39" t="s">
        <v>393</v>
      </c>
      <c r="D606" s="40">
        <v>1</v>
      </c>
      <c r="E606" s="40">
        <v>0.9</v>
      </c>
      <c r="F606" s="40">
        <v>1.2</v>
      </c>
      <c r="G606" s="40"/>
      <c r="H606" s="40">
        <f>IF(AND(F606=0,G606=0),D606*E606,IF(AND(E606=0,G606=0),D606*F606,IF(AND(E606=0,F606=0),D606*G606,IF(AND(E606=0),D606*F606*G606,IF(AND(F606=0),D606*E606*G606,IF(AND(G606=0),D606*E606*F606,D606*E606*F606*G606))))))</f>
        <v>1.08</v>
      </c>
      <c r="I606" s="40"/>
      <c r="J606" s="41"/>
    </row>
    <row r="607" spans="2:10" s="1" customFormat="1" ht="14.25" customHeight="1" x14ac:dyDescent="0.2">
      <c r="B607" s="46"/>
      <c r="C607" s="39" t="s">
        <v>412</v>
      </c>
      <c r="D607" s="40">
        <v>1</v>
      </c>
      <c r="E607" s="40">
        <v>0.9</v>
      </c>
      <c r="F607" s="40">
        <v>1.2</v>
      </c>
      <c r="G607" s="40"/>
      <c r="H607" s="40">
        <f>IF(AND(F607=0,G607=0),D607*E607,IF(AND(E607=0,G607=0),D607*F607,IF(AND(E607=0,F607=0),D607*G607,IF(AND(E607=0),D607*F607*G607,IF(AND(F607=0),D607*E607*G607,IF(AND(G607=0),D607*E607*F607,D607*E607*F607*G607))))))</f>
        <v>1.08</v>
      </c>
      <c r="I607" s="40"/>
      <c r="J607" s="41"/>
    </row>
    <row r="608" spans="2:10" s="1" customFormat="1" ht="14.25" customHeight="1" x14ac:dyDescent="0.2">
      <c r="B608" s="46"/>
      <c r="C608" s="39" t="s">
        <v>381</v>
      </c>
      <c r="D608" s="60">
        <v>1</v>
      </c>
      <c r="E608" s="40">
        <v>0.9</v>
      </c>
      <c r="F608" s="40">
        <v>1.2</v>
      </c>
      <c r="G608" s="40"/>
      <c r="H608" s="40">
        <f>IF(AND(F608=0,G608=0),D608*E608,IF(AND(E608=0,G608=0),D608*F608,IF(AND(E608=0,F608=0),D608*G608,IF(AND(E608=0),D608*F608*G608,IF(AND(F608=0),D608*E608*G608,IF(AND(G608=0),D608*E608*F608,D608*E608*F608*G608))))))</f>
        <v>1.08</v>
      </c>
      <c r="I608" s="40"/>
      <c r="J608" s="41"/>
    </row>
    <row r="609" spans="2:10" s="1" customFormat="1" ht="14.25" customHeight="1" x14ac:dyDescent="0.2">
      <c r="B609" s="46"/>
      <c r="C609" s="39" t="s">
        <v>714</v>
      </c>
      <c r="D609" s="60">
        <v>1</v>
      </c>
      <c r="E609" s="40">
        <v>0.9</v>
      </c>
      <c r="F609" s="40">
        <v>0.9</v>
      </c>
      <c r="G609" s="40"/>
      <c r="H609" s="40">
        <f t="shared" ref="H609:H613" si="30">IF(AND(F609=0,G609=0),D609*E609,IF(AND(E609=0,G609=0),D609*F609,IF(AND(E609=0,F609=0),D609*G609,IF(AND(E609=0),D609*F609*G609,IF(AND(F609=0),D609*E609*G609,IF(AND(G609=0),D609*E609*F609,D609*E609*F609*G609))))))</f>
        <v>0.81</v>
      </c>
      <c r="I609" s="40"/>
      <c r="J609" s="41"/>
    </row>
    <row r="610" spans="2:10" s="1" customFormat="1" ht="14.25" customHeight="1" x14ac:dyDescent="0.2">
      <c r="B610" s="46"/>
      <c r="C610" s="39" t="s">
        <v>414</v>
      </c>
      <c r="D610" s="40">
        <v>1</v>
      </c>
      <c r="E610" s="40">
        <v>0.9</v>
      </c>
      <c r="F610" s="40">
        <v>0.9</v>
      </c>
      <c r="G610" s="40"/>
      <c r="H610" s="40">
        <f t="shared" si="30"/>
        <v>0.81</v>
      </c>
      <c r="I610" s="40"/>
      <c r="J610" s="41"/>
    </row>
    <row r="611" spans="2:10" s="1" customFormat="1" ht="14.25" customHeight="1" x14ac:dyDescent="0.2">
      <c r="B611" s="46"/>
      <c r="C611" s="39" t="s">
        <v>648</v>
      </c>
      <c r="D611" s="40">
        <v>5</v>
      </c>
      <c r="E611" s="40">
        <v>0.9</v>
      </c>
      <c r="F611" s="40">
        <v>0.9</v>
      </c>
      <c r="G611" s="40"/>
      <c r="H611" s="40">
        <f t="shared" si="30"/>
        <v>4.05</v>
      </c>
      <c r="I611" s="40"/>
      <c r="J611" s="41"/>
    </row>
    <row r="612" spans="2:10" s="1" customFormat="1" ht="14.25" customHeight="1" x14ac:dyDescent="0.2">
      <c r="B612" s="46"/>
      <c r="C612" s="39" t="s">
        <v>691</v>
      </c>
      <c r="D612" s="40">
        <v>5</v>
      </c>
      <c r="E612" s="40">
        <v>0.9</v>
      </c>
      <c r="F612" s="40">
        <v>0.9</v>
      </c>
      <c r="G612" s="40"/>
      <c r="H612" s="40">
        <f t="shared" si="30"/>
        <v>4.05</v>
      </c>
      <c r="I612" s="40"/>
      <c r="J612" s="41"/>
    </row>
    <row r="613" spans="2:10" s="1" customFormat="1" ht="14.25" customHeight="1" x14ac:dyDescent="0.2">
      <c r="B613" s="46"/>
      <c r="C613" s="39" t="s">
        <v>377</v>
      </c>
      <c r="D613" s="40">
        <v>1</v>
      </c>
      <c r="E613" s="40">
        <v>1.7</v>
      </c>
      <c r="F613" s="40">
        <v>5.9</v>
      </c>
      <c r="G613" s="40"/>
      <c r="H613" s="40">
        <f t="shared" si="30"/>
        <v>10.030000000000001</v>
      </c>
      <c r="I613" s="40"/>
      <c r="J613" s="41"/>
    </row>
    <row r="614" spans="2:10" s="1" customFormat="1" ht="12.75" x14ac:dyDescent="0.2">
      <c r="B614" s="25" t="s">
        <v>821</v>
      </c>
      <c r="C614" s="414" t="s">
        <v>776</v>
      </c>
      <c r="D614" s="60"/>
      <c r="E614" s="40"/>
      <c r="F614" s="40"/>
      <c r="G614" s="40"/>
      <c r="H614" s="40"/>
      <c r="I614" s="40">
        <f>+SUM(H616:H617)--H619+H621-H623+SUM(H625:H626)-H628</f>
        <v>31.477086142375285</v>
      </c>
      <c r="J614" s="41" t="s">
        <v>4</v>
      </c>
    </row>
    <row r="615" spans="2:10" s="1" customFormat="1" ht="12.75" x14ac:dyDescent="0.2">
      <c r="B615" s="46"/>
      <c r="C615" s="43" t="s">
        <v>472</v>
      </c>
      <c r="D615" s="60"/>
      <c r="E615" s="40"/>
      <c r="F615" s="40"/>
      <c r="G615" s="40"/>
      <c r="H615" s="40"/>
      <c r="I615" s="40"/>
      <c r="J615" s="41"/>
    </row>
    <row r="616" spans="2:10" s="1" customFormat="1" ht="12.75" x14ac:dyDescent="0.2">
      <c r="B616" s="46"/>
      <c r="C616" s="39" t="s">
        <v>487</v>
      </c>
      <c r="D616" s="60">
        <v>1</v>
      </c>
      <c r="E616" s="40">
        <f>1.28+2.12+5.96+1.38</f>
        <v>10.739999999999998</v>
      </c>
      <c r="F616" s="40">
        <v>0.5</v>
      </c>
      <c r="G616" s="40">
        <v>0.35</v>
      </c>
      <c r="H616" s="40">
        <f t="shared" ref="H616:H617" si="31">IF(AND(F616=0,G616=0),D616*E616,IF(AND(E616=0,G616=0),D616*F616,IF(AND(E616=0,F616=0),D616*G616,IF(AND(E616=0),D616*F616*G616,IF(AND(F616=0),D616*E616*G616,IF(AND(G616=0),D616*E616*F616,D616*E616*F616*G616))))))</f>
        <v>1.8794999999999995</v>
      </c>
      <c r="I616" s="40"/>
      <c r="J616" s="41"/>
    </row>
    <row r="617" spans="2:10" s="1" customFormat="1" ht="12.75" x14ac:dyDescent="0.2">
      <c r="B617" s="46"/>
      <c r="C617" s="39" t="s">
        <v>486</v>
      </c>
      <c r="D617" s="60">
        <v>1</v>
      </c>
      <c r="E617" s="40">
        <v>22.1</v>
      </c>
      <c r="F617" s="40">
        <v>0.5</v>
      </c>
      <c r="G617" s="40">
        <v>0.35</v>
      </c>
      <c r="H617" s="40">
        <f t="shared" si="31"/>
        <v>3.8675000000000002</v>
      </c>
      <c r="I617" s="40"/>
      <c r="J617" s="41"/>
    </row>
    <row r="618" spans="2:10" s="1" customFormat="1" ht="12.75" x14ac:dyDescent="0.2">
      <c r="B618" s="46"/>
      <c r="F618" s="40" t="s">
        <v>786</v>
      </c>
      <c r="G618" s="40">
        <v>3</v>
      </c>
      <c r="I618" s="40"/>
      <c r="J618" s="41"/>
    </row>
    <row r="619" spans="2:10" s="1" customFormat="1" ht="12.75" x14ac:dyDescent="0.2">
      <c r="B619" s="46"/>
      <c r="C619" s="39" t="s">
        <v>784</v>
      </c>
      <c r="D619" s="60">
        <v>1</v>
      </c>
      <c r="E619" s="40">
        <f>+SUM(E616:E617)</f>
        <v>32.840000000000003</v>
      </c>
      <c r="F619" s="40" t="s">
        <v>785</v>
      </c>
      <c r="G619" s="40">
        <f>+PI()*((G618*0.0254)^2)/4</f>
        <v>4.5603673118774788E-3</v>
      </c>
      <c r="H619" s="40">
        <f>+E619*G619</f>
        <v>0.14976246252205641</v>
      </c>
      <c r="I619" s="40"/>
      <c r="J619" s="41"/>
    </row>
    <row r="620" spans="2:10" s="1" customFormat="1" ht="12.75" x14ac:dyDescent="0.2">
      <c r="B620" s="46"/>
      <c r="C620" s="43" t="s">
        <v>251</v>
      </c>
      <c r="D620" s="60"/>
      <c r="E620" s="40"/>
      <c r="F620" s="40"/>
      <c r="G620" s="40"/>
      <c r="H620" s="40"/>
      <c r="I620" s="40"/>
      <c r="J620" s="41"/>
    </row>
    <row r="621" spans="2:10" s="1" customFormat="1" ht="12.75" x14ac:dyDescent="0.2">
      <c r="B621" s="46"/>
      <c r="C621" s="39" t="s">
        <v>485</v>
      </c>
      <c r="D621" s="40">
        <v>1</v>
      </c>
      <c r="E621" s="40">
        <v>24.15</v>
      </c>
      <c r="F621" s="40">
        <f>12*0.0254+0.4</f>
        <v>0.70479999999999998</v>
      </c>
      <c r="G621" s="40">
        <v>0.68</v>
      </c>
      <c r="H621" s="40">
        <f t="shared" ref="H621" si="32">IF(AND(F621=0,G621=0),D621*E621,IF(AND(E621=0,G621=0),D621*F621,IF(AND(E621=0,F621=0),D621*G621,IF(AND(E621=0),D621*F621*G621,IF(AND(F621=0),D621*E621*G621,IF(AND(G621=0),D621*E621*F621,D621*E621*F621*G621))))))</f>
        <v>11.574225600000002</v>
      </c>
      <c r="I621" s="40"/>
      <c r="J621" s="41"/>
    </row>
    <row r="622" spans="2:10" s="1" customFormat="1" ht="12.75" x14ac:dyDescent="0.2">
      <c r="B622" s="46"/>
      <c r="F622" s="40" t="s">
        <v>786</v>
      </c>
      <c r="G622" s="40">
        <v>12</v>
      </c>
      <c r="I622" s="40"/>
      <c r="J622" s="41"/>
    </row>
    <row r="623" spans="2:10" s="1" customFormat="1" ht="12.75" x14ac:dyDescent="0.2">
      <c r="B623" s="46"/>
      <c r="C623" s="39" t="s">
        <v>784</v>
      </c>
      <c r="D623" s="60">
        <v>1</v>
      </c>
      <c r="E623" s="40">
        <f>+E621</f>
        <v>24.15</v>
      </c>
      <c r="F623" s="40" t="s">
        <v>785</v>
      </c>
      <c r="G623" s="40">
        <f>+PI()*((G622*0.0254)^2)/4</f>
        <v>7.296587699003966E-2</v>
      </c>
      <c r="H623" s="40">
        <f>+E623*G623</f>
        <v>1.7621259293094578</v>
      </c>
      <c r="I623" s="40"/>
      <c r="J623" s="41"/>
    </row>
    <row r="624" spans="2:10" s="1" customFormat="1" ht="12.75" x14ac:dyDescent="0.2">
      <c r="B624" s="46"/>
      <c r="C624" s="43" t="s">
        <v>252</v>
      </c>
      <c r="D624" s="60"/>
      <c r="E624" s="40"/>
      <c r="F624" s="40"/>
      <c r="G624" s="40"/>
      <c r="H624" s="40"/>
      <c r="I624" s="40"/>
      <c r="J624" s="41"/>
    </row>
    <row r="625" spans="2:10" s="1" customFormat="1" ht="12.75" x14ac:dyDescent="0.2">
      <c r="B625" s="46"/>
      <c r="C625" s="39" t="s">
        <v>488</v>
      </c>
      <c r="D625" s="40">
        <v>1</v>
      </c>
      <c r="E625" s="40">
        <v>4</v>
      </c>
      <c r="F625" s="40">
        <v>0.8</v>
      </c>
      <c r="G625" s="40">
        <v>1.3</v>
      </c>
      <c r="H625" s="40">
        <f t="shared" ref="H625:H626" si="33">IF(AND(F625=0,G625=0),D625*E625,IF(AND(E625=0,G625=0),D625*F625,IF(AND(E625=0,F625=0),D625*G625,IF(AND(E625=0),D625*F625*G625,IF(AND(F625=0),D625*E625*G625,IF(AND(G625=0),D625*E625*F625,D625*E625*F625*G625))))))</f>
        <v>4.16</v>
      </c>
      <c r="I625" s="40"/>
      <c r="J625" s="41"/>
    </row>
    <row r="626" spans="2:10" s="1" customFormat="1" ht="14.25" customHeight="1" x14ac:dyDescent="0.2">
      <c r="B626" s="46"/>
      <c r="C626" s="39" t="s">
        <v>489</v>
      </c>
      <c r="D626" s="60">
        <v>1</v>
      </c>
      <c r="E626" s="40">
        <v>8</v>
      </c>
      <c r="F626" s="40">
        <v>0.8</v>
      </c>
      <c r="G626" s="40">
        <v>2</v>
      </c>
      <c r="H626" s="40">
        <f t="shared" si="33"/>
        <v>12.8</v>
      </c>
      <c r="I626" s="40"/>
      <c r="J626" s="41"/>
    </row>
    <row r="627" spans="2:10" s="1" customFormat="1" ht="12.75" x14ac:dyDescent="0.2">
      <c r="B627" s="46"/>
      <c r="F627" s="40" t="s">
        <v>786</v>
      </c>
      <c r="G627" s="40">
        <v>14</v>
      </c>
      <c r="I627" s="40"/>
      <c r="J627" s="41"/>
    </row>
    <row r="628" spans="2:10" s="1" customFormat="1" ht="12.75" x14ac:dyDescent="0.2">
      <c r="B628" s="46"/>
      <c r="C628" s="39" t="s">
        <v>784</v>
      </c>
      <c r="D628" s="60">
        <v>1</v>
      </c>
      <c r="E628" s="40">
        <f>+SUM(E625:E626)</f>
        <v>12</v>
      </c>
      <c r="F628" s="40" t="s">
        <v>785</v>
      </c>
      <c r="G628" s="40">
        <f>+PI()*((G627*0.0254)^2)/4</f>
        <v>9.9314665903109542E-2</v>
      </c>
      <c r="H628" s="40">
        <f>+E628*G628</f>
        <v>1.1917759908373144</v>
      </c>
      <c r="I628" s="40"/>
      <c r="J628" s="41"/>
    </row>
    <row r="629" spans="2:10" s="1" customFormat="1" ht="12.75" x14ac:dyDescent="0.2">
      <c r="B629" s="25" t="s">
        <v>823</v>
      </c>
      <c r="C629" s="28" t="s">
        <v>719</v>
      </c>
      <c r="D629" s="60"/>
      <c r="E629" s="40"/>
      <c r="F629" s="40"/>
      <c r="G629" s="40"/>
      <c r="H629" s="40"/>
      <c r="I629" s="40">
        <f>+SUM(H630:H631)</f>
        <v>58.319999999999993</v>
      </c>
      <c r="J629" s="41" t="s">
        <v>45</v>
      </c>
    </row>
    <row r="630" spans="2:10" s="1" customFormat="1" ht="12.75" x14ac:dyDescent="0.2">
      <c r="B630" s="46"/>
      <c r="C630" s="39" t="s">
        <v>444</v>
      </c>
      <c r="D630" s="60">
        <v>1</v>
      </c>
      <c r="E630" s="1">
        <v>3</v>
      </c>
      <c r="F630" s="40">
        <v>0.5</v>
      </c>
      <c r="G630" s="40">
        <f>0.32+0.2</f>
        <v>0.52</v>
      </c>
      <c r="H630" s="40">
        <f>+(F630+G630*2)*E630</f>
        <v>4.62</v>
      </c>
      <c r="I630" s="40"/>
      <c r="J630" s="41"/>
    </row>
    <row r="631" spans="2:10" s="1" customFormat="1" ht="12.75" x14ac:dyDescent="0.2">
      <c r="B631" s="46"/>
      <c r="C631" s="39" t="s">
        <v>442</v>
      </c>
      <c r="D631" s="8">
        <v>1</v>
      </c>
      <c r="E631" s="86">
        <f>3.5+14.4</f>
        <v>17.899999999999999</v>
      </c>
      <c r="F631" s="40">
        <v>0.5</v>
      </c>
      <c r="G631" s="40">
        <f>1+0.25</f>
        <v>1.25</v>
      </c>
      <c r="H631" s="40">
        <f>+(F631+G631*2)*E631</f>
        <v>53.699999999999996</v>
      </c>
      <c r="I631" s="40"/>
      <c r="J631" s="41"/>
    </row>
    <row r="632" spans="2:10" s="1" customFormat="1" ht="12.75" x14ac:dyDescent="0.2">
      <c r="B632" s="25" t="s">
        <v>824</v>
      </c>
      <c r="C632" s="28" t="s">
        <v>718</v>
      </c>
      <c r="D632" s="60"/>
      <c r="E632" s="40"/>
      <c r="F632" s="40"/>
      <c r="G632" s="40"/>
      <c r="H632" s="40"/>
      <c r="I632" s="40">
        <f>+SUM(H634:H645)</f>
        <v>403.77292</v>
      </c>
      <c r="J632" s="41" t="s">
        <v>45</v>
      </c>
    </row>
    <row r="633" spans="2:10" s="1" customFormat="1" ht="12.75" x14ac:dyDescent="0.2">
      <c r="B633" s="46"/>
      <c r="C633" s="43" t="s">
        <v>472</v>
      </c>
      <c r="D633" s="60"/>
      <c r="E633" s="40"/>
      <c r="F633" s="40"/>
      <c r="G633" s="40"/>
      <c r="H633" s="40"/>
      <c r="I633" s="40"/>
      <c r="J633" s="41"/>
    </row>
    <row r="634" spans="2:10" s="1" customFormat="1" ht="12.75" x14ac:dyDescent="0.2">
      <c r="B634" s="46"/>
      <c r="C634" s="39" t="s">
        <v>487</v>
      </c>
      <c r="D634" s="60">
        <v>1</v>
      </c>
      <c r="E634" s="40">
        <f>1.28+2.12+5.96+1.38</f>
        <v>10.739999999999998</v>
      </c>
      <c r="F634" s="40">
        <v>0.5</v>
      </c>
      <c r="G634" s="40">
        <v>0.35</v>
      </c>
      <c r="H634" s="40">
        <f>+(F634+G634*2)*E634</f>
        <v>12.887999999999998</v>
      </c>
      <c r="I634" s="40"/>
      <c r="J634" s="41"/>
    </row>
    <row r="635" spans="2:10" s="1" customFormat="1" ht="12.75" x14ac:dyDescent="0.2">
      <c r="B635" s="46"/>
      <c r="C635" s="39" t="s">
        <v>486</v>
      </c>
      <c r="D635" s="60">
        <v>1</v>
      </c>
      <c r="E635" s="40">
        <v>22.1</v>
      </c>
      <c r="F635" s="40">
        <v>0.5</v>
      </c>
      <c r="G635" s="40">
        <v>0.35</v>
      </c>
      <c r="H635" s="40">
        <f>+(F635+G635*2)*E635</f>
        <v>26.52</v>
      </c>
      <c r="I635" s="40"/>
      <c r="J635" s="41"/>
    </row>
    <row r="636" spans="2:10" s="1" customFormat="1" ht="12.75" x14ac:dyDescent="0.2">
      <c r="B636" s="46"/>
      <c r="C636" s="39"/>
      <c r="D636" s="60"/>
      <c r="E636" s="40"/>
      <c r="F636" s="40"/>
      <c r="G636" s="40"/>
      <c r="H636" s="40"/>
      <c r="I636" s="40"/>
      <c r="J636" s="41"/>
    </row>
    <row r="637" spans="2:10" s="1" customFormat="1" ht="12.75" x14ac:dyDescent="0.2">
      <c r="B637" s="46"/>
      <c r="C637" s="43" t="s">
        <v>251</v>
      </c>
      <c r="D637" s="60"/>
      <c r="E637" s="40"/>
      <c r="F637" s="40"/>
      <c r="G637" s="40"/>
      <c r="H637" s="40"/>
      <c r="I637" s="40"/>
      <c r="J637" s="41"/>
    </row>
    <row r="638" spans="2:10" s="1" customFormat="1" ht="12.75" x14ac:dyDescent="0.2">
      <c r="B638" s="46"/>
      <c r="C638" s="39" t="s">
        <v>485</v>
      </c>
      <c r="D638" s="40">
        <v>1</v>
      </c>
      <c r="E638" s="40">
        <v>24.15</v>
      </c>
      <c r="F638" s="40">
        <f>12*0.0254+0.4</f>
        <v>0.70479999999999998</v>
      </c>
      <c r="G638" s="40">
        <v>0.68</v>
      </c>
      <c r="H638" s="40">
        <f>+(F638+G638*2)*E638</f>
        <v>49.864919999999998</v>
      </c>
      <c r="I638" s="40"/>
      <c r="J638" s="41"/>
    </row>
    <row r="639" spans="2:10" s="1" customFormat="1" ht="12.75" x14ac:dyDescent="0.2">
      <c r="B639" s="46"/>
      <c r="C639" s="39"/>
      <c r="D639" s="60"/>
      <c r="E639" s="40"/>
      <c r="F639" s="40"/>
      <c r="G639" s="40"/>
      <c r="H639" s="40"/>
      <c r="I639" s="40"/>
      <c r="J639" s="41"/>
    </row>
    <row r="640" spans="2:10" s="1" customFormat="1" ht="12.75" x14ac:dyDescent="0.2">
      <c r="B640" s="46"/>
      <c r="C640" s="43" t="s">
        <v>252</v>
      </c>
      <c r="D640" s="60"/>
      <c r="E640" s="40"/>
      <c r="F640" s="40"/>
      <c r="G640" s="40"/>
      <c r="H640" s="40"/>
      <c r="I640" s="40"/>
      <c r="J640" s="41"/>
    </row>
    <row r="641" spans="2:10" s="1" customFormat="1" ht="12.75" x14ac:dyDescent="0.2">
      <c r="B641" s="46"/>
      <c r="C641" s="39" t="s">
        <v>488</v>
      </c>
      <c r="D641" s="40">
        <v>1</v>
      </c>
      <c r="E641" s="40">
        <v>4</v>
      </c>
      <c r="F641" s="40">
        <v>0.8</v>
      </c>
      <c r="G641" s="40">
        <v>1.3</v>
      </c>
      <c r="H641" s="40">
        <f>+(F641+G641*2)*E641</f>
        <v>13.600000000000001</v>
      </c>
      <c r="I641" s="40"/>
      <c r="J641" s="41"/>
    </row>
    <row r="642" spans="2:10" s="1" customFormat="1" ht="14.25" customHeight="1" x14ac:dyDescent="0.2">
      <c r="B642" s="46"/>
      <c r="C642" s="39" t="s">
        <v>489</v>
      </c>
      <c r="D642" s="60">
        <v>1</v>
      </c>
      <c r="E642" s="40">
        <v>8</v>
      </c>
      <c r="F642" s="40">
        <v>0.8</v>
      </c>
      <c r="G642" s="40">
        <v>2</v>
      </c>
      <c r="H642" s="40">
        <f>+(F642+G642*2)*E642</f>
        <v>38.4</v>
      </c>
      <c r="I642" s="40"/>
      <c r="J642" s="41"/>
    </row>
    <row r="643" spans="2:10" s="1" customFormat="1" ht="14.25" customHeight="1" x14ac:dyDescent="0.2">
      <c r="B643" s="46"/>
      <c r="C643" s="59"/>
      <c r="D643" s="60"/>
      <c r="E643" s="40"/>
      <c r="F643" s="40"/>
      <c r="G643" s="40"/>
      <c r="H643" s="40"/>
      <c r="I643" s="40"/>
      <c r="J643" s="41"/>
    </row>
    <row r="644" spans="2:10" s="1" customFormat="1" ht="14.25" customHeight="1" x14ac:dyDescent="0.2">
      <c r="B644" s="46"/>
      <c r="C644" s="28" t="s">
        <v>706</v>
      </c>
      <c r="D644" s="60"/>
      <c r="E644" s="40"/>
      <c r="F644" s="40"/>
      <c r="G644" s="40"/>
      <c r="H644" s="40"/>
      <c r="I644" s="40"/>
      <c r="J644" s="41"/>
    </row>
    <row r="645" spans="2:10" s="1" customFormat="1" ht="14.25" customHeight="1" x14ac:dyDescent="0.2">
      <c r="B645" s="46"/>
      <c r="C645" s="39" t="s">
        <v>708</v>
      </c>
      <c r="D645" s="60">
        <v>1</v>
      </c>
      <c r="E645" s="40">
        <v>125</v>
      </c>
      <c r="F645" s="40">
        <v>0.9</v>
      </c>
      <c r="G645" s="40">
        <v>0.6</v>
      </c>
      <c r="H645" s="40">
        <f>+(F645+G645*2)*E645</f>
        <v>262.5</v>
      </c>
      <c r="I645" s="40"/>
      <c r="J645" s="41"/>
    </row>
    <row r="646" spans="2:10" s="1" customFormat="1" ht="12.75" x14ac:dyDescent="0.2">
      <c r="B646" s="25" t="s">
        <v>825</v>
      </c>
      <c r="C646" s="28" t="s">
        <v>794</v>
      </c>
      <c r="D646" s="60"/>
      <c r="E646" s="40"/>
      <c r="F646" s="40" t="s">
        <v>795</v>
      </c>
      <c r="G646" s="40"/>
      <c r="H646" s="40"/>
      <c r="I646" s="40">
        <f>+SUM(H647:H657)</f>
        <v>645.54069547132849</v>
      </c>
      <c r="J646" s="41" t="s">
        <v>12</v>
      </c>
    </row>
    <row r="647" spans="2:10" s="1" customFormat="1" ht="12.75" x14ac:dyDescent="0.2">
      <c r="B647" s="380"/>
      <c r="C647" s="39" t="s">
        <v>456</v>
      </c>
      <c r="D647" s="60">
        <v>6</v>
      </c>
      <c r="E647" s="40">
        <f>9.5+1.2</f>
        <v>10.7</v>
      </c>
      <c r="F647" s="40">
        <v>1.64</v>
      </c>
      <c r="G647" s="40"/>
      <c r="H647" s="40">
        <f t="shared" ref="H647:H657" si="34">IF(AND(F647=0,G647=0),D647*E647,IF(AND(E647=0,G647=0),D647*F647,IF(AND(E647=0,F647=0),D647*G647,IF(AND(E647=0),D647*F647*G647,IF(AND(F647=0),D647*E647*G647,IF(AND(G647=0),D647*E647*F647,D647*E647*F647*G647))))))</f>
        <v>105.28799999999997</v>
      </c>
      <c r="I647" s="40"/>
      <c r="J647" s="41"/>
    </row>
    <row r="648" spans="2:10" s="1" customFormat="1" ht="12.75" x14ac:dyDescent="0.2">
      <c r="B648" s="380"/>
      <c r="C648" s="39" t="s">
        <v>531</v>
      </c>
      <c r="D648" s="60">
        <v>1</v>
      </c>
      <c r="E648" s="89">
        <v>10.7</v>
      </c>
      <c r="F648" s="40">
        <v>1.64</v>
      </c>
      <c r="G648" s="40"/>
      <c r="H648" s="40">
        <f t="shared" si="34"/>
        <v>17.547999999999998</v>
      </c>
      <c r="I648" s="40"/>
      <c r="J648" s="41"/>
    </row>
    <row r="649" spans="2:10" s="1" customFormat="1" ht="12.75" x14ac:dyDescent="0.2">
      <c r="B649" s="380"/>
      <c r="C649" s="59" t="s">
        <v>658</v>
      </c>
      <c r="D649" s="60">
        <v>1</v>
      </c>
      <c r="E649" s="40">
        <v>2.1</v>
      </c>
      <c r="F649" s="40">
        <v>1.64</v>
      </c>
      <c r="G649" s="40"/>
      <c r="H649" s="40">
        <f t="shared" si="34"/>
        <v>3.444</v>
      </c>
      <c r="I649" s="40"/>
      <c r="J649" s="41"/>
    </row>
    <row r="650" spans="2:10" s="1" customFormat="1" ht="12.75" x14ac:dyDescent="0.2">
      <c r="B650" s="380"/>
      <c r="C650" s="43" t="s">
        <v>472</v>
      </c>
      <c r="D650" s="60"/>
      <c r="E650" s="40"/>
      <c r="G650" s="40"/>
      <c r="H650" s="40"/>
      <c r="I650" s="40"/>
      <c r="J650" s="41"/>
    </row>
    <row r="651" spans="2:10" s="1" customFormat="1" ht="12.75" x14ac:dyDescent="0.2">
      <c r="B651" s="380"/>
      <c r="C651" s="39" t="s">
        <v>487</v>
      </c>
      <c r="D651" s="60">
        <v>1</v>
      </c>
      <c r="E651" s="40">
        <f>1.28+2.12+5.96+1.38</f>
        <v>10.739999999999998</v>
      </c>
      <c r="F651" s="40">
        <v>1.64</v>
      </c>
      <c r="G651" s="40"/>
      <c r="H651" s="40">
        <f t="shared" si="34"/>
        <v>17.613599999999998</v>
      </c>
      <c r="I651" s="40"/>
      <c r="J651" s="41"/>
    </row>
    <row r="652" spans="2:10" s="1" customFormat="1" ht="12.75" x14ac:dyDescent="0.2">
      <c r="B652" s="380"/>
      <c r="C652" s="39" t="s">
        <v>486</v>
      </c>
      <c r="D652" s="60">
        <v>1</v>
      </c>
      <c r="E652" s="40">
        <v>22.1</v>
      </c>
      <c r="F652" s="40">
        <v>1.64</v>
      </c>
      <c r="G652" s="40"/>
      <c r="H652" s="40">
        <f t="shared" si="34"/>
        <v>36.244</v>
      </c>
      <c r="I652" s="40"/>
      <c r="J652" s="41"/>
    </row>
    <row r="653" spans="2:10" s="1" customFormat="1" ht="12.75" x14ac:dyDescent="0.2">
      <c r="B653" s="380"/>
      <c r="C653" s="43" t="s">
        <v>251</v>
      </c>
      <c r="D653" s="60"/>
      <c r="E653" s="40"/>
      <c r="F653" s="40"/>
      <c r="G653" s="40"/>
      <c r="H653" s="40">
        <f t="shared" si="34"/>
        <v>0</v>
      </c>
      <c r="I653" s="40"/>
      <c r="J653" s="41"/>
    </row>
    <row r="654" spans="2:10" s="1" customFormat="1" ht="12.75" x14ac:dyDescent="0.2">
      <c r="B654" s="380"/>
      <c r="C654" s="39" t="s">
        <v>485</v>
      </c>
      <c r="D654" s="40">
        <v>1</v>
      </c>
      <c r="E654" s="40">
        <v>24.15</v>
      </c>
      <c r="F654" s="40">
        <f>68/(5.77)</f>
        <v>11.785095320623917</v>
      </c>
      <c r="G654" s="40"/>
      <c r="H654" s="40">
        <f t="shared" si="34"/>
        <v>284.6100519930676</v>
      </c>
      <c r="I654" s="40"/>
      <c r="J654" s="41"/>
    </row>
    <row r="655" spans="2:10" s="1" customFormat="1" ht="12.75" x14ac:dyDescent="0.2">
      <c r="B655" s="380"/>
      <c r="C655" s="43" t="s">
        <v>252</v>
      </c>
      <c r="D655" s="60"/>
      <c r="E655" s="40"/>
      <c r="F655" s="40"/>
      <c r="G655" s="40"/>
      <c r="H655" s="40"/>
      <c r="I655" s="40"/>
      <c r="J655" s="41"/>
    </row>
    <row r="656" spans="2:10" s="1" customFormat="1" ht="12.75" x14ac:dyDescent="0.2">
      <c r="B656" s="380"/>
      <c r="C656" s="39" t="s">
        <v>488</v>
      </c>
      <c r="D656" s="40">
        <v>1</v>
      </c>
      <c r="E656" s="40">
        <v>4</v>
      </c>
      <c r="F656" s="40">
        <f>86.63/5.75</f>
        <v>15.066086956521739</v>
      </c>
      <c r="G656" s="40"/>
      <c r="H656" s="40">
        <f t="shared" si="34"/>
        <v>60.264347826086954</v>
      </c>
      <c r="I656" s="40"/>
      <c r="J656" s="41"/>
    </row>
    <row r="657" spans="2:10" s="1" customFormat="1" ht="12.75" x14ac:dyDescent="0.2">
      <c r="B657" s="380"/>
      <c r="C657" s="39" t="s">
        <v>489</v>
      </c>
      <c r="D657" s="60">
        <v>1</v>
      </c>
      <c r="E657" s="40">
        <v>8</v>
      </c>
      <c r="F657" s="40">
        <f>86.63/5.75</f>
        <v>15.066086956521739</v>
      </c>
      <c r="G657" s="40"/>
      <c r="H657" s="40">
        <f t="shared" si="34"/>
        <v>120.52869565217391</v>
      </c>
      <c r="I657" s="40"/>
      <c r="J657" s="41"/>
    </row>
    <row r="658" spans="2:10" s="1" customFormat="1" ht="12.75" x14ac:dyDescent="0.2">
      <c r="B658" s="25" t="s">
        <v>899</v>
      </c>
      <c r="C658" s="28" t="s">
        <v>625</v>
      </c>
      <c r="D658" s="60"/>
      <c r="E658" s="40"/>
      <c r="F658" s="40"/>
      <c r="G658" s="40"/>
      <c r="H658" s="40"/>
      <c r="I658" s="40">
        <f>+SUM(H659:H678)</f>
        <v>28.848000000000003</v>
      </c>
      <c r="J658" s="41" t="s">
        <v>4</v>
      </c>
    </row>
    <row r="659" spans="2:10" s="1" customFormat="1" ht="14.25" customHeight="1" x14ac:dyDescent="0.2">
      <c r="B659" s="46"/>
      <c r="C659" s="39" t="s">
        <v>444</v>
      </c>
      <c r="D659" s="60">
        <v>2</v>
      </c>
      <c r="E659" s="1">
        <v>3</v>
      </c>
      <c r="F659" s="40">
        <v>0.1</v>
      </c>
      <c r="G659" s="40">
        <v>0.32</v>
      </c>
      <c r="H659" s="40">
        <f t="shared" ref="H659:H678" si="35">IF(AND(F659=0,G659=0),D659*E659,IF(AND(E659=0,G659=0),D659*F659,IF(AND(E659=0,F659=0),D659*G659,IF(AND(E659=0),D659*F659*G659,IF(AND(F659=0),D659*E659*G659,IF(AND(G659=0),D659*E659*F659,D659*E659*F659*G659))))))</f>
        <v>0.19200000000000003</v>
      </c>
      <c r="I659" s="40"/>
      <c r="J659" s="41"/>
    </row>
    <row r="660" spans="2:10" s="1" customFormat="1" ht="14.25" customHeight="1" x14ac:dyDescent="0.2">
      <c r="B660" s="46"/>
      <c r="C660" s="39"/>
      <c r="D660" s="23">
        <v>1</v>
      </c>
      <c r="E660" s="1">
        <v>3</v>
      </c>
      <c r="F660" s="40">
        <v>0.5</v>
      </c>
      <c r="G660" s="40">
        <v>0.1</v>
      </c>
      <c r="H660" s="40">
        <f t="shared" si="35"/>
        <v>0.15000000000000002</v>
      </c>
      <c r="I660" s="40"/>
      <c r="J660" s="41"/>
    </row>
    <row r="661" spans="2:10" s="1" customFormat="1" ht="14.25" customHeight="1" x14ac:dyDescent="0.2">
      <c r="B661" s="46"/>
      <c r="C661" s="39" t="s">
        <v>442</v>
      </c>
      <c r="D661" s="8">
        <v>2</v>
      </c>
      <c r="E661" s="86">
        <f>3.5+14.4</f>
        <v>17.899999999999999</v>
      </c>
      <c r="F661" s="40">
        <v>0.15</v>
      </c>
      <c r="G661" s="40">
        <v>1</v>
      </c>
      <c r="H661" s="40">
        <f t="shared" si="35"/>
        <v>5.3699999999999992</v>
      </c>
      <c r="I661" s="40"/>
      <c r="J661" s="41"/>
    </row>
    <row r="662" spans="2:10" s="1" customFormat="1" ht="14.25" customHeight="1" x14ac:dyDescent="0.2">
      <c r="B662" s="46"/>
      <c r="C662" s="39"/>
      <c r="D662" s="8">
        <v>1</v>
      </c>
      <c r="E662" s="86">
        <v>179</v>
      </c>
      <c r="F662" s="40">
        <v>0.5</v>
      </c>
      <c r="G662" s="40">
        <v>0.15</v>
      </c>
      <c r="H662" s="40">
        <f t="shared" si="35"/>
        <v>13.424999999999999</v>
      </c>
      <c r="I662" s="40"/>
      <c r="J662" s="41"/>
    </row>
    <row r="663" spans="2:10" s="1" customFormat="1" ht="14.25" customHeight="1" x14ac:dyDescent="0.2">
      <c r="B663" s="46"/>
      <c r="C663" s="39" t="s">
        <v>393</v>
      </c>
      <c r="D663" s="40">
        <v>2</v>
      </c>
      <c r="E663" s="40">
        <v>1.2</v>
      </c>
      <c r="F663" s="40">
        <v>0.15</v>
      </c>
      <c r="G663" s="40">
        <v>0.97</v>
      </c>
      <c r="H663" s="40">
        <f t="shared" si="35"/>
        <v>0.34919999999999995</v>
      </c>
      <c r="I663" s="40"/>
      <c r="J663" s="41"/>
    </row>
    <row r="664" spans="2:10" s="1" customFormat="1" ht="14.25" customHeight="1" x14ac:dyDescent="0.2">
      <c r="B664" s="46"/>
      <c r="C664" s="39"/>
      <c r="D664" s="40">
        <v>2</v>
      </c>
      <c r="E664" s="40">
        <v>0.6</v>
      </c>
      <c r="F664" s="40">
        <v>0.15</v>
      </c>
      <c r="G664" s="40">
        <v>0.97</v>
      </c>
      <c r="H664" s="40">
        <f t="shared" si="35"/>
        <v>0.17459999999999998</v>
      </c>
      <c r="I664" s="40"/>
      <c r="J664" s="41"/>
    </row>
    <row r="665" spans="2:10" s="1" customFormat="1" ht="14.25" customHeight="1" x14ac:dyDescent="0.2">
      <c r="B665" s="46"/>
      <c r="C665" s="39" t="s">
        <v>412</v>
      </c>
      <c r="D665" s="40">
        <v>2</v>
      </c>
      <c r="E665" s="40">
        <v>1.2</v>
      </c>
      <c r="F665" s="40">
        <v>0.15</v>
      </c>
      <c r="G665" s="40">
        <v>1.22</v>
      </c>
      <c r="H665" s="40">
        <f t="shared" si="35"/>
        <v>0.43919999999999998</v>
      </c>
      <c r="I665" s="40"/>
      <c r="J665" s="41"/>
    </row>
    <row r="666" spans="2:10" s="1" customFormat="1" ht="14.25" customHeight="1" x14ac:dyDescent="0.2">
      <c r="B666" s="46"/>
      <c r="C666" s="39"/>
      <c r="D666" s="40">
        <v>2</v>
      </c>
      <c r="E666" s="40">
        <v>0.6</v>
      </c>
      <c r="F666" s="40">
        <v>0.15</v>
      </c>
      <c r="G666" s="40">
        <v>1.22</v>
      </c>
      <c r="H666" s="40">
        <f t="shared" si="35"/>
        <v>0.21959999999999999</v>
      </c>
      <c r="I666" s="40"/>
      <c r="J666" s="41"/>
    </row>
    <row r="667" spans="2:10" s="1" customFormat="1" ht="14.25" customHeight="1" x14ac:dyDescent="0.2">
      <c r="B667" s="46"/>
      <c r="C667" s="39" t="s">
        <v>381</v>
      </c>
      <c r="D667" s="40">
        <v>2</v>
      </c>
      <c r="E667" s="40">
        <v>1.2</v>
      </c>
      <c r="F667" s="40">
        <v>0.15</v>
      </c>
      <c r="G667" s="40">
        <v>0.76</v>
      </c>
      <c r="H667" s="40">
        <f t="shared" si="35"/>
        <v>0.27360000000000001</v>
      </c>
      <c r="I667" s="40"/>
      <c r="J667" s="41"/>
    </row>
    <row r="668" spans="2:10" s="1" customFormat="1" ht="14.25" customHeight="1" x14ac:dyDescent="0.2">
      <c r="B668" s="46"/>
      <c r="C668" s="39"/>
      <c r="D668" s="40">
        <v>2</v>
      </c>
      <c r="E668" s="40">
        <v>0.6</v>
      </c>
      <c r="F668" s="40">
        <v>0.15</v>
      </c>
      <c r="G668" s="40">
        <v>0.76</v>
      </c>
      <c r="H668" s="40">
        <f t="shared" si="35"/>
        <v>0.1368</v>
      </c>
      <c r="I668" s="40"/>
      <c r="J668" s="41"/>
    </row>
    <row r="669" spans="2:10" s="1" customFormat="1" ht="14.25" customHeight="1" x14ac:dyDescent="0.2">
      <c r="B669" s="46"/>
      <c r="C669" s="39" t="s">
        <v>714</v>
      </c>
      <c r="D669" s="60">
        <v>2</v>
      </c>
      <c r="E669" s="40">
        <v>0.9</v>
      </c>
      <c r="F669" s="40">
        <v>0.15</v>
      </c>
      <c r="G669" s="40">
        <v>0.85</v>
      </c>
      <c r="H669" s="40">
        <f t="shared" si="35"/>
        <v>0.22950000000000001</v>
      </c>
      <c r="I669" s="40"/>
      <c r="J669" s="41"/>
    </row>
    <row r="670" spans="2:10" s="1" customFormat="1" ht="14.25" customHeight="1" x14ac:dyDescent="0.2">
      <c r="B670" s="46"/>
      <c r="C670" s="39"/>
      <c r="D670" s="60">
        <v>2</v>
      </c>
      <c r="E670" s="40">
        <v>0.6</v>
      </c>
      <c r="F670" s="40">
        <v>0.15</v>
      </c>
      <c r="G670" s="40">
        <v>0.85</v>
      </c>
      <c r="H670" s="40">
        <f t="shared" si="35"/>
        <v>0.153</v>
      </c>
      <c r="I670" s="40"/>
      <c r="J670" s="41"/>
    </row>
    <row r="671" spans="2:10" s="1" customFormat="1" ht="14.25" customHeight="1" x14ac:dyDescent="0.2">
      <c r="B671" s="46"/>
      <c r="C671" s="39" t="s">
        <v>414</v>
      </c>
      <c r="D671" s="60">
        <v>2</v>
      </c>
      <c r="E671" s="40">
        <v>0.9</v>
      </c>
      <c r="F671" s="40">
        <v>0.15</v>
      </c>
      <c r="G671" s="40">
        <v>0.85</v>
      </c>
      <c r="H671" s="40">
        <f t="shared" si="35"/>
        <v>0.22950000000000001</v>
      </c>
      <c r="I671" s="40"/>
      <c r="J671" s="41"/>
    </row>
    <row r="672" spans="2:10" s="1" customFormat="1" ht="14.25" customHeight="1" x14ac:dyDescent="0.2">
      <c r="B672" s="46"/>
      <c r="C672" s="39"/>
      <c r="D672" s="60">
        <v>2</v>
      </c>
      <c r="E672" s="40">
        <v>0.6</v>
      </c>
      <c r="F672" s="40">
        <v>0.15</v>
      </c>
      <c r="G672" s="40">
        <v>0.85</v>
      </c>
      <c r="H672" s="40">
        <f t="shared" si="35"/>
        <v>0.153</v>
      </c>
      <c r="I672" s="40"/>
      <c r="J672" s="41"/>
    </row>
    <row r="673" spans="2:10" s="1" customFormat="1" ht="14.25" customHeight="1" x14ac:dyDescent="0.2">
      <c r="B673" s="46"/>
      <c r="C673" s="39" t="s">
        <v>648</v>
      </c>
      <c r="D673" s="40">
        <v>10</v>
      </c>
      <c r="E673" s="40">
        <v>0.9</v>
      </c>
      <c r="F673" s="40">
        <v>0.15</v>
      </c>
      <c r="G673" s="40">
        <v>0.85</v>
      </c>
      <c r="H673" s="40">
        <f t="shared" si="35"/>
        <v>1.1475</v>
      </c>
      <c r="I673" s="40"/>
      <c r="J673" s="41"/>
    </row>
    <row r="674" spans="2:10" s="1" customFormat="1" ht="14.25" customHeight="1" x14ac:dyDescent="0.2">
      <c r="B674" s="46"/>
      <c r="C674" s="39"/>
      <c r="D674" s="40">
        <v>2</v>
      </c>
      <c r="E674" s="40">
        <v>0.6</v>
      </c>
      <c r="F674" s="40">
        <v>0.15</v>
      </c>
      <c r="G674" s="40">
        <v>0.85</v>
      </c>
      <c r="H674" s="40">
        <f t="shared" si="35"/>
        <v>0.153</v>
      </c>
      <c r="I674" s="40"/>
      <c r="J674" s="41"/>
    </row>
    <row r="675" spans="2:10" s="1" customFormat="1" ht="14.25" customHeight="1" x14ac:dyDescent="0.2">
      <c r="B675" s="46"/>
      <c r="C675" s="39" t="s">
        <v>691</v>
      </c>
      <c r="D675" s="40">
        <v>10</v>
      </c>
      <c r="E675" s="40">
        <v>0.9</v>
      </c>
      <c r="F675" s="40">
        <v>0.15</v>
      </c>
      <c r="G675" s="40">
        <v>0.85</v>
      </c>
      <c r="H675" s="40">
        <f t="shared" si="35"/>
        <v>1.1475</v>
      </c>
      <c r="I675" s="40"/>
      <c r="J675" s="41"/>
    </row>
    <row r="676" spans="2:10" s="1" customFormat="1" ht="14.25" customHeight="1" x14ac:dyDescent="0.2">
      <c r="B676" s="46"/>
      <c r="C676" s="39"/>
      <c r="D676" s="40">
        <v>2</v>
      </c>
      <c r="E676" s="40">
        <v>0.6</v>
      </c>
      <c r="F676" s="40">
        <v>0.15</v>
      </c>
      <c r="G676" s="40">
        <v>0.85</v>
      </c>
      <c r="H676" s="40">
        <f t="shared" si="35"/>
        <v>0.153</v>
      </c>
      <c r="I676" s="40"/>
      <c r="J676" s="41"/>
    </row>
    <row r="677" spans="2:10" s="1" customFormat="1" ht="14.25" customHeight="1" x14ac:dyDescent="0.2">
      <c r="B677" s="46"/>
      <c r="C677" s="369" t="s">
        <v>377</v>
      </c>
      <c r="D677" s="40">
        <v>2</v>
      </c>
      <c r="E677" s="40">
        <v>5.9</v>
      </c>
      <c r="F677" s="40">
        <v>0.2</v>
      </c>
      <c r="G677" s="40">
        <v>1.65</v>
      </c>
      <c r="H677" s="40">
        <f t="shared" si="35"/>
        <v>3.8940000000000001</v>
      </c>
      <c r="I677" s="40"/>
      <c r="J677" s="41"/>
    </row>
    <row r="678" spans="2:10" s="1" customFormat="1" ht="14.25" customHeight="1" x14ac:dyDescent="0.2">
      <c r="B678" s="46"/>
      <c r="C678" s="59"/>
      <c r="D678" s="60">
        <v>2</v>
      </c>
      <c r="E678" s="40">
        <v>1.3</v>
      </c>
      <c r="F678" s="40">
        <v>0.2</v>
      </c>
      <c r="G678" s="40">
        <v>1.65</v>
      </c>
      <c r="H678" s="40">
        <f t="shared" si="35"/>
        <v>0.85799999999999998</v>
      </c>
      <c r="I678" s="40"/>
      <c r="J678" s="41"/>
    </row>
    <row r="679" spans="2:10" s="1" customFormat="1" ht="12.75" x14ac:dyDescent="0.2">
      <c r="B679" s="25" t="s">
        <v>822</v>
      </c>
      <c r="C679" s="1" t="s">
        <v>738</v>
      </c>
      <c r="D679" s="60"/>
      <c r="E679" s="40"/>
      <c r="F679" s="40"/>
      <c r="G679" s="40"/>
      <c r="H679" s="40"/>
      <c r="I679" s="40">
        <f>+SUM(H681)</f>
        <v>96</v>
      </c>
      <c r="J679" s="41" t="s">
        <v>4</v>
      </c>
    </row>
    <row r="680" spans="2:10" s="1" customFormat="1" ht="12.75" x14ac:dyDescent="0.2">
      <c r="B680" s="46"/>
      <c r="C680" s="43" t="s">
        <v>468</v>
      </c>
      <c r="D680" s="60"/>
      <c r="E680" s="40"/>
      <c r="F680" s="40"/>
      <c r="G680" s="40"/>
      <c r="H680" s="40"/>
      <c r="J680" s="41"/>
    </row>
    <row r="681" spans="2:10" s="1" customFormat="1" ht="12.75" x14ac:dyDescent="0.2">
      <c r="B681" s="46"/>
      <c r="C681" s="39" t="s">
        <v>494</v>
      </c>
      <c r="D681" s="1">
        <v>1</v>
      </c>
      <c r="E681" s="40">
        <v>24</v>
      </c>
      <c r="F681" s="40">
        <v>1</v>
      </c>
      <c r="G681" s="40">
        <v>4</v>
      </c>
      <c r="H681" s="40">
        <f>IF(AND(F681=0,G681=0),D681*E681,IF(AND(E681=0,G681=0),D681*F681,IF(AND(E681=0,F681=0),D681*G681,IF(AND(E681=0),D681*F681*G681,IF(AND(F681=0),D681*E681*G681,IF(AND(G681=0),D681*E681*F681,D681*E681*F681*G681))))))</f>
        <v>96</v>
      </c>
      <c r="I681" s="40"/>
      <c r="J681" s="41"/>
    </row>
    <row r="682" spans="2:10" s="1" customFormat="1" ht="12.75" x14ac:dyDescent="0.2">
      <c r="B682" s="25" t="s">
        <v>900</v>
      </c>
      <c r="C682" s="28" t="s">
        <v>789</v>
      </c>
      <c r="D682" s="60" t="s">
        <v>791</v>
      </c>
      <c r="E682" s="40"/>
      <c r="F682" s="40"/>
      <c r="G682" s="40"/>
      <c r="H682" s="40"/>
      <c r="I682" s="40">
        <f>+SUM(H683:H701)</f>
        <v>56.844580478336042</v>
      </c>
      <c r="J682" s="41" t="s">
        <v>4</v>
      </c>
    </row>
    <row r="683" spans="2:10" s="1" customFormat="1" ht="12.75" x14ac:dyDescent="0.2">
      <c r="B683" s="25"/>
      <c r="C683" s="39" t="s">
        <v>444</v>
      </c>
      <c r="D683" s="60">
        <v>1.25</v>
      </c>
      <c r="E683" s="1">
        <v>3</v>
      </c>
      <c r="F683" s="40">
        <v>0.5</v>
      </c>
      <c r="G683" s="40">
        <f>0.32+0.2</f>
        <v>0.52</v>
      </c>
      <c r="H683" s="40">
        <f>IF(AND(F683=0,G683=0),D683*E683,IF(AND(E683=0,G683=0),D683*F683,IF(AND(E683=0,F683=0),D683*G683,IF(AND(E683=0),D683*F683*G683,IF(AND(F683=0),D683*E683*G683,IF(AND(G683=0),D683*E683*F683,D683*E683*F683*G683))))))</f>
        <v>0.97500000000000009</v>
      </c>
      <c r="I683" s="40"/>
      <c r="J683" s="41"/>
    </row>
    <row r="684" spans="2:10" s="1" customFormat="1" ht="12.75" x14ac:dyDescent="0.2">
      <c r="B684" s="107"/>
      <c r="C684" s="39" t="s">
        <v>442</v>
      </c>
      <c r="D684" s="60">
        <v>1.25</v>
      </c>
      <c r="E684" s="86">
        <f>3.5+14.4</f>
        <v>17.899999999999999</v>
      </c>
      <c r="F684" s="40">
        <v>0.5</v>
      </c>
      <c r="G684" s="40">
        <f>1+0.25</f>
        <v>1.25</v>
      </c>
      <c r="H684" s="40">
        <f>IF(AND(F684=0,G684=0),D684*E684,IF(AND(E684=0,G684=0),D684*F684,IF(AND(E684=0,F684=0),D684*G684,IF(AND(E684=0),D684*F684*G684,IF(AND(F684=0),D684*E684*G684,IF(AND(G684=0),D684*E684*F684,D684*E684*F684*G684))))))</f>
        <v>13.984375</v>
      </c>
      <c r="I684" s="40"/>
      <c r="J684" s="41"/>
    </row>
    <row r="685" spans="2:10" s="1" customFormat="1" ht="12.75" x14ac:dyDescent="0.2">
      <c r="B685" s="107"/>
      <c r="C685" s="39" t="s">
        <v>393</v>
      </c>
      <c r="D685" s="60">
        <v>1.25</v>
      </c>
      <c r="E685" s="40">
        <v>0.9</v>
      </c>
      <c r="F685" s="40">
        <v>1.2</v>
      </c>
      <c r="G685" s="40">
        <f>0.92+0.25</f>
        <v>1.17</v>
      </c>
      <c r="H685" s="40">
        <f>IF(AND(F685=0,G685=0),D685*E685,IF(AND(E685=0,G685=0),D685*F685,IF(AND(E685=0,F685=0),D685*G685,IF(AND(E685=0),D685*F685*G685,IF(AND(F685=0),D685*E685*G685,IF(AND(G685=0),D685*E685*F685,D685*E685*F685*G685))))))</f>
        <v>1.5794999999999997</v>
      </c>
      <c r="I685" s="40"/>
      <c r="J685" s="41"/>
    </row>
    <row r="686" spans="2:10" s="1" customFormat="1" ht="12.75" x14ac:dyDescent="0.2">
      <c r="B686" s="107"/>
      <c r="C686" s="39" t="s">
        <v>412</v>
      </c>
      <c r="D686" s="60">
        <v>1.25</v>
      </c>
      <c r="E686" s="40">
        <v>0.9</v>
      </c>
      <c r="F686" s="40">
        <v>1.2</v>
      </c>
      <c r="G686" s="40">
        <f>1.07+0.25</f>
        <v>1.32</v>
      </c>
      <c r="H686" s="40">
        <f>IF(AND(F686=0,G686=0),D686*E686,IF(AND(E686=0,G686=0),D686*F686,IF(AND(E686=0,F686=0),D686*G686,IF(AND(E686=0),D686*F686*G686,IF(AND(F686=0),D686*E686*G686,IF(AND(G686=0),D686*E686*F686,D686*E686*F686*G686))))))</f>
        <v>1.7819999999999998</v>
      </c>
      <c r="I686" s="40"/>
      <c r="J686" s="41"/>
    </row>
    <row r="687" spans="2:10" s="1" customFormat="1" ht="12.75" x14ac:dyDescent="0.2">
      <c r="B687" s="107"/>
      <c r="C687" s="39" t="s">
        <v>381</v>
      </c>
      <c r="D687" s="60">
        <v>1.25</v>
      </c>
      <c r="E687" s="40">
        <v>0.9</v>
      </c>
      <c r="F687" s="40">
        <v>1.2</v>
      </c>
      <c r="G687" s="40">
        <f>0.61+0.25</f>
        <v>0.86</v>
      </c>
      <c r="H687" s="40">
        <f>IF(AND(F687=0,G687=0),D687*E687,IF(AND(E687=0,G687=0),D687*F687,IF(AND(E687=0,F687=0),D687*G687,IF(AND(E687=0),D687*F687*G687,IF(AND(F687=0),D687*E687*G687,IF(AND(G687=0),D687*E687*F687,D687*E687*F687*G687))))))</f>
        <v>1.1609999999999998</v>
      </c>
      <c r="I687" s="40"/>
      <c r="J687" s="41"/>
    </row>
    <row r="688" spans="2:10" s="1" customFormat="1" ht="12.75" x14ac:dyDescent="0.2">
      <c r="B688" s="107"/>
      <c r="C688" s="39" t="s">
        <v>714</v>
      </c>
      <c r="D688" s="60">
        <v>1.25</v>
      </c>
      <c r="E688" s="40">
        <v>0.9</v>
      </c>
      <c r="F688" s="40">
        <v>0.9</v>
      </c>
      <c r="G688" s="40">
        <f>0.7+0.25</f>
        <v>0.95</v>
      </c>
      <c r="H688" s="40">
        <f t="shared" ref="H688:H692" si="36">IF(AND(F688=0,G688=0),D688*E688,IF(AND(E688=0,G688=0),D688*F688,IF(AND(E688=0,F688=0),D688*G688,IF(AND(E688=0),D688*F688*G688,IF(AND(F688=0),D688*E688*G688,IF(AND(G688=0),D688*E688*F688,D688*E688*F688*G688))))))</f>
        <v>0.96187499999999992</v>
      </c>
      <c r="I688" s="40"/>
      <c r="J688" s="41"/>
    </row>
    <row r="689" spans="2:10" s="1" customFormat="1" ht="12.75" x14ac:dyDescent="0.2">
      <c r="B689" s="107"/>
      <c r="C689" s="39" t="s">
        <v>414</v>
      </c>
      <c r="D689" s="60">
        <v>1.25</v>
      </c>
      <c r="E689" s="40">
        <v>0.9</v>
      </c>
      <c r="F689" s="40">
        <v>0.9</v>
      </c>
      <c r="G689" s="40">
        <f>0.7+0.25</f>
        <v>0.95</v>
      </c>
      <c r="H689" s="40">
        <f t="shared" si="36"/>
        <v>0.96187499999999992</v>
      </c>
      <c r="I689" s="40"/>
      <c r="J689" s="41"/>
    </row>
    <row r="690" spans="2:10" s="1" customFormat="1" ht="12.75" x14ac:dyDescent="0.2">
      <c r="B690" s="107"/>
      <c r="C690" s="39" t="s">
        <v>648</v>
      </c>
      <c r="D690" s="40">
        <f>1.25*5</f>
        <v>6.25</v>
      </c>
      <c r="E690" s="40">
        <v>0.9</v>
      </c>
      <c r="F690" s="40">
        <v>0.9</v>
      </c>
      <c r="G690" s="40">
        <f>0.7+0.25</f>
        <v>0.95</v>
      </c>
      <c r="H690" s="40">
        <f t="shared" si="36"/>
        <v>4.8093750000000002</v>
      </c>
      <c r="I690" s="40"/>
      <c r="J690" s="41"/>
    </row>
    <row r="691" spans="2:10" s="1" customFormat="1" ht="12.75" x14ac:dyDescent="0.2">
      <c r="B691" s="107"/>
      <c r="C691" s="39" t="s">
        <v>691</v>
      </c>
      <c r="D691" s="40">
        <f>1.25*5</f>
        <v>6.25</v>
      </c>
      <c r="E691" s="40">
        <v>0.9</v>
      </c>
      <c r="F691" s="40">
        <v>0.9</v>
      </c>
      <c r="G691" s="40">
        <f>0.7+0.25</f>
        <v>0.95</v>
      </c>
      <c r="H691" s="40">
        <f t="shared" si="36"/>
        <v>4.8093750000000002</v>
      </c>
      <c r="I691" s="40"/>
      <c r="J691" s="41"/>
    </row>
    <row r="692" spans="2:10" s="1" customFormat="1" ht="12.75" x14ac:dyDescent="0.2">
      <c r="C692" s="39" t="s">
        <v>377</v>
      </c>
      <c r="D692" s="40">
        <v>1.25</v>
      </c>
      <c r="E692" s="40">
        <v>1.7</v>
      </c>
      <c r="F692" s="40">
        <v>5.9</v>
      </c>
      <c r="G692" s="40">
        <f>1.45+0.3</f>
        <v>1.75</v>
      </c>
      <c r="H692" s="40">
        <f t="shared" si="36"/>
        <v>21.940625000000004</v>
      </c>
    </row>
    <row r="693" spans="2:10" s="1" customFormat="1" ht="12.75" x14ac:dyDescent="0.2">
      <c r="B693" s="46"/>
      <c r="C693" s="43" t="s">
        <v>472</v>
      </c>
      <c r="D693" s="60"/>
      <c r="E693" s="40"/>
      <c r="F693" s="40"/>
      <c r="G693" s="40"/>
      <c r="H693" s="40"/>
      <c r="I693" s="40"/>
      <c r="J693" s="41"/>
    </row>
    <row r="694" spans="2:10" s="1" customFormat="1" ht="12.75" x14ac:dyDescent="0.2">
      <c r="B694" s="46"/>
      <c r="F694" s="40" t="s">
        <v>786</v>
      </c>
      <c r="G694" s="40">
        <v>3</v>
      </c>
      <c r="I694" s="40"/>
      <c r="J694" s="41"/>
    </row>
    <row r="695" spans="2:10" s="1" customFormat="1" ht="12.75" x14ac:dyDescent="0.2">
      <c r="B695" s="46"/>
      <c r="C695" s="39" t="s">
        <v>784</v>
      </c>
      <c r="D695" s="60">
        <v>1.25</v>
      </c>
      <c r="E695" s="40">
        <f>+E619</f>
        <v>32.840000000000003</v>
      </c>
      <c r="F695" s="40" t="s">
        <v>785</v>
      </c>
      <c r="G695" s="40">
        <f>+PI()*((G694*0.0254)^2)/4</f>
        <v>4.5603673118774788E-3</v>
      </c>
      <c r="H695" s="40">
        <f>+D695*E695*G695</f>
        <v>0.18720307815257053</v>
      </c>
      <c r="I695" s="40"/>
      <c r="J695" s="41"/>
    </row>
    <row r="696" spans="2:10" s="1" customFormat="1" ht="12.75" x14ac:dyDescent="0.2">
      <c r="B696" s="46"/>
      <c r="C696" s="43" t="s">
        <v>251</v>
      </c>
      <c r="D696" s="60"/>
      <c r="E696" s="40"/>
      <c r="F696" s="40"/>
      <c r="G696" s="40"/>
      <c r="H696" s="40"/>
      <c r="I696" s="40"/>
      <c r="J696" s="41"/>
    </row>
    <row r="697" spans="2:10" s="1" customFormat="1" ht="12.75" x14ac:dyDescent="0.2">
      <c r="B697" s="46"/>
      <c r="F697" s="40" t="s">
        <v>786</v>
      </c>
      <c r="G697" s="40">
        <v>12</v>
      </c>
      <c r="I697" s="40"/>
      <c r="J697" s="41"/>
    </row>
    <row r="698" spans="2:10" s="1" customFormat="1" ht="12.75" x14ac:dyDescent="0.2">
      <c r="B698" s="46"/>
      <c r="C698" s="39" t="s">
        <v>784</v>
      </c>
      <c r="D698" s="60">
        <v>1.25</v>
      </c>
      <c r="E698" s="40">
        <f>+E623</f>
        <v>24.15</v>
      </c>
      <c r="F698" s="40" t="s">
        <v>785</v>
      </c>
      <c r="G698" s="40">
        <f>+PI()*((G697*0.0254)^2)/4</f>
        <v>7.296587699003966E-2</v>
      </c>
      <c r="H698" s="40">
        <f>+D698*E698*G698</f>
        <v>2.2026574116368223</v>
      </c>
      <c r="I698" s="40"/>
      <c r="J698" s="41"/>
    </row>
    <row r="699" spans="2:10" s="1" customFormat="1" ht="12.75" x14ac:dyDescent="0.2">
      <c r="B699" s="46"/>
      <c r="C699" s="43" t="s">
        <v>252</v>
      </c>
      <c r="D699" s="60"/>
      <c r="E699" s="40"/>
      <c r="F699" s="40"/>
      <c r="G699" s="40"/>
      <c r="H699" s="40"/>
      <c r="I699" s="40"/>
      <c r="J699" s="41"/>
    </row>
    <row r="700" spans="2:10" s="1" customFormat="1" ht="12.75" x14ac:dyDescent="0.2">
      <c r="B700" s="46"/>
      <c r="F700" s="40" t="s">
        <v>786</v>
      </c>
      <c r="G700" s="40">
        <v>14</v>
      </c>
      <c r="I700" s="40"/>
      <c r="J700" s="41"/>
    </row>
    <row r="701" spans="2:10" s="1" customFormat="1" ht="12.75" x14ac:dyDescent="0.2">
      <c r="B701" s="46"/>
      <c r="C701" s="39" t="s">
        <v>784</v>
      </c>
      <c r="D701" s="60">
        <v>1.25</v>
      </c>
      <c r="E701" s="40">
        <f>+E628</f>
        <v>12</v>
      </c>
      <c r="F701" s="40" t="s">
        <v>785</v>
      </c>
      <c r="G701" s="40">
        <f>+PI()*((G700*0.0254)^2)/4</f>
        <v>9.9314665903109542E-2</v>
      </c>
      <c r="H701" s="40">
        <f>+D701*E701*G701</f>
        <v>1.4897199885466432</v>
      </c>
      <c r="I701" s="40"/>
      <c r="J701" s="41"/>
    </row>
    <row r="702" spans="2:10" s="1" customFormat="1" ht="12.75" x14ac:dyDescent="0.2">
      <c r="B702" s="25" t="s">
        <v>901</v>
      </c>
      <c r="C702" s="28" t="s">
        <v>624</v>
      </c>
      <c r="D702" s="60"/>
      <c r="E702" s="40"/>
      <c r="F702" s="40"/>
      <c r="G702" s="40"/>
      <c r="H702" s="40"/>
      <c r="I702" s="40">
        <f>+I682</f>
        <v>56.844580478336042</v>
      </c>
      <c r="J702" s="41"/>
    </row>
    <row r="703" spans="2:10" s="1" customFormat="1" ht="12.75" x14ac:dyDescent="0.2">
      <c r="B703" s="46"/>
      <c r="C703" s="59"/>
      <c r="D703" s="60"/>
      <c r="E703" s="40"/>
      <c r="F703" s="40"/>
      <c r="G703" s="40"/>
      <c r="H703" s="40"/>
      <c r="I703" s="40"/>
      <c r="J703" s="41"/>
    </row>
    <row r="704" spans="2:10" x14ac:dyDescent="0.25">
      <c r="B704" s="73" t="s">
        <v>829</v>
      </c>
      <c r="C704" s="74" t="s">
        <v>626</v>
      </c>
      <c r="D704" s="23"/>
      <c r="E704" s="23"/>
      <c r="F704" s="23"/>
      <c r="G704" s="23"/>
      <c r="H704" s="24"/>
      <c r="I704" s="25"/>
      <c r="J704" s="26"/>
    </row>
    <row r="705" spans="2:10" s="1" customFormat="1" ht="12.75" x14ac:dyDescent="0.2">
      <c r="B705" s="43" t="s">
        <v>830</v>
      </c>
      <c r="C705" s="25" t="s">
        <v>627</v>
      </c>
      <c r="D705" s="60"/>
      <c r="E705" s="40"/>
      <c r="F705" s="40"/>
      <c r="G705" s="40"/>
      <c r="H705" s="40"/>
      <c r="I705" s="44">
        <f>+SUM(H706:H707)</f>
        <v>10.45</v>
      </c>
      <c r="J705" s="45" t="s">
        <v>45</v>
      </c>
    </row>
    <row r="706" spans="2:10" s="1" customFormat="1" ht="12.75" x14ac:dyDescent="0.2">
      <c r="B706" s="25"/>
      <c r="C706" s="39" t="s">
        <v>444</v>
      </c>
      <c r="D706" s="60">
        <v>1</v>
      </c>
      <c r="E706" s="1">
        <v>3</v>
      </c>
      <c r="F706" s="40">
        <v>0.5</v>
      </c>
      <c r="G706" s="40"/>
      <c r="H706" s="40">
        <f>IF(AND(F706=0,G706=0),D706*E706,IF(AND(E706=0,G706=0),D706*F706,IF(AND(E706=0,F706=0),D706*G706,IF(AND(E706=0),D706*F706*G706,IF(AND(F706=0),D706*E706*G706,IF(AND(G706=0),D706*E706*F706,D706*E706*F706*G706))))))</f>
        <v>1.5</v>
      </c>
      <c r="I706" s="40"/>
      <c r="J706" s="41"/>
    </row>
    <row r="707" spans="2:10" s="1" customFormat="1" ht="12.75" x14ac:dyDescent="0.2">
      <c r="B707" s="25"/>
      <c r="C707" s="39" t="s">
        <v>442</v>
      </c>
      <c r="D707" s="8">
        <v>1</v>
      </c>
      <c r="E707" s="86">
        <f>3.5+14.4</f>
        <v>17.899999999999999</v>
      </c>
      <c r="F707" s="40">
        <v>0.5</v>
      </c>
      <c r="G707" s="40"/>
      <c r="H707" s="40">
        <f>IF(AND(F707=0,G707=0),D707*E707,IF(AND(E707=0,G707=0),D707*F707,IF(AND(E707=0,F707=0),D707*G707,IF(AND(E707=0),D707*F707*G707,IF(AND(F707=0),D707*E707*G707,IF(AND(G707=0),D707*E707*F707,D707*E707*F707*G707))))))</f>
        <v>8.9499999999999993</v>
      </c>
      <c r="I707" s="40"/>
      <c r="J707" s="41"/>
    </row>
    <row r="708" spans="2:10" s="1" customFormat="1" ht="12.75" x14ac:dyDescent="0.2">
      <c r="B708" s="43" t="s">
        <v>831</v>
      </c>
      <c r="C708" s="25" t="s">
        <v>680</v>
      </c>
      <c r="D708" s="60"/>
      <c r="E708" s="40"/>
      <c r="F708" s="40"/>
      <c r="G708" s="40"/>
      <c r="H708" s="40"/>
      <c r="I708" s="44">
        <f>+SUM(H709:H716)</f>
        <v>22.990000000000002</v>
      </c>
      <c r="J708" s="45" t="s">
        <v>45</v>
      </c>
    </row>
    <row r="709" spans="2:10" s="1" customFormat="1" ht="12.75" x14ac:dyDescent="0.2">
      <c r="B709" s="413"/>
      <c r="C709" s="39" t="s">
        <v>393</v>
      </c>
      <c r="D709" s="40">
        <v>1</v>
      </c>
      <c r="E709" s="40">
        <v>0.9</v>
      </c>
      <c r="F709" s="40">
        <v>1.2</v>
      </c>
      <c r="G709" s="40"/>
      <c r="H709" s="40">
        <f>IF(AND(F709=0,G709=0),D709*E709,IF(AND(E709=0,G709=0),D709*F709,IF(AND(E709=0,F709=0),D709*G709,IF(AND(E709=0),D709*F709*G709,IF(AND(F709=0),D709*E709*G709,IF(AND(G709=0),D709*E709*F709,D709*E709*F709*G709))))))</f>
        <v>1.08</v>
      </c>
      <c r="I709" s="40"/>
      <c r="J709" s="41"/>
    </row>
    <row r="710" spans="2:10" s="1" customFormat="1" ht="12.75" x14ac:dyDescent="0.2">
      <c r="B710" s="43"/>
      <c r="C710" s="39" t="s">
        <v>412</v>
      </c>
      <c r="D710" s="40">
        <v>1</v>
      </c>
      <c r="E710" s="40">
        <v>0.9</v>
      </c>
      <c r="F710" s="40">
        <v>1.2</v>
      </c>
      <c r="G710" s="40"/>
      <c r="H710" s="40">
        <f>IF(AND(F710=0,G710=0),D710*E710,IF(AND(E710=0,G710=0),D710*F710,IF(AND(E710=0,F710=0),D710*G710,IF(AND(E710=0),D710*F710*G710,IF(AND(F710=0),D710*E710*G710,IF(AND(G710=0),D710*E710*F710,D710*E710*F710*G710))))))</f>
        <v>1.08</v>
      </c>
      <c r="I710" s="44"/>
      <c r="J710" s="45"/>
    </row>
    <row r="711" spans="2:10" s="1" customFormat="1" ht="12.75" x14ac:dyDescent="0.2">
      <c r="B711" s="349"/>
      <c r="C711" s="39" t="s">
        <v>381</v>
      </c>
      <c r="D711" s="60">
        <v>1</v>
      </c>
      <c r="E711" s="40">
        <v>0.9</v>
      </c>
      <c r="F711" s="40">
        <v>1.2</v>
      </c>
      <c r="G711" s="40"/>
      <c r="H711" s="40">
        <f>IF(AND(F711=0,G711=0),D711*E711,IF(AND(E711=0,G711=0),D711*F711,IF(AND(E711=0,F711=0),D711*G711,IF(AND(E711=0),D711*F711*G711,IF(AND(F711=0),D711*E711*G711,IF(AND(G711=0),D711*E711*F711,D711*E711*F711*G711))))))</f>
        <v>1.08</v>
      </c>
      <c r="I711" s="44"/>
      <c r="J711" s="45"/>
    </row>
    <row r="712" spans="2:10" s="1" customFormat="1" ht="12.75" x14ac:dyDescent="0.2">
      <c r="B712" s="349"/>
      <c r="C712" s="39" t="s">
        <v>714</v>
      </c>
      <c r="D712" s="60">
        <v>1</v>
      </c>
      <c r="E712" s="40">
        <v>0.9</v>
      </c>
      <c r="F712" s="40">
        <v>0.9</v>
      </c>
      <c r="G712" s="40"/>
      <c r="H712" s="40">
        <f t="shared" ref="H712:H716" si="37">IF(AND(F712=0,G712=0),D712*E712,IF(AND(E712=0,G712=0),D712*F712,IF(AND(E712=0,F712=0),D712*G712,IF(AND(E712=0),D712*F712*G712,IF(AND(F712=0),D712*E712*G712,IF(AND(G712=0),D712*E712*F712,D712*E712*F712*G712))))))</f>
        <v>0.81</v>
      </c>
      <c r="I712" s="44"/>
      <c r="J712" s="45"/>
    </row>
    <row r="713" spans="2:10" s="1" customFormat="1" ht="12.75" x14ac:dyDescent="0.2">
      <c r="B713" s="349"/>
      <c r="C713" s="39" t="s">
        <v>414</v>
      </c>
      <c r="D713" s="40">
        <v>1</v>
      </c>
      <c r="E713" s="40">
        <v>0.9</v>
      </c>
      <c r="F713" s="40">
        <v>0.9</v>
      </c>
      <c r="G713" s="40"/>
      <c r="H713" s="40">
        <f t="shared" si="37"/>
        <v>0.81</v>
      </c>
      <c r="I713" s="44"/>
      <c r="J713" s="45"/>
    </row>
    <row r="714" spans="2:10" s="1" customFormat="1" ht="12.75" x14ac:dyDescent="0.2">
      <c r="B714" s="349"/>
      <c r="C714" s="39" t="s">
        <v>648</v>
      </c>
      <c r="D714" s="40">
        <v>5</v>
      </c>
      <c r="E714" s="40">
        <v>0.9</v>
      </c>
      <c r="F714" s="40">
        <v>0.9</v>
      </c>
      <c r="G714" s="40"/>
      <c r="H714" s="40">
        <f t="shared" si="37"/>
        <v>4.05</v>
      </c>
      <c r="I714" s="44"/>
      <c r="J714" s="45"/>
    </row>
    <row r="715" spans="2:10" s="1" customFormat="1" ht="12.75" x14ac:dyDescent="0.2">
      <c r="B715" s="349"/>
      <c r="C715" s="39" t="s">
        <v>691</v>
      </c>
      <c r="D715" s="40">
        <v>5</v>
      </c>
      <c r="E715" s="40">
        <v>0.9</v>
      </c>
      <c r="F715" s="40">
        <v>0.9</v>
      </c>
      <c r="G715" s="40"/>
      <c r="H715" s="40">
        <f t="shared" si="37"/>
        <v>4.05</v>
      </c>
      <c r="I715" s="44"/>
      <c r="J715" s="45"/>
    </row>
    <row r="716" spans="2:10" s="1" customFormat="1" ht="12.75" x14ac:dyDescent="0.2">
      <c r="B716" s="349"/>
      <c r="C716" s="39" t="s">
        <v>377</v>
      </c>
      <c r="D716" s="40">
        <v>1</v>
      </c>
      <c r="E716" s="40">
        <v>1.7</v>
      </c>
      <c r="F716" s="40">
        <v>5.9</v>
      </c>
      <c r="G716" s="40"/>
      <c r="H716" s="40">
        <f t="shared" si="37"/>
        <v>10.030000000000001</v>
      </c>
      <c r="I716" s="44"/>
      <c r="J716" s="45"/>
    </row>
    <row r="717" spans="2:10" s="1" customFormat="1" ht="12.75" x14ac:dyDescent="0.2">
      <c r="B717" s="349"/>
      <c r="C717" s="39"/>
      <c r="D717" s="60"/>
      <c r="E717" s="40"/>
      <c r="F717" s="40"/>
      <c r="G717" s="40"/>
      <c r="H717" s="40"/>
      <c r="I717" s="44"/>
      <c r="J717" s="45"/>
    </row>
    <row r="718" spans="2:10" s="1" customFormat="1" ht="12.75" x14ac:dyDescent="0.2">
      <c r="B718" s="73" t="s">
        <v>838</v>
      </c>
      <c r="C718" s="58" t="s">
        <v>224</v>
      </c>
      <c r="D718" s="60"/>
      <c r="E718" s="40"/>
      <c r="F718" s="40"/>
      <c r="G718" s="40"/>
      <c r="H718" s="40"/>
      <c r="I718" s="40"/>
      <c r="J718" s="41"/>
    </row>
    <row r="719" spans="2:10" s="1" customFormat="1" ht="17.25" customHeight="1" x14ac:dyDescent="0.2">
      <c r="B719" s="43" t="s">
        <v>839</v>
      </c>
      <c r="C719" s="46" t="s">
        <v>440</v>
      </c>
      <c r="D719" s="23"/>
      <c r="E719" s="23"/>
      <c r="F719" s="40"/>
      <c r="G719" s="40"/>
      <c r="I719" s="44">
        <f>SUM(H720)</f>
        <v>17.899999999999999</v>
      </c>
      <c r="J719" s="45" t="s">
        <v>345</v>
      </c>
    </row>
    <row r="720" spans="2:10" s="1" customFormat="1" ht="17.25" customHeight="1" x14ac:dyDescent="0.2">
      <c r="B720" s="413"/>
      <c r="C720" s="46" t="s">
        <v>442</v>
      </c>
      <c r="D720" s="415">
        <v>1</v>
      </c>
      <c r="E720" s="416">
        <f>3.5+14.4</f>
        <v>17.899999999999999</v>
      </c>
      <c r="F720" s="40"/>
      <c r="G720" s="40"/>
      <c r="H720" s="40">
        <f>IF(AND(F720=0,G720=0),D720*E720,IF(AND(E720=0,G720=0),D720*F720,IF(AND(E720=0,F720=0),D720*G720,IF(AND(E720=0),D720*F720*G720,IF(AND(F720=0),D720*E720*G720,IF(AND(G720=0),D720*E720*F720,D720*E720*F720*G720))))))</f>
        <v>17.899999999999999</v>
      </c>
      <c r="I720" s="40"/>
      <c r="J720" s="41"/>
    </row>
    <row r="721" spans="2:10" s="1" customFormat="1" ht="17.25" customHeight="1" x14ac:dyDescent="0.2">
      <c r="B721" s="413"/>
      <c r="C721" s="46" t="s">
        <v>818</v>
      </c>
      <c r="D721" s="415"/>
      <c r="E721" s="416"/>
      <c r="F721" s="40" t="s">
        <v>681</v>
      </c>
      <c r="G721" s="40" t="s">
        <v>682</v>
      </c>
      <c r="I721" s="89">
        <f>+SUM(G722:G723)</f>
        <v>8.1999999999999993</v>
      </c>
      <c r="J721" s="41"/>
    </row>
    <row r="722" spans="2:10" s="1" customFormat="1" ht="17.25" customHeight="1" x14ac:dyDescent="0.2">
      <c r="B722" s="413"/>
      <c r="C722" s="39" t="s">
        <v>437</v>
      </c>
      <c r="D722" s="414">
        <f>6+6+4</f>
        <v>16</v>
      </c>
      <c r="E722" s="414">
        <v>1</v>
      </c>
      <c r="F722" s="40">
        <v>0.25</v>
      </c>
      <c r="G722" s="40">
        <f>+D722*E722*F722</f>
        <v>4</v>
      </c>
      <c r="H722" s="40"/>
      <c r="I722" s="40"/>
      <c r="J722" s="41"/>
    </row>
    <row r="723" spans="2:10" s="1" customFormat="1" ht="12.75" x14ac:dyDescent="0.2">
      <c r="B723" s="413"/>
      <c r="C723" s="39" t="s">
        <v>438</v>
      </c>
      <c r="D723" s="60">
        <v>6</v>
      </c>
      <c r="E723" s="40">
        <f>1.1*2+0.6</f>
        <v>2.8000000000000003</v>
      </c>
      <c r="F723" s="40">
        <v>0.25</v>
      </c>
      <c r="G723" s="40">
        <f>+D723*E723*F723</f>
        <v>4.2</v>
      </c>
      <c r="H723" s="40"/>
      <c r="I723" s="40"/>
      <c r="J723" s="41"/>
    </row>
    <row r="724" spans="2:10" s="1" customFormat="1" ht="12.75" x14ac:dyDescent="0.2">
      <c r="B724" s="43" t="s">
        <v>842</v>
      </c>
      <c r="C724" s="43" t="s">
        <v>647</v>
      </c>
      <c r="D724" s="60"/>
      <c r="E724" s="40"/>
      <c r="F724" s="40"/>
      <c r="G724" s="40"/>
      <c r="H724" s="40"/>
      <c r="I724" s="44">
        <f>+SUM(H725:H727)</f>
        <v>7.7</v>
      </c>
      <c r="J724" s="45" t="s">
        <v>13</v>
      </c>
    </row>
    <row r="725" spans="2:10" s="1" customFormat="1" ht="12.75" x14ac:dyDescent="0.2">
      <c r="B725" s="413"/>
      <c r="C725" s="39" t="s">
        <v>414</v>
      </c>
      <c r="D725" s="40">
        <v>1</v>
      </c>
      <c r="E725" s="40">
        <v>0.7</v>
      </c>
      <c r="F725" s="40"/>
      <c r="G725" s="40"/>
      <c r="H725" s="40">
        <f>IF(AND(F725=0,G725=0),D725*E725,IF(AND(E725=0,G725=0),D725*F725,IF(AND(E725=0,F725=0),D725*G725,IF(AND(E725=0),D725*F725*G725,IF(AND(F725=0),D725*E725*G725,IF(AND(G725=0),D725*E725*F725,D725*E725*F725*G725))))))</f>
        <v>0.7</v>
      </c>
      <c r="I725" s="40"/>
      <c r="J725" s="41"/>
    </row>
    <row r="726" spans="2:10" s="1" customFormat="1" ht="12.75" x14ac:dyDescent="0.2">
      <c r="B726" s="413"/>
      <c r="C726" s="39" t="s">
        <v>648</v>
      </c>
      <c r="D726" s="40">
        <v>5</v>
      </c>
      <c r="E726" s="40">
        <v>0.7</v>
      </c>
      <c r="F726" s="40"/>
      <c r="G726" s="40"/>
      <c r="H726" s="40">
        <f t="shared" ref="H726:H727" si="38">IF(AND(F726=0,G726=0),D726*E726,IF(AND(E726=0,G726=0),D726*F726,IF(AND(E726=0,F726=0),D726*G726,IF(AND(E726=0),D726*F726*G726,IF(AND(F726=0),D726*E726*G726,IF(AND(G726=0),D726*E726*F726,D726*E726*F726*G726))))))</f>
        <v>3.5</v>
      </c>
      <c r="I726" s="40"/>
      <c r="J726" s="41"/>
    </row>
    <row r="727" spans="2:10" s="1" customFormat="1" ht="12.75" x14ac:dyDescent="0.2">
      <c r="B727" s="413"/>
      <c r="C727" s="39" t="s">
        <v>691</v>
      </c>
      <c r="D727" s="40">
        <v>5</v>
      </c>
      <c r="E727" s="40">
        <v>0.7</v>
      </c>
      <c r="F727" s="40"/>
      <c r="G727" s="40"/>
      <c r="H727" s="40">
        <f t="shared" si="38"/>
        <v>3.5</v>
      </c>
      <c r="I727" s="40"/>
      <c r="J727" s="41"/>
    </row>
    <row r="728" spans="2:10" s="1" customFormat="1" ht="12.75" x14ac:dyDescent="0.2">
      <c r="B728" s="43" t="s">
        <v>843</v>
      </c>
      <c r="C728" s="43" t="s">
        <v>561</v>
      </c>
      <c r="D728" s="60"/>
      <c r="E728" s="40"/>
      <c r="F728" s="40"/>
      <c r="G728" s="40"/>
      <c r="H728" s="40"/>
      <c r="I728" s="44">
        <f>+SUM(H729:H731)</f>
        <v>3</v>
      </c>
      <c r="J728" s="45" t="s">
        <v>13</v>
      </c>
    </row>
    <row r="729" spans="2:10" s="1" customFormat="1" ht="12.75" x14ac:dyDescent="0.2">
      <c r="B729" s="413"/>
      <c r="C729" s="39" t="s">
        <v>393</v>
      </c>
      <c r="D729" s="40">
        <v>1</v>
      </c>
      <c r="E729" s="40">
        <v>1</v>
      </c>
      <c r="F729" s="40"/>
      <c r="G729" s="40"/>
      <c r="H729" s="40">
        <f>IF(AND(F729=0,G729=0),D729*E729,IF(AND(E729=0,G729=0),D729*F729,IF(AND(E729=0,F729=0),D729*G729,IF(AND(E729=0),D729*F729*G729,IF(AND(F729=0),D729*E729*G729,IF(AND(G729=0),D729*E729*F729,D729*E729*F729*G729))))))</f>
        <v>1</v>
      </c>
      <c r="I729" s="40"/>
      <c r="J729" s="41"/>
    </row>
    <row r="730" spans="2:10" s="1" customFormat="1" ht="12.75" x14ac:dyDescent="0.2">
      <c r="B730" s="413"/>
      <c r="C730" s="39" t="s">
        <v>412</v>
      </c>
      <c r="D730" s="40">
        <v>1</v>
      </c>
      <c r="E730" s="40">
        <v>1</v>
      </c>
      <c r="F730" s="40"/>
      <c r="G730" s="40"/>
      <c r="H730" s="40">
        <f>IF(AND(F730=0,G730=0),D730*E730,IF(AND(E730=0,G730=0),D730*F730,IF(AND(E730=0,F730=0),D730*G730,IF(AND(E730=0),D730*F730*G730,IF(AND(F730=0),D730*E730*G730,IF(AND(G730=0),D730*E730*F730,D730*E730*F730*G730))))))</f>
        <v>1</v>
      </c>
      <c r="I730" s="40"/>
      <c r="J730" s="41"/>
    </row>
    <row r="731" spans="2:10" s="1" customFormat="1" ht="12.75" x14ac:dyDescent="0.2">
      <c r="B731" s="413"/>
      <c r="C731" s="39" t="s">
        <v>381</v>
      </c>
      <c r="D731" s="40">
        <v>1</v>
      </c>
      <c r="E731" s="40">
        <v>1</v>
      </c>
      <c r="F731" s="40"/>
      <c r="G731" s="40"/>
      <c r="H731" s="40">
        <f>IF(AND(F731=0,G731=0),D731*E731,IF(AND(E731=0,G731=0),D731*F731,IF(AND(E731=0,F731=0),D731*G731,IF(AND(E731=0),D731*F731*G731,IF(AND(F731=0),D731*E731*G731,IF(AND(G731=0),D731*E731*F731,D731*E731*F731*G731))))))</f>
        <v>1</v>
      </c>
      <c r="I731" s="40"/>
      <c r="J731" s="41"/>
    </row>
    <row r="732" spans="2:10" s="1" customFormat="1" ht="12.75" x14ac:dyDescent="0.2">
      <c r="B732" s="43" t="s">
        <v>846</v>
      </c>
      <c r="C732" s="43" t="s">
        <v>704</v>
      </c>
      <c r="D732" s="60"/>
      <c r="E732" s="40"/>
      <c r="F732" s="40"/>
      <c r="G732" s="40"/>
      <c r="H732" s="40"/>
      <c r="I732" s="44">
        <f>SUM(H733)</f>
        <v>0.7</v>
      </c>
      <c r="J732" s="45" t="s">
        <v>345</v>
      </c>
    </row>
    <row r="733" spans="2:10" s="1" customFormat="1" ht="12.75" x14ac:dyDescent="0.2">
      <c r="B733" s="414"/>
      <c r="C733" s="39" t="s">
        <v>715</v>
      </c>
      <c r="D733" s="60">
        <v>1</v>
      </c>
      <c r="E733" s="40">
        <v>0.7</v>
      </c>
      <c r="F733" s="40"/>
      <c r="G733" s="40"/>
      <c r="H733" s="40">
        <f t="shared" ref="H733" si="39">IF(AND(F733=0,G733=0),D733*E733,IF(AND(E733=0,G733=0),D733*F733,IF(AND(E733=0,F733=0),D733*G733,IF(AND(E733=0),D733*F733*G733,IF(AND(F733=0),D733*E733*G733,IF(AND(G733=0),D733*E733*F733,D733*E733*F733*G733))))))</f>
        <v>0.7</v>
      </c>
      <c r="I733" s="40"/>
      <c r="J733" s="41"/>
    </row>
    <row r="734" spans="2:10" s="1" customFormat="1" ht="12.75" x14ac:dyDescent="0.2">
      <c r="B734" s="43" t="s">
        <v>848</v>
      </c>
      <c r="C734" s="43" t="s">
        <v>629</v>
      </c>
      <c r="D734" s="60"/>
      <c r="E734" s="40"/>
      <c r="F734" s="40"/>
      <c r="G734" s="40"/>
      <c r="H734" s="40"/>
      <c r="I734" s="44">
        <f>SUM(H735)</f>
        <v>5.7</v>
      </c>
      <c r="J734" s="45" t="s">
        <v>345</v>
      </c>
    </row>
    <row r="735" spans="2:10" s="1" customFormat="1" ht="12.75" x14ac:dyDescent="0.2">
      <c r="B735" s="43"/>
      <c r="C735" s="39" t="s">
        <v>563</v>
      </c>
      <c r="D735" s="40">
        <v>1</v>
      </c>
      <c r="E735" s="40">
        <v>5.7</v>
      </c>
      <c r="F735" s="40"/>
      <c r="G735" s="40"/>
      <c r="H735" s="40">
        <f>IF(AND(F735=0,G735=0),D735*E735,IF(AND(E735=0,G735=0),D735*F735,IF(AND(E735=0,F735=0),D735*G735,IF(AND(E735=0),D735*F735*G735,IF(AND(F735=0),D735*E735*G735,IF(AND(G735=0),D735*E735*F735,D735*E735*F735*G735))))))</f>
        <v>5.7</v>
      </c>
      <c r="I735" s="40"/>
      <c r="J735" s="41"/>
    </row>
    <row r="736" spans="2:10" s="1" customFormat="1" ht="12.75" x14ac:dyDescent="0.2">
      <c r="B736" s="43" t="s">
        <v>849</v>
      </c>
      <c r="C736" s="25" t="s">
        <v>902</v>
      </c>
      <c r="D736" s="60"/>
      <c r="E736" s="40"/>
      <c r="F736" s="40"/>
      <c r="G736" s="40"/>
      <c r="H736" s="40"/>
      <c r="I736" s="44">
        <f>+SUM(H737:H738)</f>
        <v>32.840000000000003</v>
      </c>
      <c r="J736" s="45" t="s">
        <v>345</v>
      </c>
    </row>
    <row r="737" spans="2:10" s="1" customFormat="1" ht="12.75" x14ac:dyDescent="0.2">
      <c r="B737" s="43"/>
      <c r="C737" s="39" t="s">
        <v>487</v>
      </c>
      <c r="D737" s="60">
        <v>1</v>
      </c>
      <c r="E737" s="40">
        <f>1.28+2.12+5.96+1.38</f>
        <v>10.739999999999998</v>
      </c>
      <c r="F737" s="40"/>
      <c r="G737" s="40"/>
      <c r="H737" s="40">
        <f>IF(AND(F737=0,G737=0),D737*E737,IF(AND(E737=0,G737=0),D737*F737,IF(AND(E737=0,F737=0),D737*G737,IF(AND(E737=0),D737*F737*G737,IF(AND(F737=0),D737*E737*G737,IF(AND(G737=0),D737*E737*F737,D737*E737*F737*G737))))))</f>
        <v>10.739999999999998</v>
      </c>
      <c r="I737" s="44"/>
      <c r="J737" s="45"/>
    </row>
    <row r="738" spans="2:10" s="1" customFormat="1" ht="12.75" x14ac:dyDescent="0.2">
      <c r="B738" s="43"/>
      <c r="C738" s="39" t="s">
        <v>486</v>
      </c>
      <c r="D738" s="60">
        <v>1</v>
      </c>
      <c r="E738" s="40">
        <v>22.1</v>
      </c>
      <c r="F738" s="40"/>
      <c r="G738" s="40"/>
      <c r="H738" s="40">
        <f>IF(AND(F738=0,G738=0),D738*E738,IF(AND(E738=0,G738=0),D738*F738,IF(AND(E738=0,F738=0),D738*G738,IF(AND(E738=0),D738*F738*G738,IF(AND(F738=0),D738*E738*G738,IF(AND(G738=0),D738*E738*F738,D738*E738*F738*G738))))))</f>
        <v>22.1</v>
      </c>
      <c r="I738" s="44"/>
      <c r="J738" s="45"/>
    </row>
    <row r="739" spans="2:10" s="1" customFormat="1" ht="12.75" x14ac:dyDescent="0.2">
      <c r="B739" s="43" t="s">
        <v>852</v>
      </c>
      <c r="C739" s="28" t="s">
        <v>706</v>
      </c>
      <c r="D739" s="60"/>
      <c r="E739" s="40"/>
      <c r="F739" s="40"/>
      <c r="G739" s="40"/>
      <c r="H739" s="40"/>
      <c r="I739" s="44">
        <f>SUM(H740:H740)</f>
        <v>125</v>
      </c>
      <c r="J739" s="45" t="str">
        <f>+J740</f>
        <v>und</v>
      </c>
    </row>
    <row r="740" spans="2:10" s="1" customFormat="1" ht="12.75" x14ac:dyDescent="0.2">
      <c r="B740" s="413"/>
      <c r="C740" s="39" t="s">
        <v>708</v>
      </c>
      <c r="D740" s="60">
        <v>1</v>
      </c>
      <c r="E740" s="40">
        <v>125</v>
      </c>
      <c r="F740" s="40"/>
      <c r="G740" s="40"/>
      <c r="H740" s="40">
        <f>IF(AND(F740=0,G740=0),D740*E740,IF(AND(E740=0,G740=0),D740*F740,IF(AND(E740=0,F740=0),D740*G740,IF(AND(E740=0),D740*F740*G740,IF(AND(F740=0),D740*E740*G740,IF(AND(G740=0),D740*E740*F740,D740*E740*F740*G740))))))</f>
        <v>125</v>
      </c>
      <c r="I740" s="40"/>
      <c r="J740" s="41" t="s">
        <v>13</v>
      </c>
    </row>
    <row r="741" spans="2:10" s="1" customFormat="1" ht="12.75" x14ac:dyDescent="0.2">
      <c r="B741" s="25" t="s">
        <v>856</v>
      </c>
      <c r="C741" s="28" t="s">
        <v>698</v>
      </c>
      <c r="D741" s="60"/>
      <c r="E741" s="40"/>
      <c r="F741" s="40"/>
      <c r="G741" s="40"/>
      <c r="H741" s="40"/>
      <c r="I741" s="44">
        <f>SUM(H742:H744)</f>
        <v>3</v>
      </c>
      <c r="J741" s="41" t="s">
        <v>13</v>
      </c>
    </row>
    <row r="742" spans="2:10" s="1" customFormat="1" ht="12.75" x14ac:dyDescent="0.2">
      <c r="B742" s="43"/>
      <c r="C742" s="39" t="s">
        <v>393</v>
      </c>
      <c r="D742" s="40">
        <v>1</v>
      </c>
      <c r="E742" s="40"/>
      <c r="F742" s="40"/>
      <c r="G742" s="40"/>
      <c r="H742" s="40">
        <f>+D742</f>
        <v>1</v>
      </c>
      <c r="I742" s="40"/>
      <c r="J742" s="41"/>
    </row>
    <row r="743" spans="2:10" s="1" customFormat="1" ht="12.75" x14ac:dyDescent="0.2">
      <c r="B743" s="43"/>
      <c r="C743" s="39" t="s">
        <v>412</v>
      </c>
      <c r="D743" s="40">
        <v>1</v>
      </c>
      <c r="E743" s="40"/>
      <c r="F743" s="40"/>
      <c r="G743" s="40"/>
      <c r="H743" s="40">
        <f t="shared" ref="H743" si="40">+D743</f>
        <v>1</v>
      </c>
      <c r="I743" s="40"/>
      <c r="J743" s="41"/>
    </row>
    <row r="744" spans="2:10" s="1" customFormat="1" ht="12.75" x14ac:dyDescent="0.2">
      <c r="B744" s="43"/>
      <c r="C744" s="39" t="s">
        <v>381</v>
      </c>
      <c r="D744" s="60">
        <v>1</v>
      </c>
      <c r="E744" s="40"/>
      <c r="F744" s="40"/>
      <c r="G744" s="40"/>
      <c r="H744" s="40">
        <f>+D744</f>
        <v>1</v>
      </c>
      <c r="I744" s="40"/>
      <c r="J744" s="41"/>
    </row>
    <row r="745" spans="2:10" s="1" customFormat="1" ht="12.75" x14ac:dyDescent="0.2">
      <c r="B745" s="43" t="s">
        <v>855</v>
      </c>
      <c r="C745" s="43" t="s">
        <v>696</v>
      </c>
      <c r="D745" s="60"/>
      <c r="E745" s="40"/>
      <c r="F745" s="40"/>
      <c r="G745" s="40"/>
      <c r="H745" s="40"/>
      <c r="I745" s="44">
        <f>SUM(H746:H749)</f>
        <v>12</v>
      </c>
      <c r="J745" s="45" t="s">
        <v>13</v>
      </c>
    </row>
    <row r="746" spans="2:10" s="1" customFormat="1" ht="12.75" x14ac:dyDescent="0.2">
      <c r="B746" s="413"/>
      <c r="C746" s="39" t="s">
        <v>714</v>
      </c>
      <c r="D746" s="60">
        <v>1</v>
      </c>
      <c r="E746" s="40"/>
      <c r="G746" s="40"/>
      <c r="H746" s="40">
        <f>+D746</f>
        <v>1</v>
      </c>
      <c r="I746" s="40"/>
      <c r="J746" s="41"/>
    </row>
    <row r="747" spans="2:10" s="1" customFormat="1" ht="12.75" x14ac:dyDescent="0.2">
      <c r="B747" s="413"/>
      <c r="C747" s="39" t="s">
        <v>414</v>
      </c>
      <c r="D747" s="40">
        <v>1</v>
      </c>
      <c r="E747" s="40"/>
      <c r="F747" s="40"/>
      <c r="G747" s="40"/>
      <c r="H747" s="40">
        <f t="shared" ref="H747:H749" si="41">+D747</f>
        <v>1</v>
      </c>
      <c r="I747" s="40"/>
      <c r="J747" s="41"/>
    </row>
    <row r="748" spans="2:10" s="1" customFormat="1" ht="12.75" x14ac:dyDescent="0.2">
      <c r="B748" s="43"/>
      <c r="C748" s="39" t="s">
        <v>648</v>
      </c>
      <c r="D748" s="40">
        <v>5</v>
      </c>
      <c r="E748" s="40"/>
      <c r="F748" s="40"/>
      <c r="G748" s="40"/>
      <c r="H748" s="40">
        <f t="shared" si="41"/>
        <v>5</v>
      </c>
      <c r="J748" s="45" t="s">
        <v>13</v>
      </c>
    </row>
    <row r="749" spans="2:10" s="1" customFormat="1" ht="12.75" x14ac:dyDescent="0.2">
      <c r="B749" s="43"/>
      <c r="C749" s="39" t="s">
        <v>691</v>
      </c>
      <c r="D749" s="40">
        <v>5</v>
      </c>
      <c r="E749" s="40"/>
      <c r="F749" s="40"/>
      <c r="G749" s="40"/>
      <c r="H749" s="40">
        <f t="shared" si="41"/>
        <v>5</v>
      </c>
      <c r="I749" s="40"/>
      <c r="J749" s="41" t="s">
        <v>13</v>
      </c>
    </row>
    <row r="750" spans="2:10" s="1" customFormat="1" ht="12.75" x14ac:dyDescent="0.2">
      <c r="B750" s="43" t="s">
        <v>858</v>
      </c>
      <c r="C750" s="43" t="s">
        <v>700</v>
      </c>
      <c r="D750" s="60"/>
      <c r="E750" s="40"/>
      <c r="F750" s="40"/>
      <c r="G750" s="40"/>
      <c r="H750" s="40"/>
      <c r="I750" s="44">
        <f>SUM(H751)</f>
        <v>0.38</v>
      </c>
      <c r="J750" s="45" t="s">
        <v>13</v>
      </c>
    </row>
    <row r="751" spans="2:10" s="1" customFormat="1" ht="12.75" x14ac:dyDescent="0.2">
      <c r="B751" s="413"/>
      <c r="C751" s="39" t="s">
        <v>377</v>
      </c>
      <c r="D751" s="40">
        <v>0.38</v>
      </c>
      <c r="E751" s="40"/>
      <c r="F751" s="40"/>
      <c r="G751" s="40"/>
      <c r="H751" s="40">
        <f>+D751</f>
        <v>0.38</v>
      </c>
      <c r="I751" s="40"/>
      <c r="J751" s="41" t="s">
        <v>13</v>
      </c>
    </row>
    <row r="752" spans="2:10" s="1" customFormat="1" ht="12.75" x14ac:dyDescent="0.2">
      <c r="B752" s="25" t="s">
        <v>859</v>
      </c>
      <c r="C752" s="28" t="s">
        <v>735</v>
      </c>
      <c r="D752" s="60"/>
      <c r="E752" s="40"/>
      <c r="F752" s="40"/>
      <c r="G752" s="40"/>
      <c r="H752" s="40"/>
      <c r="I752" s="44">
        <f>+SUM(H753:H768)</f>
        <v>71.72999999999999</v>
      </c>
      <c r="J752" s="41" t="s">
        <v>45</v>
      </c>
    </row>
    <row r="753" spans="2:10" s="1" customFormat="1" ht="12.75" x14ac:dyDescent="0.2">
      <c r="B753" s="107"/>
      <c r="C753" s="39" t="s">
        <v>393</v>
      </c>
      <c r="D753" s="40">
        <v>1</v>
      </c>
      <c r="E753" s="40">
        <f>1.5*2</f>
        <v>3</v>
      </c>
      <c r="F753" s="40"/>
      <c r="G753" s="40">
        <f>0.92+0.2</f>
        <v>1.1200000000000001</v>
      </c>
      <c r="H753" s="40">
        <f t="shared" ref="H753:H768" si="42">IF(AND(F753=0,G753=0),D753*E753,IF(AND(E753=0,G753=0),D753*F753,IF(AND(E753=0,F753=0),D753*G753,IF(AND(E753=0),D753*F753*G753,IF(AND(F753=0),D753*E753*G753,IF(AND(G753=0),D753*E753*F753,D753*E753*F753*G753))))))</f>
        <v>3.3600000000000003</v>
      </c>
      <c r="I753" s="40"/>
      <c r="J753" s="41"/>
    </row>
    <row r="754" spans="2:10" s="1" customFormat="1" ht="12.75" x14ac:dyDescent="0.2">
      <c r="B754" s="107"/>
      <c r="C754" s="39"/>
      <c r="D754" s="40">
        <v>1</v>
      </c>
      <c r="E754" s="40">
        <v>0.6</v>
      </c>
      <c r="F754" s="40"/>
      <c r="G754" s="40">
        <v>0.9</v>
      </c>
      <c r="H754" s="40">
        <f t="shared" si="42"/>
        <v>0.54</v>
      </c>
      <c r="I754" s="40"/>
      <c r="J754" s="41"/>
    </row>
    <row r="755" spans="2:10" s="1" customFormat="1" ht="12.75" x14ac:dyDescent="0.2">
      <c r="B755" s="107"/>
      <c r="C755" s="39" t="s">
        <v>412</v>
      </c>
      <c r="D755" s="40">
        <v>1</v>
      </c>
      <c r="E755" s="40">
        <f>1.5*2</f>
        <v>3</v>
      </c>
      <c r="F755" s="40"/>
      <c r="G755" s="40">
        <f>1.07+0.2</f>
        <v>1.27</v>
      </c>
      <c r="H755" s="40">
        <f t="shared" si="42"/>
        <v>3.81</v>
      </c>
      <c r="I755" s="40"/>
      <c r="J755" s="41"/>
    </row>
    <row r="756" spans="2:10" s="1" customFormat="1" ht="12.75" x14ac:dyDescent="0.2">
      <c r="B756" s="107"/>
      <c r="C756" s="39"/>
      <c r="D756" s="40">
        <v>1</v>
      </c>
      <c r="E756" s="40">
        <v>0.6</v>
      </c>
      <c r="F756" s="40"/>
      <c r="G756" s="40">
        <v>0.9</v>
      </c>
      <c r="H756" s="40">
        <f t="shared" si="42"/>
        <v>0.54</v>
      </c>
      <c r="I756" s="40"/>
      <c r="J756" s="41"/>
    </row>
    <row r="757" spans="2:10" s="1" customFormat="1" ht="12.75" x14ac:dyDescent="0.2">
      <c r="B757" s="107"/>
      <c r="C757" s="39" t="s">
        <v>381</v>
      </c>
      <c r="D757" s="40">
        <v>1</v>
      </c>
      <c r="E757" s="40">
        <f>1.5*2</f>
        <v>3</v>
      </c>
      <c r="F757" s="40"/>
      <c r="G757" s="40">
        <f>0.61+0.2</f>
        <v>0.81</v>
      </c>
      <c r="H757" s="40">
        <f t="shared" si="42"/>
        <v>2.4300000000000002</v>
      </c>
      <c r="I757" s="40"/>
      <c r="J757" s="41"/>
    </row>
    <row r="758" spans="2:10" s="1" customFormat="1" ht="12.75" x14ac:dyDescent="0.2">
      <c r="B758" s="107"/>
      <c r="C758" s="39"/>
      <c r="D758" s="40">
        <v>1</v>
      </c>
      <c r="E758" s="40">
        <v>0.6</v>
      </c>
      <c r="F758" s="40"/>
      <c r="G758" s="40">
        <v>0.9</v>
      </c>
      <c r="H758" s="40">
        <f t="shared" si="42"/>
        <v>0.54</v>
      </c>
      <c r="I758" s="40"/>
      <c r="J758" s="41"/>
    </row>
    <row r="759" spans="2:10" s="1" customFormat="1" ht="12.75" x14ac:dyDescent="0.2">
      <c r="B759" s="107"/>
      <c r="C759" s="39" t="s">
        <v>714</v>
      </c>
      <c r="D759" s="60">
        <v>1</v>
      </c>
      <c r="E759" s="40">
        <f>0.6*4</f>
        <v>2.4</v>
      </c>
      <c r="F759" s="40"/>
      <c r="G759" s="40">
        <f>0.7+0.2</f>
        <v>0.89999999999999991</v>
      </c>
      <c r="H759" s="40">
        <f t="shared" si="42"/>
        <v>2.1599999999999997</v>
      </c>
      <c r="I759" s="40"/>
      <c r="J759" s="41"/>
    </row>
    <row r="760" spans="2:10" s="1" customFormat="1" ht="12.75" x14ac:dyDescent="0.2">
      <c r="B760" s="107"/>
      <c r="C760" s="39"/>
      <c r="D760" s="60">
        <v>1</v>
      </c>
      <c r="E760" s="40">
        <v>0.6</v>
      </c>
      <c r="F760" s="40"/>
      <c r="G760" s="40">
        <v>0.6</v>
      </c>
      <c r="H760" s="40">
        <f t="shared" si="42"/>
        <v>0.36</v>
      </c>
      <c r="I760" s="40"/>
      <c r="J760" s="41"/>
    </row>
    <row r="761" spans="2:10" s="1" customFormat="1" ht="12.75" x14ac:dyDescent="0.2">
      <c r="B761" s="107"/>
      <c r="C761" s="39" t="s">
        <v>414</v>
      </c>
      <c r="D761" s="60">
        <v>1</v>
      </c>
      <c r="E761" s="40">
        <f>0.6*4</f>
        <v>2.4</v>
      </c>
      <c r="F761" s="40"/>
      <c r="G761" s="40">
        <f>0.7+0.2</f>
        <v>0.89999999999999991</v>
      </c>
      <c r="H761" s="40">
        <f t="shared" si="42"/>
        <v>2.1599999999999997</v>
      </c>
      <c r="I761" s="40"/>
      <c r="J761" s="41"/>
    </row>
    <row r="762" spans="2:10" s="1" customFormat="1" ht="12.75" x14ac:dyDescent="0.2">
      <c r="B762" s="107"/>
      <c r="C762" s="39"/>
      <c r="D762" s="60">
        <v>1</v>
      </c>
      <c r="E762" s="40">
        <v>0.6</v>
      </c>
      <c r="F762" s="40"/>
      <c r="G762" s="40">
        <v>0.6</v>
      </c>
      <c r="H762" s="40">
        <f t="shared" si="42"/>
        <v>0.36</v>
      </c>
      <c r="I762" s="40"/>
      <c r="J762" s="41"/>
    </row>
    <row r="763" spans="2:10" s="1" customFormat="1" ht="12.75" x14ac:dyDescent="0.2">
      <c r="B763" s="107"/>
      <c r="C763" s="39" t="s">
        <v>648</v>
      </c>
      <c r="D763" s="60">
        <v>5</v>
      </c>
      <c r="E763" s="40">
        <f>0.6*4</f>
        <v>2.4</v>
      </c>
      <c r="F763" s="40"/>
      <c r="G763" s="40">
        <f>0.7+0.2</f>
        <v>0.89999999999999991</v>
      </c>
      <c r="H763" s="40">
        <f t="shared" si="42"/>
        <v>10.799999999999999</v>
      </c>
      <c r="I763" s="40"/>
      <c r="J763" s="41"/>
    </row>
    <row r="764" spans="2:10" s="1" customFormat="1" ht="12.75" x14ac:dyDescent="0.2">
      <c r="B764" s="107"/>
      <c r="C764" s="39"/>
      <c r="D764" s="60">
        <v>5</v>
      </c>
      <c r="E764" s="40">
        <v>0.6</v>
      </c>
      <c r="F764" s="40"/>
      <c r="G764" s="40">
        <v>0.6</v>
      </c>
      <c r="H764" s="40">
        <f t="shared" si="42"/>
        <v>1.7999999999999998</v>
      </c>
      <c r="I764" s="40"/>
      <c r="J764" s="41"/>
    </row>
    <row r="765" spans="2:10" s="1" customFormat="1" ht="12.75" x14ac:dyDescent="0.2">
      <c r="B765" s="107"/>
      <c r="C765" s="39" t="s">
        <v>691</v>
      </c>
      <c r="D765" s="60">
        <v>5</v>
      </c>
      <c r="E765" s="40">
        <f>0.6*4</f>
        <v>2.4</v>
      </c>
      <c r="F765" s="40"/>
      <c r="G765" s="40">
        <f>0.7+0.2</f>
        <v>0.89999999999999991</v>
      </c>
      <c r="H765" s="40">
        <f t="shared" si="42"/>
        <v>10.799999999999999</v>
      </c>
      <c r="I765" s="40"/>
      <c r="J765" s="41"/>
    </row>
    <row r="766" spans="2:10" s="1" customFormat="1" ht="12.75" x14ac:dyDescent="0.2">
      <c r="B766" s="107"/>
      <c r="C766" s="39"/>
      <c r="D766" s="60">
        <v>5</v>
      </c>
      <c r="E766" s="40">
        <v>0.6</v>
      </c>
      <c r="F766" s="40"/>
      <c r="G766" s="40">
        <v>0.6</v>
      </c>
      <c r="H766" s="40">
        <f t="shared" si="42"/>
        <v>1.7999999999999998</v>
      </c>
      <c r="I766" s="40"/>
      <c r="J766" s="41"/>
    </row>
    <row r="767" spans="2:10" s="1" customFormat="1" ht="12.75" x14ac:dyDescent="0.2">
      <c r="B767" s="107"/>
      <c r="C767" s="369" t="s">
        <v>377</v>
      </c>
      <c r="D767" s="40">
        <v>1</v>
      </c>
      <c r="E767" s="40">
        <f>1.3*2+5.5*2</f>
        <v>13.6</v>
      </c>
      <c r="F767" s="40"/>
      <c r="G767" s="40">
        <f>1.45+0.25</f>
        <v>1.7</v>
      </c>
      <c r="H767" s="40">
        <f t="shared" si="42"/>
        <v>23.119999999999997</v>
      </c>
      <c r="I767" s="40"/>
      <c r="J767" s="41"/>
    </row>
    <row r="768" spans="2:10" s="1" customFormat="1" ht="12.75" x14ac:dyDescent="0.2">
      <c r="B768" s="107"/>
      <c r="C768" s="59"/>
      <c r="D768" s="60">
        <v>1</v>
      </c>
      <c r="E768" s="40">
        <v>1.3</v>
      </c>
      <c r="F768" s="40"/>
      <c r="G768" s="40">
        <v>5.5</v>
      </c>
      <c r="H768" s="40">
        <f t="shared" si="42"/>
        <v>7.15</v>
      </c>
      <c r="I768" s="40"/>
      <c r="J768" s="41"/>
    </row>
    <row r="769" spans="2:10" s="414" customFormat="1" ht="12.75" x14ac:dyDescent="0.2">
      <c r="B769" s="25" t="s">
        <v>860</v>
      </c>
      <c r="C769" s="28" t="s">
        <v>736</v>
      </c>
      <c r="D769" s="60"/>
      <c r="E769" s="40"/>
      <c r="F769" s="40"/>
      <c r="G769" s="40"/>
      <c r="H769" s="40"/>
      <c r="I769" s="40">
        <f>+SUM(H770:H773)</f>
        <v>52.04999999999999</v>
      </c>
      <c r="J769" s="41" t="s">
        <v>45</v>
      </c>
    </row>
    <row r="770" spans="2:10" s="414" customFormat="1" ht="12.75" x14ac:dyDescent="0.2">
      <c r="B770" s="46"/>
      <c r="C770" s="39" t="s">
        <v>444</v>
      </c>
      <c r="D770" s="60">
        <v>2</v>
      </c>
      <c r="E770" s="414">
        <v>3</v>
      </c>
      <c r="F770" s="40"/>
      <c r="G770" s="40">
        <f>0.32+0.15</f>
        <v>0.47</v>
      </c>
      <c r="H770" s="40">
        <f t="shared" ref="H770:H773" si="43">IF(AND(F770=0,G770=0),D770*E770,IF(AND(E770=0,G770=0),D770*F770,IF(AND(E770=0,F770=0),D770*G770,IF(AND(E770=0),D770*F770*G770,IF(AND(F770=0),D770*E770*G770,IF(AND(G770=0),D770*E770*F770,D770*E770*F770*G770))))))</f>
        <v>2.82</v>
      </c>
      <c r="I770" s="40"/>
      <c r="J770" s="41"/>
    </row>
    <row r="771" spans="2:10" s="1" customFormat="1" ht="12.75" x14ac:dyDescent="0.2">
      <c r="B771" s="46"/>
      <c r="C771" s="39"/>
      <c r="D771" s="23">
        <v>1</v>
      </c>
      <c r="E771" s="1">
        <v>3</v>
      </c>
      <c r="F771" s="40"/>
      <c r="G771" s="40">
        <v>0.3</v>
      </c>
      <c r="H771" s="40">
        <f t="shared" si="43"/>
        <v>0.89999999999999991</v>
      </c>
      <c r="I771" s="40"/>
      <c r="J771" s="41"/>
    </row>
    <row r="772" spans="2:10" s="1" customFormat="1" ht="12.75" x14ac:dyDescent="0.2">
      <c r="B772" s="46"/>
      <c r="C772" s="39" t="s">
        <v>442</v>
      </c>
      <c r="D772" s="8">
        <v>2</v>
      </c>
      <c r="E772" s="86">
        <f>3.5+14.4</f>
        <v>17.899999999999999</v>
      </c>
      <c r="F772" s="40"/>
      <c r="G772" s="40">
        <f>1+0.2</f>
        <v>1.2</v>
      </c>
      <c r="H772" s="40">
        <f t="shared" si="43"/>
        <v>42.959999999999994</v>
      </c>
      <c r="I772" s="40"/>
      <c r="J772" s="41"/>
    </row>
    <row r="773" spans="2:10" s="1" customFormat="1" ht="12.75" x14ac:dyDescent="0.2">
      <c r="B773" s="46"/>
      <c r="C773" s="39"/>
      <c r="D773" s="8">
        <v>1</v>
      </c>
      <c r="E773" s="86">
        <v>17.899999999999999</v>
      </c>
      <c r="F773" s="40"/>
      <c r="G773" s="40">
        <v>0.3</v>
      </c>
      <c r="H773" s="40">
        <f t="shared" si="43"/>
        <v>5.3699999999999992</v>
      </c>
      <c r="I773" s="40"/>
      <c r="J773" s="41"/>
    </row>
    <row r="774" spans="2:10" s="1" customFormat="1" ht="12.75" x14ac:dyDescent="0.2">
      <c r="B774" s="57"/>
      <c r="C774" s="39"/>
      <c r="D774" s="60"/>
      <c r="E774" s="40"/>
      <c r="F774" s="40"/>
      <c r="G774" s="40"/>
      <c r="H774" s="40"/>
      <c r="I774" s="40"/>
      <c r="J774" s="41"/>
    </row>
    <row r="775" spans="2:10" s="1" customFormat="1" ht="12.75" x14ac:dyDescent="0.2">
      <c r="B775" s="57" t="s">
        <v>876</v>
      </c>
      <c r="C775" s="58" t="s">
        <v>223</v>
      </c>
      <c r="D775" s="60"/>
      <c r="E775" s="40"/>
      <c r="F775" s="40"/>
      <c r="G775" s="40"/>
      <c r="H775" s="40"/>
      <c r="I775" s="40"/>
      <c r="J775" s="41"/>
    </row>
    <row r="776" spans="2:10" s="1" customFormat="1" ht="12.75" x14ac:dyDescent="0.2">
      <c r="B776" s="43" t="s">
        <v>877</v>
      </c>
      <c r="C776" s="43" t="s">
        <v>657</v>
      </c>
      <c r="D776" s="60"/>
      <c r="E776" s="40"/>
      <c r="F776" s="40"/>
      <c r="G776" s="40"/>
      <c r="H776" s="40"/>
      <c r="I776" s="44">
        <f>+SUM(H777:H780)</f>
        <v>19</v>
      </c>
      <c r="J776" s="45" t="s">
        <v>13</v>
      </c>
    </row>
    <row r="777" spans="2:10" s="1" customFormat="1" ht="12.75" x14ac:dyDescent="0.2">
      <c r="B777" s="43"/>
      <c r="C777" s="42" t="s">
        <v>492</v>
      </c>
      <c r="D777" s="60">
        <f>6*2</f>
        <v>12</v>
      </c>
      <c r="E777" s="40"/>
      <c r="F777" s="40"/>
      <c r="G777" s="40"/>
      <c r="H777" s="40">
        <f>+D777</f>
        <v>12</v>
      </c>
      <c r="I777" s="44"/>
      <c r="J777" s="45"/>
    </row>
    <row r="778" spans="2:10" s="1" customFormat="1" ht="12.75" x14ac:dyDescent="0.2">
      <c r="B778" s="46"/>
      <c r="C778" s="39" t="s">
        <v>524</v>
      </c>
      <c r="D778" s="60">
        <v>2</v>
      </c>
      <c r="E778" s="40"/>
      <c r="F778" s="40"/>
      <c r="G778" s="40"/>
      <c r="H778" s="40">
        <f t="shared" ref="H778:H779" si="44">+D778</f>
        <v>2</v>
      </c>
      <c r="I778" s="40"/>
      <c r="J778" s="41"/>
    </row>
    <row r="779" spans="2:10" s="1" customFormat="1" ht="12.75" x14ac:dyDescent="0.2">
      <c r="B779" s="46"/>
      <c r="C779" s="39" t="s">
        <v>486</v>
      </c>
      <c r="D779" s="60">
        <v>1</v>
      </c>
      <c r="E779" s="40"/>
      <c r="F779" s="40"/>
      <c r="G779" s="40"/>
      <c r="H779" s="40">
        <f t="shared" si="44"/>
        <v>1</v>
      </c>
      <c r="I779" s="40"/>
      <c r="J779" s="41"/>
    </row>
    <row r="780" spans="2:10" s="1" customFormat="1" ht="12.75" x14ac:dyDescent="0.2">
      <c r="B780" s="46"/>
      <c r="C780" s="59" t="s">
        <v>658</v>
      </c>
      <c r="D780" s="60">
        <v>4</v>
      </c>
      <c r="E780" s="40">
        <v>1</v>
      </c>
      <c r="F780" s="40"/>
      <c r="G780" s="40"/>
      <c r="H780" s="40">
        <f t="shared" ref="H780" si="45">+D780</f>
        <v>4</v>
      </c>
      <c r="I780" s="40"/>
      <c r="J780" s="41"/>
    </row>
    <row r="781" spans="2:10" s="1" customFormat="1" ht="12.75" x14ac:dyDescent="0.2">
      <c r="B781" s="43" t="s">
        <v>886</v>
      </c>
      <c r="C781" s="417" t="s">
        <v>479</v>
      </c>
      <c r="E781" s="40"/>
      <c r="F781" s="40"/>
      <c r="G781" s="40"/>
      <c r="H781" s="40"/>
      <c r="I781" s="44">
        <f>+SUM(H782:H782)</f>
        <v>2</v>
      </c>
      <c r="J781" s="45" t="s">
        <v>13</v>
      </c>
    </row>
    <row r="782" spans="2:10" s="1" customFormat="1" ht="12.75" x14ac:dyDescent="0.2">
      <c r="B782" s="46"/>
      <c r="C782" s="39" t="s">
        <v>672</v>
      </c>
      <c r="D782" s="60">
        <v>2</v>
      </c>
      <c r="E782" s="40"/>
      <c r="F782" s="40"/>
      <c r="G782" s="40"/>
      <c r="H782" s="40">
        <f t="shared" ref="H782" si="46">+D782</f>
        <v>2</v>
      </c>
      <c r="I782" s="40"/>
      <c r="J782" s="41"/>
    </row>
    <row r="783" spans="2:10" s="1" customFormat="1" ht="12.75" x14ac:dyDescent="0.2">
      <c r="B783" s="46"/>
      <c r="C783" s="59"/>
      <c r="E783" s="40"/>
      <c r="F783" s="40"/>
      <c r="G783" s="40"/>
      <c r="H783" s="40"/>
      <c r="I783" s="40"/>
      <c r="J783" s="41"/>
    </row>
    <row r="784" spans="2:10" s="1" customFormat="1" ht="12.75" x14ac:dyDescent="0.2">
      <c r="B784" s="46"/>
      <c r="C784" s="59"/>
      <c r="D784" s="60"/>
      <c r="E784" s="40"/>
      <c r="F784" s="40"/>
      <c r="G784" s="40"/>
      <c r="H784" s="40"/>
      <c r="I784" s="40"/>
      <c r="J784" s="41"/>
    </row>
    <row r="785" spans="2:10" s="1" customFormat="1" ht="12.75" x14ac:dyDescent="0.2">
      <c r="B785" s="46"/>
      <c r="C785" s="59"/>
      <c r="D785" s="60"/>
      <c r="E785" s="40"/>
      <c r="F785" s="40"/>
      <c r="G785" s="40"/>
      <c r="H785" s="40"/>
      <c r="I785" s="40"/>
      <c r="J785" s="41"/>
    </row>
    <row r="786" spans="2:10" s="1" customFormat="1" ht="12.75" x14ac:dyDescent="0.2">
      <c r="B786" s="46"/>
      <c r="C786" s="59"/>
      <c r="D786" s="60"/>
      <c r="E786" s="40"/>
      <c r="F786" s="40"/>
      <c r="G786" s="40"/>
      <c r="H786" s="40"/>
      <c r="I786" s="40"/>
      <c r="J786" s="41"/>
    </row>
    <row r="787" spans="2:10" s="1" customFormat="1" ht="12.75" x14ac:dyDescent="0.2">
      <c r="B787" s="46"/>
      <c r="C787" s="59"/>
      <c r="D787" s="60"/>
      <c r="E787" s="40"/>
      <c r="F787" s="40"/>
      <c r="G787" s="40"/>
      <c r="H787" s="40"/>
      <c r="I787" s="40"/>
      <c r="J787" s="41"/>
    </row>
    <row r="788" spans="2:10" s="1" customFormat="1" ht="12.75" x14ac:dyDescent="0.2">
      <c r="B788" s="46"/>
      <c r="C788" s="59"/>
      <c r="D788" s="60"/>
      <c r="E788" s="40"/>
      <c r="F788" s="40"/>
      <c r="G788" s="40"/>
      <c r="H788" s="40"/>
      <c r="I788" s="40"/>
      <c r="J788" s="41"/>
    </row>
    <row r="789" spans="2:10" s="1" customFormat="1" ht="12.75" x14ac:dyDescent="0.2">
      <c r="B789" s="46"/>
      <c r="C789" s="59"/>
      <c r="D789" s="60"/>
      <c r="E789" s="40"/>
      <c r="F789" s="40"/>
      <c r="G789" s="40"/>
      <c r="H789" s="40"/>
      <c r="I789" s="40"/>
      <c r="J789" s="41"/>
    </row>
    <row r="790" spans="2:10" s="1" customFormat="1" ht="12.75" x14ac:dyDescent="0.2">
      <c r="B790" s="46"/>
      <c r="C790" s="59"/>
      <c r="D790" s="60"/>
      <c r="E790" s="40"/>
      <c r="F790" s="40"/>
      <c r="G790" s="40"/>
      <c r="H790" s="40"/>
      <c r="I790" s="40"/>
      <c r="J790" s="41"/>
    </row>
    <row r="791" spans="2:10" s="1" customFormat="1" ht="12.75" x14ac:dyDescent="0.2">
      <c r="B791" s="46"/>
      <c r="C791" s="59"/>
      <c r="D791" s="60"/>
      <c r="E791" s="40"/>
      <c r="F791" s="40"/>
      <c r="G791" s="40"/>
      <c r="H791" s="40"/>
      <c r="I791" s="40"/>
      <c r="J791" s="41"/>
    </row>
    <row r="792" spans="2:10" s="1" customFormat="1" ht="12.75" x14ac:dyDescent="0.2">
      <c r="B792" s="46"/>
      <c r="C792" s="59"/>
      <c r="D792" s="60"/>
      <c r="E792" s="40"/>
      <c r="F792" s="40"/>
      <c r="G792" s="40"/>
      <c r="H792" s="40"/>
      <c r="I792" s="40"/>
      <c r="J792" s="41"/>
    </row>
    <row r="793" spans="2:10" s="1" customFormat="1" ht="12.75" x14ac:dyDescent="0.2">
      <c r="B793" s="46"/>
      <c r="C793" s="59"/>
      <c r="D793" s="60"/>
      <c r="E793" s="40"/>
      <c r="F793" s="40"/>
      <c r="G793" s="40"/>
      <c r="H793" s="40"/>
      <c r="I793" s="40"/>
      <c r="J793" s="41"/>
    </row>
    <row r="794" spans="2:10" s="1" customFormat="1" ht="12.75" x14ac:dyDescent="0.2">
      <c r="B794" s="46"/>
      <c r="C794" s="59"/>
      <c r="D794" s="60"/>
      <c r="E794" s="40"/>
      <c r="F794" s="40"/>
      <c r="G794" s="40"/>
      <c r="H794" s="40"/>
      <c r="I794" s="40"/>
      <c r="J794" s="41"/>
    </row>
    <row r="795" spans="2:10" s="1" customFormat="1" ht="12.75" x14ac:dyDescent="0.2">
      <c r="B795" s="46"/>
      <c r="C795" s="59"/>
      <c r="D795" s="60"/>
      <c r="E795" s="40"/>
      <c r="F795" s="40"/>
      <c r="G795" s="40"/>
      <c r="H795" s="40"/>
      <c r="I795" s="40"/>
      <c r="J795" s="41"/>
    </row>
    <row r="796" spans="2:10" s="1" customFormat="1" ht="12.75" x14ac:dyDescent="0.2">
      <c r="B796" s="46"/>
      <c r="C796" s="59"/>
      <c r="D796" s="60"/>
      <c r="E796" s="40"/>
      <c r="F796" s="40"/>
      <c r="G796" s="40"/>
      <c r="H796" s="40"/>
      <c r="I796" s="40"/>
      <c r="J796" s="41"/>
    </row>
    <row r="797" spans="2:10" s="1" customFormat="1" ht="12.75" x14ac:dyDescent="0.2">
      <c r="B797" s="46"/>
      <c r="C797" s="59"/>
      <c r="D797" s="60"/>
      <c r="E797" s="40"/>
      <c r="F797" s="40"/>
      <c r="G797" s="40"/>
      <c r="H797" s="40"/>
      <c r="I797" s="40"/>
      <c r="J797" s="41"/>
    </row>
    <row r="798" spans="2:10" s="1" customFormat="1" ht="12.75" x14ac:dyDescent="0.2">
      <c r="B798" s="46"/>
      <c r="C798" s="59"/>
      <c r="D798" s="60"/>
      <c r="E798" s="40"/>
      <c r="F798" s="40"/>
      <c r="G798" s="40"/>
      <c r="H798" s="40"/>
      <c r="I798" s="40"/>
      <c r="J798" s="41"/>
    </row>
    <row r="799" spans="2:10" s="1" customFormat="1" ht="12.75" x14ac:dyDescent="0.2">
      <c r="B799" s="46"/>
      <c r="C799" s="59"/>
      <c r="D799" s="60"/>
      <c r="E799" s="40"/>
      <c r="F799" s="40"/>
      <c r="G799" s="40"/>
      <c r="H799" s="40"/>
      <c r="I799" s="40"/>
      <c r="J799" s="41"/>
    </row>
    <row r="800" spans="2:10" s="1" customFormat="1" ht="14.25" customHeight="1" x14ac:dyDescent="0.2">
      <c r="B800" s="46"/>
      <c r="C800" s="59"/>
      <c r="D800" s="60"/>
      <c r="E800" s="40"/>
      <c r="F800" s="40"/>
      <c r="G800" s="40"/>
      <c r="H800" s="40"/>
      <c r="I800" s="40"/>
      <c r="J800" s="41"/>
    </row>
    <row r="801" spans="2:10" s="1" customFormat="1" ht="14.25" customHeight="1" x14ac:dyDescent="0.2">
      <c r="B801" s="46"/>
      <c r="C801" s="59"/>
      <c r="D801" s="60"/>
      <c r="E801" s="40"/>
      <c r="F801" s="40"/>
      <c r="G801" s="40"/>
      <c r="H801" s="40"/>
      <c r="I801" s="40"/>
      <c r="J801" s="41"/>
    </row>
    <row r="802" spans="2:10" s="1" customFormat="1" ht="14.25" customHeight="1" x14ac:dyDescent="0.2">
      <c r="B802" s="46"/>
      <c r="C802" s="59"/>
      <c r="D802" s="60"/>
      <c r="E802" s="40"/>
      <c r="F802" s="40"/>
      <c r="G802" s="40"/>
      <c r="H802" s="40"/>
      <c r="I802" s="40"/>
      <c r="J802" s="41"/>
    </row>
    <row r="803" spans="2:10" s="1" customFormat="1" ht="12.75" x14ac:dyDescent="0.2">
      <c r="C803" s="542" t="s">
        <v>37</v>
      </c>
      <c r="D803" s="542"/>
      <c r="E803" s="542"/>
      <c r="F803" s="542"/>
      <c r="G803" s="542"/>
      <c r="H803" s="542"/>
    </row>
    <row r="804" spans="2:10" s="1" customFormat="1" ht="12.75" x14ac:dyDescent="0.2">
      <c r="C804" s="499" t="s">
        <v>38</v>
      </c>
      <c r="D804" s="499"/>
      <c r="E804" s="499"/>
      <c r="F804" s="499"/>
      <c r="G804" s="499"/>
      <c r="H804" s="499"/>
    </row>
    <row r="805" spans="2:10" s="1" customFormat="1" ht="12.75" x14ac:dyDescent="0.2">
      <c r="C805" s="499" t="s">
        <v>39</v>
      </c>
      <c r="D805" s="499"/>
      <c r="E805" s="499"/>
      <c r="F805" s="499"/>
      <c r="G805" s="499"/>
      <c r="H805" s="499"/>
    </row>
    <row r="806" spans="2:10" s="1" customFormat="1" ht="12.75" x14ac:dyDescent="0.2">
      <c r="C806" s="500" t="s">
        <v>40</v>
      </c>
      <c r="D806" s="500"/>
      <c r="E806" s="500"/>
      <c r="F806" s="500"/>
      <c r="G806" s="500"/>
      <c r="H806" s="500"/>
    </row>
    <row r="807" spans="2:10" s="1" customFormat="1" ht="12.75" x14ac:dyDescent="0.2">
      <c r="C807" s="401"/>
      <c r="D807" s="401"/>
      <c r="E807" s="401"/>
      <c r="F807" s="401"/>
      <c r="G807" s="401"/>
      <c r="H807" s="401"/>
    </row>
    <row r="808" spans="2:10" s="1" customFormat="1" ht="32.25" customHeight="1" x14ac:dyDescent="0.2">
      <c r="B808" s="402" t="s">
        <v>65</v>
      </c>
      <c r="C808" s="403"/>
      <c r="D808" s="403"/>
      <c r="E808" s="403"/>
      <c r="F808" s="403"/>
      <c r="G808" s="403"/>
      <c r="H808" s="403"/>
      <c r="I808" s="403"/>
      <c r="J808" s="404"/>
    </row>
    <row r="809" spans="2:10" s="1" customFormat="1" ht="20.25" x14ac:dyDescent="0.2">
      <c r="B809" s="406" t="s">
        <v>364</v>
      </c>
      <c r="C809" s="407"/>
      <c r="D809" s="407"/>
      <c r="E809" s="407"/>
      <c r="F809" s="407"/>
      <c r="G809" s="407"/>
      <c r="H809" s="407"/>
      <c r="I809" s="407"/>
      <c r="J809" s="408"/>
    </row>
    <row r="810" spans="2:10" s="1" customFormat="1" ht="13.5" thickBot="1" x14ac:dyDescent="0.25">
      <c r="B810" s="405"/>
      <c r="C810" s="405"/>
      <c r="D810" s="405"/>
      <c r="E810" s="405"/>
      <c r="F810" s="405"/>
      <c r="G810" s="405"/>
      <c r="H810" s="405"/>
      <c r="I810" s="405"/>
      <c r="J810" s="405"/>
    </row>
    <row r="811" spans="2:10" s="1" customFormat="1" ht="24.75" customHeight="1" x14ac:dyDescent="0.2">
      <c r="B811" s="494" t="s">
        <v>27</v>
      </c>
      <c r="C811" s="495"/>
      <c r="D811" s="495"/>
      <c r="E811" s="495"/>
      <c r="F811" s="495"/>
      <c r="G811" s="495"/>
      <c r="H811" s="495"/>
      <c r="I811" s="495"/>
      <c r="J811" s="496"/>
    </row>
    <row r="812" spans="2:10" s="1" customFormat="1" ht="12.75" x14ac:dyDescent="0.2">
      <c r="B812" s="2" t="s">
        <v>35</v>
      </c>
      <c r="C812" s="3" t="s">
        <v>36</v>
      </c>
      <c r="D812" s="3"/>
      <c r="E812" s="4"/>
      <c r="F812" s="5"/>
      <c r="G812" s="6" t="s">
        <v>8</v>
      </c>
      <c r="H812" s="497">
        <v>42879</v>
      </c>
      <c r="I812" s="497"/>
      <c r="J812" s="7"/>
    </row>
    <row r="813" spans="2:10" s="1" customFormat="1" ht="12.75" x14ac:dyDescent="0.2">
      <c r="B813" s="2" t="s">
        <v>33</v>
      </c>
      <c r="C813" s="3" t="s">
        <v>29</v>
      </c>
      <c r="D813" s="8"/>
      <c r="E813" s="8"/>
      <c r="F813" s="3"/>
      <c r="G813" s="9" t="s">
        <v>32</v>
      </c>
      <c r="H813" s="4" t="s">
        <v>29</v>
      </c>
      <c r="I813" s="10"/>
      <c r="J813" s="11"/>
    </row>
    <row r="814" spans="2:10" s="1" customFormat="1" ht="12.75" x14ac:dyDescent="0.2">
      <c r="B814" s="2" t="s">
        <v>34</v>
      </c>
      <c r="C814" s="3" t="s">
        <v>29</v>
      </c>
      <c r="D814" s="8"/>
      <c r="E814" s="8"/>
      <c r="F814" s="3"/>
      <c r="G814" s="9" t="s">
        <v>30</v>
      </c>
      <c r="H814" s="4" t="s">
        <v>31</v>
      </c>
      <c r="I814" s="10"/>
      <c r="J814" s="11"/>
    </row>
    <row r="815" spans="2:10" s="1" customFormat="1" ht="13.5" thickBot="1" x14ac:dyDescent="0.25">
      <c r="B815" s="12" t="s">
        <v>43</v>
      </c>
      <c r="C815" s="13" t="s">
        <v>44</v>
      </c>
      <c r="D815" s="14"/>
      <c r="E815" s="14"/>
      <c r="F815" s="13"/>
      <c r="G815" s="15" t="s">
        <v>41</v>
      </c>
      <c r="H815" s="16" t="s">
        <v>42</v>
      </c>
      <c r="I815" s="17"/>
      <c r="J815" s="18"/>
    </row>
    <row r="816" spans="2:10" s="1" customFormat="1" ht="12.75" x14ac:dyDescent="0.2">
      <c r="B816" s="405"/>
      <c r="C816" s="405"/>
      <c r="D816" s="405"/>
      <c r="E816" s="405"/>
      <c r="F816" s="405"/>
      <c r="G816" s="405"/>
      <c r="H816" s="405"/>
      <c r="I816" s="405"/>
      <c r="J816" s="405"/>
    </row>
    <row r="817" spans="2:10" s="1" customFormat="1" ht="12.75" x14ac:dyDescent="0.2">
      <c r="B817" s="21" t="s">
        <v>5</v>
      </c>
      <c r="C817" s="22" t="s">
        <v>0</v>
      </c>
      <c r="D817" s="22" t="s">
        <v>9</v>
      </c>
      <c r="E817" s="22" t="s">
        <v>10</v>
      </c>
      <c r="F817" s="22" t="s">
        <v>1</v>
      </c>
      <c r="G817" s="22" t="s">
        <v>2</v>
      </c>
      <c r="H817" s="22" t="s">
        <v>11</v>
      </c>
      <c r="I817" s="22" t="s">
        <v>6</v>
      </c>
      <c r="J817" s="22" t="s">
        <v>7</v>
      </c>
    </row>
    <row r="818" spans="2:10" s="1" customFormat="1" ht="12.75" x14ac:dyDescent="0.2">
      <c r="B818" s="55">
        <v>4.03</v>
      </c>
      <c r="C818" s="56" t="s">
        <v>222</v>
      </c>
      <c r="D818" s="60"/>
      <c r="E818" s="40"/>
      <c r="F818" s="40"/>
      <c r="G818" s="40"/>
      <c r="H818" s="40"/>
      <c r="I818" s="40"/>
      <c r="J818" s="41"/>
    </row>
    <row r="819" spans="2:10" s="1" customFormat="1" ht="12.75" x14ac:dyDescent="0.2">
      <c r="B819" s="73" t="s">
        <v>14</v>
      </c>
      <c r="C819" s="73" t="s">
        <v>615</v>
      </c>
      <c r="D819" s="60"/>
      <c r="E819" s="40"/>
      <c r="F819" s="40"/>
      <c r="G819" s="40"/>
      <c r="H819" s="40"/>
      <c r="I819" s="40"/>
      <c r="J819" s="41"/>
    </row>
    <row r="820" spans="2:10" s="1" customFormat="1" ht="12.75" x14ac:dyDescent="0.2">
      <c r="B820" s="25" t="s">
        <v>15</v>
      </c>
      <c r="C820" s="28" t="s">
        <v>616</v>
      </c>
      <c r="D820" s="60"/>
      <c r="E820" s="40"/>
      <c r="F820" s="40"/>
      <c r="G820" s="40"/>
      <c r="H820" s="40"/>
      <c r="I820" s="40">
        <f>+SUM(H821:H834)</f>
        <v>60.970679999999994</v>
      </c>
      <c r="J820" s="41" t="s">
        <v>45</v>
      </c>
    </row>
    <row r="821" spans="2:10" s="1" customFormat="1" ht="12.75" x14ac:dyDescent="0.2">
      <c r="B821" s="46"/>
      <c r="C821" s="39" t="s">
        <v>721</v>
      </c>
      <c r="D821" s="60">
        <v>1</v>
      </c>
      <c r="E821" s="40">
        <v>9</v>
      </c>
      <c r="F821" s="40">
        <v>0.4</v>
      </c>
      <c r="G821" s="40"/>
      <c r="H821" s="40">
        <f t="shared" ref="H821:H828" si="47">IF(AND(F821=0,G821=0),D821*E821,IF(AND(E821=0,G821=0),D821*F821,IF(AND(E821=0,F821=0),D821*G821,IF(AND(E821=0),D821*F821*G821,IF(AND(F821=0),D821*E821*G821,IF(AND(G821=0),D821*E821*F821,D821*E821*F821*G821))))))</f>
        <v>3.6</v>
      </c>
      <c r="I821" s="40"/>
      <c r="J821" s="41"/>
    </row>
    <row r="822" spans="2:10" s="1" customFormat="1" ht="12.75" x14ac:dyDescent="0.2">
      <c r="B822" s="46"/>
      <c r="C822" s="39" t="s">
        <v>722</v>
      </c>
      <c r="D822" s="60">
        <v>1</v>
      </c>
      <c r="E822" s="40">
        <v>17.399999999999999</v>
      </c>
      <c r="F822" s="40">
        <v>0.4</v>
      </c>
      <c r="G822" s="40"/>
      <c r="H822" s="40">
        <f t="shared" si="47"/>
        <v>6.96</v>
      </c>
      <c r="I822" s="40"/>
      <c r="J822" s="41"/>
    </row>
    <row r="823" spans="2:10" s="1" customFormat="1" ht="12.75" x14ac:dyDescent="0.2">
      <c r="B823" s="46"/>
      <c r="C823" s="39" t="s">
        <v>723</v>
      </c>
      <c r="D823" s="60">
        <v>1</v>
      </c>
      <c r="E823" s="40">
        <v>2</v>
      </c>
      <c r="F823" s="40">
        <v>0.5</v>
      </c>
      <c r="G823" s="40"/>
      <c r="H823" s="40">
        <f t="shared" si="47"/>
        <v>1</v>
      </c>
      <c r="I823" s="40"/>
      <c r="J823" s="41"/>
    </row>
    <row r="824" spans="2:10" s="1" customFormat="1" ht="12.75" x14ac:dyDescent="0.2">
      <c r="B824" s="46"/>
      <c r="C824" s="39" t="s">
        <v>443</v>
      </c>
      <c r="D824" s="8">
        <v>1</v>
      </c>
      <c r="E824" s="86">
        <f>20.5+0.9+1.75</f>
        <v>23.15</v>
      </c>
      <c r="F824" s="40">
        <v>0.5</v>
      </c>
      <c r="G824" s="40"/>
      <c r="H824" s="40">
        <f t="shared" si="47"/>
        <v>11.574999999999999</v>
      </c>
      <c r="I824" s="40"/>
      <c r="J824" s="41"/>
    </row>
    <row r="825" spans="2:10" s="1" customFormat="1" ht="12.75" x14ac:dyDescent="0.2">
      <c r="B825" s="46"/>
      <c r="C825" s="39" t="s">
        <v>391</v>
      </c>
      <c r="D825" s="40">
        <v>1</v>
      </c>
      <c r="E825" s="40">
        <v>0.9</v>
      </c>
      <c r="F825" s="40">
        <v>1.2</v>
      </c>
      <c r="G825" s="40"/>
      <c r="H825" s="40">
        <f t="shared" si="47"/>
        <v>1.08</v>
      </c>
      <c r="I825" s="40"/>
      <c r="J825" s="41"/>
    </row>
    <row r="826" spans="2:10" s="1" customFormat="1" ht="12.75" x14ac:dyDescent="0.2">
      <c r="B826" s="46"/>
      <c r="C826" s="39" t="s">
        <v>382</v>
      </c>
      <c r="D826" s="40">
        <v>1</v>
      </c>
      <c r="E826" s="40">
        <v>0.9</v>
      </c>
      <c r="F826" s="40">
        <v>1.2</v>
      </c>
      <c r="G826" s="40"/>
      <c r="H826" s="40">
        <f t="shared" si="47"/>
        <v>1.08</v>
      </c>
      <c r="I826" s="40"/>
      <c r="J826" s="41"/>
    </row>
    <row r="827" spans="2:10" s="1" customFormat="1" ht="12.75" x14ac:dyDescent="0.2">
      <c r="B827" s="46"/>
      <c r="C827" s="43" t="s">
        <v>490</v>
      </c>
      <c r="D827" s="60"/>
      <c r="E827" s="40"/>
      <c r="F827" s="40"/>
      <c r="G827" s="40"/>
      <c r="H827" s="40">
        <f t="shared" si="47"/>
        <v>0</v>
      </c>
      <c r="I827" s="40"/>
      <c r="J827" s="41"/>
    </row>
    <row r="828" spans="2:10" s="1" customFormat="1" ht="12.75" x14ac:dyDescent="0.2">
      <c r="B828" s="46"/>
      <c r="C828" s="39" t="s">
        <v>491</v>
      </c>
      <c r="D828" s="40">
        <v>1</v>
      </c>
      <c r="E828" s="40">
        <v>7.3</v>
      </c>
      <c r="F828" s="40">
        <f>4*0.0254+0.4</f>
        <v>0.50160000000000005</v>
      </c>
      <c r="G828" s="40"/>
      <c r="H828" s="40">
        <f t="shared" si="47"/>
        <v>3.66168</v>
      </c>
      <c r="I828" s="40"/>
      <c r="J828" s="41"/>
    </row>
    <row r="829" spans="2:10" s="1" customFormat="1" ht="12.75" x14ac:dyDescent="0.2">
      <c r="B829" s="46"/>
      <c r="C829" s="39"/>
      <c r="D829" s="60"/>
      <c r="E829" s="40"/>
      <c r="F829" s="40"/>
      <c r="G829" s="40"/>
      <c r="H829" s="40"/>
      <c r="I829" s="40"/>
      <c r="J829" s="41"/>
    </row>
    <row r="830" spans="2:10" s="1" customFormat="1" ht="12.75" x14ac:dyDescent="0.2">
      <c r="B830" s="46"/>
      <c r="C830" s="43" t="s">
        <v>468</v>
      </c>
      <c r="D830" s="60"/>
      <c r="E830" s="40"/>
      <c r="F830" s="40"/>
      <c r="G830" s="40"/>
      <c r="H830" s="40"/>
      <c r="I830" s="40"/>
      <c r="J830" s="41"/>
    </row>
    <row r="831" spans="2:10" s="1" customFormat="1" ht="12.75" x14ac:dyDescent="0.2">
      <c r="B831" s="46"/>
      <c r="C831" s="39" t="s">
        <v>494</v>
      </c>
      <c r="D831" s="1">
        <v>1</v>
      </c>
      <c r="E831" s="40">
        <f>5.22+12.22+5.75+1</f>
        <v>24.19</v>
      </c>
      <c r="F831" s="40">
        <v>0.6</v>
      </c>
      <c r="G831" s="40"/>
      <c r="H831" s="40">
        <f>IF(AND(F831=0,G831=0),D831*E831,IF(AND(E831=0,G831=0),D831*F831,IF(AND(E831=0,F831=0),D831*G831,IF(AND(E831=0),D831*F831*G831,IF(AND(F831=0),D831*E831*G831,IF(AND(G831=0),D831*E831*F831,D831*E831*F831*G831))))))</f>
        <v>14.513999999999999</v>
      </c>
      <c r="I831" s="40"/>
      <c r="J831" s="41"/>
    </row>
    <row r="832" spans="2:10" s="1" customFormat="1" ht="12.75" x14ac:dyDescent="0.2">
      <c r="B832" s="46"/>
      <c r="C832" s="39"/>
      <c r="D832" s="60"/>
      <c r="E832" s="40"/>
      <c r="F832" s="40"/>
      <c r="G832" s="40"/>
      <c r="H832" s="40"/>
      <c r="I832" s="40"/>
      <c r="J832" s="41"/>
    </row>
    <row r="833" spans="2:10" s="1" customFormat="1" ht="12.75" x14ac:dyDescent="0.2">
      <c r="B833" s="46"/>
      <c r="C833" s="43" t="s">
        <v>250</v>
      </c>
      <c r="D833" s="60"/>
      <c r="E833" s="40"/>
      <c r="F833" s="40"/>
      <c r="G833" s="40"/>
      <c r="H833" s="40"/>
      <c r="I833" s="40"/>
      <c r="J833" s="41"/>
    </row>
    <row r="834" spans="2:10" s="1" customFormat="1" ht="12.75" x14ac:dyDescent="0.2">
      <c r="B834" s="46"/>
      <c r="C834" s="39" t="s">
        <v>496</v>
      </c>
      <c r="D834" s="40">
        <v>1</v>
      </c>
      <c r="E834" s="40">
        <v>25</v>
      </c>
      <c r="F834" s="40">
        <v>0.7</v>
      </c>
      <c r="G834" s="40"/>
      <c r="H834" s="40">
        <f>IF(AND(F834=0,G834=0),D834*E834,IF(AND(E834=0,G834=0),D834*F834,IF(AND(E834=0,F834=0),D834*G834,IF(AND(E834=0),D834*F834*G834,IF(AND(F834=0),D834*E834*G834,IF(AND(G834=0),D834*E834*F834,D834*E834*F834*G834))))))</f>
        <v>17.5</v>
      </c>
      <c r="I834" s="40"/>
      <c r="J834" s="41"/>
    </row>
    <row r="835" spans="2:10" x14ac:dyDescent="0.25">
      <c r="B835" s="25" t="s">
        <v>232</v>
      </c>
      <c r="C835" s="28" t="s">
        <v>617</v>
      </c>
      <c r="D835" s="23"/>
      <c r="E835" s="23"/>
      <c r="F835" s="23"/>
      <c r="G835" s="23"/>
      <c r="H835" s="24"/>
      <c r="I835" s="25">
        <f>+I820</f>
        <v>60.970679999999994</v>
      </c>
      <c r="J835" s="26" t="s">
        <v>45</v>
      </c>
    </row>
    <row r="836" spans="2:10" s="1" customFormat="1" ht="14.25" customHeight="1" x14ac:dyDescent="0.2">
      <c r="B836" s="43"/>
      <c r="C836" s="43"/>
      <c r="D836" s="60"/>
      <c r="E836" s="40"/>
      <c r="F836" s="40"/>
      <c r="G836" s="40"/>
      <c r="H836" s="40"/>
      <c r="I836" s="44"/>
      <c r="J836" s="45"/>
    </row>
    <row r="837" spans="2:10" x14ac:dyDescent="0.25">
      <c r="B837" s="73" t="s">
        <v>25</v>
      </c>
      <c r="C837" s="73" t="s">
        <v>614</v>
      </c>
      <c r="D837" s="23"/>
      <c r="E837" s="23"/>
      <c r="F837" s="23"/>
      <c r="G837" s="23"/>
      <c r="H837" s="24"/>
      <c r="I837" s="25"/>
      <c r="J837" s="26"/>
    </row>
    <row r="838" spans="2:10" s="1" customFormat="1" ht="12.75" x14ac:dyDescent="0.2">
      <c r="B838" s="25" t="s">
        <v>26</v>
      </c>
      <c r="C838" s="1" t="s">
        <v>622</v>
      </c>
      <c r="D838" s="60"/>
      <c r="E838" s="40"/>
      <c r="F838" s="40"/>
      <c r="G838" s="40"/>
      <c r="H838" s="24"/>
      <c r="I838" s="25">
        <f>+SUM(H839:H842)</f>
        <v>14.4985</v>
      </c>
      <c r="J838" s="26" t="s">
        <v>4</v>
      </c>
    </row>
    <row r="839" spans="2:10" s="1" customFormat="1" ht="12.75" x14ac:dyDescent="0.2">
      <c r="B839" s="25"/>
      <c r="C839" s="39" t="s">
        <v>686</v>
      </c>
      <c r="D839" s="60">
        <v>1</v>
      </c>
      <c r="E839" s="40">
        <v>9</v>
      </c>
      <c r="F839" s="40">
        <v>0.4</v>
      </c>
      <c r="G839" s="40">
        <f>0.3+0.2</f>
        <v>0.5</v>
      </c>
      <c r="H839" s="40">
        <f>IF(AND(F839=0,G839=0),D839*E839,IF(AND(E839=0,G839=0),D839*F839,IF(AND(E839=0,F839=0),D839*G839,IF(AND(E839=0),D839*F839*G839,IF(AND(F839=0),D839*E839*G839,IF(AND(G839=0),D839*E839*F839,D839*E839*F839*G839))))))</f>
        <v>1.8</v>
      </c>
      <c r="I839" s="40"/>
      <c r="J839" s="41"/>
    </row>
    <row r="840" spans="2:10" s="1" customFormat="1" ht="12.75" x14ac:dyDescent="0.2">
      <c r="B840" s="57"/>
      <c r="C840" s="39" t="s">
        <v>687</v>
      </c>
      <c r="D840" s="60">
        <v>1</v>
      </c>
      <c r="E840" s="40">
        <v>17.399999999999999</v>
      </c>
      <c r="F840" s="40">
        <v>0.4</v>
      </c>
      <c r="G840" s="40">
        <f>0.4+0.2</f>
        <v>0.60000000000000009</v>
      </c>
      <c r="H840" s="40">
        <f>IF(AND(F840=0,G840=0),D840*E840,IF(AND(E840=0,G840=0),D840*F840,IF(AND(E840=0,F840=0),D840*G840,IF(AND(E840=0),D840*F840*G840,IF(AND(F840=0),D840*E840*G840,IF(AND(G840=0),D840*E840*F840,D840*E840*F840*G840))))))</f>
        <v>4.1760000000000002</v>
      </c>
      <c r="I840" s="40"/>
      <c r="J840" s="41"/>
    </row>
    <row r="841" spans="2:10" s="1" customFormat="1" ht="12.75" x14ac:dyDescent="0.2">
      <c r="B841" s="57"/>
      <c r="C841" s="39" t="s">
        <v>435</v>
      </c>
      <c r="D841" s="60">
        <v>1</v>
      </c>
      <c r="E841" s="40">
        <v>2</v>
      </c>
      <c r="F841" s="40">
        <v>0.5</v>
      </c>
      <c r="G841" s="40">
        <f>0.22+0.2</f>
        <v>0.42000000000000004</v>
      </c>
      <c r="H841" s="40">
        <f>IF(AND(F841=0,G841=0),D841*E841,IF(AND(E841=0,G841=0),D841*F841,IF(AND(E841=0,F841=0),D841*G841,IF(AND(E841=0),D841*F841*G841,IF(AND(F841=0),D841*E841*G841,IF(AND(G841=0),D841*E841*F841,D841*E841*F841*G841))))))</f>
        <v>0.42000000000000004</v>
      </c>
      <c r="I841" s="40"/>
      <c r="J841" s="41"/>
    </row>
    <row r="842" spans="2:10" s="1" customFormat="1" ht="12.75" x14ac:dyDescent="0.2">
      <c r="B842" s="57"/>
      <c r="C842" s="39" t="s">
        <v>443</v>
      </c>
      <c r="D842" s="8">
        <v>1</v>
      </c>
      <c r="E842" s="86">
        <f>20.5+0.9+1.75</f>
        <v>23.15</v>
      </c>
      <c r="F842" s="40">
        <v>0.5</v>
      </c>
      <c r="G842" s="40">
        <f>0.45+0.25</f>
        <v>0.7</v>
      </c>
      <c r="H842" s="40">
        <f>IF(AND(F842=0,G842=0),D842*E842,IF(AND(E842=0,G842=0),D842*F842,IF(AND(E842=0,F842=0),D842*G842,IF(AND(E842=0),D842*F842*G842,IF(AND(F842=0),D842*E842*G842,IF(AND(G842=0),D842*E842*F842,D842*E842*F842*G842))))))</f>
        <v>8.1024999999999991</v>
      </c>
      <c r="I842" s="40"/>
      <c r="J842" s="41"/>
    </row>
    <row r="843" spans="2:10" s="1" customFormat="1" ht="12.75" x14ac:dyDescent="0.2">
      <c r="B843" s="25" t="s">
        <v>654</v>
      </c>
      <c r="C843" s="1" t="s">
        <v>623</v>
      </c>
      <c r="D843" s="60"/>
      <c r="E843" s="40"/>
      <c r="F843" s="40"/>
      <c r="G843" s="40"/>
      <c r="H843" s="24"/>
      <c r="I843" s="25">
        <f>+SUM(H844:H845)</f>
        <v>1.8036000000000001</v>
      </c>
      <c r="J843" s="26" t="s">
        <v>4</v>
      </c>
    </row>
    <row r="844" spans="2:10" s="1" customFormat="1" ht="12.75" x14ac:dyDescent="0.2">
      <c r="B844" s="57"/>
      <c r="C844" s="39" t="s">
        <v>391</v>
      </c>
      <c r="D844" s="40">
        <v>1</v>
      </c>
      <c r="E844" s="40">
        <v>0.9</v>
      </c>
      <c r="F844" s="40">
        <v>1.2</v>
      </c>
      <c r="G844" s="40">
        <f>0.57+0.25</f>
        <v>0.82</v>
      </c>
      <c r="H844" s="40">
        <f>IF(AND(F844=0,G844=0),D844*E844,IF(AND(E844=0,G844=0),D844*F844,IF(AND(E844=0,F844=0),D844*G844,IF(AND(E844=0),D844*F844*G844,IF(AND(F844=0),D844*E844*G844,IF(AND(G844=0),D844*E844*F844,D844*E844*F844*G844))))))</f>
        <v>0.88560000000000005</v>
      </c>
      <c r="I844" s="40"/>
      <c r="J844" s="41"/>
    </row>
    <row r="845" spans="2:10" s="1" customFormat="1" ht="12.75" x14ac:dyDescent="0.2">
      <c r="B845" s="57"/>
      <c r="C845" s="39" t="s">
        <v>382</v>
      </c>
      <c r="D845" s="40">
        <v>1</v>
      </c>
      <c r="E845" s="40">
        <v>0.9</v>
      </c>
      <c r="F845" s="40">
        <v>1.2</v>
      </c>
      <c r="G845" s="40">
        <f>0.6+0.25</f>
        <v>0.85</v>
      </c>
      <c r="H845" s="40">
        <f>IF(AND(F845=0,G845=0),D845*E845,IF(AND(E845=0,G845=0),D845*F845,IF(AND(E845=0,F845=0),D845*G845,IF(AND(E845=0),D845*F845*G845,IF(AND(F845=0),D845*E845*G845,IF(AND(G845=0),D845*E845*F845,D845*E845*F845*G845))))))</f>
        <v>0.91800000000000004</v>
      </c>
      <c r="I845" s="40"/>
      <c r="J845" s="41"/>
    </row>
    <row r="846" spans="2:10" s="1" customFormat="1" ht="12.75" x14ac:dyDescent="0.2">
      <c r="B846" s="25" t="s">
        <v>822</v>
      </c>
      <c r="C846" s="1" t="s">
        <v>738</v>
      </c>
      <c r="D846" s="60"/>
      <c r="E846" s="40"/>
      <c r="F846" s="40"/>
      <c r="G846" s="40"/>
      <c r="H846" s="40"/>
      <c r="I846" s="40">
        <f>+SUM(H869)</f>
        <v>0</v>
      </c>
      <c r="J846" s="41" t="s">
        <v>4</v>
      </c>
    </row>
    <row r="847" spans="2:10" s="1" customFormat="1" ht="12.75" x14ac:dyDescent="0.2">
      <c r="B847" s="46"/>
      <c r="C847" s="43"/>
      <c r="D847" s="60"/>
      <c r="E847" s="40"/>
      <c r="F847" s="40"/>
      <c r="G847" s="40"/>
      <c r="H847" s="40"/>
      <c r="J847" s="41"/>
    </row>
    <row r="848" spans="2:10" x14ac:dyDescent="0.25">
      <c r="B848" s="25" t="s">
        <v>820</v>
      </c>
      <c r="C848" s="414" t="s">
        <v>779</v>
      </c>
      <c r="D848" s="23"/>
      <c r="E848" s="23"/>
      <c r="F848" s="23"/>
      <c r="G848" s="23"/>
      <c r="I848" s="24">
        <f>+SUM(H849:H854)</f>
        <v>25.294999999999998</v>
      </c>
      <c r="J848" s="26" t="s">
        <v>45</v>
      </c>
    </row>
    <row r="849" spans="2:10" x14ac:dyDescent="0.25">
      <c r="B849" s="25"/>
      <c r="C849" s="39" t="s">
        <v>391</v>
      </c>
      <c r="D849" s="40">
        <v>1</v>
      </c>
      <c r="E849" s="40">
        <v>0.9</v>
      </c>
      <c r="F849" s="40">
        <v>1.2</v>
      </c>
      <c r="G849" s="40"/>
      <c r="H849" s="40">
        <f t="shared" ref="H849:H854" si="48">IF(AND(F849=0,G849=0),D849*E849,IF(AND(E849=0,G849=0),D849*F849,IF(AND(E849=0,F849=0),D849*G849,IF(AND(E849=0),D849*F849*G849,IF(AND(F849=0),D849*E849*G849,IF(AND(G849=0),D849*E849*F849,D849*E849*F849*G849))))))</f>
        <v>1.08</v>
      </c>
      <c r="I849" s="25"/>
      <c r="J849" s="26"/>
    </row>
    <row r="850" spans="2:10" x14ac:dyDescent="0.25">
      <c r="B850" s="25"/>
      <c r="C850" s="39" t="s">
        <v>382</v>
      </c>
      <c r="D850" s="40">
        <v>1</v>
      </c>
      <c r="E850" s="40">
        <v>0.9</v>
      </c>
      <c r="F850" s="40">
        <v>1.2</v>
      </c>
      <c r="G850" s="40"/>
      <c r="H850" s="40">
        <f t="shared" si="48"/>
        <v>1.08</v>
      </c>
      <c r="I850" s="25"/>
      <c r="J850" s="26"/>
    </row>
    <row r="851" spans="2:10" x14ac:dyDescent="0.25">
      <c r="B851" s="25"/>
      <c r="C851" s="39" t="s">
        <v>787</v>
      </c>
      <c r="D851" s="60">
        <v>1</v>
      </c>
      <c r="E851" s="40">
        <v>9</v>
      </c>
      <c r="F851" s="40">
        <v>0.4</v>
      </c>
      <c r="G851" s="40"/>
      <c r="H851" s="40">
        <f t="shared" si="48"/>
        <v>3.6</v>
      </c>
      <c r="I851" s="25"/>
      <c r="J851" s="26"/>
    </row>
    <row r="852" spans="2:10" x14ac:dyDescent="0.25">
      <c r="B852" s="25"/>
      <c r="C852" s="39" t="s">
        <v>722</v>
      </c>
      <c r="D852" s="60">
        <v>1</v>
      </c>
      <c r="E852" s="40">
        <v>17.399999999999999</v>
      </c>
      <c r="F852" s="40">
        <v>0.4</v>
      </c>
      <c r="G852" s="40"/>
      <c r="H852" s="40">
        <f t="shared" si="48"/>
        <v>6.96</v>
      </c>
      <c r="I852" s="25"/>
      <c r="J852" s="26"/>
    </row>
    <row r="853" spans="2:10" x14ac:dyDescent="0.25">
      <c r="B853" s="25"/>
      <c r="C853" s="39" t="s">
        <v>788</v>
      </c>
      <c r="D853" s="60">
        <v>1</v>
      </c>
      <c r="E853" s="40">
        <v>2</v>
      </c>
      <c r="F853" s="40">
        <v>0.5</v>
      </c>
      <c r="G853" s="40"/>
      <c r="H853" s="40">
        <f t="shared" si="48"/>
        <v>1</v>
      </c>
      <c r="I853" s="25"/>
      <c r="J853" s="26"/>
    </row>
    <row r="854" spans="2:10" x14ac:dyDescent="0.25">
      <c r="B854" s="25"/>
      <c r="C854" s="39" t="s">
        <v>443</v>
      </c>
      <c r="D854" s="8">
        <v>1</v>
      </c>
      <c r="E854" s="86">
        <f>20.5+0.9+1.75</f>
        <v>23.15</v>
      </c>
      <c r="F854" s="40">
        <v>0.5</v>
      </c>
      <c r="G854" s="40"/>
      <c r="H854" s="40">
        <f t="shared" si="48"/>
        <v>11.574999999999999</v>
      </c>
      <c r="I854" s="25"/>
      <c r="J854" s="26"/>
    </row>
    <row r="855" spans="2:10" s="1" customFormat="1" ht="12.75" x14ac:dyDescent="0.2">
      <c r="B855" s="25" t="s">
        <v>821</v>
      </c>
      <c r="C855" s="414" t="s">
        <v>776</v>
      </c>
      <c r="D855" s="60"/>
      <c r="E855" s="40"/>
      <c r="F855" s="40"/>
      <c r="G855" s="40"/>
      <c r="H855" s="40"/>
      <c r="I855" s="40">
        <f>+H857+H861+H866-H859-H863-H868</f>
        <v>121.07446672760041</v>
      </c>
      <c r="J855" s="41" t="s">
        <v>4</v>
      </c>
    </row>
    <row r="856" spans="2:10" s="1" customFormat="1" ht="12.75" x14ac:dyDescent="0.2">
      <c r="B856" s="46"/>
      <c r="C856" s="43" t="s">
        <v>490</v>
      </c>
      <c r="D856" s="60"/>
      <c r="E856" s="40"/>
      <c r="F856" s="40"/>
      <c r="G856" s="40"/>
      <c r="H856" s="40"/>
      <c r="I856" s="40"/>
      <c r="J856" s="41"/>
    </row>
    <row r="857" spans="2:10" s="1" customFormat="1" ht="12.75" x14ac:dyDescent="0.2">
      <c r="B857" s="46"/>
      <c r="C857" s="39" t="s">
        <v>491</v>
      </c>
      <c r="D857" s="40">
        <v>1</v>
      </c>
      <c r="E857" s="40">
        <v>7.3</v>
      </c>
      <c r="F857" s="40">
        <f>4*0.0254+0.4</f>
        <v>0.50160000000000005</v>
      </c>
      <c r="G857" s="40">
        <v>0.35</v>
      </c>
      <c r="H857" s="40">
        <f>+(F857+G857*2)*E857</f>
        <v>8.7716799999999999</v>
      </c>
      <c r="I857" s="40"/>
      <c r="J857" s="41"/>
    </row>
    <row r="858" spans="2:10" s="1" customFormat="1" ht="12.75" x14ac:dyDescent="0.2">
      <c r="B858" s="46"/>
      <c r="C858" s="414"/>
      <c r="F858" s="40" t="s">
        <v>786</v>
      </c>
      <c r="G858" s="40">
        <v>4</v>
      </c>
      <c r="I858" s="40"/>
      <c r="J858" s="41"/>
    </row>
    <row r="859" spans="2:10" s="1" customFormat="1" ht="12.75" x14ac:dyDescent="0.2">
      <c r="B859" s="46"/>
      <c r="C859" s="39" t="s">
        <v>784</v>
      </c>
      <c r="D859" s="60">
        <v>1</v>
      </c>
      <c r="E859" s="40">
        <f>+SUM(E857:E857)</f>
        <v>7.3</v>
      </c>
      <c r="F859" s="40" t="s">
        <v>785</v>
      </c>
      <c r="G859" s="40">
        <f>+PI()*((G858*0.0254)^2)/4</f>
        <v>8.107319665559963E-3</v>
      </c>
      <c r="H859" s="40">
        <f>+E859*G859</f>
        <v>5.9183433558587725E-2</v>
      </c>
      <c r="I859" s="40"/>
      <c r="J859" s="41"/>
    </row>
    <row r="860" spans="2:10" s="1" customFormat="1" ht="12.75" x14ac:dyDescent="0.2">
      <c r="B860" s="46"/>
      <c r="C860" s="43" t="s">
        <v>468</v>
      </c>
      <c r="D860" s="60"/>
      <c r="E860" s="40"/>
      <c r="F860" s="40"/>
      <c r="G860" s="40"/>
      <c r="H860" s="40"/>
      <c r="I860" s="40"/>
      <c r="J860" s="41"/>
    </row>
    <row r="861" spans="2:10" s="1" customFormat="1" ht="12.75" x14ac:dyDescent="0.2">
      <c r="B861" s="46"/>
      <c r="C861" s="39" t="s">
        <v>494</v>
      </c>
      <c r="D861" s="1">
        <v>1</v>
      </c>
      <c r="E861" s="40">
        <f>5.22+12.22+5.75+1</f>
        <v>24.19</v>
      </c>
      <c r="F861" s="40">
        <v>1</v>
      </c>
      <c r="G861" s="40">
        <v>1</v>
      </c>
      <c r="H861" s="40">
        <f>+(F861+G861*2)*E861</f>
        <v>72.570000000000007</v>
      </c>
      <c r="I861" s="40"/>
      <c r="J861" s="41"/>
    </row>
    <row r="862" spans="2:10" s="1" customFormat="1" ht="12.75" x14ac:dyDescent="0.2">
      <c r="B862" s="46"/>
      <c r="F862" s="40" t="s">
        <v>786</v>
      </c>
      <c r="G862" s="40">
        <v>6</v>
      </c>
      <c r="I862" s="40"/>
      <c r="J862" s="41"/>
    </row>
    <row r="863" spans="2:10" s="1" customFormat="1" ht="12.75" x14ac:dyDescent="0.2">
      <c r="B863" s="46"/>
      <c r="C863" s="39" t="s">
        <v>784</v>
      </c>
      <c r="D863" s="60">
        <v>1</v>
      </c>
      <c r="E863" s="40">
        <f>+SUM(E861:E861)</f>
        <v>24.19</v>
      </c>
      <c r="F863" s="40" t="s">
        <v>785</v>
      </c>
      <c r="G863" s="40">
        <f>+PI()*((G862*0.0254)^2)/4</f>
        <v>1.8241469247509915E-2</v>
      </c>
      <c r="H863" s="40">
        <f>+E863*G863</f>
        <v>0.44126114109726489</v>
      </c>
      <c r="I863" s="40"/>
      <c r="J863" s="41"/>
    </row>
    <row r="864" spans="2:10" s="1" customFormat="1" ht="12.75" x14ac:dyDescent="0.2">
      <c r="B864" s="46"/>
      <c r="C864" s="39"/>
      <c r="D864" s="60"/>
      <c r="E864" s="40"/>
      <c r="F864" s="40"/>
      <c r="G864" s="40"/>
      <c r="H864" s="40"/>
      <c r="I864" s="40"/>
      <c r="J864" s="41"/>
    </row>
    <row r="865" spans="2:10" s="1" customFormat="1" ht="12.75" x14ac:dyDescent="0.2">
      <c r="B865" s="46"/>
      <c r="C865" s="43" t="s">
        <v>250</v>
      </c>
      <c r="D865" s="60"/>
      <c r="E865" s="40"/>
      <c r="F865" s="40"/>
      <c r="G865" s="40"/>
      <c r="H865" s="40"/>
      <c r="I865" s="40"/>
      <c r="J865" s="41"/>
    </row>
    <row r="866" spans="2:10" s="1" customFormat="1" ht="12.75" x14ac:dyDescent="0.2">
      <c r="B866" s="46"/>
      <c r="C866" s="39" t="s">
        <v>496</v>
      </c>
      <c r="D866" s="40">
        <v>1</v>
      </c>
      <c r="E866" s="40">
        <v>25</v>
      </c>
      <c r="F866" s="40">
        <v>0.7</v>
      </c>
      <c r="G866" s="40">
        <v>0.48</v>
      </c>
      <c r="H866" s="40">
        <f>+(F866+G866*2)*E866</f>
        <v>41.5</v>
      </c>
      <c r="I866" s="40"/>
      <c r="J866" s="41"/>
    </row>
    <row r="867" spans="2:10" s="1" customFormat="1" ht="12.75" x14ac:dyDescent="0.2">
      <c r="B867" s="46"/>
      <c r="F867" s="40" t="s">
        <v>786</v>
      </c>
      <c r="G867" s="40">
        <v>10</v>
      </c>
      <c r="I867" s="40"/>
      <c r="J867" s="41"/>
    </row>
    <row r="868" spans="2:10" s="1" customFormat="1" ht="12.75" x14ac:dyDescent="0.2">
      <c r="B868" s="46"/>
      <c r="C868" s="39" t="s">
        <v>784</v>
      </c>
      <c r="D868" s="60">
        <v>1</v>
      </c>
      <c r="E868" s="40">
        <f>+SUM(E866:E866)</f>
        <v>25</v>
      </c>
      <c r="F868" s="40" t="s">
        <v>785</v>
      </c>
      <c r="G868" s="40">
        <f>+PI()*((G867*0.0254)^2)/4</f>
        <v>5.0670747909749778E-2</v>
      </c>
      <c r="H868" s="40">
        <f>+E868*G868</f>
        <v>1.2667686977437445</v>
      </c>
      <c r="I868" s="40"/>
      <c r="J868" s="41"/>
    </row>
    <row r="869" spans="2:10" s="1" customFormat="1" ht="12.75" x14ac:dyDescent="0.2">
      <c r="B869" s="25" t="s">
        <v>823</v>
      </c>
      <c r="C869" s="28" t="s">
        <v>719</v>
      </c>
      <c r="D869" s="60"/>
      <c r="E869" s="40"/>
      <c r="F869" s="40"/>
      <c r="G869" s="40"/>
      <c r="H869" s="40"/>
      <c r="I869" s="40">
        <f>+SUM(H870:H873)</f>
        <v>84.789999999999992</v>
      </c>
      <c r="J869" s="41" t="s">
        <v>45</v>
      </c>
    </row>
    <row r="870" spans="2:10" s="1" customFormat="1" ht="12.75" x14ac:dyDescent="0.2">
      <c r="B870" s="46"/>
      <c r="C870" s="39" t="s">
        <v>686</v>
      </c>
      <c r="D870" s="60">
        <v>1</v>
      </c>
      <c r="E870" s="40">
        <v>9</v>
      </c>
      <c r="F870" s="40">
        <v>0.4</v>
      </c>
      <c r="G870" s="40">
        <f>0.3+0.2</f>
        <v>0.5</v>
      </c>
      <c r="H870" s="40">
        <f>+(F870+G870*2)*E870</f>
        <v>12.6</v>
      </c>
      <c r="I870" s="40"/>
      <c r="J870" s="41"/>
    </row>
    <row r="871" spans="2:10" s="1" customFormat="1" ht="12.75" x14ac:dyDescent="0.2">
      <c r="B871" s="46"/>
      <c r="C871" s="39" t="s">
        <v>687</v>
      </c>
      <c r="D871" s="60">
        <v>1</v>
      </c>
      <c r="E871" s="40">
        <v>17.399999999999999</v>
      </c>
      <c r="F871" s="40">
        <v>0.4</v>
      </c>
      <c r="G871" s="40">
        <f>0.4+0.2</f>
        <v>0.60000000000000009</v>
      </c>
      <c r="H871" s="40">
        <f>+(F871+G871*2)*E871</f>
        <v>27.84</v>
      </c>
      <c r="I871" s="40"/>
      <c r="J871" s="41"/>
    </row>
    <row r="872" spans="2:10" s="1" customFormat="1" ht="12.75" x14ac:dyDescent="0.2">
      <c r="B872" s="46"/>
      <c r="C872" s="39" t="s">
        <v>435</v>
      </c>
      <c r="D872" s="60">
        <v>1</v>
      </c>
      <c r="E872" s="40">
        <v>2</v>
      </c>
      <c r="F872" s="40">
        <v>0.5</v>
      </c>
      <c r="G872" s="40">
        <f>0.22+0.2</f>
        <v>0.42000000000000004</v>
      </c>
      <c r="H872" s="40">
        <f>+(F872+G872*2)*E872</f>
        <v>2.68</v>
      </c>
      <c r="I872" s="40"/>
      <c r="J872" s="41"/>
    </row>
    <row r="873" spans="2:10" s="1" customFormat="1" ht="12.75" x14ac:dyDescent="0.2">
      <c r="B873" s="46"/>
      <c r="C873" s="39" t="s">
        <v>443</v>
      </c>
      <c r="D873" s="8">
        <v>1</v>
      </c>
      <c r="E873" s="86">
        <f>20.5+0.9+1.75</f>
        <v>23.15</v>
      </c>
      <c r="F873" s="40">
        <v>0.5</v>
      </c>
      <c r="G873" s="40">
        <f>0.45+0.2</f>
        <v>0.65</v>
      </c>
      <c r="H873" s="40">
        <f>+(F873+G873*2)*E873</f>
        <v>41.67</v>
      </c>
      <c r="I873" s="40"/>
      <c r="J873" s="41"/>
    </row>
    <row r="874" spans="2:10" s="1" customFormat="1" ht="12.75" x14ac:dyDescent="0.2">
      <c r="B874" s="25" t="s">
        <v>824</v>
      </c>
      <c r="C874" s="28" t="s">
        <v>718</v>
      </c>
      <c r="D874" s="60"/>
      <c r="E874" s="40"/>
      <c r="F874" s="40"/>
      <c r="G874" s="40"/>
      <c r="H874" s="40"/>
      <c r="I874" s="40">
        <f>+SUM(H876:H882)</f>
        <v>113.16568000000001</v>
      </c>
      <c r="J874" s="41" t="s">
        <v>45</v>
      </c>
    </row>
    <row r="875" spans="2:10" s="1" customFormat="1" ht="12.75" x14ac:dyDescent="0.2">
      <c r="B875" s="46"/>
      <c r="C875" s="43" t="s">
        <v>490</v>
      </c>
      <c r="D875" s="60"/>
      <c r="E875" s="40"/>
      <c r="F875" s="40"/>
      <c r="G875" s="40"/>
      <c r="H875" s="40"/>
      <c r="I875" s="40"/>
      <c r="J875" s="41"/>
    </row>
    <row r="876" spans="2:10" s="1" customFormat="1" ht="12.75" x14ac:dyDescent="0.2">
      <c r="B876" s="46"/>
      <c r="C876" s="39" t="s">
        <v>491</v>
      </c>
      <c r="D876" s="40">
        <v>1</v>
      </c>
      <c r="E876" s="40">
        <v>7.3</v>
      </c>
      <c r="F876" s="40">
        <f>4*0.0254+0.4</f>
        <v>0.50160000000000005</v>
      </c>
      <c r="G876" s="40">
        <v>0.35</v>
      </c>
      <c r="H876" s="40">
        <f>+(F876+G876*2)*E876</f>
        <v>8.7716799999999999</v>
      </c>
      <c r="I876" s="40"/>
      <c r="J876" s="41"/>
    </row>
    <row r="877" spans="2:10" s="1" customFormat="1" ht="12.75" x14ac:dyDescent="0.2">
      <c r="B877" s="46"/>
      <c r="C877" s="39"/>
      <c r="D877" s="60"/>
      <c r="E877" s="40"/>
      <c r="F877" s="40"/>
      <c r="G877" s="40"/>
      <c r="H877" s="40"/>
      <c r="I877" s="40"/>
      <c r="J877" s="41"/>
    </row>
    <row r="878" spans="2:10" s="1" customFormat="1" ht="12.75" x14ac:dyDescent="0.2">
      <c r="B878" s="46"/>
      <c r="C878" s="43" t="s">
        <v>468</v>
      </c>
      <c r="D878" s="60"/>
      <c r="E878" s="40"/>
      <c r="F878" s="40"/>
      <c r="G878" s="40"/>
      <c r="H878" s="40"/>
      <c r="I878" s="40"/>
      <c r="J878" s="41"/>
    </row>
    <row r="879" spans="2:10" s="1" customFormat="1" ht="12.75" x14ac:dyDescent="0.2">
      <c r="B879" s="46"/>
      <c r="C879" s="39" t="s">
        <v>494</v>
      </c>
      <c r="D879" s="1">
        <v>1</v>
      </c>
      <c r="E879" s="40">
        <f>5.22+12.22+5.75+1</f>
        <v>24.19</v>
      </c>
      <c r="F879" s="40">
        <v>0.6</v>
      </c>
      <c r="G879" s="40">
        <v>1</v>
      </c>
      <c r="H879" s="40">
        <f>+(F879+G879*2)*E879</f>
        <v>62.894000000000005</v>
      </c>
      <c r="I879" s="40"/>
      <c r="J879" s="41"/>
    </row>
    <row r="880" spans="2:10" s="1" customFormat="1" ht="12.75" x14ac:dyDescent="0.2">
      <c r="B880" s="46"/>
      <c r="C880" s="39"/>
      <c r="D880" s="60"/>
      <c r="E880" s="40"/>
      <c r="F880" s="40"/>
      <c r="G880" s="40"/>
      <c r="H880" s="40"/>
      <c r="I880" s="40"/>
      <c r="J880" s="41"/>
    </row>
    <row r="881" spans="2:10" s="1" customFormat="1" ht="12.75" x14ac:dyDescent="0.2">
      <c r="B881" s="46"/>
      <c r="C881" s="43" t="s">
        <v>250</v>
      </c>
      <c r="D881" s="60"/>
      <c r="E881" s="40"/>
      <c r="F881" s="40"/>
      <c r="G881" s="40"/>
      <c r="H881" s="40"/>
      <c r="I881" s="40"/>
      <c r="J881" s="41"/>
    </row>
    <row r="882" spans="2:10" s="1" customFormat="1" ht="12.75" x14ac:dyDescent="0.2">
      <c r="B882" s="46"/>
      <c r="C882" s="39" t="s">
        <v>496</v>
      </c>
      <c r="D882" s="40">
        <v>1</v>
      </c>
      <c r="E882" s="40">
        <v>25</v>
      </c>
      <c r="F882" s="40">
        <v>0.7</v>
      </c>
      <c r="G882" s="40">
        <v>0.48</v>
      </c>
      <c r="H882" s="40">
        <f>+(F882+G882*2)*E882</f>
        <v>41.5</v>
      </c>
      <c r="I882" s="40"/>
      <c r="J882" s="41"/>
    </row>
    <row r="883" spans="2:10" s="1" customFormat="1" ht="12.75" x14ac:dyDescent="0.2">
      <c r="B883" s="25" t="s">
        <v>825</v>
      </c>
      <c r="C883" s="28" t="s">
        <v>794</v>
      </c>
      <c r="D883" s="60"/>
      <c r="E883" s="40"/>
      <c r="F883" s="40" t="s">
        <v>795</v>
      </c>
      <c r="G883" s="40"/>
      <c r="H883" s="40"/>
      <c r="I883" s="40">
        <f>+SUM(H884:H894)</f>
        <v>407.58850294794655</v>
      </c>
      <c r="J883" s="41" t="s">
        <v>12</v>
      </c>
    </row>
    <row r="884" spans="2:10" s="1" customFormat="1" ht="12.75" x14ac:dyDescent="0.2">
      <c r="B884" s="380"/>
      <c r="C884" s="39" t="s">
        <v>772</v>
      </c>
      <c r="D884" s="60">
        <v>4</v>
      </c>
      <c r="E884" s="40">
        <v>14.8</v>
      </c>
      <c r="F884" s="40">
        <v>1.64</v>
      </c>
      <c r="G884" s="40"/>
      <c r="H884" s="40">
        <f>IF(AND(F884=0,G884=0),D884*E884,IF(AND(E884=0,G884=0),D884*F884,IF(AND(E884=0,F884=0),D884*G884,IF(AND(E884=0),D884*F884*G884,IF(AND(F884=0),D884*E884*G884,IF(AND(G884=0),D884*E884*F884,D884*E884*F884*G884))))))</f>
        <v>97.087999999999994</v>
      </c>
      <c r="I884" s="40"/>
      <c r="J884" s="41"/>
    </row>
    <row r="885" spans="2:10" s="1" customFormat="1" ht="12.75" x14ac:dyDescent="0.2">
      <c r="B885" s="380"/>
      <c r="C885" s="39" t="s">
        <v>451</v>
      </c>
      <c r="D885" s="60">
        <v>1</v>
      </c>
      <c r="E885" s="89">
        <v>11.3</v>
      </c>
      <c r="F885" s="40">
        <v>1.64</v>
      </c>
      <c r="G885" s="40"/>
      <c r="H885" s="40">
        <f>IF(AND(F885=0,G885=0),D885*E885,IF(AND(E885=0,G885=0),D885*F885,IF(AND(E885=0,F885=0),D885*G885,IF(AND(E885=0),D885*F885*G885,IF(AND(F885=0),D885*E885*G885,IF(AND(G885=0),D885*E885*F885,D885*E885*F885*G885))))))</f>
        <v>18.532</v>
      </c>
      <c r="I885" s="40"/>
      <c r="J885" s="41"/>
    </row>
    <row r="886" spans="2:10" s="1" customFormat="1" ht="12.75" x14ac:dyDescent="0.2">
      <c r="B886" s="380"/>
      <c r="C886" s="39" t="s">
        <v>660</v>
      </c>
      <c r="D886" s="60">
        <v>1</v>
      </c>
      <c r="E886" s="89">
        <v>4.6500000000000004</v>
      </c>
      <c r="F886" s="40">
        <v>1.64</v>
      </c>
      <c r="G886" s="40"/>
      <c r="H886" s="40">
        <f>IF(AND(F886=0,G886=0),D886*E886,IF(AND(E886=0,G886=0),D886*F886,IF(AND(E886=0,F886=0),D886*G886,IF(AND(E886=0),D886*F886*G886,IF(AND(F886=0),D886*E886*G886,IF(AND(G886=0),D886*E886*F886,D886*E886*F886*G886))))))</f>
        <v>7.6260000000000003</v>
      </c>
      <c r="I886" s="40"/>
      <c r="J886" s="41"/>
    </row>
    <row r="887" spans="2:10" s="1" customFormat="1" ht="12.75" x14ac:dyDescent="0.2">
      <c r="B887" s="380"/>
      <c r="C887" s="43" t="s">
        <v>490</v>
      </c>
      <c r="D887" s="60"/>
      <c r="E887" s="40"/>
      <c r="G887" s="40"/>
      <c r="H887" s="40"/>
      <c r="I887" s="40"/>
      <c r="J887" s="41"/>
    </row>
    <row r="888" spans="2:10" s="1" customFormat="1" ht="12.75" x14ac:dyDescent="0.2">
      <c r="B888" s="380"/>
      <c r="C888" s="39" t="s">
        <v>491</v>
      </c>
      <c r="D888" s="40">
        <v>1</v>
      </c>
      <c r="E888" s="40">
        <v>7.3</v>
      </c>
      <c r="F888" s="40">
        <f>13.58/5</f>
        <v>2.7160000000000002</v>
      </c>
      <c r="G888" s="40"/>
      <c r="H888" s="40">
        <f>IF(AND(F888=0,G888=0),D888*E888,IF(AND(E888=0,G888=0),D888*F888,IF(AND(E888=0,F888=0),D888*G888,IF(AND(E888=0),D888*F888*G888,IF(AND(F888=0),D888*E888*G888,IF(AND(G888=0),D888*E888*F888,D888*E888*F888*G888))))))</f>
        <v>19.826800000000002</v>
      </c>
      <c r="I888" s="40"/>
      <c r="J888" s="41"/>
    </row>
    <row r="889" spans="2:10" s="1" customFormat="1" ht="12.75" x14ac:dyDescent="0.2">
      <c r="B889" s="380"/>
      <c r="C889" s="39"/>
      <c r="D889" s="60"/>
      <c r="E889" s="40"/>
      <c r="F889" s="40"/>
      <c r="G889" s="40"/>
      <c r="H889" s="40"/>
      <c r="I889" s="40"/>
      <c r="J889" s="41"/>
    </row>
    <row r="890" spans="2:10" s="1" customFormat="1" ht="12.75" x14ac:dyDescent="0.2">
      <c r="B890" s="380"/>
      <c r="C890" s="43" t="s">
        <v>468</v>
      </c>
      <c r="D890" s="60"/>
      <c r="E890" s="40"/>
      <c r="F890" s="40"/>
      <c r="G890" s="40"/>
      <c r="H890" s="40"/>
      <c r="I890" s="40"/>
      <c r="J890" s="41"/>
    </row>
    <row r="891" spans="2:10" s="1" customFormat="1" ht="12.75" x14ac:dyDescent="0.2">
      <c r="B891" s="380"/>
      <c r="C891" s="39" t="s">
        <v>494</v>
      </c>
      <c r="D891" s="1">
        <v>1</v>
      </c>
      <c r="E891" s="40">
        <f>5.22+12.22+5.75+1</f>
        <v>24.19</v>
      </c>
      <c r="F891" s="40">
        <f>18.14/5.83</f>
        <v>3.1114922813036023</v>
      </c>
      <c r="G891" s="40"/>
      <c r="H891" s="40">
        <f>IF(AND(F891=0,G891=0),D891*E891,IF(AND(E891=0,G891=0),D891*F891,IF(AND(E891=0,F891=0),D891*G891,IF(AND(E891=0),D891*F891*G891,IF(AND(F891=0),D891*E891*G891,IF(AND(G891=0),D891*E891*F891,D891*E891*F891*G891))))))</f>
        <v>75.266998284734143</v>
      </c>
      <c r="I891" s="40"/>
      <c r="J891" s="41"/>
    </row>
    <row r="892" spans="2:10" s="1" customFormat="1" ht="12.75" x14ac:dyDescent="0.2">
      <c r="B892" s="380"/>
      <c r="C892" s="39"/>
      <c r="E892" s="40"/>
      <c r="F892" s="40"/>
      <c r="G892" s="40"/>
      <c r="H892" s="40"/>
      <c r="I892" s="40"/>
      <c r="J892" s="41"/>
    </row>
    <row r="893" spans="2:10" s="1" customFormat="1" ht="12.75" x14ac:dyDescent="0.2">
      <c r="B893" s="380"/>
      <c r="C893" s="43" t="s">
        <v>250</v>
      </c>
      <c r="D893" s="60"/>
      <c r="E893" s="40"/>
      <c r="F893" s="40"/>
      <c r="G893" s="40"/>
      <c r="H893" s="40"/>
      <c r="I893" s="40"/>
      <c r="J893" s="41"/>
    </row>
    <row r="894" spans="2:10" s="1" customFormat="1" ht="12.75" x14ac:dyDescent="0.2">
      <c r="B894" s="380"/>
      <c r="C894" s="39" t="s">
        <v>496</v>
      </c>
      <c r="D894" s="40">
        <v>1</v>
      </c>
      <c r="E894" s="40">
        <v>25</v>
      </c>
      <c r="F894" s="23">
        <f>43.83/5.79</f>
        <v>7.5699481865284968</v>
      </c>
      <c r="G894" s="23"/>
      <c r="H894" s="40">
        <f>IF(AND(F894=0,G894=0),D894*E894,IF(AND(E894=0,G894=0),D894*F894,IF(AND(E894=0,F894=0),D894*G894,IF(AND(E894=0),D894*F894*G894,IF(AND(F894=0),D894*E894*G894,IF(AND(G894=0),D894*E894*F894,D894*E894*F894*G894))))))</f>
        <v>189.24870466321241</v>
      </c>
      <c r="I894" s="24"/>
      <c r="J894" s="26"/>
    </row>
    <row r="895" spans="2:10" s="1" customFormat="1" ht="12.75" x14ac:dyDescent="0.2">
      <c r="B895" s="25" t="s">
        <v>899</v>
      </c>
      <c r="C895" s="28" t="s">
        <v>625</v>
      </c>
      <c r="D895" s="60"/>
      <c r="E895" s="40"/>
      <c r="F895" s="40"/>
      <c r="G895" s="40"/>
      <c r="H895" s="40"/>
      <c r="I895" s="40">
        <f>+SUM(H896:H907)</f>
        <v>8.1352999999999991</v>
      </c>
      <c r="J895" s="41" t="s">
        <v>4</v>
      </c>
    </row>
    <row r="896" spans="2:10" s="1" customFormat="1" ht="12.75" x14ac:dyDescent="0.2">
      <c r="B896" s="46"/>
      <c r="C896" s="39" t="s">
        <v>721</v>
      </c>
      <c r="D896" s="60">
        <v>2</v>
      </c>
      <c r="E896" s="40">
        <v>9</v>
      </c>
      <c r="F896" s="40">
        <v>0.1</v>
      </c>
      <c r="G896" s="40">
        <v>0.3</v>
      </c>
      <c r="H896" s="40">
        <f t="shared" ref="H896:H907" si="49">IF(AND(F896=0,G896=0),D896*E896,IF(AND(E896=0,G896=0),D896*F896,IF(AND(E896=0,F896=0),D896*G896,IF(AND(E896=0),D896*F896*G896,IF(AND(F896=0),D896*E896*G896,IF(AND(G896=0),D896*E896*F896,D896*E896*F896*G896))))))</f>
        <v>0.54</v>
      </c>
      <c r="I896" s="40"/>
      <c r="J896" s="41"/>
    </row>
    <row r="897" spans="2:10" s="1" customFormat="1" ht="12.75" x14ac:dyDescent="0.2">
      <c r="B897" s="46"/>
      <c r="C897" s="39"/>
      <c r="D897" s="60">
        <v>1</v>
      </c>
      <c r="E897" s="40">
        <v>9</v>
      </c>
      <c r="F897" s="40">
        <v>0.4</v>
      </c>
      <c r="G897" s="40">
        <v>0.1</v>
      </c>
      <c r="H897" s="40">
        <f t="shared" si="49"/>
        <v>0.36000000000000004</v>
      </c>
      <c r="I897" s="40"/>
      <c r="J897" s="41"/>
    </row>
    <row r="898" spans="2:10" s="1" customFormat="1" ht="12.75" x14ac:dyDescent="0.2">
      <c r="B898" s="46"/>
      <c r="C898" s="39" t="s">
        <v>729</v>
      </c>
      <c r="D898" s="60">
        <v>1</v>
      </c>
      <c r="E898" s="40">
        <v>17.399999999999999</v>
      </c>
      <c r="F898" s="40">
        <v>0.1</v>
      </c>
      <c r="G898" s="40">
        <v>0.4</v>
      </c>
      <c r="H898" s="40">
        <f t="shared" si="49"/>
        <v>0.69600000000000006</v>
      </c>
      <c r="I898" s="40"/>
      <c r="J898" s="41"/>
    </row>
    <row r="899" spans="2:10" s="1" customFormat="1" ht="12.75" x14ac:dyDescent="0.2">
      <c r="B899" s="46"/>
      <c r="C899" s="39"/>
      <c r="D899" s="60">
        <v>1</v>
      </c>
      <c r="E899" s="40">
        <v>17.399999999999999</v>
      </c>
      <c r="F899" s="40">
        <v>0.4</v>
      </c>
      <c r="G899" s="40">
        <v>0.1</v>
      </c>
      <c r="H899" s="40">
        <f t="shared" si="49"/>
        <v>0.69600000000000006</v>
      </c>
      <c r="I899" s="40"/>
      <c r="J899" s="41"/>
    </row>
    <row r="900" spans="2:10" s="1" customFormat="1" ht="12.75" x14ac:dyDescent="0.2">
      <c r="B900" s="46"/>
      <c r="C900" s="39" t="s">
        <v>435</v>
      </c>
      <c r="D900" s="60">
        <v>2</v>
      </c>
      <c r="E900" s="40">
        <v>2</v>
      </c>
      <c r="F900" s="40">
        <v>0.1</v>
      </c>
      <c r="G900" s="40">
        <v>0.22</v>
      </c>
      <c r="H900" s="40">
        <f t="shared" si="49"/>
        <v>8.8000000000000009E-2</v>
      </c>
      <c r="I900" s="40"/>
      <c r="J900" s="41"/>
    </row>
    <row r="901" spans="2:10" s="1" customFormat="1" ht="12.75" x14ac:dyDescent="0.2">
      <c r="B901" s="46"/>
      <c r="C901" s="39"/>
      <c r="D901" s="23">
        <v>1</v>
      </c>
      <c r="E901" s="24">
        <v>2</v>
      </c>
      <c r="F901" s="40">
        <v>0.5</v>
      </c>
      <c r="G901" s="40">
        <v>0.1</v>
      </c>
      <c r="H901" s="40">
        <f t="shared" si="49"/>
        <v>0.1</v>
      </c>
      <c r="I901" s="40"/>
      <c r="J901" s="41"/>
    </row>
    <row r="902" spans="2:10" s="1" customFormat="1" ht="12.75" x14ac:dyDescent="0.2">
      <c r="B902" s="46"/>
      <c r="C902" s="39" t="s">
        <v>443</v>
      </c>
      <c r="D902" s="8">
        <v>2</v>
      </c>
      <c r="E902" s="86">
        <f>20.5+0.9+1.75</f>
        <v>23.15</v>
      </c>
      <c r="F902" s="40">
        <v>0.15</v>
      </c>
      <c r="G902" s="40">
        <v>0.45</v>
      </c>
      <c r="H902" s="40">
        <f t="shared" si="49"/>
        <v>3.1252499999999999</v>
      </c>
      <c r="I902" s="40"/>
      <c r="J902" s="41"/>
    </row>
    <row r="903" spans="2:10" s="1" customFormat="1" ht="12.75" x14ac:dyDescent="0.2">
      <c r="B903" s="46"/>
      <c r="C903" s="39"/>
      <c r="D903" s="8">
        <v>1</v>
      </c>
      <c r="E903" s="86">
        <v>23.15</v>
      </c>
      <c r="F903" s="40">
        <v>0.5</v>
      </c>
      <c r="G903" s="40">
        <v>0.15</v>
      </c>
      <c r="H903" s="40">
        <f t="shared" si="49"/>
        <v>1.7362499999999998</v>
      </c>
      <c r="I903" s="40"/>
      <c r="J903" s="41"/>
    </row>
    <row r="904" spans="2:10" s="1" customFormat="1" ht="12.75" x14ac:dyDescent="0.2">
      <c r="B904" s="46"/>
      <c r="C904" s="39" t="s">
        <v>391</v>
      </c>
      <c r="D904" s="40">
        <v>2</v>
      </c>
      <c r="E904" s="40">
        <v>1.2</v>
      </c>
      <c r="F904" s="40">
        <v>0.15</v>
      </c>
      <c r="G904" s="40">
        <v>0.72</v>
      </c>
      <c r="H904" s="40">
        <f t="shared" si="49"/>
        <v>0.25919999999999999</v>
      </c>
      <c r="I904" s="40"/>
      <c r="J904" s="41"/>
    </row>
    <row r="905" spans="2:10" s="1" customFormat="1" ht="12.75" x14ac:dyDescent="0.2">
      <c r="B905" s="46"/>
      <c r="C905" s="39"/>
      <c r="D905" s="40">
        <v>2</v>
      </c>
      <c r="E905" s="40">
        <v>0.6</v>
      </c>
      <c r="F905" s="40">
        <v>0.15</v>
      </c>
      <c r="G905" s="40">
        <v>0.72</v>
      </c>
      <c r="H905" s="40">
        <f t="shared" si="49"/>
        <v>0.12959999999999999</v>
      </c>
      <c r="I905" s="40"/>
      <c r="J905" s="41"/>
    </row>
    <row r="906" spans="2:10" s="1" customFormat="1" ht="12.75" x14ac:dyDescent="0.2">
      <c r="B906" s="46"/>
      <c r="C906" s="39" t="s">
        <v>382</v>
      </c>
      <c r="D906" s="40">
        <v>2</v>
      </c>
      <c r="E906" s="40">
        <v>1.2</v>
      </c>
      <c r="F906" s="40">
        <v>0.15</v>
      </c>
      <c r="G906" s="40">
        <v>0.75</v>
      </c>
      <c r="H906" s="40">
        <f t="shared" si="49"/>
        <v>0.27</v>
      </c>
      <c r="I906" s="40"/>
      <c r="J906" s="41"/>
    </row>
    <row r="907" spans="2:10" s="1" customFormat="1" ht="12.75" x14ac:dyDescent="0.2">
      <c r="B907" s="46"/>
      <c r="C907" s="59"/>
      <c r="D907" s="40">
        <v>2</v>
      </c>
      <c r="E907" s="40">
        <v>0.6</v>
      </c>
      <c r="F907" s="40">
        <v>0.15</v>
      </c>
      <c r="G907" s="40">
        <v>0.75</v>
      </c>
      <c r="H907" s="40">
        <f t="shared" si="49"/>
        <v>0.13500000000000001</v>
      </c>
      <c r="I907" s="40"/>
      <c r="J907" s="41"/>
    </row>
    <row r="908" spans="2:10" s="1" customFormat="1" ht="12.75" x14ac:dyDescent="0.2">
      <c r="B908" s="25" t="s">
        <v>900</v>
      </c>
      <c r="C908" s="28" t="s">
        <v>789</v>
      </c>
      <c r="D908" s="60" t="s">
        <v>791</v>
      </c>
      <c r="E908" s="40"/>
      <c r="F908" s="40"/>
      <c r="G908" s="40"/>
      <c r="H908" s="40"/>
      <c r="I908" s="40">
        <f>+SUM(H909:H925)</f>
        <v>22.144838272399596</v>
      </c>
      <c r="J908" s="41" t="s">
        <v>4</v>
      </c>
    </row>
    <row r="909" spans="2:10" s="1" customFormat="1" ht="12.75" x14ac:dyDescent="0.2">
      <c r="B909" s="107"/>
      <c r="C909" s="39" t="s">
        <v>686</v>
      </c>
      <c r="D909" s="60">
        <v>1.25</v>
      </c>
      <c r="E909" s="40">
        <v>9</v>
      </c>
      <c r="F909" s="40">
        <v>0.4</v>
      </c>
      <c r="G909" s="40">
        <f>0.3+0.2</f>
        <v>0.5</v>
      </c>
      <c r="H909" s="40">
        <f t="shared" ref="H909:H914" si="50">IF(AND(F909=0,G909=0),D909*E909,IF(AND(E909=0,G909=0),D909*F909,IF(AND(E909=0,F909=0),D909*G909,IF(AND(E909=0),D909*F909*G909,IF(AND(F909=0),D909*E909*G909,IF(AND(G909=0),D909*E909*F909,D909*E909*F909*G909))))))</f>
        <v>2.25</v>
      </c>
      <c r="I909" s="40"/>
      <c r="J909" s="41"/>
    </row>
    <row r="910" spans="2:10" s="1" customFormat="1" ht="12.75" x14ac:dyDescent="0.2">
      <c r="B910" s="107"/>
      <c r="C910" s="39" t="s">
        <v>687</v>
      </c>
      <c r="D910" s="60">
        <v>1.25</v>
      </c>
      <c r="E910" s="40">
        <v>17.399999999999999</v>
      </c>
      <c r="F910" s="40">
        <v>0.4</v>
      </c>
      <c r="G910" s="40">
        <f>0.4+0.2</f>
        <v>0.60000000000000009</v>
      </c>
      <c r="H910" s="40">
        <f t="shared" si="50"/>
        <v>5.2200000000000015</v>
      </c>
      <c r="I910" s="40"/>
      <c r="J910" s="41"/>
    </row>
    <row r="911" spans="2:10" s="1" customFormat="1" ht="12.75" x14ac:dyDescent="0.2">
      <c r="B911" s="107"/>
      <c r="C911" s="39" t="s">
        <v>435</v>
      </c>
      <c r="D911" s="60">
        <v>1.25</v>
      </c>
      <c r="E911" s="40">
        <v>2</v>
      </c>
      <c r="F911" s="40">
        <v>0.5</v>
      </c>
      <c r="G911" s="40">
        <f>0.22+0.2</f>
        <v>0.42000000000000004</v>
      </c>
      <c r="H911" s="40">
        <f t="shared" si="50"/>
        <v>0.52500000000000002</v>
      </c>
      <c r="I911" s="40"/>
      <c r="J911" s="41"/>
    </row>
    <row r="912" spans="2:10" s="1" customFormat="1" ht="12.75" x14ac:dyDescent="0.2">
      <c r="B912" s="107"/>
      <c r="C912" s="39" t="s">
        <v>443</v>
      </c>
      <c r="D912" s="60">
        <v>1.25</v>
      </c>
      <c r="E912" s="86">
        <f>20.5+0.9+1.75</f>
        <v>23.15</v>
      </c>
      <c r="F912" s="40">
        <v>0.5</v>
      </c>
      <c r="G912" s="40">
        <f>0.45+0.25</f>
        <v>0.7</v>
      </c>
      <c r="H912" s="40">
        <f t="shared" si="50"/>
        <v>10.128124999999999</v>
      </c>
      <c r="I912" s="40"/>
      <c r="J912" s="41"/>
    </row>
    <row r="913" spans="2:10" s="1" customFormat="1" ht="12.75" x14ac:dyDescent="0.2">
      <c r="B913" s="107"/>
      <c r="C913" s="39" t="s">
        <v>391</v>
      </c>
      <c r="D913" s="60">
        <v>1.25</v>
      </c>
      <c r="E913" s="40">
        <v>0.9</v>
      </c>
      <c r="F913" s="40">
        <v>1.2</v>
      </c>
      <c r="G913" s="40">
        <f>0.57+0.25</f>
        <v>0.82</v>
      </c>
      <c r="H913" s="40">
        <f t="shared" si="50"/>
        <v>1.1069999999999998</v>
      </c>
      <c r="I913" s="40"/>
      <c r="J913" s="41"/>
    </row>
    <row r="914" spans="2:10" s="1" customFormat="1" ht="12.75" x14ac:dyDescent="0.2">
      <c r="B914" s="107"/>
      <c r="C914" s="39" t="s">
        <v>382</v>
      </c>
      <c r="D914" s="60">
        <v>1.25</v>
      </c>
      <c r="E914" s="40">
        <v>0.9</v>
      </c>
      <c r="F914" s="40">
        <v>1.2</v>
      </c>
      <c r="G914" s="40">
        <f>0.6+0.25</f>
        <v>0.85</v>
      </c>
      <c r="H914" s="40">
        <f t="shared" si="50"/>
        <v>1.1475</v>
      </c>
      <c r="I914" s="40"/>
      <c r="J914" s="41"/>
    </row>
    <row r="915" spans="2:10" s="1" customFormat="1" ht="12.75" x14ac:dyDescent="0.2">
      <c r="B915" s="46"/>
      <c r="C915" s="59"/>
      <c r="D915" s="60"/>
      <c r="E915" s="40"/>
      <c r="F915" s="40"/>
      <c r="G915" s="40"/>
      <c r="H915" s="40"/>
      <c r="I915" s="40"/>
      <c r="J915" s="41"/>
    </row>
    <row r="916" spans="2:10" s="1" customFormat="1" ht="12.75" x14ac:dyDescent="0.2">
      <c r="B916" s="46"/>
      <c r="C916" s="43" t="s">
        <v>490</v>
      </c>
      <c r="D916" s="60"/>
      <c r="E916" s="40"/>
      <c r="F916" s="40"/>
      <c r="G916" s="40"/>
      <c r="H916" s="40"/>
      <c r="I916" s="40"/>
      <c r="J916" s="41"/>
    </row>
    <row r="917" spans="2:10" s="1" customFormat="1" ht="12.75" x14ac:dyDescent="0.2">
      <c r="B917" s="46"/>
      <c r="F917" s="40" t="s">
        <v>786</v>
      </c>
      <c r="G917" s="40">
        <v>4</v>
      </c>
      <c r="I917" s="40"/>
      <c r="J917" s="41"/>
    </row>
    <row r="918" spans="2:10" s="1" customFormat="1" ht="12.75" x14ac:dyDescent="0.2">
      <c r="B918" s="46"/>
      <c r="C918" s="39" t="s">
        <v>784</v>
      </c>
      <c r="D918" s="60">
        <v>1.25</v>
      </c>
      <c r="E918" s="40">
        <f>+E859</f>
        <v>7.3</v>
      </c>
      <c r="F918" s="40" t="s">
        <v>785</v>
      </c>
      <c r="G918" s="40">
        <f>+PI()*((G917*0.0254)^2)/4</f>
        <v>8.107319665559963E-3</v>
      </c>
      <c r="H918" s="40">
        <f>+E918*G918</f>
        <v>5.9183433558587725E-2</v>
      </c>
      <c r="I918" s="40"/>
      <c r="J918" s="41"/>
    </row>
    <row r="919" spans="2:10" s="1" customFormat="1" ht="12.75" x14ac:dyDescent="0.2">
      <c r="B919" s="46"/>
      <c r="C919" s="43" t="s">
        <v>468</v>
      </c>
      <c r="D919" s="60"/>
      <c r="E919" s="40"/>
      <c r="F919" s="40"/>
      <c r="G919" s="40"/>
      <c r="H919" s="40"/>
      <c r="I919" s="40"/>
      <c r="J919" s="41"/>
    </row>
    <row r="920" spans="2:10" s="1" customFormat="1" ht="12.75" x14ac:dyDescent="0.2">
      <c r="B920" s="46"/>
      <c r="F920" s="40" t="s">
        <v>786</v>
      </c>
      <c r="G920" s="40">
        <v>6</v>
      </c>
      <c r="I920" s="40"/>
      <c r="J920" s="41"/>
    </row>
    <row r="921" spans="2:10" s="1" customFormat="1" ht="12.75" x14ac:dyDescent="0.2">
      <c r="B921" s="46"/>
      <c r="C921" s="39" t="s">
        <v>784</v>
      </c>
      <c r="D921" s="60">
        <v>1.25</v>
      </c>
      <c r="E921" s="40">
        <f>+E863</f>
        <v>24.19</v>
      </c>
      <c r="F921" s="40" t="s">
        <v>785</v>
      </c>
      <c r="G921" s="40">
        <f>+PI()*((G920*0.0254)^2)/4</f>
        <v>1.8241469247509915E-2</v>
      </c>
      <c r="H921" s="40">
        <f>+E921*G921</f>
        <v>0.44126114109726489</v>
      </c>
      <c r="I921" s="40"/>
      <c r="J921" s="41"/>
    </row>
    <row r="922" spans="2:10" s="1" customFormat="1" ht="12.75" x14ac:dyDescent="0.2">
      <c r="B922" s="46"/>
      <c r="C922" s="39"/>
      <c r="D922" s="60"/>
      <c r="E922" s="40"/>
      <c r="F922" s="40"/>
      <c r="G922" s="40"/>
      <c r="H922" s="40"/>
      <c r="I922" s="40"/>
      <c r="J922" s="41"/>
    </row>
    <row r="923" spans="2:10" s="1" customFormat="1" ht="12.75" x14ac:dyDescent="0.2">
      <c r="B923" s="46"/>
      <c r="C923" s="43" t="s">
        <v>250</v>
      </c>
      <c r="D923" s="60"/>
      <c r="E923" s="40"/>
      <c r="F923" s="40"/>
      <c r="G923" s="40"/>
      <c r="H923" s="40"/>
      <c r="I923" s="40"/>
      <c r="J923" s="41"/>
    </row>
    <row r="924" spans="2:10" s="1" customFormat="1" ht="12.75" x14ac:dyDescent="0.2">
      <c r="B924" s="46"/>
      <c r="F924" s="40" t="s">
        <v>786</v>
      </c>
      <c r="G924" s="40">
        <v>10</v>
      </c>
      <c r="I924" s="40"/>
      <c r="J924" s="41"/>
    </row>
    <row r="925" spans="2:10" s="1" customFormat="1" ht="12.75" x14ac:dyDescent="0.2">
      <c r="B925" s="46"/>
      <c r="C925" s="39" t="s">
        <v>784</v>
      </c>
      <c r="D925" s="60">
        <v>1.25</v>
      </c>
      <c r="E925" s="40">
        <f>+E868</f>
        <v>25</v>
      </c>
      <c r="F925" s="40" t="s">
        <v>785</v>
      </c>
      <c r="G925" s="40">
        <f>+PI()*((G924*0.0254)^2)/4</f>
        <v>5.0670747909749778E-2</v>
      </c>
      <c r="H925" s="40">
        <f>+E925*G925</f>
        <v>1.2667686977437445</v>
      </c>
      <c r="I925" s="40"/>
      <c r="J925" s="41"/>
    </row>
    <row r="926" spans="2:10" s="414" customFormat="1" ht="12.75" x14ac:dyDescent="0.2">
      <c r="B926" s="25" t="s">
        <v>901</v>
      </c>
      <c r="C926" s="28" t="s">
        <v>624</v>
      </c>
      <c r="D926" s="60"/>
      <c r="E926" s="40"/>
      <c r="F926" s="40"/>
      <c r="G926" s="40"/>
      <c r="H926" s="40"/>
      <c r="I926" s="40">
        <f>+I908</f>
        <v>22.144838272399596</v>
      </c>
      <c r="J926" s="41" t="s">
        <v>4</v>
      </c>
    </row>
    <row r="927" spans="2:10" s="414" customFormat="1" ht="12.75" x14ac:dyDescent="0.2">
      <c r="B927" s="46"/>
      <c r="C927" s="39"/>
      <c r="D927" s="415"/>
      <c r="E927" s="416"/>
      <c r="F927" s="40"/>
      <c r="G927" s="40"/>
      <c r="H927" s="40"/>
      <c r="I927" s="40"/>
      <c r="J927" s="41"/>
    </row>
    <row r="928" spans="2:10" x14ac:dyDescent="0.25">
      <c r="B928" s="73" t="s">
        <v>829</v>
      </c>
      <c r="C928" s="74" t="s">
        <v>626</v>
      </c>
      <c r="D928" s="23"/>
      <c r="E928" s="23"/>
      <c r="F928" s="23"/>
      <c r="G928" s="23"/>
      <c r="H928" s="24"/>
      <c r="I928" s="25"/>
      <c r="J928" s="26"/>
    </row>
    <row r="929" spans="2:10" s="1" customFormat="1" ht="12.75" x14ac:dyDescent="0.2">
      <c r="B929" s="43" t="s">
        <v>830</v>
      </c>
      <c r="C929" s="25" t="s">
        <v>627</v>
      </c>
      <c r="D929" s="60"/>
      <c r="E929" s="40"/>
      <c r="F929" s="40"/>
      <c r="G929" s="40"/>
      <c r="H929" s="40"/>
      <c r="I929" s="44">
        <f>+SUM(H930:H933)</f>
        <v>23.134999999999998</v>
      </c>
      <c r="J929" s="45" t="s">
        <v>45</v>
      </c>
    </row>
    <row r="930" spans="2:10" s="1" customFormat="1" ht="12.75" x14ac:dyDescent="0.2">
      <c r="B930" s="25"/>
      <c r="C930" s="39" t="s">
        <v>686</v>
      </c>
      <c r="D930" s="60">
        <v>1</v>
      </c>
      <c r="E930" s="40">
        <v>9</v>
      </c>
      <c r="F930" s="40">
        <v>0.4</v>
      </c>
      <c r="G930" s="40"/>
      <c r="H930" s="40">
        <f>IF(AND(F930=0,G930=0),D930*E930,IF(AND(E930=0,G930=0),D930*F930,IF(AND(E930=0,F930=0),D930*G930,IF(AND(E930=0),D930*F930*G930,IF(AND(F930=0),D930*E930*G930,IF(AND(G930=0),D930*E930*F930,D930*E930*F930*G930))))))</f>
        <v>3.6</v>
      </c>
      <c r="I930" s="40"/>
      <c r="J930" s="41"/>
    </row>
    <row r="931" spans="2:10" s="1" customFormat="1" ht="12.75" x14ac:dyDescent="0.2">
      <c r="B931" s="57"/>
      <c r="C931" s="39" t="s">
        <v>687</v>
      </c>
      <c r="D931" s="60">
        <v>1</v>
      </c>
      <c r="E931" s="40">
        <v>17.399999999999999</v>
      </c>
      <c r="F931" s="40">
        <v>0.4</v>
      </c>
      <c r="G931" s="40"/>
      <c r="H931" s="40">
        <f>IF(AND(F931=0,G931=0),D931*E931,IF(AND(E931=0,G931=0),D931*F931,IF(AND(E931=0,F931=0),D931*G931,IF(AND(E931=0),D931*F931*G931,IF(AND(F931=0),D931*E931*G931,IF(AND(G931=0),D931*E931*F931,D931*E931*F931*G931))))))</f>
        <v>6.96</v>
      </c>
      <c r="I931" s="40"/>
      <c r="J931" s="41"/>
    </row>
    <row r="932" spans="2:10" s="1" customFormat="1" ht="12.75" x14ac:dyDescent="0.2">
      <c r="B932" s="57"/>
      <c r="C932" s="39" t="s">
        <v>435</v>
      </c>
      <c r="D932" s="60">
        <v>1</v>
      </c>
      <c r="E932" s="40">
        <v>2</v>
      </c>
      <c r="F932" s="40">
        <v>0.5</v>
      </c>
      <c r="G932" s="40"/>
      <c r="H932" s="40">
        <f>IF(AND(F932=0,G932=0),D932*E932,IF(AND(E932=0,G932=0),D932*F932,IF(AND(E932=0,F932=0),D932*G932,IF(AND(E932=0),D932*F932*G932,IF(AND(F932=0),D932*E932*G932,IF(AND(G932=0),D932*E932*F932,D932*E932*F932*G932))))))</f>
        <v>1</v>
      </c>
      <c r="I932" s="40"/>
      <c r="J932" s="41"/>
    </row>
    <row r="933" spans="2:10" s="1" customFormat="1" ht="12.75" x14ac:dyDescent="0.2">
      <c r="B933" s="57"/>
      <c r="C933" s="39" t="s">
        <v>443</v>
      </c>
      <c r="D933" s="8">
        <v>1</v>
      </c>
      <c r="E933" s="86">
        <f>20.5+0.9+1.75</f>
        <v>23.15</v>
      </c>
      <c r="F933" s="40">
        <v>0.5</v>
      </c>
      <c r="G933" s="40"/>
      <c r="H933" s="40">
        <f>IF(AND(F933=0,G933=0),D933*E933,IF(AND(E933=0,G933=0),D933*F933,IF(AND(E933=0,F933=0),D933*G933,IF(AND(E933=0),D933*F933*G933,IF(AND(F933=0),D933*E933*G933,IF(AND(G933=0),D933*E933*F933,D933*E933*F933*G933))))))</f>
        <v>11.574999999999999</v>
      </c>
      <c r="I933" s="40"/>
      <c r="J933" s="41"/>
    </row>
    <row r="934" spans="2:10" s="1" customFormat="1" ht="12.75" x14ac:dyDescent="0.2">
      <c r="B934" s="43" t="s">
        <v>831</v>
      </c>
      <c r="C934" s="25" t="s">
        <v>680</v>
      </c>
      <c r="D934" s="60"/>
      <c r="E934" s="40"/>
      <c r="F934" s="40"/>
      <c r="G934" s="40"/>
      <c r="H934" s="40"/>
      <c r="I934" s="44">
        <f>+SUM(H935:H936)</f>
        <v>2.16</v>
      </c>
      <c r="J934" s="45" t="s">
        <v>45</v>
      </c>
    </row>
    <row r="935" spans="2:10" s="1" customFormat="1" ht="12.75" x14ac:dyDescent="0.2">
      <c r="B935" s="57"/>
      <c r="C935" s="39" t="s">
        <v>391</v>
      </c>
      <c r="D935" s="40">
        <v>1</v>
      </c>
      <c r="E935" s="40">
        <v>0.9</v>
      </c>
      <c r="F935" s="40">
        <v>1.2</v>
      </c>
      <c r="G935" s="40"/>
      <c r="H935" s="40">
        <f>IF(AND(F935=0,G935=0),D935*E935,IF(AND(E935=0,G935=0),D935*F935,IF(AND(E935=0,F935=0),D935*G935,IF(AND(E935=0),D935*F935*G935,IF(AND(F935=0),D935*E935*G935,IF(AND(G935=0),D935*E935*F935,D935*E935*F935*G935))))))</f>
        <v>1.08</v>
      </c>
      <c r="I935" s="40"/>
      <c r="J935" s="41"/>
    </row>
    <row r="936" spans="2:10" s="1" customFormat="1" ht="12.75" x14ac:dyDescent="0.2">
      <c r="B936" s="57"/>
      <c r="C936" s="39" t="s">
        <v>382</v>
      </c>
      <c r="D936" s="40">
        <v>1</v>
      </c>
      <c r="E936" s="40">
        <v>0.9</v>
      </c>
      <c r="F936" s="40">
        <v>1.2</v>
      </c>
      <c r="G936" s="40"/>
      <c r="H936" s="40">
        <f>IF(AND(F936=0,G936=0),D936*E936,IF(AND(E936=0,G936=0),D936*F936,IF(AND(E936=0,F936=0),D936*G936,IF(AND(E936=0),D936*F936*G936,IF(AND(F936=0),D936*E936*G936,IF(AND(G936=0),D936*E936*F936,D936*E936*F936*G936))))))</f>
        <v>1.08</v>
      </c>
      <c r="I936" s="40"/>
      <c r="J936" s="41"/>
    </row>
    <row r="937" spans="2:10" s="1" customFormat="1" ht="12.75" x14ac:dyDescent="0.2">
      <c r="B937" s="70"/>
      <c r="C937" s="39"/>
      <c r="D937" s="60"/>
      <c r="E937" s="40"/>
      <c r="F937" s="40"/>
      <c r="G937" s="40"/>
      <c r="H937" s="40"/>
      <c r="I937" s="40"/>
      <c r="J937" s="41"/>
    </row>
    <row r="938" spans="2:10" s="1" customFormat="1" ht="12.75" x14ac:dyDescent="0.2">
      <c r="B938" s="73" t="s">
        <v>838</v>
      </c>
      <c r="C938" s="58" t="s">
        <v>224</v>
      </c>
      <c r="D938" s="60"/>
      <c r="E938" s="40"/>
      <c r="F938" s="40"/>
      <c r="G938" s="40"/>
      <c r="H938" s="40"/>
      <c r="I938" s="40"/>
      <c r="J938" s="41"/>
    </row>
    <row r="939" spans="2:10" s="1" customFormat="1" ht="12.75" x14ac:dyDescent="0.2">
      <c r="B939" s="43" t="s">
        <v>839</v>
      </c>
      <c r="C939" s="46" t="s">
        <v>440</v>
      </c>
      <c r="D939" s="23"/>
      <c r="E939" s="23"/>
      <c r="F939" s="40"/>
      <c r="G939" s="40"/>
      <c r="I939" s="44">
        <f>SUM(H940:H941)</f>
        <v>23.15</v>
      </c>
      <c r="J939" s="45" t="s">
        <v>345</v>
      </c>
    </row>
    <row r="940" spans="2:10" s="1" customFormat="1" ht="12.75" x14ac:dyDescent="0.2">
      <c r="B940" s="413"/>
      <c r="C940" s="46" t="s">
        <v>443</v>
      </c>
      <c r="D940" s="8">
        <v>1</v>
      </c>
      <c r="E940" s="86">
        <f>20.5+0.9+1.75</f>
        <v>23.15</v>
      </c>
      <c r="F940" s="40"/>
      <c r="G940" s="40"/>
      <c r="H940" s="40">
        <f>IF(AND(F940=0,G940=0),D940*E940,IF(AND(E940=0,G940=0),D940*F940,IF(AND(E940=0,F940=0),D940*G940,IF(AND(E940=0),D940*F940*G940,IF(AND(F940=0),D940*E940*G940,IF(AND(G940=0),D940*E940*F940,D940*E940*F940*G940))))))</f>
        <v>23.15</v>
      </c>
      <c r="I940" s="40"/>
      <c r="J940" s="41"/>
    </row>
    <row r="941" spans="2:10" s="1" customFormat="1" ht="12.75" x14ac:dyDescent="0.2">
      <c r="B941" s="413"/>
      <c r="C941" s="46" t="s">
        <v>818</v>
      </c>
      <c r="D941" s="87"/>
      <c r="E941" s="88"/>
      <c r="F941" s="40" t="s">
        <v>681</v>
      </c>
      <c r="G941" s="40" t="s">
        <v>682</v>
      </c>
      <c r="I941" s="40">
        <f>+SUM(G942:G943)</f>
        <v>5.6999999999999993</v>
      </c>
      <c r="J941" s="41"/>
    </row>
    <row r="942" spans="2:10" s="1" customFormat="1" ht="12.75" x14ac:dyDescent="0.2">
      <c r="B942" s="413"/>
      <c r="C942" s="39" t="s">
        <v>437</v>
      </c>
      <c r="D942" s="1">
        <f>4+4+4</f>
        <v>12</v>
      </c>
      <c r="E942" s="1">
        <v>1</v>
      </c>
      <c r="F942" s="40">
        <v>0.25</v>
      </c>
      <c r="G942" s="40">
        <f>+D942*E942*F942</f>
        <v>3</v>
      </c>
      <c r="H942" s="40"/>
      <c r="I942" s="40"/>
      <c r="J942" s="41"/>
    </row>
    <row r="943" spans="2:10" s="1" customFormat="1" ht="12.75" x14ac:dyDescent="0.2">
      <c r="B943" s="413"/>
      <c r="C943" s="39" t="s">
        <v>438</v>
      </c>
      <c r="D943" s="60">
        <v>6</v>
      </c>
      <c r="E943" s="40">
        <f>0.6*2+0.6</f>
        <v>1.7999999999999998</v>
      </c>
      <c r="F943" s="40">
        <v>0.25</v>
      </c>
      <c r="G943" s="40">
        <f>+D943*E943*F943</f>
        <v>2.6999999999999997</v>
      </c>
      <c r="H943" s="40"/>
      <c r="I943" s="40"/>
      <c r="J943" s="41"/>
    </row>
    <row r="944" spans="2:10" s="1" customFormat="1" ht="12.75" x14ac:dyDescent="0.2">
      <c r="B944" s="43" t="s">
        <v>843</v>
      </c>
      <c r="C944" s="43" t="s">
        <v>561</v>
      </c>
      <c r="D944" s="60"/>
      <c r="E944" s="40"/>
      <c r="F944" s="40"/>
      <c r="G944" s="40"/>
      <c r="H944" s="40"/>
      <c r="I944" s="44">
        <f>+SUM(H945:H946)</f>
        <v>2</v>
      </c>
      <c r="J944" s="45" t="s">
        <v>345</v>
      </c>
    </row>
    <row r="945" spans="2:10" s="1" customFormat="1" ht="12.75" x14ac:dyDescent="0.2">
      <c r="B945" s="413"/>
      <c r="C945" s="39" t="s">
        <v>391</v>
      </c>
      <c r="D945" s="40">
        <v>1</v>
      </c>
      <c r="E945" s="40">
        <v>1</v>
      </c>
      <c r="F945" s="40"/>
      <c r="G945" s="40"/>
      <c r="H945" s="40">
        <f t="shared" ref="H945:H946" si="51">IF(AND(F945=0,G945=0),D945*E945,IF(AND(E945=0,G945=0),D945*F945,IF(AND(E945=0,F945=0),D945*G945,IF(AND(E945=0),D945*F945*G945,IF(AND(F945=0),D945*E945*G945,IF(AND(G945=0),D945*E945*F945,D945*E945*F945*G945))))))</f>
        <v>1</v>
      </c>
      <c r="I945" s="40"/>
      <c r="J945" s="41"/>
    </row>
    <row r="946" spans="2:10" s="1" customFormat="1" ht="12.75" x14ac:dyDescent="0.2">
      <c r="B946" s="413"/>
      <c r="C946" s="39" t="s">
        <v>382</v>
      </c>
      <c r="D946" s="40">
        <v>1</v>
      </c>
      <c r="E946" s="40">
        <v>1</v>
      </c>
      <c r="F946" s="40"/>
      <c r="G946" s="40"/>
      <c r="H946" s="40">
        <f t="shared" si="51"/>
        <v>1</v>
      </c>
      <c r="I946" s="40"/>
      <c r="J946" s="41"/>
    </row>
    <row r="947" spans="2:10" s="1" customFormat="1" ht="12.75" x14ac:dyDescent="0.2">
      <c r="B947" s="43" t="s">
        <v>850</v>
      </c>
      <c r="C947" s="43" t="s">
        <v>490</v>
      </c>
      <c r="D947" s="60"/>
      <c r="E947" s="40"/>
      <c r="F947" s="40"/>
      <c r="G947" s="40"/>
      <c r="H947" s="40"/>
      <c r="I947" s="44">
        <f>SUM(H948:H948)</f>
        <v>7.3</v>
      </c>
      <c r="J947" s="45" t="str">
        <f>+J948</f>
        <v>ml</v>
      </c>
    </row>
    <row r="948" spans="2:10" s="1" customFormat="1" ht="12.75" x14ac:dyDescent="0.2">
      <c r="B948" s="57"/>
      <c r="C948" s="39" t="s">
        <v>491</v>
      </c>
      <c r="D948" s="40">
        <v>1</v>
      </c>
      <c r="E948" s="40">
        <v>7.3</v>
      </c>
      <c r="F948" s="40"/>
      <c r="G948" s="40"/>
      <c r="H948" s="40">
        <f>IF(AND(F948=0,G948=0),D948*E948,IF(AND(E948=0,G948=0),D948*F948,IF(AND(E948=0,F948=0),D948*G948,IF(AND(E948=0),D948*F948*G948,IF(AND(F948=0),D948*E948*G948,IF(AND(G948=0),D948*E948*F948,D948*E948*F948*G948))))))</f>
        <v>7.3</v>
      </c>
      <c r="I948" s="40"/>
      <c r="J948" s="41" t="str">
        <f>IF(AND(E948=0,F948&lt;&gt;0,G948&lt;&gt;0),"m2",IF(AND(F948=0,E948&lt;&gt;0,G948&lt;&gt;0),"m2",IF(AND(G948=0,E948&lt;&gt;0,F948&lt;&gt;0),"m2",IF(AND(F948=0,G948=0),"ml",IF(AND(E948=0,G948=0),"ml",IF(AND(E948=0,F948=0),"ml",IF(AND(E948&lt;&gt;0,F948&lt;&gt;0,G948&lt;&gt;0),"m3",0)))))))</f>
        <v>ml</v>
      </c>
    </row>
    <row r="949" spans="2:10" s="1" customFormat="1" ht="12.75" x14ac:dyDescent="0.2">
      <c r="B949" s="43" t="s">
        <v>851</v>
      </c>
      <c r="C949" s="43" t="s">
        <v>468</v>
      </c>
      <c r="D949" s="60"/>
      <c r="E949" s="40"/>
      <c r="F949" s="40"/>
      <c r="G949" s="40"/>
      <c r="H949" s="40"/>
      <c r="I949" s="44">
        <f>SUM(H950:H950)</f>
        <v>24.19</v>
      </c>
      <c r="J949" s="45" t="s">
        <v>345</v>
      </c>
    </row>
    <row r="950" spans="2:10" s="1" customFormat="1" ht="12.75" x14ac:dyDescent="0.2">
      <c r="B950" s="57"/>
      <c r="C950" s="39" t="s">
        <v>494</v>
      </c>
      <c r="D950" s="1">
        <v>1</v>
      </c>
      <c r="E950" s="40">
        <f>5.22+12.22+5.75+1</f>
        <v>24.19</v>
      </c>
      <c r="F950" s="40"/>
      <c r="G950" s="40"/>
      <c r="H950" s="40">
        <f>IF(AND(F950=0,G950=0),D950*E950,IF(AND(E950=0,G950=0),D950*F950,IF(AND(E950=0,F950=0),D950*G950,IF(AND(E950=0),D950*F950*G950,IF(AND(F950=0),D950*E950*G950,IF(AND(G950=0),D950*E950*F950,D950*E950*F950*G950))))))</f>
        <v>24.19</v>
      </c>
      <c r="I950" s="40"/>
      <c r="J950" s="41"/>
    </row>
    <row r="951" spans="2:10" s="1" customFormat="1" ht="12.75" x14ac:dyDescent="0.2">
      <c r="B951" s="25" t="s">
        <v>856</v>
      </c>
      <c r="C951" s="28" t="s">
        <v>698</v>
      </c>
      <c r="D951" s="60"/>
      <c r="E951" s="40"/>
      <c r="F951" s="40"/>
      <c r="G951" s="40"/>
      <c r="H951" s="40"/>
      <c r="I951" s="44">
        <f>SUM(H952:H953)</f>
        <v>2</v>
      </c>
      <c r="J951" s="41" t="s">
        <v>13</v>
      </c>
    </row>
    <row r="952" spans="2:10" s="1" customFormat="1" ht="12.75" x14ac:dyDescent="0.2">
      <c r="B952" s="43"/>
      <c r="C952" s="39" t="s">
        <v>391</v>
      </c>
      <c r="D952" s="40">
        <v>1</v>
      </c>
      <c r="E952" s="40"/>
      <c r="F952" s="40"/>
      <c r="G952" s="40"/>
      <c r="H952" s="40">
        <f>+D952</f>
        <v>1</v>
      </c>
      <c r="I952" s="40"/>
      <c r="J952" s="41"/>
    </row>
    <row r="953" spans="2:10" s="1" customFormat="1" ht="12.75" x14ac:dyDescent="0.2">
      <c r="B953" s="413"/>
      <c r="C953" s="39" t="s">
        <v>382</v>
      </c>
      <c r="D953" s="40">
        <v>1</v>
      </c>
      <c r="E953" s="40"/>
      <c r="F953" s="40"/>
      <c r="G953" s="40"/>
      <c r="H953" s="40">
        <f>+D953</f>
        <v>1</v>
      </c>
      <c r="I953" s="40"/>
      <c r="J953" s="41"/>
    </row>
    <row r="954" spans="2:10" s="1" customFormat="1" ht="12.75" x14ac:dyDescent="0.2">
      <c r="B954" s="25" t="s">
        <v>859</v>
      </c>
      <c r="C954" s="28" t="s">
        <v>735</v>
      </c>
      <c r="D954" s="60"/>
      <c r="E954" s="40"/>
      <c r="F954" s="40"/>
      <c r="G954" s="40"/>
      <c r="H954" s="40"/>
      <c r="I954" s="44">
        <f>+SUM(H955:H958)</f>
        <v>5.79</v>
      </c>
      <c r="J954" s="41" t="s">
        <v>45</v>
      </c>
    </row>
    <row r="955" spans="2:10" s="1" customFormat="1" ht="12.75" x14ac:dyDescent="0.2">
      <c r="B955" s="25"/>
      <c r="C955" s="39" t="s">
        <v>391</v>
      </c>
      <c r="D955" s="40">
        <v>1</v>
      </c>
      <c r="E955" s="40">
        <f>0.6*2+0.9*2</f>
        <v>3</v>
      </c>
      <c r="F955" s="40"/>
      <c r="G955" s="40">
        <f>0.57+0.2</f>
        <v>0.77</v>
      </c>
      <c r="H955" s="40">
        <f t="shared" ref="H955:H958" si="52">IF(AND(F955=0,G955=0),D955*E955,IF(AND(E955=0,G955=0),D955*F955,IF(AND(E955=0,F955=0),D955*G955,IF(AND(E955=0),D955*F955*G955,IF(AND(F955=0),D955*E955*G955,IF(AND(G955=0),D955*E955*F955,D955*E955*F955*G955))))))</f>
        <v>2.31</v>
      </c>
      <c r="I955" s="40"/>
      <c r="J955" s="41"/>
    </row>
    <row r="956" spans="2:10" s="1" customFormat="1" ht="12.75" x14ac:dyDescent="0.2">
      <c r="B956" s="25"/>
      <c r="C956" s="39"/>
      <c r="D956" s="40">
        <v>1</v>
      </c>
      <c r="E956" s="40">
        <v>0.6</v>
      </c>
      <c r="F956" s="40"/>
      <c r="G956" s="40">
        <v>0.9</v>
      </c>
      <c r="H956" s="40">
        <f t="shared" si="52"/>
        <v>0.54</v>
      </c>
      <c r="I956" s="40"/>
      <c r="J956" s="41"/>
    </row>
    <row r="957" spans="2:10" s="1" customFormat="1" ht="12.75" x14ac:dyDescent="0.2">
      <c r="B957" s="25"/>
      <c r="C957" s="39" t="s">
        <v>382</v>
      </c>
      <c r="D957" s="40">
        <v>1</v>
      </c>
      <c r="E957" s="40">
        <v>3</v>
      </c>
      <c r="F957" s="40"/>
      <c r="G957" s="40">
        <f>0.6+0.2</f>
        <v>0.8</v>
      </c>
      <c r="H957" s="40">
        <f t="shared" si="52"/>
        <v>2.4000000000000004</v>
      </c>
      <c r="I957" s="40"/>
      <c r="J957" s="41"/>
    </row>
    <row r="958" spans="2:10" s="1" customFormat="1" ht="12.75" x14ac:dyDescent="0.2">
      <c r="B958" s="25"/>
      <c r="C958" s="59"/>
      <c r="D958" s="40">
        <v>1</v>
      </c>
      <c r="E958" s="40">
        <v>0.6</v>
      </c>
      <c r="F958" s="40"/>
      <c r="G958" s="40">
        <v>0.9</v>
      </c>
      <c r="H958" s="40">
        <f t="shared" si="52"/>
        <v>0.54</v>
      </c>
      <c r="I958" s="40"/>
      <c r="J958" s="41"/>
    </row>
    <row r="959" spans="2:10" s="1" customFormat="1" ht="12.75" x14ac:dyDescent="0.2">
      <c r="B959" s="25" t="s">
        <v>860</v>
      </c>
      <c r="C959" s="28" t="s">
        <v>736</v>
      </c>
      <c r="D959" s="60"/>
      <c r="E959" s="40"/>
      <c r="F959" s="40"/>
      <c r="G959" s="40"/>
      <c r="H959" s="40"/>
      <c r="I959" s="44">
        <f>+SUM(H960:H967)</f>
        <v>71.439999999999984</v>
      </c>
      <c r="J959" s="41" t="s">
        <v>45</v>
      </c>
    </row>
    <row r="960" spans="2:10" s="1" customFormat="1" ht="12.75" x14ac:dyDescent="0.2">
      <c r="B960" s="46"/>
      <c r="C960" s="39" t="s">
        <v>721</v>
      </c>
      <c r="D960" s="60">
        <v>2</v>
      </c>
      <c r="E960" s="40">
        <v>9</v>
      </c>
      <c r="F960" s="40"/>
      <c r="G960" s="40">
        <f>0.3+0.15</f>
        <v>0.44999999999999996</v>
      </c>
      <c r="H960" s="40">
        <f>IF(AND(F960=0,G960=0),D960*E960,IF(AND(E960=0,G960=0),D960*F960,IF(AND(E960=0,F960=0),D960*G960,IF(AND(E960=0),D960*F960*G960,IF(AND(F960=0),D960*E960*G960,IF(AND(G960=0),D960*E960*F960,D960*E960*F960*G960))))))</f>
        <v>8.1</v>
      </c>
      <c r="I960" s="40"/>
      <c r="J960" s="41"/>
    </row>
    <row r="961" spans="2:10" s="1" customFormat="1" ht="12.75" x14ac:dyDescent="0.2">
      <c r="B961" s="46"/>
      <c r="C961" s="39"/>
      <c r="D961" s="60">
        <v>1</v>
      </c>
      <c r="E961" s="40">
        <v>9</v>
      </c>
      <c r="F961" s="40"/>
      <c r="G961" s="40">
        <v>0.2</v>
      </c>
      <c r="H961" s="40">
        <f t="shared" ref="H961:H967" si="53">IF(AND(F961=0,G961=0),D961*E961,IF(AND(E961=0,G961=0),D961*F961,IF(AND(E961=0,F961=0),D961*G961,IF(AND(E961=0),D961*F961*G961,IF(AND(F961=0),D961*E961*G961,IF(AND(G961=0),D961*E961*F961,D961*E961*F961*G961))))))</f>
        <v>1.8</v>
      </c>
      <c r="I961" s="40"/>
      <c r="J961" s="41"/>
    </row>
    <row r="962" spans="2:10" s="1" customFormat="1" ht="12.75" x14ac:dyDescent="0.2">
      <c r="B962" s="46"/>
      <c r="C962" s="39" t="s">
        <v>729</v>
      </c>
      <c r="D962" s="60">
        <v>2</v>
      </c>
      <c r="E962" s="40">
        <v>17.399999999999999</v>
      </c>
      <c r="F962" s="40"/>
      <c r="G962" s="40">
        <f>0.4+0.15</f>
        <v>0.55000000000000004</v>
      </c>
      <c r="H962" s="40">
        <f t="shared" si="53"/>
        <v>19.14</v>
      </c>
      <c r="I962" s="40"/>
      <c r="J962" s="41"/>
    </row>
    <row r="963" spans="2:10" s="1" customFormat="1" ht="12.75" x14ac:dyDescent="0.2">
      <c r="B963" s="46"/>
      <c r="C963" s="39"/>
      <c r="D963" s="60">
        <v>1</v>
      </c>
      <c r="E963" s="40">
        <v>17.399999999999999</v>
      </c>
      <c r="F963" s="40"/>
      <c r="G963" s="40">
        <v>0.2</v>
      </c>
      <c r="H963" s="40">
        <f t="shared" si="53"/>
        <v>3.48</v>
      </c>
      <c r="I963" s="40"/>
      <c r="J963" s="41"/>
    </row>
    <row r="964" spans="2:10" s="1" customFormat="1" ht="12.75" x14ac:dyDescent="0.2">
      <c r="B964" s="46"/>
      <c r="C964" s="39" t="s">
        <v>435</v>
      </c>
      <c r="D964" s="60">
        <v>2</v>
      </c>
      <c r="E964" s="40">
        <v>2</v>
      </c>
      <c r="F964" s="40"/>
      <c r="G964" s="40">
        <f>0.22+0.15</f>
        <v>0.37</v>
      </c>
      <c r="H964" s="40">
        <f t="shared" si="53"/>
        <v>1.48</v>
      </c>
      <c r="I964" s="40"/>
      <c r="J964" s="41"/>
    </row>
    <row r="965" spans="2:10" s="1" customFormat="1" ht="12.75" x14ac:dyDescent="0.2">
      <c r="B965" s="46"/>
      <c r="C965" s="39"/>
      <c r="D965" s="23">
        <v>1</v>
      </c>
      <c r="E965" s="24">
        <v>2</v>
      </c>
      <c r="F965" s="40"/>
      <c r="G965" s="40">
        <v>0.2</v>
      </c>
      <c r="H965" s="40">
        <f t="shared" si="53"/>
        <v>0.4</v>
      </c>
      <c r="I965" s="40"/>
      <c r="J965" s="41"/>
    </row>
    <row r="966" spans="2:10" s="1" customFormat="1" ht="12.75" x14ac:dyDescent="0.2">
      <c r="B966" s="46"/>
      <c r="C966" s="39" t="s">
        <v>443</v>
      </c>
      <c r="D966" s="8">
        <v>2</v>
      </c>
      <c r="E966" s="86">
        <f>20.5+0.9+1.75</f>
        <v>23.15</v>
      </c>
      <c r="F966" s="40"/>
      <c r="G966" s="40">
        <f>0.45+0.2</f>
        <v>0.65</v>
      </c>
      <c r="H966" s="40">
        <f t="shared" si="53"/>
        <v>30.094999999999999</v>
      </c>
      <c r="I966" s="40"/>
      <c r="J966" s="41"/>
    </row>
    <row r="967" spans="2:10" s="1" customFormat="1" ht="12.75" x14ac:dyDescent="0.2">
      <c r="B967" s="46"/>
      <c r="C967" s="39"/>
      <c r="D967" s="8">
        <v>1</v>
      </c>
      <c r="E967" s="86">
        <v>23.15</v>
      </c>
      <c r="F967" s="40"/>
      <c r="G967" s="40">
        <v>0.3</v>
      </c>
      <c r="H967" s="40">
        <f t="shared" si="53"/>
        <v>6.9449999999999994</v>
      </c>
      <c r="I967" s="40"/>
      <c r="J967" s="41"/>
    </row>
    <row r="968" spans="2:10" s="1" customFormat="1" ht="12.75" x14ac:dyDescent="0.2">
      <c r="B968" s="57"/>
      <c r="C968" s="39"/>
      <c r="D968" s="60"/>
      <c r="E968" s="40"/>
      <c r="F968" s="40"/>
      <c r="G968" s="40"/>
      <c r="H968" s="40"/>
      <c r="I968" s="40"/>
      <c r="J968" s="41"/>
    </row>
    <row r="969" spans="2:10" s="1" customFormat="1" ht="12.75" x14ac:dyDescent="0.2">
      <c r="B969" s="57" t="s">
        <v>876</v>
      </c>
      <c r="C969" s="58" t="s">
        <v>223</v>
      </c>
      <c r="D969" s="60"/>
      <c r="E969" s="40"/>
      <c r="F969" s="40"/>
      <c r="G969" s="40"/>
      <c r="H969" s="40"/>
      <c r="I969" s="40"/>
      <c r="J969" s="41"/>
    </row>
    <row r="970" spans="2:10" s="1" customFormat="1" ht="12.75" x14ac:dyDescent="0.2">
      <c r="B970" s="43" t="s">
        <v>877</v>
      </c>
      <c r="C970" s="43" t="s">
        <v>657</v>
      </c>
      <c r="D970" s="60"/>
      <c r="E970" s="40"/>
      <c r="F970" s="40"/>
      <c r="G970" s="40"/>
      <c r="H970" s="40"/>
      <c r="I970" s="44">
        <f>+SUM(H971:H974)</f>
        <v>22</v>
      </c>
      <c r="J970" s="45" t="s">
        <v>13</v>
      </c>
    </row>
    <row r="971" spans="2:10" s="1" customFormat="1" ht="12.75" x14ac:dyDescent="0.2">
      <c r="B971" s="46"/>
      <c r="C971" s="59" t="s">
        <v>661</v>
      </c>
      <c r="D971" s="60">
        <v>4</v>
      </c>
      <c r="E971" s="40">
        <v>1</v>
      </c>
      <c r="F971" s="40"/>
      <c r="G971" s="40"/>
      <c r="H971" s="40">
        <f t="shared" ref="H971" si="54">+D971</f>
        <v>4</v>
      </c>
      <c r="I971" s="40"/>
      <c r="J971" s="41"/>
    </row>
    <row r="972" spans="2:10" s="1" customFormat="1" ht="12.75" x14ac:dyDescent="0.2">
      <c r="B972" s="46"/>
      <c r="C972" s="59" t="s">
        <v>673</v>
      </c>
      <c r="D972" s="60">
        <v>8</v>
      </c>
      <c r="E972" s="40"/>
      <c r="F972" s="40"/>
      <c r="G972" s="40"/>
      <c r="H972" s="40">
        <f>+D972</f>
        <v>8</v>
      </c>
      <c r="I972" s="40"/>
      <c r="J972" s="41"/>
    </row>
    <row r="973" spans="2:10" s="1" customFormat="1" ht="14.25" customHeight="1" x14ac:dyDescent="0.2">
      <c r="B973" s="46"/>
      <c r="C973" s="59"/>
      <c r="D973" s="60">
        <v>2</v>
      </c>
      <c r="E973" s="40"/>
      <c r="F973" s="40"/>
      <c r="G973" s="40"/>
      <c r="H973" s="40">
        <f>+D973</f>
        <v>2</v>
      </c>
      <c r="I973" s="40"/>
      <c r="J973" s="41"/>
    </row>
    <row r="974" spans="2:10" s="1" customFormat="1" ht="14.25" customHeight="1" x14ac:dyDescent="0.2">
      <c r="B974" s="46"/>
      <c r="C974" s="39" t="s">
        <v>456</v>
      </c>
      <c r="D974" s="1">
        <v>8</v>
      </c>
      <c r="E974" s="40"/>
      <c r="F974" s="40"/>
      <c r="G974" s="40"/>
      <c r="H974" s="40">
        <f>+D974</f>
        <v>8</v>
      </c>
      <c r="I974" s="40"/>
      <c r="J974" s="41"/>
    </row>
    <row r="975" spans="2:10" s="1" customFormat="1" ht="12.75" x14ac:dyDescent="0.2">
      <c r="B975" s="43" t="s">
        <v>880</v>
      </c>
      <c r="C975" s="28" t="s">
        <v>539</v>
      </c>
      <c r="D975" s="60"/>
      <c r="E975" s="40"/>
      <c r="F975" s="40"/>
      <c r="G975" s="40"/>
      <c r="H975" s="40"/>
      <c r="I975" s="44">
        <f>+SUM(H976:H976)</f>
        <v>1</v>
      </c>
      <c r="J975" s="45" t="s">
        <v>13</v>
      </c>
    </row>
    <row r="976" spans="2:10" s="1" customFormat="1" ht="12.75" x14ac:dyDescent="0.2">
      <c r="B976" s="46"/>
      <c r="C976" s="39" t="s">
        <v>495</v>
      </c>
      <c r="D976" s="60">
        <v>1</v>
      </c>
      <c r="E976" s="40">
        <v>1</v>
      </c>
      <c r="F976" s="40"/>
      <c r="G976" s="40"/>
      <c r="H976" s="40">
        <f>+D976</f>
        <v>1</v>
      </c>
      <c r="I976" s="40"/>
      <c r="J976" s="41"/>
    </row>
    <row r="977" spans="2:10" s="1" customFormat="1" ht="14.25" customHeight="1" x14ac:dyDescent="0.2">
      <c r="B977" s="43" t="s">
        <v>881</v>
      </c>
      <c r="C977" s="43" t="s">
        <v>477</v>
      </c>
      <c r="D977" s="60"/>
      <c r="E977" s="40"/>
      <c r="F977" s="40"/>
      <c r="G977" s="40"/>
      <c r="H977" s="40"/>
      <c r="I977" s="44">
        <f>+SUM(H978)</f>
        <v>5</v>
      </c>
      <c r="J977" s="45" t="s">
        <v>13</v>
      </c>
    </row>
    <row r="978" spans="2:10" s="1" customFormat="1" ht="12.75" x14ac:dyDescent="0.2">
      <c r="B978" s="46"/>
      <c r="C978" s="39" t="s">
        <v>493</v>
      </c>
      <c r="D978" s="60">
        <v>5</v>
      </c>
      <c r="E978" s="40"/>
      <c r="F978" s="40"/>
      <c r="G978" s="40"/>
      <c r="H978" s="40">
        <f>+D978</f>
        <v>5</v>
      </c>
      <c r="I978" s="40"/>
      <c r="J978" s="41"/>
    </row>
    <row r="979" spans="2:10" s="1" customFormat="1" ht="12.75" x14ac:dyDescent="0.2">
      <c r="B979" s="43" t="s">
        <v>887</v>
      </c>
      <c r="C979" s="28" t="s">
        <v>543</v>
      </c>
      <c r="D979" s="60"/>
      <c r="E979" s="40"/>
      <c r="F979" s="40"/>
      <c r="G979" s="40"/>
      <c r="H979" s="40"/>
      <c r="I979" s="44">
        <f>+SUM(H980:H980)</f>
        <v>1</v>
      </c>
      <c r="J979" s="45" t="s">
        <v>13</v>
      </c>
    </row>
    <row r="980" spans="2:10" s="1" customFormat="1" ht="12.75" x14ac:dyDescent="0.2">
      <c r="B980" s="46"/>
      <c r="C980" s="39" t="s">
        <v>525</v>
      </c>
      <c r="D980" s="60">
        <v>1</v>
      </c>
      <c r="E980" s="40"/>
      <c r="F980" s="40"/>
      <c r="G980" s="40"/>
      <c r="H980" s="40">
        <f>+D980</f>
        <v>1</v>
      </c>
      <c r="I980" s="40"/>
      <c r="J980" s="41"/>
    </row>
    <row r="981" spans="2:10" s="1" customFormat="1" ht="12.75" x14ac:dyDescent="0.2">
      <c r="B981" s="43" t="s">
        <v>888</v>
      </c>
      <c r="C981" s="28" t="s">
        <v>544</v>
      </c>
      <c r="D981" s="60"/>
      <c r="E981" s="40"/>
      <c r="F981" s="40"/>
      <c r="G981" s="40"/>
      <c r="H981" s="40"/>
      <c r="I981" s="44">
        <f>+SUM(H982:H983)</f>
        <v>1</v>
      </c>
      <c r="J981" s="45" t="s">
        <v>13</v>
      </c>
    </row>
    <row r="982" spans="2:10" s="1" customFormat="1" ht="12.75" x14ac:dyDescent="0.2">
      <c r="B982" s="46"/>
      <c r="C982" s="39" t="s">
        <v>495</v>
      </c>
      <c r="D982" s="60">
        <v>1</v>
      </c>
      <c r="E982" s="40"/>
      <c r="F982" s="40"/>
      <c r="G982" s="40"/>
      <c r="H982" s="40">
        <f>+D982</f>
        <v>1</v>
      </c>
      <c r="I982" s="40"/>
      <c r="J982" s="41"/>
    </row>
    <row r="983" spans="2:10" s="1" customFormat="1" ht="12.75" x14ac:dyDescent="0.2">
      <c r="B983" s="46"/>
      <c r="C983" s="59"/>
      <c r="D983" s="60"/>
      <c r="E983" s="40"/>
      <c r="F983" s="40"/>
      <c r="G983" s="40"/>
      <c r="H983" s="40"/>
      <c r="I983" s="40"/>
      <c r="J983" s="41"/>
    </row>
    <row r="984" spans="2:10" s="1" customFormat="1" ht="12.75" x14ac:dyDescent="0.2">
      <c r="B984" s="43" t="s">
        <v>889</v>
      </c>
      <c r="C984" s="28" t="s">
        <v>545</v>
      </c>
      <c r="D984" s="60"/>
      <c r="E984" s="40"/>
      <c r="F984" s="40"/>
      <c r="G984" s="40"/>
      <c r="H984" s="40"/>
      <c r="I984" s="44">
        <f>+SUM(H985:H985)</f>
        <v>1</v>
      </c>
      <c r="J984" s="45" t="s">
        <v>13</v>
      </c>
    </row>
    <row r="985" spans="2:10" s="1" customFormat="1" ht="14.25" customHeight="1" x14ac:dyDescent="0.2">
      <c r="B985" s="46"/>
      <c r="C985" s="39" t="s">
        <v>525</v>
      </c>
      <c r="D985" s="60">
        <v>1</v>
      </c>
      <c r="E985" s="40"/>
      <c r="F985" s="40"/>
      <c r="G985" s="40"/>
      <c r="H985" s="40">
        <f>+D985</f>
        <v>1</v>
      </c>
      <c r="I985" s="40"/>
      <c r="J985" s="41"/>
    </row>
    <row r="986" spans="2:10" s="1" customFormat="1" ht="14.25" customHeight="1" x14ac:dyDescent="0.2">
      <c r="B986" s="43" t="s">
        <v>891</v>
      </c>
      <c r="C986" s="426" t="s">
        <v>547</v>
      </c>
      <c r="D986" s="60"/>
      <c r="E986" s="40"/>
      <c r="F986" s="40"/>
      <c r="G986" s="40"/>
      <c r="H986" s="40"/>
      <c r="I986" s="44">
        <f>+SUM(H987:H987)</f>
        <v>1</v>
      </c>
      <c r="J986" s="45" t="s">
        <v>13</v>
      </c>
    </row>
    <row r="987" spans="2:10" s="1" customFormat="1" ht="12.75" x14ac:dyDescent="0.2">
      <c r="B987" s="46"/>
      <c r="C987" s="39" t="s">
        <v>495</v>
      </c>
      <c r="D987" s="60">
        <v>1</v>
      </c>
      <c r="E987" s="40"/>
      <c r="F987" s="40"/>
      <c r="G987" s="40"/>
      <c r="H987" s="40">
        <f>+D987</f>
        <v>1</v>
      </c>
      <c r="I987" s="40"/>
      <c r="J987" s="41"/>
    </row>
    <row r="988" spans="2:10" s="1" customFormat="1" ht="12.75" x14ac:dyDescent="0.2">
      <c r="B988" s="46"/>
      <c r="C988" s="59"/>
      <c r="D988" s="60"/>
      <c r="E988" s="40"/>
      <c r="F988" s="40"/>
      <c r="G988" s="40"/>
      <c r="H988" s="40"/>
      <c r="I988" s="40"/>
      <c r="J988" s="41"/>
    </row>
    <row r="989" spans="2:10" s="1" customFormat="1" ht="12.75" x14ac:dyDescent="0.2">
      <c r="B989" s="46"/>
      <c r="C989" s="39"/>
      <c r="D989" s="8"/>
      <c r="E989" s="86"/>
      <c r="F989" s="40"/>
      <c r="G989" s="40"/>
      <c r="H989" s="40"/>
      <c r="I989" s="40"/>
      <c r="J989" s="41"/>
    </row>
    <row r="990" spans="2:10" s="1" customFormat="1" ht="12.75" x14ac:dyDescent="0.2">
      <c r="B990" s="46"/>
      <c r="C990" s="39"/>
      <c r="D990" s="8"/>
      <c r="E990" s="86"/>
      <c r="F990" s="40"/>
      <c r="G990" s="40"/>
      <c r="H990" s="40"/>
      <c r="I990" s="40"/>
      <c r="J990" s="41"/>
    </row>
    <row r="991" spans="2:10" s="1" customFormat="1" ht="12.75" x14ac:dyDescent="0.2">
      <c r="B991" s="46"/>
      <c r="C991" s="39"/>
      <c r="D991" s="8"/>
      <c r="E991" s="86"/>
      <c r="F991" s="40"/>
      <c r="G991" s="40"/>
      <c r="H991" s="40"/>
      <c r="I991" s="40"/>
      <c r="J991" s="41"/>
    </row>
    <row r="992" spans="2:10" s="1" customFormat="1" ht="12.75" x14ac:dyDescent="0.2">
      <c r="B992" s="46"/>
      <c r="C992" s="39"/>
      <c r="D992" s="8"/>
      <c r="E992" s="86"/>
      <c r="F992" s="40"/>
      <c r="G992" s="40"/>
      <c r="H992" s="40"/>
      <c r="I992" s="40"/>
      <c r="J992" s="41"/>
    </row>
    <row r="993" spans="2:10" s="1" customFormat="1" ht="12.75" x14ac:dyDescent="0.2">
      <c r="B993" s="46"/>
      <c r="C993" s="39"/>
      <c r="D993" s="40"/>
      <c r="E993" s="40"/>
      <c r="F993" s="40"/>
      <c r="G993" s="40"/>
      <c r="H993" s="40"/>
      <c r="I993" s="40"/>
      <c r="J993" s="41"/>
    </row>
    <row r="994" spans="2:10" s="1" customFormat="1" ht="12.75" x14ac:dyDescent="0.2">
      <c r="B994" s="46"/>
      <c r="C994" s="39"/>
      <c r="D994" s="8"/>
      <c r="E994" s="86"/>
      <c r="F994" s="40"/>
      <c r="G994" s="40"/>
      <c r="H994" s="40"/>
      <c r="I994" s="40"/>
      <c r="J994" s="41"/>
    </row>
    <row r="995" spans="2:10" s="1" customFormat="1" ht="12.75" x14ac:dyDescent="0.2">
      <c r="B995" s="46"/>
      <c r="C995" s="39"/>
      <c r="D995" s="40"/>
      <c r="E995" s="40"/>
      <c r="F995" s="40"/>
      <c r="G995" s="40"/>
      <c r="H995" s="40"/>
      <c r="I995" s="40"/>
      <c r="J995" s="41"/>
    </row>
    <row r="996" spans="2:10" s="1" customFormat="1" ht="12.75" x14ac:dyDescent="0.2">
      <c r="C996" s="400" t="s">
        <v>37</v>
      </c>
      <c r="D996" s="400"/>
      <c r="E996" s="400"/>
      <c r="F996" s="400"/>
      <c r="G996" s="400"/>
      <c r="H996" s="400"/>
    </row>
    <row r="997" spans="2:10" s="1" customFormat="1" ht="12.75" x14ac:dyDescent="0.2">
      <c r="C997" s="400" t="s">
        <v>38</v>
      </c>
      <c r="D997" s="400"/>
      <c r="E997" s="400"/>
      <c r="F997" s="400"/>
      <c r="G997" s="400"/>
      <c r="H997" s="400"/>
    </row>
    <row r="998" spans="2:10" s="1" customFormat="1" ht="12.75" x14ac:dyDescent="0.2">
      <c r="C998" s="400" t="s">
        <v>39</v>
      </c>
      <c r="D998" s="401"/>
      <c r="E998" s="401"/>
      <c r="F998" s="401"/>
      <c r="G998" s="401"/>
      <c r="H998" s="401"/>
    </row>
    <row r="999" spans="2:10" s="1" customFormat="1" ht="12.75" x14ac:dyDescent="0.2">
      <c r="C999" s="401" t="s">
        <v>40</v>
      </c>
      <c r="D999" s="401"/>
      <c r="E999" s="401"/>
      <c r="F999" s="401"/>
      <c r="G999" s="401"/>
      <c r="H999" s="401"/>
    </row>
    <row r="1000" spans="2:10" s="1" customFormat="1" ht="24.75" customHeight="1" x14ac:dyDescent="0.2">
      <c r="C1000" s="401"/>
      <c r="D1000" s="403"/>
      <c r="E1000" s="403"/>
      <c r="F1000" s="403"/>
      <c r="G1000" s="403"/>
      <c r="H1000" s="403"/>
      <c r="I1000" s="403"/>
      <c r="J1000" s="404"/>
    </row>
    <row r="1001" spans="2:10" s="1" customFormat="1" ht="24.75" customHeight="1" x14ac:dyDescent="0.2">
      <c r="B1001" s="402" t="s">
        <v>65</v>
      </c>
      <c r="C1001" s="403"/>
      <c r="D1001" s="403"/>
      <c r="E1001" s="403"/>
      <c r="F1001" s="403"/>
      <c r="G1001" s="403"/>
      <c r="H1001" s="403"/>
      <c r="I1001" s="403"/>
      <c r="J1001" s="404"/>
    </row>
    <row r="1002" spans="2:10" s="1" customFormat="1" ht="21" thickBot="1" x14ac:dyDescent="0.25">
      <c r="B1002" s="363" t="s">
        <v>421</v>
      </c>
      <c r="C1002" s="364"/>
      <c r="D1002" s="364"/>
      <c r="E1002" s="364"/>
      <c r="F1002" s="364"/>
      <c r="G1002" s="364"/>
      <c r="H1002" s="364"/>
      <c r="I1002" s="364"/>
      <c r="J1002" s="365"/>
    </row>
    <row r="1003" spans="2:10" s="1" customFormat="1" ht="13.5" thickBot="1" x14ac:dyDescent="0.25">
      <c r="B1003" s="360"/>
      <c r="C1003" s="361"/>
      <c r="D1003" s="361"/>
      <c r="E1003" s="361"/>
      <c r="F1003" s="361"/>
      <c r="G1003" s="361"/>
      <c r="H1003" s="361"/>
      <c r="I1003" s="361"/>
      <c r="J1003" s="362"/>
    </row>
    <row r="1004" spans="2:10" s="1" customFormat="1" ht="24.75" customHeight="1" x14ac:dyDescent="0.2">
      <c r="B1004" s="396" t="s">
        <v>27</v>
      </c>
      <c r="C1004" s="397"/>
      <c r="D1004" s="397"/>
      <c r="E1004" s="397"/>
      <c r="F1004" s="397"/>
      <c r="G1004" s="397" t="s">
        <v>8</v>
      </c>
      <c r="H1004" s="397">
        <v>42879</v>
      </c>
      <c r="I1004" s="397"/>
      <c r="J1004" s="398"/>
    </row>
    <row r="1005" spans="2:10" s="1" customFormat="1" ht="12.75" x14ac:dyDescent="0.2">
      <c r="B1005" s="2" t="s">
        <v>35</v>
      </c>
      <c r="C1005" s="3" t="s">
        <v>36</v>
      </c>
      <c r="D1005" s="3"/>
      <c r="E1005" s="4"/>
      <c r="F1005" s="5"/>
      <c r="G1005" s="6" t="s">
        <v>32</v>
      </c>
      <c r="H1005" s="497" t="s">
        <v>29</v>
      </c>
      <c r="I1005" s="497"/>
      <c r="J1005" s="7"/>
    </row>
    <row r="1006" spans="2:10" s="1" customFormat="1" ht="12.75" x14ac:dyDescent="0.2">
      <c r="B1006" s="2" t="s">
        <v>33</v>
      </c>
      <c r="C1006" s="3" t="s">
        <v>29</v>
      </c>
      <c r="D1006" s="8"/>
      <c r="E1006" s="8"/>
      <c r="F1006" s="3"/>
      <c r="G1006" s="9" t="s">
        <v>30</v>
      </c>
      <c r="H1006" s="4" t="s">
        <v>31</v>
      </c>
      <c r="I1006" s="10"/>
      <c r="J1006" s="11"/>
    </row>
    <row r="1007" spans="2:10" s="1" customFormat="1" ht="12.75" x14ac:dyDescent="0.2">
      <c r="B1007" s="2" t="s">
        <v>34</v>
      </c>
      <c r="C1007" s="3" t="s">
        <v>29</v>
      </c>
      <c r="D1007" s="8"/>
      <c r="E1007" s="8"/>
      <c r="F1007" s="3"/>
      <c r="G1007" s="9"/>
      <c r="H1007" s="4"/>
      <c r="I1007" s="10"/>
      <c r="J1007" s="11"/>
    </row>
    <row r="1008" spans="2:10" s="1" customFormat="1" ht="13.5" thickBot="1" x14ac:dyDescent="0.25">
      <c r="B1008" s="12" t="s">
        <v>43</v>
      </c>
      <c r="C1008" s="13" t="s">
        <v>44</v>
      </c>
      <c r="D1008" s="14"/>
      <c r="E1008" s="14"/>
      <c r="F1008" s="13"/>
      <c r="G1008" s="15"/>
      <c r="H1008" s="16"/>
      <c r="I1008" s="17"/>
      <c r="J1008" s="18"/>
    </row>
    <row r="1009" spans="2:10" s="1" customFormat="1" ht="12.75" x14ac:dyDescent="0.2">
      <c r="B1009" s="405"/>
      <c r="C1009" s="405"/>
      <c r="D1009" s="405"/>
      <c r="E1009" s="405"/>
      <c r="F1009" s="405"/>
      <c r="G1009" s="405"/>
      <c r="H1009" s="405"/>
      <c r="I1009" s="405"/>
      <c r="J1009" s="405"/>
    </row>
    <row r="1010" spans="2:10" s="1" customFormat="1" ht="12.75" x14ac:dyDescent="0.2">
      <c r="B1010" s="21" t="s">
        <v>5</v>
      </c>
      <c r="C1010" s="22" t="s">
        <v>0</v>
      </c>
      <c r="D1010" s="22" t="s">
        <v>9</v>
      </c>
      <c r="E1010" s="22" t="s">
        <v>10</v>
      </c>
      <c r="F1010" s="22" t="s">
        <v>1</v>
      </c>
      <c r="G1010" s="22" t="s">
        <v>2</v>
      </c>
      <c r="H1010" s="22" t="s">
        <v>11</v>
      </c>
      <c r="I1010" s="22" t="s">
        <v>6</v>
      </c>
      <c r="J1010" s="22" t="s">
        <v>7</v>
      </c>
    </row>
    <row r="1011" spans="2:10" s="1" customFormat="1" ht="12.75" x14ac:dyDescent="0.2">
      <c r="B1011" s="55">
        <v>4.03</v>
      </c>
      <c r="C1011" s="56" t="s">
        <v>222</v>
      </c>
      <c r="D1011" s="60"/>
      <c r="E1011" s="40"/>
      <c r="F1011" s="40"/>
      <c r="G1011" s="40"/>
      <c r="H1011" s="40"/>
      <c r="I1011" s="40"/>
      <c r="J1011" s="41"/>
    </row>
    <row r="1012" spans="2:10" s="1" customFormat="1" ht="12.75" x14ac:dyDescent="0.2">
      <c r="B1012" s="73" t="s">
        <v>14</v>
      </c>
      <c r="C1012" s="73" t="s">
        <v>615</v>
      </c>
      <c r="D1012" s="60"/>
      <c r="E1012" s="40"/>
      <c r="F1012" s="40"/>
      <c r="G1012" s="40"/>
      <c r="H1012" s="40"/>
      <c r="I1012" s="40"/>
      <c r="J1012" s="41"/>
    </row>
    <row r="1013" spans="2:10" s="1" customFormat="1" ht="12.75" x14ac:dyDescent="0.2">
      <c r="B1013" s="25" t="s">
        <v>15</v>
      </c>
      <c r="C1013" s="28" t="s">
        <v>616</v>
      </c>
      <c r="D1013" s="60"/>
      <c r="E1013" s="40"/>
      <c r="F1013" s="40"/>
      <c r="G1013" s="40"/>
      <c r="H1013" s="40"/>
      <c r="I1013" s="40">
        <f>+SUM(H1014:H1025)</f>
        <v>99.783919999999995</v>
      </c>
      <c r="J1013" s="41" t="s">
        <v>45</v>
      </c>
    </row>
    <row r="1014" spans="2:10" s="1" customFormat="1" ht="12.75" x14ac:dyDescent="0.2">
      <c r="B1014" s="46"/>
      <c r="C1014" s="39" t="s">
        <v>549</v>
      </c>
      <c r="D1014" s="40">
        <v>1</v>
      </c>
      <c r="E1014" s="40">
        <v>7.5</v>
      </c>
      <c r="F1014" s="40">
        <v>0.5</v>
      </c>
      <c r="G1014" s="40"/>
      <c r="H1014" s="40">
        <f t="shared" ref="H1014:H1025" si="55">IF(AND(F1014=0,G1014=0),D1014*E1014,IF(AND(E1014=0,G1014=0),D1014*F1014,IF(AND(E1014=0,F1014=0),D1014*G1014,IF(AND(E1014=0),D1014*F1014*G1014,IF(AND(F1014=0),D1014*E1014*G1014,IF(AND(G1014=0),D1014*E1014*F1014,D1014*E1014*F1014*G1014))))))</f>
        <v>3.75</v>
      </c>
      <c r="I1014" s="40"/>
      <c r="J1014" s="41"/>
    </row>
    <row r="1015" spans="2:10" s="1" customFormat="1" ht="12.75" x14ac:dyDescent="0.2">
      <c r="B1015" s="46"/>
      <c r="C1015" s="39" t="s">
        <v>374</v>
      </c>
      <c r="D1015" s="40">
        <v>1</v>
      </c>
      <c r="E1015" s="40">
        <v>0.9</v>
      </c>
      <c r="F1015" s="40">
        <v>1.2</v>
      </c>
      <c r="G1015" s="40"/>
      <c r="H1015" s="40">
        <f t="shared" si="55"/>
        <v>1.08</v>
      </c>
      <c r="I1015" s="40"/>
      <c r="J1015" s="41"/>
    </row>
    <row r="1016" spans="2:10" s="1" customFormat="1" ht="12.75" x14ac:dyDescent="0.2">
      <c r="B1016" s="46"/>
      <c r="C1016" s="39" t="s">
        <v>390</v>
      </c>
      <c r="D1016" s="40">
        <v>1</v>
      </c>
      <c r="E1016" s="40">
        <v>0.6</v>
      </c>
      <c r="F1016" s="40">
        <v>0.8</v>
      </c>
      <c r="G1016" s="40"/>
      <c r="H1016" s="40">
        <f t="shared" si="55"/>
        <v>0.48</v>
      </c>
      <c r="I1016" s="40"/>
      <c r="J1016" s="41"/>
    </row>
    <row r="1017" spans="2:10" s="1" customFormat="1" ht="12.75" x14ac:dyDescent="0.2">
      <c r="B1017" s="46"/>
      <c r="C1017" s="43" t="s">
        <v>490</v>
      </c>
      <c r="D1017" s="60"/>
      <c r="E1017" s="40"/>
      <c r="F1017" s="40"/>
      <c r="G1017" s="40"/>
      <c r="H1017" s="40">
        <f t="shared" si="55"/>
        <v>0</v>
      </c>
      <c r="I1017" s="40"/>
      <c r="J1017" s="41"/>
    </row>
    <row r="1018" spans="2:10" s="1" customFormat="1" ht="12.75" x14ac:dyDescent="0.2">
      <c r="B1018" s="46"/>
      <c r="C1018" s="39" t="s">
        <v>499</v>
      </c>
      <c r="D1018" s="40">
        <v>1</v>
      </c>
      <c r="E1018" s="40">
        <v>17.45</v>
      </c>
      <c r="F1018" s="40">
        <f>4*0.0254+0.4</f>
        <v>0.50160000000000005</v>
      </c>
      <c r="G1018" s="40"/>
      <c r="H1018" s="40">
        <f t="shared" si="55"/>
        <v>8.7529199999999996</v>
      </c>
      <c r="I1018" s="40"/>
      <c r="J1018" s="41"/>
    </row>
    <row r="1019" spans="2:10" s="1" customFormat="1" ht="12.75" x14ac:dyDescent="0.2">
      <c r="B1019" s="46"/>
      <c r="C1019" s="39"/>
      <c r="D1019" s="60"/>
      <c r="E1019" s="40"/>
      <c r="F1019" s="40"/>
      <c r="G1019" s="40"/>
      <c r="H1019" s="40"/>
      <c r="I1019" s="40"/>
      <c r="J1019" s="41"/>
    </row>
    <row r="1020" spans="2:10" s="1" customFormat="1" ht="12.75" x14ac:dyDescent="0.2">
      <c r="B1020" s="46"/>
      <c r="C1020" s="43" t="s">
        <v>250</v>
      </c>
      <c r="D1020" s="60"/>
      <c r="E1020" s="40"/>
      <c r="F1020" s="40"/>
      <c r="G1020" s="40"/>
      <c r="H1020" s="40"/>
      <c r="I1020" s="40"/>
      <c r="J1020" s="41"/>
    </row>
    <row r="1021" spans="2:10" s="1" customFormat="1" ht="12.75" x14ac:dyDescent="0.2">
      <c r="B1021" s="46"/>
      <c r="C1021" s="39" t="s">
        <v>498</v>
      </c>
      <c r="D1021" s="1">
        <v>1</v>
      </c>
      <c r="E1021" s="40">
        <f>1.1+22.93</f>
        <v>24.03</v>
      </c>
      <c r="F1021" s="40">
        <v>0.7</v>
      </c>
      <c r="G1021" s="40"/>
      <c r="H1021" s="40">
        <f t="shared" si="55"/>
        <v>16.820999999999998</v>
      </c>
      <c r="I1021" s="40"/>
      <c r="J1021" s="41"/>
    </row>
    <row r="1022" spans="2:10" s="1" customFormat="1" ht="12.75" x14ac:dyDescent="0.2">
      <c r="B1022" s="46"/>
      <c r="C1022" s="39" t="s">
        <v>676</v>
      </c>
      <c r="D1022" s="60">
        <v>1</v>
      </c>
      <c r="E1022" s="40">
        <v>3.7</v>
      </c>
      <c r="F1022" s="40">
        <v>0.7</v>
      </c>
      <c r="G1022" s="40"/>
      <c r="H1022" s="40">
        <f t="shared" si="55"/>
        <v>2.59</v>
      </c>
      <c r="I1022" s="40"/>
      <c r="J1022" s="41"/>
    </row>
    <row r="1023" spans="2:10" s="1" customFormat="1" ht="12.75" x14ac:dyDescent="0.2">
      <c r="B1023" s="46"/>
      <c r="C1023" s="39" t="s">
        <v>677</v>
      </c>
      <c r="D1023" s="60">
        <v>1</v>
      </c>
      <c r="E1023" s="40">
        <v>3.3</v>
      </c>
      <c r="F1023" s="40">
        <v>0.7</v>
      </c>
      <c r="G1023" s="40"/>
      <c r="H1023" s="40">
        <f t="shared" si="55"/>
        <v>2.3099999999999996</v>
      </c>
      <c r="I1023" s="40"/>
      <c r="J1023" s="41"/>
    </row>
    <row r="1024" spans="2:10" s="1" customFormat="1" ht="12.75" x14ac:dyDescent="0.2">
      <c r="B1024" s="46"/>
      <c r="C1024" s="43" t="s">
        <v>252</v>
      </c>
      <c r="D1024" s="60"/>
      <c r="E1024" s="40"/>
      <c r="F1024" s="40"/>
      <c r="G1024" s="40"/>
      <c r="H1024" s="40"/>
      <c r="I1024" s="40"/>
      <c r="J1024" s="41"/>
    </row>
    <row r="1025" spans="2:10" s="1" customFormat="1" ht="12.75" x14ac:dyDescent="0.2">
      <c r="B1025" s="46"/>
      <c r="C1025" s="39" t="s">
        <v>678</v>
      </c>
      <c r="D1025" s="40">
        <v>1</v>
      </c>
      <c r="E1025" s="40">
        <v>80</v>
      </c>
      <c r="F1025" s="40">
        <v>0.8</v>
      </c>
      <c r="G1025" s="40"/>
      <c r="H1025" s="40">
        <f t="shared" si="55"/>
        <v>64</v>
      </c>
      <c r="I1025" s="40"/>
      <c r="J1025" s="41"/>
    </row>
    <row r="1026" spans="2:10" x14ac:dyDescent="0.25">
      <c r="B1026" s="25" t="s">
        <v>232</v>
      </c>
      <c r="C1026" s="28" t="s">
        <v>617</v>
      </c>
      <c r="D1026" s="23"/>
      <c r="E1026" s="23"/>
      <c r="F1026" s="23"/>
      <c r="G1026" s="23"/>
      <c r="H1026" s="24"/>
      <c r="I1026" s="25">
        <f>+I1013</f>
        <v>99.783919999999995</v>
      </c>
      <c r="J1026" s="26" t="s">
        <v>45</v>
      </c>
    </row>
    <row r="1027" spans="2:10" s="1" customFormat="1" ht="12.75" x14ac:dyDescent="0.2">
      <c r="B1027" s="46"/>
      <c r="C1027" s="59"/>
      <c r="D1027" s="60"/>
      <c r="E1027" s="40"/>
      <c r="F1027" s="40"/>
      <c r="G1027" s="40"/>
      <c r="H1027" s="40"/>
      <c r="I1027" s="40"/>
      <c r="J1027" s="41"/>
    </row>
    <row r="1028" spans="2:10" x14ac:dyDescent="0.25">
      <c r="B1028" s="73" t="s">
        <v>25</v>
      </c>
      <c r="C1028" s="73" t="s">
        <v>614</v>
      </c>
      <c r="D1028" s="23"/>
      <c r="E1028" s="23"/>
      <c r="F1028" s="23"/>
      <c r="G1028" s="23"/>
      <c r="H1028" s="24"/>
      <c r="I1028" s="25"/>
      <c r="J1028" s="26"/>
    </row>
    <row r="1029" spans="2:10" s="1" customFormat="1" ht="12.75" x14ac:dyDescent="0.2">
      <c r="B1029" s="25" t="s">
        <v>26</v>
      </c>
      <c r="C1029" s="1" t="s">
        <v>622</v>
      </c>
      <c r="D1029" s="60"/>
      <c r="E1029" s="40"/>
      <c r="F1029" s="40"/>
      <c r="G1029" s="40"/>
      <c r="H1029" s="24"/>
      <c r="I1029" s="25">
        <f>+SUM(H1030)</f>
        <v>1.8</v>
      </c>
      <c r="J1029" s="26" t="s">
        <v>4</v>
      </c>
    </row>
    <row r="1030" spans="2:10" s="1" customFormat="1" ht="12.75" x14ac:dyDescent="0.2">
      <c r="B1030" s="25"/>
      <c r="C1030" s="39" t="s">
        <v>549</v>
      </c>
      <c r="D1030" s="40">
        <v>1</v>
      </c>
      <c r="E1030" s="40">
        <v>7.5</v>
      </c>
      <c r="F1030" s="40">
        <v>0.5</v>
      </c>
      <c r="G1030" s="40">
        <f>0.28+0.2</f>
        <v>0.48000000000000004</v>
      </c>
      <c r="H1030" s="40">
        <f>IF(AND(F1030=0,G1030=0),D1030*E1030,IF(AND(E1030=0,G1030=0),D1030*F1030,IF(AND(E1030=0,F1030=0),D1030*G1030,IF(AND(E1030=0),D1030*F1030*G1030,IF(AND(F1030=0),D1030*E1030*G1030,IF(AND(G1030=0),D1030*E1030*F1030,D1030*E1030*F1030*G1030))))))</f>
        <v>1.8</v>
      </c>
      <c r="I1030" s="40"/>
      <c r="J1030" s="41"/>
    </row>
    <row r="1031" spans="2:10" s="1" customFormat="1" ht="12.75" x14ac:dyDescent="0.2">
      <c r="B1031" s="25"/>
      <c r="D1031" s="60"/>
      <c r="E1031" s="40"/>
      <c r="F1031" s="40"/>
      <c r="G1031" s="40"/>
      <c r="H1031" s="40"/>
      <c r="I1031" s="40"/>
      <c r="J1031" s="41"/>
    </row>
    <row r="1032" spans="2:10" s="1" customFormat="1" ht="12.75" x14ac:dyDescent="0.2">
      <c r="B1032" s="25" t="s">
        <v>654</v>
      </c>
      <c r="C1032" s="1" t="s">
        <v>623</v>
      </c>
      <c r="D1032" s="60"/>
      <c r="E1032" s="40"/>
      <c r="F1032" s="40"/>
      <c r="G1032" s="40"/>
      <c r="H1032" s="24"/>
      <c r="I1032" s="25">
        <f>+SUM(H1033:H1034)</f>
        <v>1.7460000000000002</v>
      </c>
      <c r="J1032" s="26" t="s">
        <v>4</v>
      </c>
    </row>
    <row r="1033" spans="2:10" s="1" customFormat="1" ht="12.75" x14ac:dyDescent="0.2">
      <c r="B1033" s="57"/>
      <c r="C1033" s="39" t="s">
        <v>374</v>
      </c>
      <c r="D1033" s="40">
        <v>1</v>
      </c>
      <c r="E1033" s="40">
        <v>0.9</v>
      </c>
      <c r="F1033" s="40">
        <v>1.2</v>
      </c>
      <c r="G1033" s="40">
        <f>1.1+0.25</f>
        <v>1.35</v>
      </c>
      <c r="H1033" s="40">
        <f>IF(AND(F1033=0,G1033=0),D1033*E1033,IF(AND(E1033=0,G1033=0),D1033*F1033,IF(AND(E1033=0,F1033=0),D1033*G1033,IF(AND(E1033=0),D1033*F1033*G1033,IF(AND(F1033=0),D1033*E1033*G1033,IF(AND(G1033=0),D1033*E1033*F1033,D1033*E1033*F1033*G1033))))))</f>
        <v>1.4580000000000002</v>
      </c>
      <c r="I1033" s="40"/>
      <c r="J1033" s="41"/>
    </row>
    <row r="1034" spans="2:10" s="1" customFormat="1" ht="12.75" x14ac:dyDescent="0.2">
      <c r="B1034" s="57"/>
      <c r="C1034" s="39" t="s">
        <v>390</v>
      </c>
      <c r="D1034" s="40">
        <v>1</v>
      </c>
      <c r="E1034" s="40">
        <v>0.6</v>
      </c>
      <c r="F1034" s="40">
        <v>0.8</v>
      </c>
      <c r="G1034" s="40">
        <f>0.4+0.2</f>
        <v>0.60000000000000009</v>
      </c>
      <c r="H1034" s="40">
        <f>IF(AND(F1034=0,G1034=0),D1034*E1034,IF(AND(E1034=0,G1034=0),D1034*F1034,IF(AND(E1034=0,F1034=0),D1034*G1034,IF(AND(E1034=0),D1034*F1034*G1034,IF(AND(F1034=0),D1034*E1034*G1034,IF(AND(G1034=0),D1034*E1034*F1034,D1034*E1034*F1034*G1034))))))</f>
        <v>0.28800000000000003</v>
      </c>
      <c r="I1034" s="40"/>
      <c r="J1034" s="41"/>
    </row>
    <row r="1035" spans="2:10" s="1" customFormat="1" ht="12.75" x14ac:dyDescent="0.2">
      <c r="B1035" s="46"/>
      <c r="C1035" s="59"/>
      <c r="D1035" s="60"/>
      <c r="E1035" s="40"/>
      <c r="F1035" s="40"/>
      <c r="G1035" s="40"/>
      <c r="H1035" s="40"/>
      <c r="I1035" s="40"/>
      <c r="J1035" s="41"/>
    </row>
    <row r="1036" spans="2:10" s="1" customFormat="1" ht="12.75" x14ac:dyDescent="0.2">
      <c r="B1036" s="25" t="s">
        <v>822</v>
      </c>
      <c r="C1036" s="1" t="s">
        <v>738</v>
      </c>
      <c r="D1036" s="60"/>
      <c r="E1036" s="40"/>
      <c r="F1036" s="40"/>
      <c r="G1036" s="40"/>
      <c r="H1036" s="40"/>
      <c r="I1036" s="40">
        <f>+SUM(H1037)</f>
        <v>0</v>
      </c>
      <c r="J1036" s="41" t="s">
        <v>4</v>
      </c>
    </row>
    <row r="1037" spans="2:10" s="1" customFormat="1" ht="12.75" x14ac:dyDescent="0.2">
      <c r="B1037" s="46"/>
      <c r="C1037" s="39"/>
      <c r="E1037" s="40"/>
      <c r="F1037" s="40"/>
      <c r="G1037" s="40"/>
      <c r="H1037" s="40">
        <f>IF(AND(F1037=0,G1037=0),D1037*E1037,IF(AND(E1037=0,G1037=0),D1037*F1037,IF(AND(E1037=0,F1037=0),D1037*G1037,IF(AND(E1037=0),D1037*F1037*G1037,IF(AND(F1037=0),D1037*E1037*G1037,IF(AND(G1037=0),D1037*E1037*F1037,D1037*E1037*F1037*G1037))))))</f>
        <v>0</v>
      </c>
      <c r="I1037" s="40"/>
      <c r="J1037" s="41"/>
    </row>
    <row r="1038" spans="2:10" x14ac:dyDescent="0.25">
      <c r="B1038" s="25" t="s">
        <v>820</v>
      </c>
      <c r="C1038" s="414" t="s">
        <v>779</v>
      </c>
      <c r="D1038" s="23"/>
      <c r="E1038" s="23"/>
      <c r="F1038" s="23"/>
      <c r="G1038" s="23"/>
      <c r="I1038" s="24">
        <f>+SUM(H1039:H1041)</f>
        <v>5.3100000000000005</v>
      </c>
      <c r="J1038" s="26" t="s">
        <v>45</v>
      </c>
    </row>
    <row r="1039" spans="2:10" x14ac:dyDescent="0.25">
      <c r="B1039" s="25"/>
      <c r="C1039" s="39" t="s">
        <v>374</v>
      </c>
      <c r="D1039" s="40">
        <v>1</v>
      </c>
      <c r="E1039" s="40">
        <v>0.9</v>
      </c>
      <c r="F1039" s="40">
        <v>1.2</v>
      </c>
      <c r="G1039" s="40"/>
      <c r="H1039" s="40">
        <f>IF(AND(F1039=0,G1039=0),D1039*E1039,IF(AND(E1039=0,G1039=0),D1039*F1039,IF(AND(E1039=0,F1039=0),D1039*G1039,IF(AND(E1039=0),D1039*F1039*G1039,IF(AND(F1039=0),D1039*E1039*G1039,IF(AND(G1039=0),D1039*E1039*F1039,D1039*E1039*F1039*G1039))))))</f>
        <v>1.08</v>
      </c>
      <c r="I1039" s="25"/>
      <c r="J1039" s="26"/>
    </row>
    <row r="1040" spans="2:10" x14ac:dyDescent="0.25">
      <c r="B1040" s="25"/>
      <c r="C1040" s="39" t="s">
        <v>390</v>
      </c>
      <c r="D1040" s="40">
        <v>1</v>
      </c>
      <c r="E1040" s="40">
        <v>0.6</v>
      </c>
      <c r="F1040" s="40">
        <v>0.8</v>
      </c>
      <c r="G1040" s="40"/>
      <c r="H1040" s="40">
        <f>IF(AND(F1040=0,G1040=0),D1040*E1040,IF(AND(E1040=0,G1040=0),D1040*F1040,IF(AND(E1040=0,F1040=0),D1040*G1040,IF(AND(E1040=0),D1040*F1040*G1040,IF(AND(F1040=0),D1040*E1040*G1040,IF(AND(G1040=0),D1040*E1040*F1040,D1040*E1040*F1040*G1040))))))</f>
        <v>0.48</v>
      </c>
      <c r="I1040" s="25"/>
      <c r="J1040" s="26"/>
    </row>
    <row r="1041" spans="2:10" x14ac:dyDescent="0.25">
      <c r="B1041" s="25"/>
      <c r="C1041" s="39" t="s">
        <v>549</v>
      </c>
      <c r="D1041" s="40">
        <v>1</v>
      </c>
      <c r="E1041" s="40">
        <v>7.5</v>
      </c>
      <c r="F1041" s="40">
        <v>0.5</v>
      </c>
      <c r="G1041" s="40"/>
      <c r="H1041" s="40">
        <f>IF(AND(F1041=0,G1041=0),D1041*E1041,IF(AND(E1041=0,G1041=0),D1041*F1041,IF(AND(E1041=0,F1041=0),D1041*G1041,IF(AND(E1041=0),D1041*F1041*G1041,IF(AND(F1041=0),D1041*E1041*G1041,IF(AND(G1041=0),D1041*E1041*F1041,D1041*E1041*F1041*G1041))))))</f>
        <v>3.75</v>
      </c>
      <c r="I1041" s="25"/>
      <c r="J1041" s="26"/>
    </row>
    <row r="1042" spans="2:10" x14ac:dyDescent="0.25">
      <c r="B1042" s="25"/>
      <c r="C1042" s="414"/>
      <c r="D1042" s="23"/>
      <c r="E1042" s="23"/>
      <c r="F1042" s="23"/>
      <c r="G1042" s="23"/>
      <c r="H1042" s="24"/>
      <c r="I1042" s="25"/>
      <c r="J1042" s="26"/>
    </row>
    <row r="1043" spans="2:10" s="1" customFormat="1" ht="12.75" x14ac:dyDescent="0.2">
      <c r="B1043" s="25" t="s">
        <v>821</v>
      </c>
      <c r="C1043" s="414" t="s">
        <v>776</v>
      </c>
      <c r="D1043" s="60"/>
      <c r="E1043" s="40"/>
      <c r="F1043" s="40"/>
      <c r="G1043" s="40"/>
      <c r="H1043" s="40"/>
      <c r="I1043" s="40">
        <f>+H1045+H1049+H1053-H1047-H1051-H1055</f>
        <v>55.544457927315925</v>
      </c>
      <c r="J1043" s="41" t="s">
        <v>4</v>
      </c>
    </row>
    <row r="1044" spans="2:10" s="1" customFormat="1" ht="12.75" x14ac:dyDescent="0.2">
      <c r="B1044" s="46"/>
      <c r="C1044" s="43" t="s">
        <v>490</v>
      </c>
      <c r="D1044" s="60"/>
      <c r="E1044" s="40"/>
      <c r="F1044" s="40"/>
      <c r="G1044" s="40"/>
      <c r="H1044" s="40"/>
      <c r="I1044" s="40"/>
      <c r="J1044" s="41"/>
    </row>
    <row r="1045" spans="2:10" s="1" customFormat="1" ht="12.75" x14ac:dyDescent="0.2">
      <c r="B1045" s="46"/>
      <c r="C1045" s="39" t="s">
        <v>499</v>
      </c>
      <c r="D1045" s="40">
        <v>1</v>
      </c>
      <c r="E1045" s="40">
        <v>17.45</v>
      </c>
      <c r="F1045" s="40">
        <f>4*0.0254+0.4</f>
        <v>0.50160000000000005</v>
      </c>
      <c r="G1045" s="40">
        <v>0.35</v>
      </c>
      <c r="H1045" s="40">
        <f t="shared" ref="H1045" si="56">IF(AND(F1045=0,G1045=0),D1045*E1045,IF(AND(E1045=0,G1045=0),D1045*F1045,IF(AND(E1045=0,F1045=0),D1045*G1045,IF(AND(E1045=0),D1045*F1045*G1045,IF(AND(F1045=0),D1045*E1045*G1045,IF(AND(G1045=0),D1045*E1045*F1045,D1045*E1045*F1045*G1045))))))</f>
        <v>3.0635219999999999</v>
      </c>
      <c r="I1045" s="40"/>
      <c r="J1045" s="41"/>
    </row>
    <row r="1046" spans="2:10" s="1" customFormat="1" ht="12.75" x14ac:dyDescent="0.2">
      <c r="B1046" s="46"/>
      <c r="F1046" s="40" t="s">
        <v>786</v>
      </c>
      <c r="G1046" s="40">
        <v>4</v>
      </c>
      <c r="I1046" s="40"/>
      <c r="J1046" s="41"/>
    </row>
    <row r="1047" spans="2:10" s="1" customFormat="1" ht="12.75" x14ac:dyDescent="0.2">
      <c r="B1047" s="46"/>
      <c r="C1047" s="39" t="s">
        <v>784</v>
      </c>
      <c r="D1047" s="60">
        <v>1</v>
      </c>
      <c r="E1047" s="40">
        <f>+SUM(E1045)</f>
        <v>17.45</v>
      </c>
      <c r="F1047" s="40" t="s">
        <v>785</v>
      </c>
      <c r="G1047" s="379">
        <f>+PI()*((G1046*0.0254)^2)/4</f>
        <v>8.107319665559963E-3</v>
      </c>
      <c r="H1047" s="40">
        <f>+E1047*G1047</f>
        <v>0.14147272816402134</v>
      </c>
      <c r="I1047" s="40"/>
      <c r="J1047" s="41"/>
    </row>
    <row r="1048" spans="2:10" s="1" customFormat="1" ht="12.75" x14ac:dyDescent="0.2">
      <c r="B1048" s="46"/>
      <c r="C1048" s="43" t="s">
        <v>250</v>
      </c>
      <c r="D1048" s="60"/>
      <c r="E1048" s="40"/>
      <c r="F1048" s="40"/>
      <c r="G1048" s="40"/>
      <c r="H1048" s="40"/>
      <c r="I1048" s="40"/>
      <c r="J1048" s="41"/>
    </row>
    <row r="1049" spans="2:10" s="1" customFormat="1" ht="12.75" x14ac:dyDescent="0.2">
      <c r="B1049" s="46"/>
      <c r="C1049" s="39" t="s">
        <v>498</v>
      </c>
      <c r="D1049" s="1">
        <v>1</v>
      </c>
      <c r="E1049" s="40">
        <f>1.1+22.93</f>
        <v>24.03</v>
      </c>
      <c r="F1049" s="40">
        <v>0.7</v>
      </c>
      <c r="G1049" s="40">
        <v>1.2</v>
      </c>
      <c r="H1049" s="40">
        <f t="shared" ref="H1049" si="57">IF(AND(F1049=0,G1049=0),D1049*E1049,IF(AND(E1049=0,G1049=0),D1049*F1049,IF(AND(E1049=0,F1049=0),D1049*G1049,IF(AND(E1049=0),D1049*F1049*G1049,IF(AND(F1049=0),D1049*E1049*G1049,IF(AND(G1049=0),D1049*E1049*F1049,D1049*E1049*F1049*G1049))))))</f>
        <v>20.185199999999998</v>
      </c>
      <c r="I1049" s="40"/>
      <c r="J1049" s="41"/>
    </row>
    <row r="1050" spans="2:10" s="1" customFormat="1" ht="12.75" x14ac:dyDescent="0.2">
      <c r="B1050" s="46"/>
      <c r="F1050" s="40" t="s">
        <v>786</v>
      </c>
      <c r="G1050" s="40">
        <v>10</v>
      </c>
      <c r="I1050" s="40"/>
      <c r="J1050" s="41"/>
    </row>
    <row r="1051" spans="2:10" s="1" customFormat="1" ht="12.75" x14ac:dyDescent="0.2">
      <c r="B1051" s="46"/>
      <c r="C1051" s="39" t="s">
        <v>784</v>
      </c>
      <c r="D1051" s="60">
        <v>1</v>
      </c>
      <c r="E1051" s="40">
        <f>+SUM(E1049:E1049)</f>
        <v>24.03</v>
      </c>
      <c r="F1051" s="40" t="s">
        <v>785</v>
      </c>
      <c r="G1051" s="40">
        <f>+PI()*((G1050*0.0254)^2)/4</f>
        <v>5.0670747909749778E-2</v>
      </c>
      <c r="H1051" s="40">
        <f>+E1051*G1051</f>
        <v>1.2176180722712873</v>
      </c>
      <c r="I1051" s="40"/>
      <c r="J1051" s="41"/>
    </row>
    <row r="1052" spans="2:10" s="1" customFormat="1" ht="12.75" x14ac:dyDescent="0.2">
      <c r="B1052" s="46"/>
      <c r="C1052" s="43" t="s">
        <v>252</v>
      </c>
      <c r="D1052" s="60"/>
      <c r="E1052" s="40"/>
      <c r="F1052" s="40"/>
      <c r="G1052" s="40"/>
      <c r="H1052" s="40"/>
      <c r="I1052" s="40"/>
      <c r="J1052" s="41"/>
    </row>
    <row r="1053" spans="2:10" s="1" customFormat="1" ht="12.75" x14ac:dyDescent="0.2">
      <c r="B1053" s="46"/>
      <c r="C1053" s="39" t="s">
        <v>678</v>
      </c>
      <c r="D1053" s="40">
        <v>1</v>
      </c>
      <c r="E1053" s="40">
        <v>80</v>
      </c>
      <c r="F1053" s="40">
        <v>0.8</v>
      </c>
      <c r="G1053" s="40">
        <v>0.65</v>
      </c>
      <c r="H1053" s="40">
        <f t="shared" ref="H1053" si="58">IF(AND(F1053=0,G1053=0),D1053*E1053,IF(AND(E1053=0,G1053=0),D1053*F1053,IF(AND(E1053=0,F1053=0),D1053*G1053,IF(AND(E1053=0),D1053*F1053*G1053,IF(AND(F1053=0),D1053*E1053*G1053,IF(AND(G1053=0),D1053*E1053*F1053,D1053*E1053*F1053*G1053))))))</f>
        <v>41.6</v>
      </c>
      <c r="I1053" s="40"/>
      <c r="J1053" s="41"/>
    </row>
    <row r="1054" spans="2:10" s="1" customFormat="1" ht="12.75" x14ac:dyDescent="0.2">
      <c r="B1054" s="46"/>
      <c r="F1054" s="40" t="s">
        <v>786</v>
      </c>
      <c r="G1054" s="40">
        <v>14</v>
      </c>
      <c r="I1054" s="40"/>
      <c r="J1054" s="41"/>
    </row>
    <row r="1055" spans="2:10" s="1" customFormat="1" ht="12.75" x14ac:dyDescent="0.2">
      <c r="B1055" s="46"/>
      <c r="C1055" s="39" t="s">
        <v>784</v>
      </c>
      <c r="D1055" s="60">
        <v>1</v>
      </c>
      <c r="E1055" s="40">
        <f>+E1053</f>
        <v>80</v>
      </c>
      <c r="F1055" s="40" t="s">
        <v>785</v>
      </c>
      <c r="G1055" s="40">
        <f>+PI()*((G1054*0.0254)^2)/4</f>
        <v>9.9314665903109542E-2</v>
      </c>
      <c r="H1055" s="40">
        <f>+E1055*G1055</f>
        <v>7.9451732722487636</v>
      </c>
      <c r="I1055" s="40"/>
      <c r="J1055" s="41"/>
    </row>
    <row r="1056" spans="2:10" s="1" customFormat="1" ht="12.75" x14ac:dyDescent="0.2">
      <c r="B1056" s="25" t="s">
        <v>823</v>
      </c>
      <c r="C1056" s="28" t="s">
        <v>719</v>
      </c>
      <c r="D1056" s="60"/>
      <c r="E1056" s="40"/>
      <c r="F1056" s="40"/>
      <c r="G1056" s="40"/>
      <c r="H1056" s="40"/>
      <c r="I1056" s="40">
        <f>+SUM(H1057)</f>
        <v>10.95</v>
      </c>
      <c r="J1056" s="41" t="s">
        <v>45</v>
      </c>
    </row>
    <row r="1057" spans="2:10" s="1" customFormat="1" ht="12.75" x14ac:dyDescent="0.2">
      <c r="B1057" s="46"/>
      <c r="C1057" s="39" t="s">
        <v>549</v>
      </c>
      <c r="D1057" s="40">
        <v>1</v>
      </c>
      <c r="E1057" s="40">
        <v>7.5</v>
      </c>
      <c r="F1057" s="40">
        <v>0.5</v>
      </c>
      <c r="G1057" s="40">
        <f>0.28+0.2</f>
        <v>0.48000000000000004</v>
      </c>
      <c r="H1057" s="40">
        <f>+(F1057+G1057*2)*E1057</f>
        <v>10.95</v>
      </c>
      <c r="I1057" s="40"/>
      <c r="J1057" s="41"/>
    </row>
    <row r="1058" spans="2:10" s="1" customFormat="1" ht="12.75" x14ac:dyDescent="0.2">
      <c r="B1058" s="25" t="s">
        <v>824</v>
      </c>
      <c r="C1058" s="28" t="s">
        <v>718</v>
      </c>
      <c r="D1058" s="60"/>
      <c r="E1058" s="40"/>
      <c r="F1058" s="40"/>
      <c r="G1058" s="40"/>
      <c r="H1058" s="40"/>
      <c r="I1058" s="40">
        <f>+SUM(H1060:H1067)</f>
        <v>263.46091999999999</v>
      </c>
      <c r="J1058" s="41" t="s">
        <v>45</v>
      </c>
    </row>
    <row r="1059" spans="2:10" s="1" customFormat="1" ht="12.75" x14ac:dyDescent="0.2">
      <c r="B1059" s="46"/>
      <c r="C1059" s="43" t="s">
        <v>490</v>
      </c>
      <c r="D1059" s="60"/>
      <c r="E1059" s="40"/>
      <c r="F1059" s="40"/>
      <c r="G1059" s="40"/>
      <c r="H1059" s="40"/>
      <c r="I1059" s="40"/>
      <c r="J1059" s="41"/>
    </row>
    <row r="1060" spans="2:10" s="1" customFormat="1" ht="12.75" x14ac:dyDescent="0.2">
      <c r="B1060" s="46"/>
      <c r="C1060" s="39" t="s">
        <v>499</v>
      </c>
      <c r="D1060" s="40">
        <v>1</v>
      </c>
      <c r="E1060" s="40">
        <v>17.45</v>
      </c>
      <c r="F1060" s="40">
        <f>4*0.0254+0.4</f>
        <v>0.50160000000000005</v>
      </c>
      <c r="G1060" s="40">
        <v>0.35</v>
      </c>
      <c r="H1060" s="40">
        <f>+(F1060+G1060*2)*E1060</f>
        <v>20.967919999999999</v>
      </c>
      <c r="I1060" s="40"/>
      <c r="J1060" s="41"/>
    </row>
    <row r="1061" spans="2:10" s="1" customFormat="1" ht="12.75" x14ac:dyDescent="0.2">
      <c r="B1061" s="46"/>
      <c r="C1061" s="39"/>
      <c r="D1061" s="60"/>
      <c r="E1061" s="40"/>
      <c r="F1061" s="40"/>
      <c r="G1061" s="40"/>
      <c r="H1061" s="40"/>
      <c r="I1061" s="40"/>
      <c r="J1061" s="41"/>
    </row>
    <row r="1062" spans="2:10" s="1" customFormat="1" ht="12.75" x14ac:dyDescent="0.2">
      <c r="B1062" s="46"/>
      <c r="C1062" s="43" t="s">
        <v>250</v>
      </c>
      <c r="D1062" s="60"/>
      <c r="E1062" s="40"/>
      <c r="F1062" s="40"/>
      <c r="G1062" s="40"/>
      <c r="H1062" s="40"/>
      <c r="I1062" s="40"/>
      <c r="J1062" s="41"/>
    </row>
    <row r="1063" spans="2:10" s="1" customFormat="1" ht="12.75" x14ac:dyDescent="0.2">
      <c r="B1063" s="46"/>
      <c r="C1063" s="39" t="s">
        <v>498</v>
      </c>
      <c r="D1063" s="1">
        <v>1</v>
      </c>
      <c r="E1063" s="40">
        <f>1.1+22.93</f>
        <v>24.03</v>
      </c>
      <c r="F1063" s="40">
        <v>0.7</v>
      </c>
      <c r="G1063" s="40">
        <v>1.2</v>
      </c>
      <c r="H1063" s="40">
        <f>+(F1063+G1063*2)*E1063</f>
        <v>74.492999999999995</v>
      </c>
      <c r="I1063" s="40"/>
      <c r="J1063" s="41"/>
    </row>
    <row r="1064" spans="2:10" s="1" customFormat="1" ht="12.75" x14ac:dyDescent="0.2">
      <c r="B1064" s="46"/>
      <c r="C1064" s="39" t="s">
        <v>676</v>
      </c>
      <c r="D1064" s="60">
        <v>1</v>
      </c>
      <c r="E1064" s="40">
        <v>3.7</v>
      </c>
      <c r="F1064" s="40">
        <v>0.7</v>
      </c>
      <c r="G1064" s="40"/>
      <c r="H1064" s="40"/>
      <c r="I1064" s="40"/>
      <c r="J1064" s="41"/>
    </row>
    <row r="1065" spans="2:10" s="1" customFormat="1" ht="12.75" x14ac:dyDescent="0.2">
      <c r="B1065" s="46"/>
      <c r="C1065" s="39" t="s">
        <v>677</v>
      </c>
      <c r="D1065" s="60">
        <v>1</v>
      </c>
      <c r="E1065" s="40">
        <v>3.3</v>
      </c>
      <c r="F1065" s="40">
        <v>0.7</v>
      </c>
      <c r="G1065" s="40"/>
      <c r="H1065" s="40"/>
      <c r="I1065" s="40"/>
      <c r="J1065" s="41"/>
    </row>
    <row r="1066" spans="2:10" s="1" customFormat="1" ht="12.75" x14ac:dyDescent="0.2">
      <c r="B1066" s="46"/>
      <c r="C1066" s="43" t="s">
        <v>252</v>
      </c>
      <c r="D1066" s="60"/>
      <c r="E1066" s="40"/>
      <c r="F1066" s="40"/>
      <c r="G1066" s="40"/>
      <c r="H1066" s="40"/>
      <c r="I1066" s="40"/>
      <c r="J1066" s="41"/>
    </row>
    <row r="1067" spans="2:10" s="1" customFormat="1" ht="12.75" x14ac:dyDescent="0.2">
      <c r="B1067" s="46"/>
      <c r="C1067" s="39" t="s">
        <v>678</v>
      </c>
      <c r="D1067" s="40">
        <v>1</v>
      </c>
      <c r="E1067" s="40">
        <v>80</v>
      </c>
      <c r="F1067" s="40">
        <v>0.8</v>
      </c>
      <c r="G1067" s="40">
        <v>0.65</v>
      </c>
      <c r="H1067" s="40">
        <f>+(F1067+G1067*2)*E1067</f>
        <v>168</v>
      </c>
      <c r="I1067" s="40"/>
      <c r="J1067" s="41"/>
    </row>
    <row r="1068" spans="2:10" s="1" customFormat="1" ht="12.75" x14ac:dyDescent="0.2">
      <c r="B1068" s="25" t="s">
        <v>825</v>
      </c>
      <c r="C1068" s="28" t="s">
        <v>794</v>
      </c>
      <c r="D1068" s="60"/>
      <c r="E1068" s="40"/>
      <c r="F1068" s="40" t="s">
        <v>795</v>
      </c>
      <c r="G1068" s="40"/>
      <c r="H1068" s="40"/>
      <c r="I1068" s="40">
        <f>+SUM(H1069:H1084)</f>
        <v>1638.8799890584662</v>
      </c>
      <c r="J1068" s="41" t="s">
        <v>12</v>
      </c>
    </row>
    <row r="1069" spans="2:10" s="1" customFormat="1" ht="12.75" x14ac:dyDescent="0.2">
      <c r="B1069" s="380"/>
      <c r="C1069" s="39" t="s">
        <v>464</v>
      </c>
      <c r="D1069" s="60">
        <v>5</v>
      </c>
      <c r="E1069" s="40">
        <f>9.8+1.5</f>
        <v>11.3</v>
      </c>
      <c r="F1069" s="40">
        <v>1.64</v>
      </c>
      <c r="G1069" s="40"/>
      <c r="H1069" s="40">
        <f t="shared" ref="H1069:H1074" si="59">IF(AND(F1069=0,G1069=0),D1069*E1069,IF(AND(E1069=0,G1069=0),D1069*F1069,IF(AND(E1069=0,F1069=0),D1069*G1069,IF(AND(E1069=0),D1069*F1069*G1069,IF(AND(F1069=0),D1069*E1069*G1069,IF(AND(G1069=0),D1069*E1069*F1069,D1069*E1069*F1069*G1069))))))</f>
        <v>92.66</v>
      </c>
      <c r="I1069" s="40"/>
      <c r="J1069" s="41"/>
    </row>
    <row r="1070" spans="2:10" s="1" customFormat="1" ht="12.75" x14ac:dyDescent="0.2">
      <c r="B1070" s="380"/>
      <c r="C1070" s="39" t="s">
        <v>502</v>
      </c>
      <c r="D1070" s="60">
        <v>1</v>
      </c>
      <c r="E1070" s="40">
        <v>4.8</v>
      </c>
      <c r="F1070" s="40">
        <v>1.64</v>
      </c>
      <c r="G1070" s="40"/>
      <c r="H1070" s="40">
        <f t="shared" si="59"/>
        <v>7.871999999999999</v>
      </c>
      <c r="I1070" s="40"/>
      <c r="J1070" s="41"/>
    </row>
    <row r="1071" spans="2:10" s="1" customFormat="1" ht="12.75" x14ac:dyDescent="0.2">
      <c r="B1071" s="380"/>
      <c r="C1071" s="39" t="s">
        <v>460</v>
      </c>
      <c r="D1071" s="40">
        <v>1</v>
      </c>
      <c r="E1071" s="89">
        <v>11.3</v>
      </c>
      <c r="F1071" s="40">
        <v>1.64</v>
      </c>
      <c r="G1071" s="40"/>
      <c r="H1071" s="40">
        <f t="shared" si="59"/>
        <v>18.532</v>
      </c>
      <c r="I1071" s="40"/>
      <c r="J1071" s="41"/>
    </row>
    <row r="1072" spans="2:10" s="1" customFormat="1" ht="12.75" x14ac:dyDescent="0.2">
      <c r="B1072" s="380"/>
      <c r="C1072" s="39" t="s">
        <v>461</v>
      </c>
      <c r="D1072" s="40">
        <v>1</v>
      </c>
      <c r="E1072" s="89">
        <v>11.3</v>
      </c>
      <c r="F1072" s="40">
        <v>1.64</v>
      </c>
      <c r="G1072" s="40"/>
      <c r="H1072" s="40">
        <f t="shared" si="59"/>
        <v>18.532</v>
      </c>
      <c r="I1072" s="40"/>
      <c r="J1072" s="41"/>
    </row>
    <row r="1073" spans="2:10" s="1" customFormat="1" ht="12.75" x14ac:dyDescent="0.2">
      <c r="B1073" s="380"/>
      <c r="C1073" s="77"/>
      <c r="D1073" s="60">
        <v>1</v>
      </c>
      <c r="E1073" s="40">
        <v>1.65</v>
      </c>
      <c r="F1073" s="40">
        <v>1.64</v>
      </c>
      <c r="G1073" s="40"/>
      <c r="H1073" s="40">
        <f t="shared" si="59"/>
        <v>2.7059999999999995</v>
      </c>
      <c r="I1073" s="40"/>
      <c r="J1073" s="41"/>
    </row>
    <row r="1074" spans="2:10" s="1" customFormat="1" ht="12.75" x14ac:dyDescent="0.2">
      <c r="B1074" s="380"/>
      <c r="C1074" s="77"/>
      <c r="D1074" s="60">
        <v>1</v>
      </c>
      <c r="E1074" s="40">
        <v>2.5</v>
      </c>
      <c r="F1074" s="40">
        <v>1.64</v>
      </c>
      <c r="G1074" s="40"/>
      <c r="H1074" s="40">
        <f t="shared" si="59"/>
        <v>4.0999999999999996</v>
      </c>
      <c r="I1074" s="40"/>
      <c r="J1074" s="41"/>
    </row>
    <row r="1075" spans="2:10" s="1" customFormat="1" ht="12.75" x14ac:dyDescent="0.2">
      <c r="B1075" s="380"/>
      <c r="C1075" s="43" t="s">
        <v>490</v>
      </c>
      <c r="D1075" s="60"/>
      <c r="E1075" s="40"/>
      <c r="F1075" s="40"/>
      <c r="G1075" s="40"/>
      <c r="H1075" s="40"/>
      <c r="I1075" s="40"/>
      <c r="J1075" s="41"/>
    </row>
    <row r="1076" spans="2:10" s="1" customFormat="1" ht="12.75" x14ac:dyDescent="0.2">
      <c r="B1076" s="380"/>
      <c r="C1076" s="39" t="s">
        <v>499</v>
      </c>
      <c r="D1076" s="40">
        <v>1</v>
      </c>
      <c r="E1076" s="40">
        <v>17.45</v>
      </c>
      <c r="F1076" s="40">
        <f>18.14/5.83</f>
        <v>3.1114922813036023</v>
      </c>
      <c r="G1076" s="40"/>
      <c r="H1076" s="40">
        <f t="shared" ref="H1076" si="60">IF(AND(F1076=0,G1076=0),D1076*E1076,IF(AND(E1076=0,G1076=0),D1076*F1076,IF(AND(E1076=0,F1076=0),D1076*G1076,IF(AND(E1076=0),D1076*F1076*G1076,IF(AND(F1076=0),D1076*E1076*G1076,IF(AND(G1076=0),D1076*E1076*F1076,D1076*E1076*F1076*G1076))))))</f>
        <v>54.29554030874786</v>
      </c>
      <c r="I1076" s="40"/>
      <c r="J1076" s="41"/>
    </row>
    <row r="1077" spans="2:10" s="1" customFormat="1" ht="12.75" x14ac:dyDescent="0.2">
      <c r="B1077" s="380"/>
      <c r="C1077" s="39"/>
      <c r="D1077" s="60"/>
      <c r="E1077" s="40"/>
      <c r="F1077" s="40"/>
      <c r="G1077" s="40"/>
      <c r="H1077" s="40"/>
      <c r="I1077" s="40"/>
      <c r="J1077" s="41"/>
    </row>
    <row r="1078" spans="2:10" s="1" customFormat="1" ht="12.75" x14ac:dyDescent="0.2">
      <c r="B1078" s="46"/>
      <c r="C1078" s="43" t="s">
        <v>250</v>
      </c>
      <c r="D1078" s="60"/>
      <c r="E1078" s="40"/>
      <c r="G1078" s="40"/>
      <c r="H1078" s="40"/>
      <c r="I1078" s="40"/>
      <c r="J1078" s="41"/>
    </row>
    <row r="1079" spans="2:10" s="1" customFormat="1" ht="12.75" x14ac:dyDescent="0.2">
      <c r="B1079" s="380"/>
      <c r="C1079" s="39" t="s">
        <v>498</v>
      </c>
      <c r="D1079" s="1">
        <v>1</v>
      </c>
      <c r="E1079" s="40">
        <f>1.1+22.93</f>
        <v>24.03</v>
      </c>
      <c r="F1079" s="40">
        <f>43.83/5.79</f>
        <v>7.5699481865284968</v>
      </c>
      <c r="G1079" s="40"/>
      <c r="H1079" s="40">
        <f t="shared" ref="H1079:H1081" si="61">IF(AND(F1079=0,G1079=0),D1079*E1079,IF(AND(E1079=0,G1079=0),D1079*F1079,IF(AND(E1079=0,F1079=0),D1079*G1079,IF(AND(E1079=0),D1079*F1079*G1079,IF(AND(F1079=0),D1079*E1079*G1079,IF(AND(G1079=0),D1079*E1079*F1079,D1079*E1079*F1079*G1079))))))</f>
        <v>181.90585492227979</v>
      </c>
      <c r="I1079" s="40"/>
      <c r="J1079" s="41"/>
    </row>
    <row r="1080" spans="2:10" s="1" customFormat="1" ht="12.75" x14ac:dyDescent="0.2">
      <c r="B1080" s="380"/>
      <c r="C1080" s="39" t="s">
        <v>676</v>
      </c>
      <c r="D1080" s="60">
        <v>1</v>
      </c>
      <c r="E1080" s="40">
        <v>3.7</v>
      </c>
      <c r="F1080" s="40">
        <f t="shared" ref="F1080:F1081" si="62">43.83/5.79</f>
        <v>7.5699481865284968</v>
      </c>
      <c r="G1080" s="40"/>
      <c r="H1080" s="40">
        <f t="shared" si="61"/>
        <v>28.008808290155439</v>
      </c>
      <c r="I1080" s="40"/>
      <c r="J1080" s="41"/>
    </row>
    <row r="1081" spans="2:10" s="1" customFormat="1" ht="12.75" x14ac:dyDescent="0.2">
      <c r="B1081" s="380"/>
      <c r="C1081" s="39" t="s">
        <v>677</v>
      </c>
      <c r="D1081" s="60">
        <v>1</v>
      </c>
      <c r="E1081" s="40">
        <v>3.3</v>
      </c>
      <c r="F1081" s="40">
        <f t="shared" si="62"/>
        <v>7.5699481865284968</v>
      </c>
      <c r="G1081" s="40"/>
      <c r="H1081" s="40">
        <f t="shared" si="61"/>
        <v>24.980829015544039</v>
      </c>
      <c r="I1081" s="40"/>
      <c r="J1081" s="41"/>
    </row>
    <row r="1082" spans="2:10" s="1" customFormat="1" ht="12.75" x14ac:dyDescent="0.2">
      <c r="B1082" s="380"/>
      <c r="C1082" s="39"/>
      <c r="D1082" s="60"/>
      <c r="E1082" s="40"/>
      <c r="F1082" s="40"/>
      <c r="G1082" s="40"/>
      <c r="H1082" s="40"/>
      <c r="I1082" s="40"/>
      <c r="J1082" s="41"/>
    </row>
    <row r="1083" spans="2:10" s="1" customFormat="1" ht="12.75" x14ac:dyDescent="0.2">
      <c r="B1083" s="380"/>
      <c r="C1083" s="43" t="s">
        <v>252</v>
      </c>
      <c r="D1083" s="60"/>
      <c r="E1083" s="40"/>
      <c r="F1083" s="40"/>
      <c r="G1083" s="40"/>
      <c r="H1083" s="40"/>
      <c r="I1083" s="40"/>
      <c r="J1083" s="41"/>
    </row>
    <row r="1084" spans="2:10" s="1" customFormat="1" ht="12.75" x14ac:dyDescent="0.2">
      <c r="B1084" s="380"/>
      <c r="C1084" s="39" t="s">
        <v>678</v>
      </c>
      <c r="D1084" s="40">
        <v>1</v>
      </c>
      <c r="E1084" s="40">
        <v>80</v>
      </c>
      <c r="F1084" s="40">
        <f>86.63/5.75</f>
        <v>15.066086956521739</v>
      </c>
      <c r="G1084" s="40"/>
      <c r="H1084" s="40">
        <f t="shared" ref="H1084" si="63">IF(AND(F1084=0,G1084=0),D1084*E1084,IF(AND(E1084=0,G1084=0),D1084*F1084,IF(AND(E1084=0,F1084=0),D1084*G1084,IF(AND(E1084=0),D1084*F1084*G1084,IF(AND(F1084=0),D1084*E1084*G1084,IF(AND(G1084=0),D1084*E1084*F1084,D1084*E1084*F1084*G1084))))))</f>
        <v>1205.2869565217391</v>
      </c>
      <c r="I1084" s="40"/>
      <c r="J1084" s="41"/>
    </row>
    <row r="1085" spans="2:10" s="1" customFormat="1" ht="12.75" x14ac:dyDescent="0.2">
      <c r="B1085" s="380"/>
      <c r="C1085" s="366"/>
      <c r="D1085" s="60"/>
      <c r="E1085" s="40"/>
      <c r="F1085" s="40"/>
      <c r="G1085" s="40"/>
      <c r="H1085" s="40"/>
      <c r="I1085" s="40"/>
      <c r="J1085" s="41"/>
    </row>
    <row r="1086" spans="2:10" s="1" customFormat="1" ht="12.75" x14ac:dyDescent="0.2">
      <c r="B1086" s="25" t="s">
        <v>899</v>
      </c>
      <c r="C1086" s="28" t="s">
        <v>625</v>
      </c>
      <c r="D1086" s="60"/>
      <c r="E1086" s="40"/>
      <c r="F1086" s="40"/>
      <c r="G1086" s="40"/>
      <c r="H1086" s="40"/>
      <c r="I1086" s="40">
        <f>+SUM(H1087:H1092)</f>
        <v>3.6150000000000002</v>
      </c>
      <c r="J1086" s="41" t="s">
        <v>4</v>
      </c>
    </row>
    <row r="1087" spans="2:10" s="1" customFormat="1" ht="12.75" x14ac:dyDescent="0.2">
      <c r="B1087" s="46"/>
      <c r="C1087" s="39" t="s">
        <v>549</v>
      </c>
      <c r="D1087" s="40">
        <v>2</v>
      </c>
      <c r="E1087" s="40">
        <v>7.5</v>
      </c>
      <c r="F1087" s="40">
        <v>0.1</v>
      </c>
      <c r="G1087" s="40">
        <v>0.28000000000000003</v>
      </c>
      <c r="H1087" s="40">
        <f t="shared" ref="H1087:H1092" si="64">IF(AND(F1087=0,G1087=0),D1087*E1087,IF(AND(E1087=0,G1087=0),D1087*F1087,IF(AND(E1087=0,F1087=0),D1087*G1087,IF(AND(E1087=0),D1087*F1087*G1087,IF(AND(F1087=0),D1087*E1087*G1087,IF(AND(G1087=0),D1087*E1087*F1087,D1087*E1087*F1087*G1087))))))</f>
        <v>0.42000000000000004</v>
      </c>
      <c r="I1087" s="40"/>
      <c r="J1087" s="41"/>
    </row>
    <row r="1088" spans="2:10" s="1" customFormat="1" ht="12.75" x14ac:dyDescent="0.2">
      <c r="B1088" s="46"/>
      <c r="D1088" s="60">
        <v>1</v>
      </c>
      <c r="E1088" s="40">
        <v>7.5</v>
      </c>
      <c r="F1088" s="40">
        <v>0.5</v>
      </c>
      <c r="G1088" s="40">
        <v>0.1</v>
      </c>
      <c r="H1088" s="40">
        <f t="shared" si="64"/>
        <v>0.375</v>
      </c>
      <c r="I1088" s="40"/>
      <c r="J1088" s="41"/>
    </row>
    <row r="1089" spans="2:10" s="1" customFormat="1" ht="12.75" x14ac:dyDescent="0.2">
      <c r="B1089" s="46"/>
      <c r="C1089" s="39" t="s">
        <v>374</v>
      </c>
      <c r="D1089" s="40">
        <v>2</v>
      </c>
      <c r="E1089" s="40">
        <v>1.2</v>
      </c>
      <c r="F1089" s="40">
        <v>0.15</v>
      </c>
      <c r="G1089" s="40">
        <v>1.25</v>
      </c>
      <c r="H1089" s="40">
        <f t="shared" si="64"/>
        <v>0.44999999999999996</v>
      </c>
      <c r="I1089" s="40"/>
      <c r="J1089" s="41"/>
    </row>
    <row r="1090" spans="2:10" s="1" customFormat="1" ht="12.75" x14ac:dyDescent="0.2">
      <c r="B1090" s="46"/>
      <c r="C1090" s="39"/>
      <c r="D1090" s="40">
        <v>2</v>
      </c>
      <c r="E1090" s="40">
        <v>6</v>
      </c>
      <c r="F1090" s="40">
        <v>0.15</v>
      </c>
      <c r="G1090" s="40">
        <v>1.25</v>
      </c>
      <c r="H1090" s="40">
        <f t="shared" si="64"/>
        <v>2.25</v>
      </c>
      <c r="I1090" s="40"/>
      <c r="J1090" s="41"/>
    </row>
    <row r="1091" spans="2:10" s="1" customFormat="1" ht="12.75" x14ac:dyDescent="0.2">
      <c r="B1091" s="46"/>
      <c r="C1091" s="39" t="s">
        <v>390</v>
      </c>
      <c r="D1091" s="40">
        <v>2</v>
      </c>
      <c r="E1091" s="40">
        <v>0.8</v>
      </c>
      <c r="F1091" s="40">
        <v>0.1</v>
      </c>
      <c r="G1091" s="40">
        <v>0.5</v>
      </c>
      <c r="H1091" s="40">
        <f t="shared" si="64"/>
        <v>8.0000000000000016E-2</v>
      </c>
      <c r="I1091" s="40"/>
      <c r="J1091" s="41"/>
    </row>
    <row r="1092" spans="2:10" s="1" customFormat="1" ht="12.75" x14ac:dyDescent="0.2">
      <c r="B1092" s="46"/>
      <c r="C1092" s="59"/>
      <c r="D1092" s="60">
        <v>2</v>
      </c>
      <c r="E1092" s="40">
        <v>0.4</v>
      </c>
      <c r="F1092" s="40">
        <v>0.1</v>
      </c>
      <c r="G1092" s="40">
        <v>0.5</v>
      </c>
      <c r="H1092" s="40">
        <f t="shared" si="64"/>
        <v>4.0000000000000008E-2</v>
      </c>
      <c r="I1092" s="40"/>
      <c r="J1092" s="41"/>
    </row>
    <row r="1093" spans="2:10" s="1" customFormat="1" ht="12.75" x14ac:dyDescent="0.2">
      <c r="B1093" s="25" t="s">
        <v>900</v>
      </c>
      <c r="C1093" s="28" t="s">
        <v>789</v>
      </c>
      <c r="D1093" s="60" t="s">
        <v>791</v>
      </c>
      <c r="E1093" s="40"/>
      <c r="F1093" s="40"/>
      <c r="G1093" s="40"/>
      <c r="H1093" s="40"/>
      <c r="I1093" s="40">
        <f>+SUM(H1094:H1105)</f>
        <v>16.062830090855091</v>
      </c>
      <c r="J1093" s="41" t="s">
        <v>4</v>
      </c>
    </row>
    <row r="1094" spans="2:10" s="1" customFormat="1" ht="12.75" x14ac:dyDescent="0.2">
      <c r="B1094" s="107"/>
      <c r="C1094" s="39" t="s">
        <v>549</v>
      </c>
      <c r="D1094" s="40">
        <v>1.25</v>
      </c>
      <c r="E1094" s="40">
        <v>7.5</v>
      </c>
      <c r="F1094" s="40">
        <v>0.5</v>
      </c>
      <c r="G1094" s="40">
        <f>0.28+0.2</f>
        <v>0.48000000000000004</v>
      </c>
      <c r="H1094" s="40">
        <f>IF(AND(F1094=0,G1094=0),D1094*E1094,IF(AND(E1094=0,G1094=0),D1094*F1094,IF(AND(E1094=0,F1094=0),D1094*G1094,IF(AND(E1094=0),D1094*F1094*G1094,IF(AND(F1094=0),D1094*E1094*G1094,IF(AND(G1094=0),D1094*E1094*F1094,D1094*E1094*F1094*G1094))))))</f>
        <v>2.25</v>
      </c>
      <c r="I1094" s="40"/>
      <c r="J1094" s="41"/>
    </row>
    <row r="1095" spans="2:10" s="1" customFormat="1" ht="12.75" x14ac:dyDescent="0.2">
      <c r="B1095" s="107"/>
      <c r="C1095" s="39" t="s">
        <v>374</v>
      </c>
      <c r="D1095" s="40">
        <v>1.25</v>
      </c>
      <c r="E1095" s="40">
        <v>0.9</v>
      </c>
      <c r="F1095" s="40">
        <v>1.2</v>
      </c>
      <c r="G1095" s="40">
        <f>1.1+0.25</f>
        <v>1.35</v>
      </c>
      <c r="H1095" s="40">
        <f>IF(AND(F1095=0,G1095=0),D1095*E1095,IF(AND(E1095=0,G1095=0),D1095*F1095,IF(AND(E1095=0,F1095=0),D1095*G1095,IF(AND(E1095=0),D1095*F1095*G1095,IF(AND(F1095=0),D1095*E1095*G1095,IF(AND(G1095=0),D1095*E1095*F1095,D1095*E1095*F1095*G1095))))))</f>
        <v>1.8225</v>
      </c>
      <c r="I1095" s="40"/>
      <c r="J1095" s="41"/>
    </row>
    <row r="1096" spans="2:10" s="1" customFormat="1" ht="12.75" x14ac:dyDescent="0.2">
      <c r="B1096" s="107"/>
      <c r="C1096" s="39" t="s">
        <v>390</v>
      </c>
      <c r="D1096" s="40">
        <v>1.25</v>
      </c>
      <c r="E1096" s="40">
        <v>0.6</v>
      </c>
      <c r="F1096" s="40">
        <v>0.8</v>
      </c>
      <c r="G1096" s="40">
        <f>0.4+0.2</f>
        <v>0.60000000000000009</v>
      </c>
      <c r="H1096" s="40">
        <f>IF(AND(F1096=0,G1096=0),D1096*E1096,IF(AND(E1096=0,G1096=0),D1096*F1096,IF(AND(E1096=0,F1096=0),D1096*G1096,IF(AND(E1096=0),D1096*F1096*G1096,IF(AND(F1096=0),D1096*E1096*G1096,IF(AND(G1096=0),D1096*E1096*F1096,D1096*E1096*F1096*G1096))))))</f>
        <v>0.3600000000000001</v>
      </c>
      <c r="I1096" s="40"/>
      <c r="J1096" s="41"/>
    </row>
    <row r="1097" spans="2:10" s="1" customFormat="1" ht="12.75" x14ac:dyDescent="0.2">
      <c r="B1097" s="46"/>
      <c r="C1097" s="43" t="s">
        <v>490</v>
      </c>
      <c r="D1097" s="60"/>
      <c r="E1097" s="40"/>
      <c r="F1097" s="40"/>
      <c r="G1097" s="40"/>
      <c r="H1097" s="40"/>
      <c r="I1097" s="40"/>
      <c r="J1097" s="41"/>
    </row>
    <row r="1098" spans="2:10" s="1" customFormat="1" ht="12.75" x14ac:dyDescent="0.2">
      <c r="B1098" s="46"/>
      <c r="F1098" s="40" t="s">
        <v>786</v>
      </c>
      <c r="G1098" s="40">
        <v>4</v>
      </c>
      <c r="I1098" s="40"/>
      <c r="J1098" s="41"/>
    </row>
    <row r="1099" spans="2:10" s="1" customFormat="1" ht="12.75" x14ac:dyDescent="0.2">
      <c r="B1099" s="46"/>
      <c r="C1099" s="39" t="s">
        <v>784</v>
      </c>
      <c r="D1099" s="60">
        <v>1.25</v>
      </c>
      <c r="E1099" s="40">
        <f>+E1047</f>
        <v>17.45</v>
      </c>
      <c r="F1099" s="40" t="s">
        <v>785</v>
      </c>
      <c r="G1099" s="379">
        <f>+PI()*((G1098*0.0254)^2)/4</f>
        <v>8.107319665559963E-3</v>
      </c>
      <c r="H1099" s="40">
        <f>+D1099*E1099*G1099</f>
        <v>0.17684091020502668</v>
      </c>
      <c r="I1099" s="40"/>
      <c r="J1099" s="41"/>
    </row>
    <row r="1100" spans="2:10" s="1" customFormat="1" ht="12.75" x14ac:dyDescent="0.2">
      <c r="B1100" s="46"/>
      <c r="C1100" s="43" t="s">
        <v>250</v>
      </c>
      <c r="D1100" s="60"/>
      <c r="E1100" s="40"/>
      <c r="F1100" s="40"/>
      <c r="G1100" s="40"/>
      <c r="H1100" s="40"/>
      <c r="I1100" s="40"/>
      <c r="J1100" s="41"/>
    </row>
    <row r="1101" spans="2:10" s="1" customFormat="1" ht="12.75" x14ac:dyDescent="0.2">
      <c r="B1101" s="46"/>
      <c r="F1101" s="40" t="s">
        <v>786</v>
      </c>
      <c r="G1101" s="40">
        <v>10</v>
      </c>
      <c r="I1101" s="40"/>
      <c r="J1101" s="41"/>
    </row>
    <row r="1102" spans="2:10" s="1" customFormat="1" ht="12.75" x14ac:dyDescent="0.2">
      <c r="B1102" s="46"/>
      <c r="C1102" s="39" t="s">
        <v>784</v>
      </c>
      <c r="D1102" s="60">
        <v>1.25</v>
      </c>
      <c r="E1102" s="40">
        <f>+E1051</f>
        <v>24.03</v>
      </c>
      <c r="F1102" s="40" t="s">
        <v>785</v>
      </c>
      <c r="G1102" s="40">
        <f>+PI()*((G1101*0.0254)^2)/4</f>
        <v>5.0670747909749778E-2</v>
      </c>
      <c r="H1102" s="40">
        <f>+D1102*E1102*G1102</f>
        <v>1.5220225903391089</v>
      </c>
      <c r="I1102" s="40"/>
      <c r="J1102" s="41"/>
    </row>
    <row r="1103" spans="2:10" s="1" customFormat="1" ht="12.75" x14ac:dyDescent="0.2">
      <c r="B1103" s="46"/>
      <c r="C1103" s="43" t="s">
        <v>252</v>
      </c>
      <c r="D1103" s="60"/>
      <c r="E1103" s="40"/>
      <c r="F1103" s="40"/>
      <c r="G1103" s="40"/>
      <c r="H1103" s="40"/>
      <c r="I1103" s="40"/>
      <c r="J1103" s="41"/>
    </row>
    <row r="1104" spans="2:10" s="1" customFormat="1" ht="12.75" x14ac:dyDescent="0.2">
      <c r="B1104" s="46"/>
      <c r="F1104" s="40" t="s">
        <v>786</v>
      </c>
      <c r="G1104" s="40">
        <v>14</v>
      </c>
      <c r="I1104" s="40"/>
      <c r="J1104" s="41"/>
    </row>
    <row r="1105" spans="2:12" s="1" customFormat="1" ht="12.75" x14ac:dyDescent="0.2">
      <c r="B1105" s="46"/>
      <c r="C1105" s="39" t="s">
        <v>784</v>
      </c>
      <c r="D1105" s="60">
        <v>1.25</v>
      </c>
      <c r="E1105" s="40">
        <f>+E1055</f>
        <v>80</v>
      </c>
      <c r="F1105" s="40" t="s">
        <v>785</v>
      </c>
      <c r="G1105" s="40">
        <f>+PI()*((G1104*0.0254)^2)/4</f>
        <v>9.9314665903109542E-2</v>
      </c>
      <c r="H1105" s="40">
        <f>+D1105*E1105*G1105</f>
        <v>9.9314665903109542</v>
      </c>
      <c r="I1105" s="40"/>
      <c r="J1105" s="41"/>
    </row>
    <row r="1106" spans="2:12" s="1" customFormat="1" ht="12.75" x14ac:dyDescent="0.2">
      <c r="B1106" s="46"/>
      <c r="C1106" s="39"/>
      <c r="D1106" s="8"/>
      <c r="E1106" s="86"/>
      <c r="F1106" s="40"/>
      <c r="G1106" s="40"/>
      <c r="H1106" s="40"/>
      <c r="I1106" s="40"/>
      <c r="J1106" s="41"/>
    </row>
    <row r="1107" spans="2:12" s="1" customFormat="1" ht="12.75" x14ac:dyDescent="0.2">
      <c r="B1107" s="25" t="s">
        <v>901</v>
      </c>
      <c r="C1107" s="28" t="s">
        <v>624</v>
      </c>
      <c r="D1107" s="60"/>
      <c r="E1107" s="40"/>
      <c r="F1107" s="40"/>
      <c r="G1107" s="40"/>
      <c r="H1107" s="40"/>
      <c r="I1107" s="40">
        <f>+I1093</f>
        <v>16.062830090855091</v>
      </c>
      <c r="J1107" s="41" t="s">
        <v>4</v>
      </c>
    </row>
    <row r="1108" spans="2:12" s="1" customFormat="1" ht="12.75" x14ac:dyDescent="0.2">
      <c r="B1108" s="46"/>
      <c r="C1108" s="39"/>
      <c r="D1108" s="8"/>
      <c r="E1108" s="86"/>
      <c r="F1108" s="40"/>
      <c r="G1108" s="40"/>
      <c r="H1108" s="40"/>
      <c r="I1108" s="40"/>
      <c r="J1108" s="41"/>
    </row>
    <row r="1109" spans="2:12" x14ac:dyDescent="0.25">
      <c r="B1109" s="73" t="s">
        <v>829</v>
      </c>
      <c r="C1109" s="74" t="s">
        <v>626</v>
      </c>
      <c r="D1109" s="23"/>
      <c r="E1109" s="23"/>
      <c r="F1109" s="23"/>
      <c r="G1109" s="23"/>
      <c r="H1109" s="24"/>
      <c r="I1109" s="25"/>
      <c r="J1109" s="26"/>
    </row>
    <row r="1110" spans="2:12" s="1" customFormat="1" ht="12.75" x14ac:dyDescent="0.2">
      <c r="B1110" s="43" t="s">
        <v>830</v>
      </c>
      <c r="C1110" s="25" t="s">
        <v>627</v>
      </c>
      <c r="D1110" s="60"/>
      <c r="E1110" s="40"/>
      <c r="F1110" s="40"/>
      <c r="G1110" s="40"/>
      <c r="H1110" s="40"/>
      <c r="I1110" s="44">
        <f>+SUM(H1111:H1111)</f>
        <v>3.75</v>
      </c>
      <c r="J1110" s="45" t="s">
        <v>45</v>
      </c>
    </row>
    <row r="1111" spans="2:12" s="1" customFormat="1" ht="12.75" x14ac:dyDescent="0.2">
      <c r="B1111" s="25"/>
      <c r="C1111" s="39" t="s">
        <v>549</v>
      </c>
      <c r="D1111" s="40">
        <v>1</v>
      </c>
      <c r="E1111" s="40">
        <v>7.5</v>
      </c>
      <c r="F1111" s="40">
        <v>0.5</v>
      </c>
      <c r="G1111" s="40"/>
      <c r="H1111" s="40">
        <f>IF(AND(F1111=0,G1111=0),D1111*E1111,IF(AND(E1111=0,G1111=0),D1111*F1111,IF(AND(E1111=0,F1111=0),D1111*G1111,IF(AND(E1111=0),D1111*F1111*G1111,IF(AND(F1111=0),D1111*E1111*G1111,IF(AND(G1111=0),D1111*E1111*F1111,D1111*E1111*F1111*G1111))))))</f>
        <v>3.75</v>
      </c>
      <c r="I1111" s="40"/>
      <c r="J1111" s="41"/>
    </row>
    <row r="1112" spans="2:12" s="1" customFormat="1" ht="12.75" x14ac:dyDescent="0.2">
      <c r="B1112" s="43" t="s">
        <v>831</v>
      </c>
      <c r="C1112" s="25" t="s">
        <v>680</v>
      </c>
      <c r="D1112" s="60"/>
      <c r="E1112" s="40"/>
      <c r="F1112" s="40"/>
      <c r="G1112" s="40"/>
      <c r="H1112" s="40"/>
      <c r="I1112" s="44">
        <f>+SUM(H1113:H1114)</f>
        <v>1.56</v>
      </c>
      <c r="J1112" s="45" t="s">
        <v>45</v>
      </c>
    </row>
    <row r="1113" spans="2:12" s="1" customFormat="1" ht="12.75" x14ac:dyDescent="0.2">
      <c r="B1113" s="57"/>
      <c r="C1113" s="39" t="s">
        <v>374</v>
      </c>
      <c r="D1113" s="40">
        <v>1</v>
      </c>
      <c r="E1113" s="40">
        <v>0.9</v>
      </c>
      <c r="F1113" s="40">
        <v>1.2</v>
      </c>
      <c r="G1113" s="40"/>
      <c r="H1113" s="40">
        <f>IF(AND(F1113=0,G1113=0),D1113*E1113,IF(AND(E1113=0,G1113=0),D1113*F1113,IF(AND(E1113=0,F1113=0),D1113*G1113,IF(AND(E1113=0),D1113*F1113*G1113,IF(AND(F1113=0),D1113*E1113*G1113,IF(AND(G1113=0),D1113*E1113*F1113,D1113*E1113*F1113*G1113))))))</f>
        <v>1.08</v>
      </c>
      <c r="I1113" s="40"/>
      <c r="J1113" s="41"/>
    </row>
    <row r="1114" spans="2:12" s="1" customFormat="1" ht="12.75" x14ac:dyDescent="0.2">
      <c r="B1114" s="57"/>
      <c r="C1114" s="39" t="s">
        <v>390</v>
      </c>
      <c r="D1114" s="40">
        <v>1</v>
      </c>
      <c r="E1114" s="40">
        <v>0.6</v>
      </c>
      <c r="F1114" s="40">
        <v>0.8</v>
      </c>
      <c r="G1114" s="40"/>
      <c r="H1114" s="40">
        <f>IF(AND(F1114=0,G1114=0),D1114*E1114,IF(AND(E1114=0,G1114=0),D1114*F1114,IF(AND(E1114=0,F1114=0),D1114*G1114,IF(AND(E1114=0),D1114*F1114*G1114,IF(AND(F1114=0),D1114*E1114*G1114,IF(AND(G1114=0),D1114*E1114*F1114,D1114*E1114*F1114*G1114))))))</f>
        <v>0.48</v>
      </c>
      <c r="I1114" s="40"/>
      <c r="J1114" s="41"/>
    </row>
    <row r="1115" spans="2:12" s="1" customFormat="1" ht="12.75" x14ac:dyDescent="0.2">
      <c r="B1115" s="70"/>
      <c r="C1115" s="39"/>
      <c r="D1115" s="60"/>
      <c r="E1115" s="40"/>
      <c r="F1115" s="40"/>
      <c r="G1115" s="40"/>
      <c r="H1115" s="40"/>
      <c r="I1115" s="40"/>
      <c r="J1115" s="41"/>
    </row>
    <row r="1116" spans="2:12" x14ac:dyDescent="0.25">
      <c r="B1116" s="73" t="s">
        <v>838</v>
      </c>
      <c r="C1116" s="74" t="s">
        <v>224</v>
      </c>
      <c r="D1116" s="23"/>
      <c r="E1116" s="23"/>
      <c r="F1116" s="23"/>
      <c r="G1116" s="23"/>
      <c r="H1116" s="24"/>
      <c r="I1116" s="25"/>
      <c r="J1116" s="26"/>
      <c r="L1116" s="52"/>
    </row>
    <row r="1117" spans="2:12" s="1" customFormat="1" ht="12.75" x14ac:dyDescent="0.2">
      <c r="B1117" s="43" t="s">
        <v>843</v>
      </c>
      <c r="C1117" s="43" t="s">
        <v>561</v>
      </c>
      <c r="D1117" s="60"/>
      <c r="E1117" s="40"/>
      <c r="F1117" s="40"/>
      <c r="G1117" s="40"/>
      <c r="H1117" s="40"/>
      <c r="I1117" s="44">
        <f>+SUM(H1118:H1118)</f>
        <v>1</v>
      </c>
      <c r="J1117" s="45" t="s">
        <v>345</v>
      </c>
    </row>
    <row r="1118" spans="2:12" s="1" customFormat="1" ht="12.75" x14ac:dyDescent="0.2">
      <c r="B1118" s="413"/>
      <c r="C1118" s="39" t="s">
        <v>374</v>
      </c>
      <c r="D1118" s="40">
        <v>1</v>
      </c>
      <c r="E1118" s="40">
        <v>1</v>
      </c>
      <c r="F1118" s="40"/>
      <c r="G1118" s="40"/>
      <c r="H1118" s="40">
        <f t="shared" ref="H1118" si="65">IF(AND(F1118=0,G1118=0),D1118*E1118,IF(AND(E1118=0,G1118=0),D1118*F1118,IF(AND(E1118=0,F1118=0),D1118*G1118,IF(AND(E1118=0),D1118*F1118*G1118,IF(AND(F1118=0),D1118*E1118*G1118,IF(AND(G1118=0),D1118*E1118*F1118,D1118*E1118*F1118*G1118))))))</f>
        <v>1</v>
      </c>
      <c r="I1118" s="40"/>
      <c r="J1118" s="41"/>
    </row>
    <row r="1119" spans="2:12" s="1" customFormat="1" ht="12.75" x14ac:dyDescent="0.2">
      <c r="B1119" s="43" t="s">
        <v>850</v>
      </c>
      <c r="C1119" s="43" t="s">
        <v>490</v>
      </c>
      <c r="D1119" s="60"/>
      <c r="E1119" s="40"/>
      <c r="F1119" s="40"/>
      <c r="G1119" s="40"/>
      <c r="H1119" s="40"/>
      <c r="I1119" s="44">
        <f>SUM(H1120:H1120)</f>
        <v>17.45</v>
      </c>
      <c r="J1119" s="45" t="str">
        <f>+J1120</f>
        <v>ml</v>
      </c>
    </row>
    <row r="1120" spans="2:12" s="1" customFormat="1" ht="12.75" x14ac:dyDescent="0.2">
      <c r="B1120" s="413"/>
      <c r="C1120" s="39" t="s">
        <v>499</v>
      </c>
      <c r="D1120" s="40">
        <v>1</v>
      </c>
      <c r="E1120" s="40">
        <v>17.45</v>
      </c>
      <c r="F1120" s="40"/>
      <c r="G1120" s="40"/>
      <c r="H1120" s="40">
        <f>IF(AND(F1120=0,G1120=0),D1120*E1120,IF(AND(E1120=0,G1120=0),D1120*F1120,IF(AND(E1120=0,F1120=0),D1120*G1120,IF(AND(E1120=0),D1120*F1120*G1120,IF(AND(F1120=0),D1120*E1120*G1120,IF(AND(G1120=0),D1120*E1120*F1120,D1120*E1120*F1120*G1120))))))</f>
        <v>17.45</v>
      </c>
      <c r="I1120" s="40"/>
      <c r="J1120" s="41" t="str">
        <f>IF(AND(E1120=0,F1120&lt;&gt;0,G1120&lt;&gt;0),"m2",IF(AND(F1120=0,E1120&lt;&gt;0,G1120&lt;&gt;0),"m2",IF(AND(G1120=0,E1120&lt;&gt;0,F1120&lt;&gt;0),"m2",IF(AND(F1120=0,G1120=0),"ml",IF(AND(E1120=0,G1120=0),"ml",IF(AND(E1120=0,F1120=0),"ml",IF(AND(E1120&lt;&gt;0,F1120&lt;&gt;0,G1120&lt;&gt;0),"m3",0)))))))</f>
        <v>ml</v>
      </c>
    </row>
    <row r="1121" spans="2:10" s="1" customFormat="1" ht="12.75" x14ac:dyDescent="0.2">
      <c r="B1121" s="43" t="s">
        <v>854</v>
      </c>
      <c r="C1121" s="43" t="s">
        <v>695</v>
      </c>
      <c r="D1121" s="60"/>
      <c r="E1121" s="40"/>
      <c r="F1121" s="40"/>
      <c r="G1121" s="40"/>
      <c r="H1121" s="40"/>
      <c r="I1121" s="44">
        <f>SUM(H1122)</f>
        <v>1</v>
      </c>
      <c r="J1121" s="45" t="s">
        <v>13</v>
      </c>
    </row>
    <row r="1122" spans="2:10" s="1" customFormat="1" ht="12.75" x14ac:dyDescent="0.2">
      <c r="B1122" s="413"/>
      <c r="C1122" s="39" t="s">
        <v>390</v>
      </c>
      <c r="D1122" s="40">
        <v>1</v>
      </c>
      <c r="E1122" s="40"/>
      <c r="F1122" s="40"/>
      <c r="G1122" s="40"/>
      <c r="H1122" s="40">
        <f>+D1122</f>
        <v>1</v>
      </c>
      <c r="I1122" s="40"/>
      <c r="J1122" s="41"/>
    </row>
    <row r="1123" spans="2:10" s="1" customFormat="1" ht="12.75" x14ac:dyDescent="0.2">
      <c r="B1123" s="25" t="s">
        <v>856</v>
      </c>
      <c r="C1123" s="28" t="s">
        <v>698</v>
      </c>
      <c r="D1123" s="60"/>
      <c r="E1123" s="40"/>
      <c r="F1123" s="40"/>
      <c r="G1123" s="40"/>
      <c r="H1123" s="40"/>
      <c r="I1123" s="44">
        <f>SUM(H1124)</f>
        <v>1</v>
      </c>
      <c r="J1123" s="45" t="s">
        <v>13</v>
      </c>
    </row>
    <row r="1124" spans="2:10" s="1" customFormat="1" ht="12.75" x14ac:dyDescent="0.2">
      <c r="B1124" s="43"/>
      <c r="C1124" s="39" t="s">
        <v>374</v>
      </c>
      <c r="D1124" s="40">
        <v>1</v>
      </c>
      <c r="E1124" s="40"/>
      <c r="F1124" s="40"/>
      <c r="G1124" s="40"/>
      <c r="H1124" s="40">
        <f t="shared" ref="H1124" si="66">+D1124</f>
        <v>1</v>
      </c>
      <c r="I1124" s="40"/>
      <c r="J1124" s="41"/>
    </row>
    <row r="1125" spans="2:10" s="1" customFormat="1" ht="12.75" x14ac:dyDescent="0.2">
      <c r="B1125" s="25" t="s">
        <v>859</v>
      </c>
      <c r="C1125" s="28" t="s">
        <v>735</v>
      </c>
      <c r="D1125" s="60"/>
      <c r="E1125" s="40"/>
      <c r="F1125" s="40"/>
      <c r="G1125" s="40"/>
      <c r="H1125" s="40"/>
      <c r="I1125" s="40">
        <f>+SUM(H1126:H1129)</f>
        <v>5.7800000000000011</v>
      </c>
      <c r="J1125" s="41" t="s">
        <v>45</v>
      </c>
    </row>
    <row r="1126" spans="2:10" s="1" customFormat="1" ht="12.75" x14ac:dyDescent="0.2">
      <c r="B1126" s="25"/>
      <c r="C1126" s="39" t="s">
        <v>374</v>
      </c>
      <c r="D1126" s="40">
        <v>1</v>
      </c>
      <c r="E1126" s="40">
        <v>3</v>
      </c>
      <c r="F1126" s="40"/>
      <c r="G1126" s="40">
        <f>1.1+0.2</f>
        <v>1.3</v>
      </c>
      <c r="H1126" s="40">
        <f t="shared" ref="H1126:H1129" si="67">IF(AND(F1126=0,G1126=0),D1126*E1126,IF(AND(E1126=0,G1126=0),D1126*F1126,IF(AND(E1126=0,F1126=0),D1126*G1126,IF(AND(E1126=0),D1126*F1126*G1126,IF(AND(F1126=0),D1126*E1126*G1126,IF(AND(G1126=0),D1126*E1126*F1126,D1126*E1126*F1126*G1126))))))</f>
        <v>3.9000000000000004</v>
      </c>
      <c r="I1126" s="40"/>
      <c r="J1126" s="41"/>
    </row>
    <row r="1127" spans="2:10" s="1" customFormat="1" ht="12.75" x14ac:dyDescent="0.2">
      <c r="B1127" s="25"/>
      <c r="C1127" s="39"/>
      <c r="D1127" s="40">
        <v>1</v>
      </c>
      <c r="E1127" s="40">
        <v>0.6</v>
      </c>
      <c r="F1127" s="40"/>
      <c r="G1127" s="40">
        <v>0.9</v>
      </c>
      <c r="H1127" s="40">
        <f t="shared" si="67"/>
        <v>0.54</v>
      </c>
      <c r="I1127" s="40"/>
      <c r="J1127" s="41"/>
    </row>
    <row r="1128" spans="2:10" s="1" customFormat="1" ht="12.75" x14ac:dyDescent="0.2">
      <c r="B1128" s="25"/>
      <c r="C1128" s="39" t="s">
        <v>390</v>
      </c>
      <c r="D1128" s="40">
        <v>1</v>
      </c>
      <c r="E1128" s="40">
        <f>0.8+1.2</f>
        <v>2</v>
      </c>
      <c r="F1128" s="40"/>
      <c r="G1128" s="40">
        <f>0.4+0.15</f>
        <v>0.55000000000000004</v>
      </c>
      <c r="H1128" s="40">
        <f t="shared" si="67"/>
        <v>1.1000000000000001</v>
      </c>
      <c r="I1128" s="40"/>
      <c r="J1128" s="41"/>
    </row>
    <row r="1129" spans="2:10" s="1" customFormat="1" ht="12.75" x14ac:dyDescent="0.2">
      <c r="B1129" s="25"/>
      <c r="C1129" s="59"/>
      <c r="D1129" s="60">
        <v>1</v>
      </c>
      <c r="E1129" s="40">
        <v>0.4</v>
      </c>
      <c r="F1129" s="40"/>
      <c r="G1129" s="40">
        <v>0.6</v>
      </c>
      <c r="H1129" s="40">
        <f t="shared" si="67"/>
        <v>0.24</v>
      </c>
      <c r="I1129" s="40"/>
      <c r="J1129" s="41"/>
    </row>
    <row r="1130" spans="2:10" s="1" customFormat="1" ht="12.75" x14ac:dyDescent="0.2">
      <c r="B1130" s="25" t="s">
        <v>860</v>
      </c>
      <c r="C1130" s="28" t="s">
        <v>736</v>
      </c>
      <c r="D1130" s="60"/>
      <c r="E1130" s="40"/>
      <c r="F1130" s="40"/>
      <c r="G1130" s="40"/>
      <c r="H1130" s="40"/>
      <c r="I1130" s="40">
        <f>+SUM(H1131:H1132)</f>
        <v>8.7000000000000011</v>
      </c>
      <c r="J1130" s="41" t="s">
        <v>45</v>
      </c>
    </row>
    <row r="1131" spans="2:10" s="1" customFormat="1" ht="12.75" x14ac:dyDescent="0.2">
      <c r="B1131" s="46"/>
      <c r="C1131" s="39" t="s">
        <v>549</v>
      </c>
      <c r="D1131" s="40">
        <v>2</v>
      </c>
      <c r="E1131" s="40">
        <v>7.5</v>
      </c>
      <c r="F1131" s="40"/>
      <c r="G1131" s="40">
        <f>0.28+0.15</f>
        <v>0.43000000000000005</v>
      </c>
      <c r="H1131" s="40">
        <f t="shared" ref="H1131:H1132" si="68">IF(AND(F1131=0,G1131=0),D1131*E1131,IF(AND(E1131=0,G1131=0),D1131*F1131,IF(AND(E1131=0,F1131=0),D1131*G1131,IF(AND(E1131=0),D1131*F1131*G1131,IF(AND(F1131=0),D1131*E1131*G1131,IF(AND(G1131=0),D1131*E1131*F1131,D1131*E1131*F1131*G1131))))))</f>
        <v>6.4500000000000011</v>
      </c>
      <c r="I1131" s="40"/>
      <c r="J1131" s="41"/>
    </row>
    <row r="1132" spans="2:10" s="1" customFormat="1" ht="12.75" x14ac:dyDescent="0.2">
      <c r="B1132" s="46"/>
      <c r="D1132" s="60">
        <v>1</v>
      </c>
      <c r="E1132" s="40">
        <v>7.5</v>
      </c>
      <c r="F1132" s="40"/>
      <c r="G1132" s="40">
        <v>0.3</v>
      </c>
      <c r="H1132" s="40">
        <f t="shared" si="68"/>
        <v>2.25</v>
      </c>
      <c r="I1132" s="40"/>
      <c r="J1132" s="41"/>
    </row>
    <row r="1133" spans="2:10" s="1" customFormat="1" ht="12.75" x14ac:dyDescent="0.2">
      <c r="B1133" s="46"/>
      <c r="C1133" s="59"/>
      <c r="D1133" s="60"/>
      <c r="E1133" s="40"/>
      <c r="F1133" s="40"/>
      <c r="G1133" s="40"/>
      <c r="H1133" s="40"/>
      <c r="I1133" s="40"/>
      <c r="J1133" s="41"/>
    </row>
    <row r="1134" spans="2:10" s="1" customFormat="1" ht="12.75" x14ac:dyDescent="0.2">
      <c r="B1134" s="57" t="s">
        <v>876</v>
      </c>
      <c r="C1134" s="58" t="s">
        <v>223</v>
      </c>
      <c r="D1134" s="60"/>
      <c r="E1134" s="40"/>
      <c r="F1134" s="40"/>
      <c r="G1134" s="40"/>
      <c r="H1134" s="40"/>
      <c r="I1134" s="40"/>
      <c r="J1134" s="41"/>
    </row>
    <row r="1135" spans="2:10" s="1" customFormat="1" ht="14.25" customHeight="1" x14ac:dyDescent="0.2">
      <c r="B1135" s="43" t="s">
        <v>877</v>
      </c>
      <c r="C1135" s="43" t="s">
        <v>657</v>
      </c>
      <c r="D1135" s="60"/>
      <c r="E1135" s="40"/>
      <c r="F1135" s="40"/>
      <c r="G1135" s="40"/>
      <c r="H1135" s="40"/>
      <c r="I1135" s="44">
        <f>+SUM(H1136:H1138)</f>
        <v>18</v>
      </c>
      <c r="J1135" s="45" t="s">
        <v>13</v>
      </c>
    </row>
    <row r="1136" spans="2:10" s="1" customFormat="1" ht="14.25" customHeight="1" x14ac:dyDescent="0.2">
      <c r="B1136" s="46"/>
      <c r="C1136" s="59" t="s">
        <v>661</v>
      </c>
      <c r="D1136" s="60">
        <v>4</v>
      </c>
      <c r="E1136" s="40">
        <v>1</v>
      </c>
      <c r="F1136" s="40"/>
      <c r="G1136" s="40"/>
      <c r="H1136" s="40">
        <f t="shared" ref="H1136:H1137" si="69">+D1136</f>
        <v>4</v>
      </c>
      <c r="I1136" s="40"/>
      <c r="J1136" s="41"/>
    </row>
    <row r="1137" spans="2:10" s="1" customFormat="1" ht="14.25" customHeight="1" x14ac:dyDescent="0.2">
      <c r="B1137" s="46"/>
      <c r="C1137" s="59"/>
      <c r="D1137" s="60">
        <v>4</v>
      </c>
      <c r="E1137" s="40">
        <v>1</v>
      </c>
      <c r="F1137" s="40"/>
      <c r="G1137" s="40"/>
      <c r="H1137" s="40">
        <f t="shared" si="69"/>
        <v>4</v>
      </c>
      <c r="I1137" s="40"/>
      <c r="J1137" s="41"/>
    </row>
    <row r="1138" spans="2:10" s="1" customFormat="1" ht="12.75" x14ac:dyDescent="0.2">
      <c r="B1138" s="46"/>
      <c r="C1138" s="39" t="s">
        <v>456</v>
      </c>
      <c r="D1138" s="60">
        <f>5*2</f>
        <v>10</v>
      </c>
      <c r="E1138" s="40"/>
      <c r="F1138" s="40"/>
      <c r="G1138" s="40"/>
      <c r="H1138" s="40">
        <f>+D1138</f>
        <v>10</v>
      </c>
      <c r="I1138" s="40"/>
      <c r="J1138" s="41"/>
    </row>
    <row r="1139" spans="2:10" s="1" customFormat="1" ht="12.75" x14ac:dyDescent="0.2">
      <c r="B1139" s="43" t="s">
        <v>880</v>
      </c>
      <c r="C1139" s="28" t="s">
        <v>539</v>
      </c>
      <c r="D1139" s="60"/>
      <c r="E1139" s="40"/>
      <c r="F1139" s="40"/>
      <c r="G1139" s="40"/>
      <c r="H1139" s="40"/>
      <c r="I1139" s="44">
        <f>+SUM(H1140:H1141)</f>
        <v>2</v>
      </c>
      <c r="J1139" s="45" t="s">
        <v>13</v>
      </c>
    </row>
    <row r="1140" spans="2:10" s="1" customFormat="1" ht="12.75" x14ac:dyDescent="0.2">
      <c r="B1140" s="46"/>
      <c r="C1140" s="39" t="s">
        <v>664</v>
      </c>
      <c r="D1140" s="60">
        <v>1</v>
      </c>
      <c r="E1140" s="40"/>
      <c r="F1140" s="40"/>
      <c r="G1140" s="40"/>
      <c r="H1140" s="40">
        <f>+D1140</f>
        <v>1</v>
      </c>
      <c r="I1140" s="40"/>
      <c r="J1140" s="41"/>
    </row>
    <row r="1141" spans="2:10" s="1" customFormat="1" ht="12.75" x14ac:dyDescent="0.2">
      <c r="B1141" s="46"/>
      <c r="C1141" s="59"/>
      <c r="D1141" s="60">
        <v>1</v>
      </c>
      <c r="E1141" s="40"/>
      <c r="F1141" s="40"/>
      <c r="G1141" s="40"/>
      <c r="H1141" s="40">
        <f>+D1141</f>
        <v>1</v>
      </c>
      <c r="I1141" s="40"/>
      <c r="J1141" s="41"/>
    </row>
    <row r="1142" spans="2:10" s="1" customFormat="1" ht="14.25" customHeight="1" x14ac:dyDescent="0.2">
      <c r="B1142" s="43" t="s">
        <v>883</v>
      </c>
      <c r="C1142" s="43" t="s">
        <v>500</v>
      </c>
      <c r="D1142" s="60"/>
      <c r="E1142" s="40"/>
      <c r="F1142" s="40"/>
      <c r="G1142" s="40"/>
      <c r="H1142" s="40"/>
      <c r="I1142" s="44">
        <f>+SUM(H1143:H1143)</f>
        <v>1</v>
      </c>
      <c r="J1142" s="45" t="s">
        <v>13</v>
      </c>
    </row>
    <row r="1143" spans="2:10" s="1" customFormat="1" ht="12.75" x14ac:dyDescent="0.2">
      <c r="B1143" s="46"/>
      <c r="C1143" s="39" t="s">
        <v>498</v>
      </c>
      <c r="D1143" s="60">
        <v>1</v>
      </c>
      <c r="E1143" s="40"/>
      <c r="F1143" s="40"/>
      <c r="G1143" s="40"/>
      <c r="H1143" s="40">
        <f>+D1143</f>
        <v>1</v>
      </c>
      <c r="I1143" s="40"/>
      <c r="J1143" s="41"/>
    </row>
    <row r="1144" spans="2:10" s="1" customFormat="1" ht="12.75" x14ac:dyDescent="0.2">
      <c r="B1144" s="46"/>
      <c r="C1144" s="39"/>
      <c r="D1144" s="60"/>
      <c r="E1144" s="40"/>
      <c r="F1144" s="40"/>
      <c r="G1144" s="40"/>
      <c r="H1144" s="40"/>
      <c r="I1144" s="40"/>
      <c r="J1144" s="41"/>
    </row>
    <row r="1145" spans="2:10" s="1" customFormat="1" ht="12.75" x14ac:dyDescent="0.2">
      <c r="B1145" s="43" t="s">
        <v>885</v>
      </c>
      <c r="C1145" s="43" t="s">
        <v>560</v>
      </c>
      <c r="D1145" s="60"/>
      <c r="E1145" s="40"/>
      <c r="F1145" s="40"/>
      <c r="G1145" s="40"/>
      <c r="H1145" s="40"/>
      <c r="I1145" s="44">
        <f>+SUM(H1146:H1146)</f>
        <v>1</v>
      </c>
      <c r="J1145" s="45" t="s">
        <v>13</v>
      </c>
    </row>
    <row r="1146" spans="2:10" s="1" customFormat="1" ht="12.75" x14ac:dyDescent="0.2">
      <c r="B1146" s="46"/>
      <c r="C1146" s="39" t="s">
        <v>466</v>
      </c>
      <c r="D1146" s="60">
        <v>1</v>
      </c>
      <c r="E1146" s="40"/>
      <c r="F1146" s="40"/>
      <c r="G1146" s="40"/>
      <c r="H1146" s="40">
        <f>+D1146</f>
        <v>1</v>
      </c>
      <c r="I1146" s="40"/>
      <c r="J1146" s="41"/>
    </row>
    <row r="1147" spans="2:10" s="414" customFormat="1" ht="12.75" x14ac:dyDescent="0.2">
      <c r="B1147" s="43" t="s">
        <v>887</v>
      </c>
      <c r="C1147" s="28" t="s">
        <v>543</v>
      </c>
      <c r="D1147" s="60"/>
      <c r="E1147" s="40"/>
      <c r="F1147" s="40"/>
      <c r="G1147" s="40"/>
      <c r="H1147" s="40"/>
      <c r="I1147" s="44">
        <f>+SUM(H1148:H1149)</f>
        <v>4</v>
      </c>
      <c r="J1147" s="45" t="s">
        <v>13</v>
      </c>
    </row>
    <row r="1148" spans="2:10" s="1" customFormat="1" ht="12.75" x14ac:dyDescent="0.2">
      <c r="B1148" s="46"/>
      <c r="C1148" s="59" t="s">
        <v>503</v>
      </c>
      <c r="D1148" s="60">
        <v>4</v>
      </c>
      <c r="E1148" s="40"/>
      <c r="F1148" s="40"/>
      <c r="G1148" s="40"/>
      <c r="H1148" s="40">
        <f>+D1148</f>
        <v>4</v>
      </c>
      <c r="I1148" s="40"/>
      <c r="J1148" s="41"/>
    </row>
    <row r="1149" spans="2:10" s="1" customFormat="1" ht="12.75" x14ac:dyDescent="0.2">
      <c r="B1149" s="46"/>
      <c r="C1149" s="59"/>
      <c r="D1149" s="60"/>
      <c r="E1149" s="40"/>
      <c r="F1149" s="40"/>
      <c r="G1149" s="40"/>
      <c r="H1149" s="40"/>
      <c r="I1149" s="40"/>
      <c r="J1149" s="41"/>
    </row>
    <row r="1150" spans="2:10" s="1" customFormat="1" ht="12.75" x14ac:dyDescent="0.2">
      <c r="B1150" s="43" t="s">
        <v>889</v>
      </c>
      <c r="C1150" s="28" t="s">
        <v>545</v>
      </c>
      <c r="D1150" s="60"/>
      <c r="E1150" s="40"/>
      <c r="F1150" s="40"/>
      <c r="G1150" s="40"/>
      <c r="H1150" s="40"/>
      <c r="I1150" s="44">
        <f>+SUM(H1151:H1151)</f>
        <v>4</v>
      </c>
      <c r="J1150" s="45" t="s">
        <v>13</v>
      </c>
    </row>
    <row r="1151" spans="2:10" s="1" customFormat="1" ht="12.75" x14ac:dyDescent="0.2">
      <c r="B1151" s="46"/>
      <c r="C1151" s="59" t="s">
        <v>503</v>
      </c>
      <c r="D1151" s="60">
        <v>4</v>
      </c>
      <c r="E1151" s="40"/>
      <c r="F1151" s="40"/>
      <c r="G1151" s="40"/>
      <c r="H1151" s="40">
        <f>+D1151</f>
        <v>4</v>
      </c>
      <c r="I1151" s="40"/>
      <c r="J1151" s="41"/>
    </row>
    <row r="1152" spans="2:10" s="1" customFormat="1" ht="12.75" x14ac:dyDescent="0.2">
      <c r="B1152" s="46"/>
      <c r="C1152" s="59"/>
      <c r="D1152" s="60"/>
      <c r="E1152" s="40"/>
      <c r="F1152" s="40"/>
      <c r="G1152" s="40"/>
      <c r="H1152" s="40"/>
      <c r="I1152" s="40"/>
      <c r="J1152" s="41"/>
    </row>
    <row r="1153" spans="2:10" s="1" customFormat="1" ht="12.75" x14ac:dyDescent="0.2">
      <c r="B1153" s="46"/>
      <c r="C1153" s="39"/>
      <c r="D1153" s="8"/>
      <c r="E1153" s="86"/>
      <c r="F1153" s="40"/>
      <c r="G1153" s="40"/>
      <c r="H1153" s="40"/>
      <c r="I1153" s="40"/>
      <c r="J1153" s="41"/>
    </row>
    <row r="1154" spans="2:10" s="1" customFormat="1" ht="12.75" x14ac:dyDescent="0.2">
      <c r="B1154" s="46"/>
      <c r="C1154" s="59"/>
    </row>
    <row r="1155" spans="2:10" s="1" customFormat="1" ht="12.75" x14ac:dyDescent="0.2">
      <c r="B1155" s="46"/>
      <c r="C1155" s="59"/>
      <c r="D1155" s="60"/>
      <c r="E1155" s="40"/>
      <c r="F1155" s="40"/>
      <c r="G1155" s="40"/>
      <c r="H1155" s="40"/>
      <c r="I1155" s="40"/>
      <c r="J1155" s="41"/>
    </row>
    <row r="1156" spans="2:10" s="1" customFormat="1" ht="12.75" x14ac:dyDescent="0.2">
      <c r="B1156" s="46"/>
      <c r="C1156" s="59"/>
      <c r="D1156" s="60"/>
      <c r="E1156" s="40"/>
      <c r="F1156" s="40"/>
      <c r="G1156" s="40"/>
      <c r="H1156" s="40"/>
      <c r="I1156" s="40"/>
      <c r="J1156" s="41"/>
    </row>
    <row r="1157" spans="2:10" s="1" customFormat="1" ht="12.75" x14ac:dyDescent="0.2">
      <c r="B1157" s="46"/>
      <c r="C1157" s="59"/>
      <c r="D1157" s="60"/>
      <c r="E1157" s="40"/>
      <c r="F1157" s="40"/>
      <c r="G1157" s="40"/>
      <c r="H1157" s="40"/>
      <c r="I1157" s="40"/>
      <c r="J1157" s="41"/>
    </row>
    <row r="1158" spans="2:10" s="1" customFormat="1" ht="12.75" x14ac:dyDescent="0.2">
      <c r="B1158" s="46"/>
      <c r="C1158" s="59"/>
      <c r="D1158" s="60"/>
      <c r="E1158" s="40"/>
      <c r="F1158" s="40"/>
      <c r="G1158" s="40"/>
      <c r="H1158" s="40"/>
      <c r="I1158" s="40"/>
      <c r="J1158" s="41"/>
    </row>
    <row r="1159" spans="2:10" s="1" customFormat="1" ht="12.75" x14ac:dyDescent="0.2">
      <c r="B1159" s="46"/>
      <c r="C1159" s="59"/>
      <c r="D1159" s="60"/>
      <c r="E1159" s="40"/>
      <c r="F1159" s="40"/>
      <c r="G1159" s="40"/>
      <c r="H1159" s="40"/>
      <c r="I1159" s="40"/>
      <c r="J1159" s="41"/>
    </row>
    <row r="1160" spans="2:10" s="1" customFormat="1" ht="12.75" x14ac:dyDescent="0.2">
      <c r="B1160" s="46"/>
      <c r="C1160" s="59"/>
      <c r="D1160" s="60"/>
      <c r="E1160" s="40"/>
      <c r="F1160" s="40"/>
      <c r="G1160" s="40"/>
      <c r="H1160" s="40"/>
      <c r="I1160" s="40"/>
      <c r="J1160" s="41"/>
    </row>
    <row r="1161" spans="2:10" s="1" customFormat="1" ht="12.75" x14ac:dyDescent="0.2">
      <c r="B1161" s="46"/>
      <c r="C1161" s="59"/>
      <c r="D1161" s="60"/>
      <c r="E1161" s="40"/>
      <c r="F1161" s="40"/>
      <c r="G1161" s="40"/>
      <c r="H1161" s="40"/>
      <c r="I1161" s="40"/>
      <c r="J1161" s="41"/>
    </row>
    <row r="1162" spans="2:10" s="1" customFormat="1" ht="12.75" x14ac:dyDescent="0.2">
      <c r="B1162" s="46"/>
      <c r="C1162" s="59"/>
      <c r="D1162" s="60"/>
      <c r="E1162" s="40"/>
      <c r="F1162" s="40"/>
      <c r="G1162" s="40"/>
      <c r="H1162" s="40"/>
      <c r="I1162" s="40"/>
      <c r="J1162" s="41"/>
    </row>
    <row r="1163" spans="2:10" s="1" customFormat="1" ht="12.75" x14ac:dyDescent="0.2">
      <c r="C1163" s="400" t="s">
        <v>37</v>
      </c>
      <c r="D1163" s="400"/>
      <c r="E1163" s="400"/>
      <c r="F1163" s="400"/>
      <c r="G1163" s="400"/>
      <c r="H1163" s="400"/>
    </row>
    <row r="1164" spans="2:10" s="1" customFormat="1" ht="12.75" x14ac:dyDescent="0.2">
      <c r="C1164" s="400" t="s">
        <v>38</v>
      </c>
      <c r="D1164" s="400"/>
      <c r="E1164" s="400"/>
      <c r="F1164" s="400"/>
      <c r="G1164" s="400"/>
      <c r="H1164" s="400"/>
    </row>
    <row r="1165" spans="2:10" s="1" customFormat="1" ht="12.75" x14ac:dyDescent="0.2">
      <c r="C1165" s="400" t="s">
        <v>39</v>
      </c>
      <c r="D1165" s="400"/>
      <c r="E1165" s="400"/>
      <c r="F1165" s="400"/>
      <c r="G1165" s="400"/>
      <c r="H1165" s="400"/>
    </row>
    <row r="1166" spans="2:10" s="1" customFormat="1" ht="12.75" x14ac:dyDescent="0.2">
      <c r="C1166" s="401" t="s">
        <v>40</v>
      </c>
      <c r="D1166" s="401"/>
      <c r="E1166" s="401"/>
      <c r="F1166" s="401"/>
      <c r="G1166" s="401"/>
      <c r="H1166" s="401"/>
    </row>
    <row r="1167" spans="2:10" s="1" customFormat="1" ht="12.75" customHeight="1" x14ac:dyDescent="0.2">
      <c r="C1167" s="401"/>
      <c r="D1167" s="401"/>
      <c r="E1167" s="401"/>
      <c r="F1167" s="401"/>
      <c r="G1167" s="401"/>
      <c r="H1167" s="401"/>
    </row>
    <row r="1168" spans="2:10" s="1" customFormat="1" ht="45.75" customHeight="1" x14ac:dyDescent="0.2">
      <c r="B1168" s="402" t="s">
        <v>65</v>
      </c>
      <c r="C1168" s="403"/>
      <c r="D1168" s="403"/>
      <c r="E1168" s="403"/>
      <c r="F1168" s="403"/>
      <c r="G1168" s="403"/>
      <c r="H1168" s="403"/>
      <c r="I1168" s="403"/>
      <c r="J1168" s="404"/>
    </row>
    <row r="1169" spans="2:10" s="1" customFormat="1" ht="20.25" x14ac:dyDescent="0.2">
      <c r="B1169" s="406" t="s">
        <v>365</v>
      </c>
      <c r="C1169" s="407"/>
      <c r="D1169" s="407"/>
      <c r="E1169" s="407"/>
      <c r="F1169" s="407"/>
      <c r="G1169" s="407"/>
      <c r="H1169" s="407"/>
      <c r="I1169" s="407"/>
      <c r="J1169" s="408"/>
    </row>
    <row r="1170" spans="2:10" s="1" customFormat="1" ht="13.5" thickBot="1" x14ac:dyDescent="0.25">
      <c r="B1170" s="405"/>
      <c r="C1170" s="405"/>
      <c r="D1170" s="405"/>
      <c r="E1170" s="405"/>
      <c r="F1170" s="405"/>
      <c r="G1170" s="405"/>
      <c r="H1170" s="405"/>
      <c r="I1170" s="405"/>
      <c r="J1170" s="405"/>
    </row>
    <row r="1171" spans="2:10" s="1" customFormat="1" ht="24.75" customHeight="1" x14ac:dyDescent="0.2">
      <c r="B1171" s="494" t="s">
        <v>27</v>
      </c>
      <c r="C1171" s="495"/>
      <c r="D1171" s="495"/>
      <c r="E1171" s="495"/>
      <c r="F1171" s="495"/>
      <c r="G1171" s="495"/>
      <c r="H1171" s="495"/>
      <c r="I1171" s="495"/>
      <c r="J1171" s="496"/>
    </row>
    <row r="1172" spans="2:10" s="1" customFormat="1" ht="12.75" x14ac:dyDescent="0.2">
      <c r="B1172" s="2" t="s">
        <v>35</v>
      </c>
      <c r="C1172" s="3" t="s">
        <v>36</v>
      </c>
      <c r="D1172" s="3"/>
      <c r="E1172" s="4"/>
      <c r="F1172" s="5"/>
      <c r="G1172" s="6" t="s">
        <v>8</v>
      </c>
      <c r="H1172" s="497">
        <v>42879</v>
      </c>
      <c r="I1172" s="497"/>
      <c r="J1172" s="7"/>
    </row>
    <row r="1173" spans="2:10" s="1" customFormat="1" ht="12.75" x14ac:dyDescent="0.2">
      <c r="B1173" s="2" t="s">
        <v>33</v>
      </c>
      <c r="C1173" s="3" t="s">
        <v>29</v>
      </c>
      <c r="D1173" s="8"/>
      <c r="E1173" s="8"/>
      <c r="F1173" s="3"/>
      <c r="G1173" s="9" t="s">
        <v>32</v>
      </c>
      <c r="H1173" s="4" t="s">
        <v>29</v>
      </c>
      <c r="I1173" s="10"/>
      <c r="J1173" s="11"/>
    </row>
    <row r="1174" spans="2:10" s="1" customFormat="1" ht="12.75" x14ac:dyDescent="0.2">
      <c r="B1174" s="2" t="s">
        <v>34</v>
      </c>
      <c r="C1174" s="3" t="s">
        <v>29</v>
      </c>
      <c r="D1174" s="8"/>
      <c r="E1174" s="8"/>
      <c r="F1174" s="3"/>
      <c r="G1174" s="9" t="s">
        <v>30</v>
      </c>
      <c r="H1174" s="4" t="s">
        <v>31</v>
      </c>
      <c r="I1174" s="10"/>
      <c r="J1174" s="11"/>
    </row>
    <row r="1175" spans="2:10" s="1" customFormat="1" ht="13.5" thickBot="1" x14ac:dyDescent="0.25">
      <c r="B1175" s="12" t="s">
        <v>43</v>
      </c>
      <c r="C1175" s="13" t="s">
        <v>44</v>
      </c>
      <c r="D1175" s="14"/>
      <c r="E1175" s="14"/>
      <c r="F1175" s="13"/>
      <c r="G1175" s="15" t="s">
        <v>41</v>
      </c>
      <c r="H1175" s="16" t="s">
        <v>42</v>
      </c>
      <c r="I1175" s="17"/>
      <c r="J1175" s="18"/>
    </row>
    <row r="1176" spans="2:10" s="1" customFormat="1" ht="12.75" x14ac:dyDescent="0.2">
      <c r="B1176" s="405"/>
      <c r="C1176" s="405"/>
      <c r="D1176" s="405"/>
      <c r="E1176" s="405"/>
      <c r="F1176" s="405"/>
      <c r="G1176" s="405"/>
      <c r="H1176" s="405"/>
      <c r="I1176" s="405"/>
      <c r="J1176" s="405"/>
    </row>
    <row r="1177" spans="2:10" s="1" customFormat="1" ht="12.75" x14ac:dyDescent="0.2">
      <c r="B1177" s="21" t="s">
        <v>5</v>
      </c>
      <c r="C1177" s="22" t="s">
        <v>0</v>
      </c>
      <c r="D1177" s="22" t="s">
        <v>9</v>
      </c>
      <c r="E1177" s="22" t="s">
        <v>10</v>
      </c>
      <c r="F1177" s="22" t="s">
        <v>1</v>
      </c>
      <c r="G1177" s="22" t="s">
        <v>2</v>
      </c>
      <c r="H1177" s="22" t="s">
        <v>11</v>
      </c>
      <c r="I1177" s="22" t="s">
        <v>6</v>
      </c>
      <c r="J1177" s="22" t="s">
        <v>7</v>
      </c>
    </row>
    <row r="1178" spans="2:10" s="1" customFormat="1" ht="12.75" x14ac:dyDescent="0.2">
      <c r="B1178" s="55">
        <v>4.03</v>
      </c>
      <c r="C1178" s="56" t="s">
        <v>222</v>
      </c>
      <c r="D1178" s="60"/>
      <c r="E1178" s="40"/>
      <c r="F1178" s="40"/>
      <c r="G1178" s="40"/>
      <c r="H1178" s="40"/>
      <c r="I1178" s="40"/>
      <c r="J1178" s="41"/>
    </row>
    <row r="1179" spans="2:10" s="1" customFormat="1" ht="12.75" x14ac:dyDescent="0.2">
      <c r="B1179" s="73" t="s">
        <v>14</v>
      </c>
      <c r="C1179" s="73" t="s">
        <v>615</v>
      </c>
      <c r="D1179" s="60"/>
      <c r="E1179" s="40"/>
      <c r="F1179" s="40"/>
      <c r="G1179" s="40"/>
      <c r="H1179" s="40"/>
      <c r="I1179" s="40"/>
      <c r="J1179" s="41"/>
    </row>
    <row r="1180" spans="2:10" s="1" customFormat="1" ht="12.75" x14ac:dyDescent="0.2">
      <c r="B1180" s="25" t="s">
        <v>15</v>
      </c>
      <c r="C1180" s="28" t="s">
        <v>616</v>
      </c>
      <c r="D1180" s="60"/>
      <c r="E1180" s="40"/>
      <c r="F1180" s="40"/>
      <c r="G1180" s="40"/>
      <c r="H1180" s="40"/>
      <c r="I1180" s="40">
        <f>+SUM(H1181:H1183)</f>
        <v>8.5628799999999998</v>
      </c>
      <c r="J1180" s="41" t="s">
        <v>45</v>
      </c>
    </row>
    <row r="1181" spans="2:10" s="1" customFormat="1" ht="12.75" x14ac:dyDescent="0.2">
      <c r="B1181" s="46"/>
      <c r="C1181" s="39" t="s">
        <v>373</v>
      </c>
      <c r="D1181" s="40">
        <v>1</v>
      </c>
      <c r="E1181" s="40">
        <v>0.6</v>
      </c>
      <c r="F1181" s="40">
        <v>0.8</v>
      </c>
      <c r="G1181" s="40"/>
      <c r="H1181" s="40">
        <f t="shared" ref="H1181" si="70">IF(AND(F1181=0,G1181=0),D1181*E1181,IF(AND(E1181=0,G1181=0),D1181*F1181,IF(AND(E1181=0,F1181=0),D1181*G1181,IF(AND(E1181=0),D1181*F1181*G1181,IF(AND(F1181=0),D1181*E1181*G1181,IF(AND(G1181=0),D1181*E1181*F1181,D1181*E1181*F1181*G1181))))))</f>
        <v>0.48</v>
      </c>
      <c r="I1181" s="40"/>
      <c r="J1181" s="41"/>
    </row>
    <row r="1182" spans="2:10" s="1" customFormat="1" ht="12.75" x14ac:dyDescent="0.2">
      <c r="B1182" s="46"/>
      <c r="C1182" s="43" t="s">
        <v>228</v>
      </c>
      <c r="D1182" s="60"/>
      <c r="E1182" s="40"/>
      <c r="F1182" s="40"/>
      <c r="G1182" s="40"/>
      <c r="H1182" s="40"/>
      <c r="I1182" s="40"/>
      <c r="J1182" s="41"/>
    </row>
    <row r="1183" spans="2:10" s="1" customFormat="1" ht="12.75" x14ac:dyDescent="0.2">
      <c r="B1183" s="46"/>
      <c r="C1183" s="39" t="s">
        <v>504</v>
      </c>
      <c r="D1183" s="40">
        <v>1</v>
      </c>
      <c r="E1183" s="40">
        <v>13.4</v>
      </c>
      <c r="F1183" s="40">
        <f>8*0.0254+0.4</f>
        <v>0.60319999999999996</v>
      </c>
      <c r="G1183" s="40"/>
      <c r="H1183" s="40">
        <f t="shared" ref="H1183" si="71">IF(AND(F1183=0,G1183=0),D1183*E1183,IF(AND(E1183=0,G1183=0),D1183*F1183,IF(AND(E1183=0,F1183=0),D1183*G1183,IF(AND(E1183=0),D1183*F1183*G1183,IF(AND(F1183=0),D1183*E1183*G1183,IF(AND(G1183=0),D1183*E1183*F1183,D1183*E1183*F1183*G1183))))))</f>
        <v>8.0828799999999994</v>
      </c>
      <c r="I1183" s="40"/>
      <c r="J1183" s="41"/>
    </row>
    <row r="1184" spans="2:10" x14ac:dyDescent="0.25">
      <c r="B1184" s="25" t="s">
        <v>232</v>
      </c>
      <c r="C1184" s="28" t="s">
        <v>617</v>
      </c>
      <c r="D1184" s="23"/>
      <c r="E1184" s="23"/>
      <c r="F1184" s="23"/>
      <c r="G1184" s="23"/>
      <c r="H1184" s="24"/>
      <c r="I1184" s="25">
        <f>+I1180</f>
        <v>8.5628799999999998</v>
      </c>
      <c r="J1184" s="26" t="s">
        <v>45</v>
      </c>
    </row>
    <row r="1185" spans="2:10" s="1" customFormat="1" ht="12.75" x14ac:dyDescent="0.2">
      <c r="B1185" s="46"/>
      <c r="C1185" s="59"/>
      <c r="D1185" s="60"/>
      <c r="E1185" s="40"/>
      <c r="F1185" s="40"/>
      <c r="G1185" s="40"/>
      <c r="H1185" s="40"/>
      <c r="I1185" s="40"/>
      <c r="J1185" s="41"/>
    </row>
    <row r="1186" spans="2:10" x14ac:dyDescent="0.25">
      <c r="B1186" s="73" t="s">
        <v>25</v>
      </c>
      <c r="C1186" s="73" t="s">
        <v>614</v>
      </c>
      <c r="D1186" s="23"/>
      <c r="E1186" s="23"/>
      <c r="F1186" s="23"/>
      <c r="G1186" s="23"/>
      <c r="H1186" s="24"/>
      <c r="I1186" s="25"/>
      <c r="J1186" s="26"/>
    </row>
    <row r="1187" spans="2:10" s="1" customFormat="1" ht="12.75" x14ac:dyDescent="0.2">
      <c r="B1187" s="25" t="s">
        <v>26</v>
      </c>
      <c r="C1187" s="1" t="s">
        <v>622</v>
      </c>
      <c r="D1187" s="60"/>
      <c r="E1187" s="40"/>
      <c r="F1187" s="40"/>
      <c r="G1187" s="40"/>
      <c r="H1187" s="24"/>
      <c r="I1187" s="25">
        <f>+SUM(H1188)</f>
        <v>0</v>
      </c>
      <c r="J1187" s="26" t="s">
        <v>4</v>
      </c>
    </row>
    <row r="1188" spans="2:10" s="1" customFormat="1" ht="12.75" x14ac:dyDescent="0.2">
      <c r="B1188" s="57"/>
      <c r="C1188" s="39"/>
      <c r="D1188" s="40"/>
      <c r="E1188" s="40"/>
      <c r="F1188" s="40"/>
      <c r="G1188" s="40"/>
      <c r="H1188" s="40">
        <f>IF(AND(F1188=0,G1188=0),D1188*E1188,IF(AND(E1188=0,G1188=0),D1188*F1188,IF(AND(E1188=0,F1188=0),D1188*G1188,IF(AND(E1188=0),D1188*F1188*G1188,IF(AND(F1188=0),D1188*E1188*G1188,IF(AND(G1188=0),D1188*E1188*F1188,D1188*E1188*F1188*G1188))))))</f>
        <v>0</v>
      </c>
      <c r="I1188" s="40"/>
      <c r="J1188" s="41"/>
    </row>
    <row r="1189" spans="2:10" s="1" customFormat="1" ht="12.75" x14ac:dyDescent="0.2">
      <c r="B1189" s="25" t="s">
        <v>654</v>
      </c>
      <c r="C1189" s="1" t="s">
        <v>623</v>
      </c>
      <c r="D1189" s="60"/>
      <c r="E1189" s="40"/>
      <c r="F1189" s="40"/>
      <c r="G1189" s="40"/>
      <c r="H1189" s="24"/>
      <c r="I1189" s="25">
        <f>+SUM(H1190)</f>
        <v>0.33599999999999997</v>
      </c>
      <c r="J1189" s="26" t="s">
        <v>4</v>
      </c>
    </row>
    <row r="1190" spans="2:10" s="1" customFormat="1" ht="12.75" x14ac:dyDescent="0.2">
      <c r="B1190" s="57"/>
      <c r="C1190" s="39" t="s">
        <v>373</v>
      </c>
      <c r="D1190" s="40">
        <v>1</v>
      </c>
      <c r="E1190" s="40">
        <v>0.6</v>
      </c>
      <c r="F1190" s="40">
        <v>0.8</v>
      </c>
      <c r="G1190" s="40">
        <f>0.5+0.2</f>
        <v>0.7</v>
      </c>
      <c r="H1190" s="40">
        <f>IF(AND(F1190=0,G1190=0),D1190*E1190,IF(AND(E1190=0,G1190=0),D1190*F1190,IF(AND(E1190=0,F1190=0),D1190*G1190,IF(AND(E1190=0),D1190*F1190*G1190,IF(AND(F1190=0),D1190*E1190*G1190,IF(AND(G1190=0),D1190*E1190*F1190,D1190*E1190*F1190*G1190))))))</f>
        <v>0.33599999999999997</v>
      </c>
      <c r="I1190" s="40"/>
      <c r="J1190" s="41"/>
    </row>
    <row r="1191" spans="2:10" x14ac:dyDescent="0.25">
      <c r="B1191" s="25" t="s">
        <v>820</v>
      </c>
      <c r="C1191" s="414" t="s">
        <v>779</v>
      </c>
      <c r="D1191" s="23"/>
      <c r="E1191" s="23"/>
      <c r="F1191" s="23"/>
      <c r="G1191" s="23"/>
      <c r="I1191" s="24">
        <f>+SUM(H1192:H1192)</f>
        <v>0.48</v>
      </c>
      <c r="J1191" s="26" t="s">
        <v>45</v>
      </c>
    </row>
    <row r="1192" spans="2:10" x14ac:dyDescent="0.25">
      <c r="B1192" s="25"/>
      <c r="C1192" s="39" t="s">
        <v>373</v>
      </c>
      <c r="D1192" s="40">
        <v>1</v>
      </c>
      <c r="E1192" s="40">
        <v>0.6</v>
      </c>
      <c r="F1192" s="40">
        <v>0.8</v>
      </c>
      <c r="G1192" s="40"/>
      <c r="H1192" s="40">
        <f>IF(AND(F1192=0,G1192=0),D1192*E1192,IF(AND(E1192=0,G1192=0),D1192*F1192,IF(AND(E1192=0,F1192=0),D1192*G1192,IF(AND(E1192=0),D1192*F1192*G1192,IF(AND(F1192=0),D1192*E1192*G1192,IF(AND(G1192=0),D1192*E1192*F1192,D1192*E1192*F1192*G1192))))))</f>
        <v>0.48</v>
      </c>
      <c r="I1192" s="25"/>
      <c r="J1192" s="26"/>
    </row>
    <row r="1193" spans="2:10" s="1" customFormat="1" ht="12.75" x14ac:dyDescent="0.2">
      <c r="B1193" s="25" t="s">
        <v>821</v>
      </c>
      <c r="C1193" s="414" t="s">
        <v>776</v>
      </c>
      <c r="D1193" s="60"/>
      <c r="E1193" s="40"/>
      <c r="F1193" s="40"/>
      <c r="G1193" s="40"/>
      <c r="H1193" s="40"/>
      <c r="I1193" s="40">
        <f>+SUM(H1195:H1195)-H1197</f>
        <v>7.6483276659259856</v>
      </c>
      <c r="J1193" s="41" t="s">
        <v>4</v>
      </c>
    </row>
    <row r="1194" spans="2:10" s="1" customFormat="1" ht="12.75" x14ac:dyDescent="0.2">
      <c r="B1194" s="46"/>
      <c r="C1194" s="43" t="s">
        <v>228</v>
      </c>
      <c r="D1194" s="60"/>
      <c r="E1194" s="40"/>
      <c r="F1194" s="40"/>
      <c r="G1194" s="40"/>
      <c r="H1194" s="40"/>
      <c r="I1194" s="40"/>
      <c r="J1194" s="41"/>
    </row>
    <row r="1195" spans="2:10" s="1" customFormat="1" ht="12.75" x14ac:dyDescent="0.2">
      <c r="B1195" s="46"/>
      <c r="C1195" s="39" t="s">
        <v>504</v>
      </c>
      <c r="D1195" s="40">
        <v>1</v>
      </c>
      <c r="E1195" s="40">
        <v>13.4</v>
      </c>
      <c r="F1195" s="40">
        <f>8*0.0254+0.4</f>
        <v>0.60319999999999996</v>
      </c>
      <c r="G1195" s="40">
        <v>1</v>
      </c>
      <c r="H1195" s="40">
        <f t="shared" ref="H1195" si="72">IF(AND(F1195=0,G1195=0),D1195*E1195,IF(AND(E1195=0,G1195=0),D1195*F1195,IF(AND(E1195=0,F1195=0),D1195*G1195,IF(AND(E1195=0),D1195*F1195*G1195,IF(AND(F1195=0),D1195*E1195*G1195,IF(AND(G1195=0),D1195*E1195*F1195,D1195*E1195*F1195*G1195))))))</f>
        <v>8.0828799999999994</v>
      </c>
      <c r="I1195" s="40"/>
      <c r="J1195" s="41"/>
    </row>
    <row r="1196" spans="2:10" s="1" customFormat="1" ht="12.75" x14ac:dyDescent="0.2">
      <c r="B1196" s="46"/>
      <c r="C1196" s="414"/>
      <c r="D1196" s="414"/>
      <c r="F1196" s="40" t="s">
        <v>786</v>
      </c>
      <c r="G1196" s="40">
        <v>8</v>
      </c>
      <c r="I1196" s="40"/>
      <c r="J1196" s="41"/>
    </row>
    <row r="1197" spans="2:10" s="1" customFormat="1" ht="12.75" x14ac:dyDescent="0.2">
      <c r="B1197" s="46"/>
      <c r="C1197" s="39" t="s">
        <v>784</v>
      </c>
      <c r="D1197" s="60">
        <v>1</v>
      </c>
      <c r="E1197" s="40">
        <f>+SUM(E1195:E1195)</f>
        <v>13.4</v>
      </c>
      <c r="F1197" s="40" t="s">
        <v>785</v>
      </c>
      <c r="G1197" s="40">
        <f>+PI()*((G1196*0.0254)^2)/4</f>
        <v>3.2429278662239852E-2</v>
      </c>
      <c r="H1197" s="40">
        <f>+E1197*G1197</f>
        <v>0.43455233407401406</v>
      </c>
      <c r="I1197" s="40"/>
      <c r="J1197" s="41"/>
    </row>
    <row r="1198" spans="2:10" s="1" customFormat="1" ht="12.75" x14ac:dyDescent="0.2">
      <c r="B1198" s="46" t="s">
        <v>823</v>
      </c>
      <c r="C1198" s="1" t="s">
        <v>719</v>
      </c>
      <c r="D1198" s="60"/>
      <c r="E1198" s="40"/>
      <c r="F1198" s="40"/>
      <c r="G1198" s="40"/>
      <c r="H1198" s="40"/>
      <c r="I1198" s="40">
        <f>+SUM(H1199)</f>
        <v>0</v>
      </c>
      <c r="J1198" s="41" t="s">
        <v>45</v>
      </c>
    </row>
    <row r="1199" spans="2:10" s="1" customFormat="1" ht="12.75" x14ac:dyDescent="0.2">
      <c r="B1199" s="46"/>
      <c r="C1199" s="59"/>
      <c r="D1199" s="60"/>
      <c r="E1199" s="40"/>
      <c r="F1199" s="40"/>
      <c r="G1199" s="40"/>
      <c r="H1199" s="40">
        <f>+(F1199+G1199*2)*E1199</f>
        <v>0</v>
      </c>
      <c r="I1199" s="40"/>
      <c r="J1199" s="41"/>
    </row>
    <row r="1200" spans="2:10" s="1" customFormat="1" ht="12.75" x14ac:dyDescent="0.2">
      <c r="B1200" s="25" t="s">
        <v>824</v>
      </c>
      <c r="C1200" s="28" t="s">
        <v>718</v>
      </c>
      <c r="D1200" s="60"/>
      <c r="E1200" s="40"/>
      <c r="F1200" s="40"/>
      <c r="G1200" s="40"/>
      <c r="H1200" s="40"/>
      <c r="I1200" s="40">
        <f>+SUM(H1202)</f>
        <v>0.45</v>
      </c>
      <c r="J1200" s="41" t="s">
        <v>45</v>
      </c>
    </row>
    <row r="1201" spans="2:10" s="1" customFormat="1" ht="12.75" x14ac:dyDescent="0.2">
      <c r="B1201" s="46"/>
      <c r="C1201" s="43" t="s">
        <v>228</v>
      </c>
      <c r="D1201" s="60"/>
      <c r="E1201" s="40"/>
      <c r="F1201" s="40"/>
      <c r="G1201" s="40"/>
      <c r="H1201" s="40"/>
      <c r="I1201" s="40"/>
      <c r="J1201" s="41"/>
    </row>
    <row r="1202" spans="2:10" s="1" customFormat="1" ht="12.75" x14ac:dyDescent="0.2">
      <c r="B1202" s="46"/>
      <c r="C1202" s="39" t="s">
        <v>504</v>
      </c>
      <c r="D1202" s="40">
        <v>1</v>
      </c>
      <c r="E1202" s="40">
        <v>13.4</v>
      </c>
      <c r="F1202" s="40">
        <f>8*0.0254+0.4</f>
        <v>0.60319999999999996</v>
      </c>
      <c r="G1202" s="40">
        <v>1</v>
      </c>
      <c r="H1202" s="40">
        <v>0.45</v>
      </c>
      <c r="I1202" s="40"/>
      <c r="J1202" s="41"/>
    </row>
    <row r="1203" spans="2:10" s="1" customFormat="1" ht="12.75" x14ac:dyDescent="0.2">
      <c r="B1203" s="25" t="s">
        <v>825</v>
      </c>
      <c r="C1203" s="28" t="s">
        <v>794</v>
      </c>
      <c r="D1203" s="60"/>
      <c r="E1203" s="40"/>
      <c r="F1203" s="40" t="s">
        <v>795</v>
      </c>
      <c r="G1203" s="40"/>
      <c r="H1203" s="40"/>
      <c r="I1203" s="40">
        <f>+SUM(H1204:H1207)</f>
        <v>89.501608247422681</v>
      </c>
      <c r="J1203" s="41" t="s">
        <v>12</v>
      </c>
    </row>
    <row r="1204" spans="2:10" s="1" customFormat="1" ht="12.75" x14ac:dyDescent="0.2">
      <c r="B1204" s="380"/>
      <c r="C1204" s="39" t="s">
        <v>462</v>
      </c>
      <c r="D1204" s="60">
        <v>1</v>
      </c>
      <c r="E1204" s="89">
        <f>10.35</f>
        <v>10.35</v>
      </c>
      <c r="F1204" s="40">
        <v>1.64</v>
      </c>
      <c r="G1204" s="40"/>
      <c r="H1204" s="40">
        <f t="shared" ref="H1204:H1205" si="73">IF(AND(F1204=0,G1204=0),D1204*E1204,IF(AND(E1204=0,G1204=0),D1204*F1204,IF(AND(E1204=0,F1204=0),D1204*G1204,IF(AND(E1204=0),D1204*F1204*G1204,IF(AND(F1204=0),D1204*E1204*G1204,IF(AND(G1204=0),D1204*E1204*F1204,D1204*E1204*F1204*G1204))))))</f>
        <v>16.973999999999997</v>
      </c>
      <c r="I1204" s="40"/>
      <c r="J1204" s="41"/>
    </row>
    <row r="1205" spans="2:10" s="1" customFormat="1" ht="12.75" x14ac:dyDescent="0.2">
      <c r="B1205" s="380"/>
      <c r="C1205" s="39" t="s">
        <v>662</v>
      </c>
      <c r="D1205" s="60">
        <v>1</v>
      </c>
      <c r="E1205" s="89">
        <v>5.35</v>
      </c>
      <c r="F1205" s="40">
        <v>1.64</v>
      </c>
      <c r="G1205" s="40"/>
      <c r="H1205" s="40">
        <f t="shared" si="73"/>
        <v>8.7739999999999991</v>
      </c>
      <c r="I1205" s="40"/>
      <c r="J1205" s="41"/>
    </row>
    <row r="1206" spans="2:10" s="1" customFormat="1" ht="12.75" x14ac:dyDescent="0.2">
      <c r="B1206" s="380"/>
      <c r="C1206" s="43" t="s">
        <v>228</v>
      </c>
      <c r="D1206" s="60"/>
      <c r="E1206" s="40"/>
      <c r="F1206" s="40"/>
      <c r="G1206" s="40"/>
      <c r="H1206" s="40"/>
      <c r="I1206" s="40"/>
      <c r="J1206" s="41"/>
    </row>
    <row r="1207" spans="2:10" s="1" customFormat="1" ht="12.75" x14ac:dyDescent="0.2">
      <c r="B1207" s="380"/>
      <c r="C1207" s="39" t="s">
        <v>504</v>
      </c>
      <c r="D1207" s="40">
        <v>1</v>
      </c>
      <c r="E1207" s="40">
        <v>13.4</v>
      </c>
      <c r="F1207" s="40">
        <f>27.69/5.82</f>
        <v>4.7577319587628866</v>
      </c>
      <c r="G1207" s="40"/>
      <c r="H1207" s="40">
        <f t="shared" ref="H1207" si="74">IF(AND(F1207=0,G1207=0),D1207*E1207,IF(AND(E1207=0,G1207=0),D1207*F1207,IF(AND(E1207=0,F1207=0),D1207*G1207,IF(AND(E1207=0),D1207*F1207*G1207,IF(AND(F1207=0),D1207*E1207*G1207,IF(AND(G1207=0),D1207*E1207*F1207,D1207*E1207*F1207*G1207))))))</f>
        <v>63.753608247422683</v>
      </c>
      <c r="I1207" s="40"/>
      <c r="J1207" s="41"/>
    </row>
    <row r="1208" spans="2:10" s="1" customFormat="1" ht="12.75" x14ac:dyDescent="0.2">
      <c r="B1208" s="25" t="s">
        <v>899</v>
      </c>
      <c r="C1208" s="28" t="s">
        <v>625</v>
      </c>
      <c r="D1208" s="60"/>
      <c r="E1208" s="40"/>
      <c r="F1208" s="40"/>
      <c r="G1208" s="40"/>
      <c r="H1208" s="40"/>
      <c r="I1208" s="40">
        <f>+SUM(H1209:H1210)</f>
        <v>0.14400000000000002</v>
      </c>
      <c r="J1208" s="41" t="s">
        <v>4</v>
      </c>
    </row>
    <row r="1209" spans="2:10" s="1" customFormat="1" ht="12.75" x14ac:dyDescent="0.2">
      <c r="B1209" s="46"/>
      <c r="C1209" s="39" t="s">
        <v>373</v>
      </c>
      <c r="D1209" s="40">
        <v>2</v>
      </c>
      <c r="E1209" s="40">
        <v>0.8</v>
      </c>
      <c r="F1209" s="40">
        <v>0.1</v>
      </c>
      <c r="G1209" s="40">
        <v>0.6</v>
      </c>
      <c r="H1209" s="40">
        <f t="shared" ref="H1209:H1210" si="75">IF(AND(F1209=0,G1209=0),D1209*E1209,IF(AND(E1209=0,G1209=0),D1209*F1209,IF(AND(E1209=0,F1209=0),D1209*G1209,IF(AND(E1209=0),D1209*F1209*G1209,IF(AND(F1209=0),D1209*E1209*G1209,IF(AND(G1209=0),D1209*E1209*F1209,D1209*E1209*F1209*G1209))))))</f>
        <v>9.6000000000000016E-2</v>
      </c>
      <c r="I1209" s="40"/>
      <c r="J1209" s="41"/>
    </row>
    <row r="1210" spans="2:10" s="1" customFormat="1" ht="12.75" x14ac:dyDescent="0.2">
      <c r="B1210" s="46"/>
      <c r="C1210" s="59"/>
      <c r="D1210" s="60">
        <v>2</v>
      </c>
      <c r="E1210" s="40">
        <v>0.4</v>
      </c>
      <c r="F1210" s="40">
        <v>0.1</v>
      </c>
      <c r="G1210" s="40">
        <v>0.6</v>
      </c>
      <c r="H1210" s="40">
        <f t="shared" si="75"/>
        <v>4.8000000000000008E-2</v>
      </c>
      <c r="I1210" s="40"/>
      <c r="J1210" s="41"/>
    </row>
    <row r="1211" spans="2:10" s="1" customFormat="1" ht="12.75" x14ac:dyDescent="0.2">
      <c r="B1211" s="25" t="s">
        <v>900</v>
      </c>
      <c r="C1211" s="28" t="s">
        <v>789</v>
      </c>
      <c r="D1211" s="60" t="s">
        <v>791</v>
      </c>
      <c r="E1211" s="40"/>
      <c r="F1211" s="40"/>
      <c r="G1211" s="40"/>
      <c r="H1211" s="40"/>
      <c r="I1211" s="40">
        <f>+SUM(H1212:H1215)</f>
        <v>0.96319041759251756</v>
      </c>
      <c r="J1211" s="41" t="s">
        <v>4</v>
      </c>
    </row>
    <row r="1212" spans="2:10" s="1" customFormat="1" ht="12.75" x14ac:dyDescent="0.2">
      <c r="B1212" s="107"/>
      <c r="C1212" s="39" t="s">
        <v>373</v>
      </c>
      <c r="D1212" s="40">
        <v>1.25</v>
      </c>
      <c r="E1212" s="40">
        <v>0.6</v>
      </c>
      <c r="F1212" s="40">
        <v>0.8</v>
      </c>
      <c r="G1212" s="40">
        <f>0.5+0.2</f>
        <v>0.7</v>
      </c>
      <c r="H1212" s="40">
        <f>IF(AND(F1212=0,G1212=0),D1212*E1212,IF(AND(E1212=0,G1212=0),D1212*F1212,IF(AND(E1212=0,F1212=0),D1212*G1212,IF(AND(E1212=0),D1212*F1212*G1212,IF(AND(F1212=0),D1212*E1212*G1212,IF(AND(G1212=0),D1212*E1212*F1212,D1212*E1212*F1212*G1212))))))</f>
        <v>0.42000000000000004</v>
      </c>
      <c r="I1212" s="40"/>
      <c r="J1212" s="41"/>
    </row>
    <row r="1213" spans="2:10" s="1" customFormat="1" ht="12.75" x14ac:dyDescent="0.2">
      <c r="B1213" s="46"/>
      <c r="C1213" s="43" t="s">
        <v>228</v>
      </c>
      <c r="D1213" s="60"/>
      <c r="E1213" s="40"/>
      <c r="F1213" s="40"/>
      <c r="G1213" s="40"/>
      <c r="H1213" s="40"/>
      <c r="I1213" s="40"/>
      <c r="J1213" s="41"/>
    </row>
    <row r="1214" spans="2:10" s="1" customFormat="1" ht="12.75" x14ac:dyDescent="0.2">
      <c r="B1214" s="46"/>
      <c r="C1214" s="39" t="s">
        <v>504</v>
      </c>
      <c r="F1214" s="40" t="s">
        <v>786</v>
      </c>
      <c r="G1214" s="40">
        <v>8</v>
      </c>
      <c r="I1214" s="40"/>
      <c r="J1214" s="41"/>
    </row>
    <row r="1215" spans="2:10" s="1" customFormat="1" ht="12.75" x14ac:dyDescent="0.2">
      <c r="B1215" s="46"/>
      <c r="C1215" s="39" t="s">
        <v>784</v>
      </c>
      <c r="D1215" s="60">
        <v>1.25</v>
      </c>
      <c r="E1215" s="40">
        <f>+E1197</f>
        <v>13.4</v>
      </c>
      <c r="F1215" s="40" t="s">
        <v>785</v>
      </c>
      <c r="G1215" s="40">
        <f>+PI()*((G1214*0.0254)^2)/4</f>
        <v>3.2429278662239852E-2</v>
      </c>
      <c r="H1215" s="40">
        <f>+D1215*E1215*G1215</f>
        <v>0.54319041759251752</v>
      </c>
      <c r="I1215" s="40"/>
      <c r="J1215" s="41"/>
    </row>
    <row r="1216" spans="2:10" s="1" customFormat="1" ht="12.75" x14ac:dyDescent="0.2">
      <c r="B1216" s="25" t="s">
        <v>901</v>
      </c>
      <c r="C1216" s="28" t="s">
        <v>624</v>
      </c>
      <c r="D1216" s="60"/>
      <c r="E1216" s="40"/>
      <c r="F1216" s="40"/>
      <c r="G1216" s="40"/>
      <c r="H1216" s="40"/>
      <c r="I1216" s="40">
        <f>+I1211</f>
        <v>0.96319041759251756</v>
      </c>
      <c r="J1216" s="41" t="s">
        <v>4</v>
      </c>
    </row>
    <row r="1217" spans="2:10" s="1" customFormat="1" ht="12.75" x14ac:dyDescent="0.2">
      <c r="B1217" s="46"/>
      <c r="C1217" s="39"/>
      <c r="D1217" s="8"/>
      <c r="E1217" s="86"/>
      <c r="F1217" s="40"/>
      <c r="G1217" s="40"/>
      <c r="H1217" s="40"/>
      <c r="I1217" s="40"/>
      <c r="J1217" s="41"/>
    </row>
    <row r="1218" spans="2:10" x14ac:dyDescent="0.25">
      <c r="B1218" s="73" t="s">
        <v>829</v>
      </c>
      <c r="C1218" s="74" t="s">
        <v>626</v>
      </c>
      <c r="D1218" s="23"/>
      <c r="E1218" s="23"/>
      <c r="F1218" s="23"/>
      <c r="G1218" s="23"/>
      <c r="H1218" s="24"/>
      <c r="I1218" s="25"/>
      <c r="J1218" s="26"/>
    </row>
    <row r="1219" spans="2:10" s="1" customFormat="1" ht="12.75" x14ac:dyDescent="0.2">
      <c r="B1219" s="43" t="s">
        <v>830</v>
      </c>
      <c r="C1219" s="25" t="s">
        <v>627</v>
      </c>
      <c r="D1219" s="60"/>
      <c r="E1219" s="40"/>
      <c r="F1219" s="40"/>
      <c r="G1219" s="40"/>
      <c r="H1219" s="40"/>
      <c r="I1219" s="44">
        <f>+SUM(H1220:H1220)</f>
        <v>0</v>
      </c>
      <c r="J1219" s="45" t="s">
        <v>45</v>
      </c>
    </row>
    <row r="1220" spans="2:10" s="1" customFormat="1" ht="12.75" x14ac:dyDescent="0.2">
      <c r="B1220" s="25"/>
      <c r="C1220" s="39"/>
      <c r="D1220" s="40"/>
      <c r="E1220" s="40"/>
      <c r="F1220" s="40"/>
      <c r="G1220" s="40"/>
      <c r="H1220" s="40">
        <f>IF(AND(F1220=0,G1220=0),D1220*E1220,IF(AND(E1220=0,G1220=0),D1220*F1220,IF(AND(E1220=0,F1220=0),D1220*G1220,IF(AND(E1220=0),D1220*F1220*G1220,IF(AND(F1220=0),D1220*E1220*G1220,IF(AND(G1220=0),D1220*E1220*F1220,D1220*E1220*F1220*G1220))))))</f>
        <v>0</v>
      </c>
      <c r="I1220" s="40"/>
      <c r="J1220" s="41"/>
    </row>
    <row r="1221" spans="2:10" s="1" customFormat="1" ht="12.75" x14ac:dyDescent="0.2">
      <c r="B1221" s="43" t="s">
        <v>831</v>
      </c>
      <c r="C1221" s="25" t="s">
        <v>680</v>
      </c>
      <c r="D1221" s="60"/>
      <c r="E1221" s="40"/>
      <c r="F1221" s="40"/>
      <c r="G1221" s="40"/>
      <c r="H1221" s="40"/>
      <c r="I1221" s="44">
        <f>+SUM(H1222:H1222)</f>
        <v>0.48</v>
      </c>
      <c r="J1221" s="45" t="s">
        <v>45</v>
      </c>
    </row>
    <row r="1222" spans="2:10" s="1" customFormat="1" ht="12.75" x14ac:dyDescent="0.2">
      <c r="B1222" s="57"/>
      <c r="C1222" s="39" t="s">
        <v>373</v>
      </c>
      <c r="D1222" s="40">
        <v>1</v>
      </c>
      <c r="E1222" s="40">
        <v>0.6</v>
      </c>
      <c r="F1222" s="40">
        <v>0.8</v>
      </c>
      <c r="G1222" s="40"/>
      <c r="H1222" s="40">
        <f>IF(AND(F1222=0,G1222=0),D1222*E1222,IF(AND(E1222=0,G1222=0),D1222*F1222,IF(AND(E1222=0,F1222=0),D1222*G1222,IF(AND(E1222=0),D1222*F1222*G1222,IF(AND(F1222=0),D1222*E1222*G1222,IF(AND(G1222=0),D1222*E1222*F1222,D1222*E1222*F1222*G1222))))))</f>
        <v>0.48</v>
      </c>
      <c r="I1222" s="40"/>
      <c r="J1222" s="41"/>
    </row>
    <row r="1223" spans="2:10" s="1" customFormat="1" ht="12.75" x14ac:dyDescent="0.2">
      <c r="B1223" s="70"/>
      <c r="C1223" s="39"/>
      <c r="D1223" s="60"/>
      <c r="E1223" s="40"/>
      <c r="F1223" s="40"/>
      <c r="G1223" s="40"/>
      <c r="H1223" s="40"/>
      <c r="I1223" s="40"/>
      <c r="J1223" s="41"/>
    </row>
    <row r="1224" spans="2:10" s="1" customFormat="1" ht="12.75" x14ac:dyDescent="0.2">
      <c r="B1224" s="57" t="s">
        <v>838</v>
      </c>
      <c r="C1224" s="58" t="s">
        <v>224</v>
      </c>
      <c r="D1224" s="60"/>
      <c r="E1224" s="40"/>
      <c r="F1224" s="40"/>
      <c r="G1224" s="40"/>
      <c r="H1224" s="40"/>
      <c r="I1224" s="40"/>
      <c r="J1224" s="41"/>
    </row>
    <row r="1225" spans="2:10" s="1" customFormat="1" ht="12.75" x14ac:dyDescent="0.2">
      <c r="B1225" s="43" t="s">
        <v>849</v>
      </c>
      <c r="C1225" s="25" t="s">
        <v>902</v>
      </c>
      <c r="D1225" s="60"/>
      <c r="E1225" s="40"/>
      <c r="F1225" s="40"/>
      <c r="G1225" s="40"/>
      <c r="H1225" s="40"/>
      <c r="I1225" s="44">
        <f>SUM(H1226:H1226)</f>
        <v>0</v>
      </c>
      <c r="J1225" s="45" t="str">
        <f>+J1226</f>
        <v>ml</v>
      </c>
    </row>
    <row r="1226" spans="2:10" s="1" customFormat="1" ht="12.75" x14ac:dyDescent="0.2">
      <c r="B1226" s="413"/>
      <c r="C1226" s="39" t="s">
        <v>504</v>
      </c>
      <c r="D1226" s="40"/>
      <c r="E1226" s="40"/>
      <c r="F1226" s="40"/>
      <c r="G1226" s="40"/>
      <c r="H1226" s="40">
        <f>IF(AND(F1226=0,G1226=0),D1226*E1226,IF(AND(E1226=0,G1226=0),D1226*F1226,IF(AND(E1226=0,F1226=0),D1226*G1226,IF(AND(E1226=0),D1226*F1226*G1226,IF(AND(F1226=0),D1226*E1226*G1226,IF(AND(G1226=0),D1226*E1226*F1226,D1226*E1226*F1226*G1226))))))</f>
        <v>0</v>
      </c>
      <c r="I1226" s="40"/>
      <c r="J1226" s="41" t="str">
        <f>IF(AND(E1226=0,F1226&lt;&gt;0,G1226&lt;&gt;0),"m2",IF(AND(F1226=0,E1226&lt;&gt;0,G1226&lt;&gt;0),"m2",IF(AND(G1226=0,E1226&lt;&gt;0,F1226&lt;&gt;0),"m2",IF(AND(F1226=0,G1226=0),"ml",IF(AND(E1226=0,G1226=0),"ml",IF(AND(E1226=0,F1226=0),"ml",IF(AND(E1226&lt;&gt;0,F1226&lt;&gt;0,G1226&lt;&gt;0),"m3",0)))))))</f>
        <v>ml</v>
      </c>
    </row>
    <row r="1227" spans="2:10" s="1" customFormat="1" ht="12.75" x14ac:dyDescent="0.2">
      <c r="B1227" s="43" t="s">
        <v>854</v>
      </c>
      <c r="C1227" s="43" t="s">
        <v>695</v>
      </c>
      <c r="D1227" s="60"/>
      <c r="E1227" s="40"/>
      <c r="F1227" s="40"/>
      <c r="G1227" s="40"/>
      <c r="H1227" s="40"/>
      <c r="I1227" s="44">
        <f>SUM(H1228)</f>
        <v>1</v>
      </c>
      <c r="J1227" s="45" t="s">
        <v>13</v>
      </c>
    </row>
    <row r="1228" spans="2:10" s="1" customFormat="1" ht="12.75" x14ac:dyDescent="0.2">
      <c r="B1228" s="413"/>
      <c r="C1228" s="39" t="s">
        <v>373</v>
      </c>
      <c r="D1228" s="40">
        <v>1</v>
      </c>
      <c r="E1228" s="40"/>
      <c r="F1228" s="40"/>
      <c r="G1228" s="40"/>
      <c r="H1228" s="40">
        <f t="shared" ref="H1228" si="76">+D1228</f>
        <v>1</v>
      </c>
      <c r="I1228" s="40"/>
      <c r="J1228" s="41"/>
    </row>
    <row r="1229" spans="2:10" s="1" customFormat="1" ht="12.75" x14ac:dyDescent="0.2">
      <c r="B1229" s="46"/>
      <c r="C1229" s="59"/>
      <c r="D1229" s="60"/>
      <c r="E1229" s="40"/>
      <c r="F1229" s="40"/>
      <c r="G1229" s="40"/>
      <c r="H1229" s="40"/>
      <c r="I1229" s="40"/>
      <c r="J1229" s="41"/>
    </row>
    <row r="1230" spans="2:10" s="1" customFormat="1" ht="12.75" x14ac:dyDescent="0.2">
      <c r="B1230" s="25" t="s">
        <v>859</v>
      </c>
      <c r="C1230" s="28" t="s">
        <v>735</v>
      </c>
      <c r="D1230" s="60"/>
      <c r="E1230" s="40"/>
      <c r="F1230" s="40"/>
      <c r="G1230" s="40"/>
      <c r="H1230" s="40"/>
      <c r="I1230" s="40">
        <f>+SUM(H1231:H1232)</f>
        <v>1.54</v>
      </c>
      <c r="J1230" s="41" t="s">
        <v>45</v>
      </c>
    </row>
    <row r="1231" spans="2:10" s="1" customFormat="1" ht="12.75" x14ac:dyDescent="0.2">
      <c r="B1231" s="25"/>
      <c r="C1231" s="39" t="s">
        <v>373</v>
      </c>
      <c r="D1231" s="40">
        <v>1</v>
      </c>
      <c r="E1231" s="40">
        <f>0.4*2+0.6*2</f>
        <v>2</v>
      </c>
      <c r="F1231" s="40"/>
      <c r="G1231" s="40">
        <f>0.5+0.15</f>
        <v>0.65</v>
      </c>
      <c r="H1231" s="40">
        <f t="shared" ref="H1231:H1232" si="77">IF(AND(F1231=0,G1231=0),D1231*E1231,IF(AND(E1231=0,G1231=0),D1231*F1231,IF(AND(E1231=0,F1231=0),D1231*G1231,IF(AND(E1231=0),D1231*F1231*G1231,IF(AND(F1231=0),D1231*E1231*G1231,IF(AND(G1231=0),D1231*E1231*F1231,D1231*E1231*F1231*G1231))))))</f>
        <v>1.3</v>
      </c>
      <c r="I1231" s="40"/>
      <c r="J1231" s="41"/>
    </row>
    <row r="1232" spans="2:10" s="1" customFormat="1" ht="12.75" x14ac:dyDescent="0.2">
      <c r="B1232" s="25"/>
      <c r="C1232" s="59"/>
      <c r="D1232" s="60">
        <v>1</v>
      </c>
      <c r="E1232" s="40">
        <v>0.4</v>
      </c>
      <c r="F1232" s="40"/>
      <c r="G1232" s="40">
        <v>0.6</v>
      </c>
      <c r="H1232" s="40">
        <f t="shared" si="77"/>
        <v>0.24</v>
      </c>
      <c r="I1232" s="40"/>
      <c r="J1232" s="41"/>
    </row>
    <row r="1233" spans="2:10" s="1" customFormat="1" ht="12.75" x14ac:dyDescent="0.2">
      <c r="B1233" s="57"/>
      <c r="C1233" s="39"/>
      <c r="D1233" s="60"/>
      <c r="E1233" s="40"/>
      <c r="F1233" s="40"/>
      <c r="G1233" s="40"/>
      <c r="H1233" s="40"/>
      <c r="I1233" s="40"/>
      <c r="J1233" s="41"/>
    </row>
    <row r="1234" spans="2:10" s="1" customFormat="1" ht="12.75" x14ac:dyDescent="0.2">
      <c r="B1234" s="57" t="s">
        <v>876</v>
      </c>
      <c r="C1234" s="58" t="s">
        <v>223</v>
      </c>
      <c r="D1234" s="60"/>
      <c r="E1234" s="40"/>
      <c r="F1234" s="40"/>
      <c r="G1234" s="40"/>
      <c r="H1234" s="40"/>
      <c r="I1234" s="40"/>
      <c r="J1234" s="41"/>
    </row>
    <row r="1235" spans="2:10" s="1" customFormat="1" ht="12.75" x14ac:dyDescent="0.2">
      <c r="B1235" s="43" t="s">
        <v>877</v>
      </c>
      <c r="C1235" s="43" t="s">
        <v>657</v>
      </c>
      <c r="D1235" s="60"/>
      <c r="E1235" s="40"/>
      <c r="F1235" s="40"/>
      <c r="G1235" s="40"/>
      <c r="H1235" s="40"/>
      <c r="I1235" s="44">
        <f>+SUM(H1236:H1237)</f>
        <v>7</v>
      </c>
      <c r="J1235" s="45" t="s">
        <v>13</v>
      </c>
    </row>
    <row r="1236" spans="2:10" s="1" customFormat="1" ht="12.75" x14ac:dyDescent="0.2">
      <c r="B1236" s="46"/>
      <c r="C1236" s="59" t="s">
        <v>658</v>
      </c>
      <c r="D1236" s="60">
        <v>5</v>
      </c>
      <c r="E1236" s="40"/>
      <c r="F1236" s="40"/>
      <c r="G1236" s="40"/>
      <c r="H1236" s="40">
        <f t="shared" ref="H1236" si="78">+D1236</f>
        <v>5</v>
      </c>
      <c r="I1236" s="40"/>
      <c r="J1236" s="41"/>
    </row>
    <row r="1237" spans="2:10" s="1" customFormat="1" ht="12.75" x14ac:dyDescent="0.2">
      <c r="B1237" s="46"/>
      <c r="C1237" s="39" t="s">
        <v>456</v>
      </c>
      <c r="D1237" s="60">
        <v>2</v>
      </c>
      <c r="E1237" s="40"/>
      <c r="F1237" s="40"/>
      <c r="G1237" s="40"/>
      <c r="H1237" s="40">
        <f t="shared" ref="H1237" si="79">+D1237</f>
        <v>2</v>
      </c>
      <c r="I1237" s="40"/>
      <c r="J1237" s="41"/>
    </row>
    <row r="1238" spans="2:10" s="1" customFormat="1" ht="12.75" x14ac:dyDescent="0.2">
      <c r="B1238" s="43" t="s">
        <v>879</v>
      </c>
      <c r="C1238" s="43" t="s">
        <v>903</v>
      </c>
      <c r="D1238" s="60"/>
      <c r="E1238" s="40"/>
      <c r="F1238" s="40"/>
      <c r="G1238" s="40"/>
      <c r="H1238" s="40"/>
      <c r="I1238" s="44">
        <f>+SUM(H1239:H1239)</f>
        <v>2</v>
      </c>
      <c r="J1238" s="45" t="s">
        <v>13</v>
      </c>
    </row>
    <row r="1239" spans="2:10" s="1" customFormat="1" ht="12.75" x14ac:dyDescent="0.2">
      <c r="B1239" s="46"/>
      <c r="C1239" s="59" t="s">
        <v>658</v>
      </c>
      <c r="D1239" s="60">
        <v>2</v>
      </c>
      <c r="E1239" s="40">
        <v>1</v>
      </c>
      <c r="F1239" s="40"/>
      <c r="G1239" s="40"/>
      <c r="H1239" s="40">
        <f t="shared" ref="H1239" si="80">+D1239</f>
        <v>2</v>
      </c>
      <c r="I1239" s="40"/>
      <c r="J1239" s="41"/>
    </row>
    <row r="1240" spans="2:10" s="1" customFormat="1" ht="12.75" x14ac:dyDescent="0.2">
      <c r="B1240" s="43" t="s">
        <v>882</v>
      </c>
      <c r="C1240" s="43" t="s">
        <v>505</v>
      </c>
      <c r="D1240" s="60"/>
      <c r="E1240" s="40"/>
      <c r="F1240" s="40"/>
      <c r="G1240" s="40"/>
      <c r="H1240" s="40"/>
      <c r="I1240" s="44">
        <f>+SUM(H1241:H1241)</f>
        <v>4</v>
      </c>
      <c r="J1240" s="45" t="s">
        <v>13</v>
      </c>
    </row>
    <row r="1241" spans="2:10" s="1" customFormat="1" ht="12.75" x14ac:dyDescent="0.2">
      <c r="B1241" s="46"/>
      <c r="C1241" s="39" t="s">
        <v>504</v>
      </c>
      <c r="D1241" s="60">
        <v>4</v>
      </c>
      <c r="E1241" s="40"/>
      <c r="F1241" s="40"/>
      <c r="G1241" s="40"/>
      <c r="H1241" s="40">
        <f>+D1241</f>
        <v>4</v>
      </c>
      <c r="I1241" s="40"/>
      <c r="J1241" s="41"/>
    </row>
    <row r="1242" spans="2:10" s="1" customFormat="1" ht="12.75" x14ac:dyDescent="0.2">
      <c r="B1242" s="46"/>
      <c r="C1242" s="59"/>
      <c r="D1242" s="60"/>
      <c r="E1242" s="40"/>
      <c r="F1242" s="40"/>
      <c r="G1242" s="40"/>
      <c r="H1242" s="40"/>
      <c r="I1242" s="40"/>
      <c r="J1242" s="41"/>
    </row>
    <row r="1243" spans="2:10" s="1" customFormat="1" ht="12.75" x14ac:dyDescent="0.2">
      <c r="B1243" s="46"/>
      <c r="C1243" s="59"/>
      <c r="D1243" s="60"/>
      <c r="E1243" s="40"/>
      <c r="F1243" s="40"/>
      <c r="G1243" s="40"/>
      <c r="H1243" s="40"/>
      <c r="I1243" s="40"/>
      <c r="J1243" s="41"/>
    </row>
    <row r="1244" spans="2:10" s="1" customFormat="1" ht="12.75" x14ac:dyDescent="0.2">
      <c r="B1244" s="46"/>
      <c r="C1244" s="59"/>
      <c r="D1244" s="60"/>
      <c r="E1244" s="40"/>
      <c r="F1244" s="40"/>
      <c r="G1244" s="40"/>
      <c r="H1244" s="40"/>
      <c r="I1244" s="40"/>
      <c r="J1244" s="41"/>
    </row>
    <row r="1245" spans="2:10" s="1" customFormat="1" ht="12.75" x14ac:dyDescent="0.2">
      <c r="B1245" s="46"/>
      <c r="C1245" s="59"/>
      <c r="D1245" s="60"/>
      <c r="E1245" s="40"/>
      <c r="F1245" s="40"/>
      <c r="G1245" s="40"/>
      <c r="H1245" s="40"/>
      <c r="I1245" s="40"/>
      <c r="J1245" s="41"/>
    </row>
    <row r="1246" spans="2:10" s="1" customFormat="1" ht="12.75" x14ac:dyDescent="0.2">
      <c r="B1246" s="46"/>
      <c r="C1246" s="59"/>
      <c r="D1246" s="60"/>
      <c r="E1246" s="40"/>
      <c r="F1246" s="40"/>
      <c r="G1246" s="40"/>
      <c r="H1246" s="40"/>
      <c r="I1246" s="40"/>
      <c r="J1246" s="41"/>
    </row>
    <row r="1247" spans="2:10" s="1" customFormat="1" ht="12.75" x14ac:dyDescent="0.2">
      <c r="B1247" s="46"/>
      <c r="C1247" s="59"/>
      <c r="D1247" s="60"/>
      <c r="E1247" s="40"/>
      <c r="F1247" s="40"/>
      <c r="G1247" s="40"/>
      <c r="H1247" s="40"/>
      <c r="I1247" s="40"/>
      <c r="J1247" s="41"/>
    </row>
    <row r="1248" spans="2:10" s="1" customFormat="1" ht="12.75" x14ac:dyDescent="0.2">
      <c r="B1248" s="46"/>
      <c r="C1248" s="59"/>
      <c r="D1248" s="60"/>
      <c r="E1248" s="40"/>
      <c r="F1248" s="40"/>
      <c r="G1248" s="40"/>
      <c r="H1248" s="40"/>
      <c r="I1248" s="40"/>
      <c r="J1248" s="41"/>
    </row>
    <row r="1249" spans="2:10" s="1" customFormat="1" ht="12.75" x14ac:dyDescent="0.2">
      <c r="B1249" s="46"/>
      <c r="C1249" s="59"/>
      <c r="D1249" s="60"/>
      <c r="E1249" s="40"/>
      <c r="F1249" s="40"/>
      <c r="G1249" s="40"/>
      <c r="H1249" s="40"/>
      <c r="I1249" s="40"/>
      <c r="J1249" s="41"/>
    </row>
    <row r="1250" spans="2:10" s="1" customFormat="1" ht="12.75" x14ac:dyDescent="0.2">
      <c r="B1250" s="46"/>
      <c r="C1250" s="59"/>
      <c r="D1250" s="60"/>
      <c r="E1250" s="40"/>
      <c r="F1250" s="40"/>
      <c r="G1250" s="40"/>
      <c r="H1250" s="40"/>
      <c r="I1250" s="40"/>
      <c r="J1250" s="41"/>
    </row>
    <row r="1251" spans="2:10" s="1" customFormat="1" ht="12.75" x14ac:dyDescent="0.2">
      <c r="B1251" s="46"/>
      <c r="C1251" s="59"/>
      <c r="D1251" s="60"/>
      <c r="E1251" s="40"/>
      <c r="F1251" s="40"/>
      <c r="G1251" s="40"/>
      <c r="H1251" s="40"/>
      <c r="I1251" s="40"/>
      <c r="J1251" s="41"/>
    </row>
    <row r="1252" spans="2:10" s="1" customFormat="1" ht="12.75" x14ac:dyDescent="0.2">
      <c r="C1252" s="400" t="s">
        <v>37</v>
      </c>
      <c r="D1252" s="400"/>
      <c r="E1252" s="400"/>
      <c r="F1252" s="400"/>
      <c r="G1252" s="400"/>
      <c r="H1252" s="400"/>
    </row>
    <row r="1253" spans="2:10" s="1" customFormat="1" ht="12.75" x14ac:dyDescent="0.2">
      <c r="C1253" s="400" t="s">
        <v>38</v>
      </c>
      <c r="D1253" s="400"/>
      <c r="E1253" s="400"/>
      <c r="F1253" s="400"/>
      <c r="G1253" s="400"/>
      <c r="H1253" s="400"/>
    </row>
    <row r="1254" spans="2:10" s="1" customFormat="1" ht="12.75" x14ac:dyDescent="0.2">
      <c r="C1254" s="400" t="s">
        <v>39</v>
      </c>
      <c r="D1254" s="400"/>
      <c r="E1254" s="400"/>
      <c r="F1254" s="400"/>
      <c r="G1254" s="400"/>
      <c r="H1254" s="400"/>
    </row>
    <row r="1255" spans="2:10" s="1" customFormat="1" ht="12.75" x14ac:dyDescent="0.2">
      <c r="C1255" s="401" t="s">
        <v>40</v>
      </c>
      <c r="D1255" s="401"/>
      <c r="E1255" s="401"/>
      <c r="F1255" s="401"/>
      <c r="G1255" s="401"/>
      <c r="H1255" s="401"/>
    </row>
    <row r="1256" spans="2:10" s="1" customFormat="1" ht="33" customHeight="1" x14ac:dyDescent="0.2">
      <c r="C1256" s="401"/>
      <c r="D1256" s="401"/>
      <c r="E1256" s="401"/>
      <c r="F1256" s="401"/>
      <c r="G1256" s="401"/>
      <c r="H1256" s="401"/>
    </row>
    <row r="1257" spans="2:10" s="1" customFormat="1" ht="15.75" x14ac:dyDescent="0.2">
      <c r="B1257" s="402" t="s">
        <v>65</v>
      </c>
      <c r="C1257" s="403"/>
      <c r="D1257" s="403"/>
      <c r="E1257" s="403"/>
      <c r="F1257" s="403"/>
      <c r="G1257" s="403"/>
      <c r="H1257" s="403"/>
      <c r="I1257" s="403"/>
      <c r="J1257" s="404"/>
    </row>
    <row r="1258" spans="2:10" s="1" customFormat="1" ht="20.25" x14ac:dyDescent="0.2">
      <c r="B1258" s="406" t="s">
        <v>424</v>
      </c>
      <c r="C1258" s="407"/>
      <c r="D1258" s="407"/>
      <c r="E1258" s="407"/>
      <c r="F1258" s="407"/>
      <c r="G1258" s="407"/>
      <c r="H1258" s="407"/>
      <c r="I1258" s="407"/>
      <c r="J1258" s="408"/>
    </row>
    <row r="1259" spans="2:10" s="1" customFormat="1" ht="13.5" thickBot="1" x14ac:dyDescent="0.25">
      <c r="B1259" s="405"/>
      <c r="C1259" s="405"/>
      <c r="D1259" s="405"/>
      <c r="E1259" s="405"/>
      <c r="F1259" s="405"/>
      <c r="G1259" s="405"/>
      <c r="H1259" s="405"/>
      <c r="I1259" s="405"/>
      <c r="J1259" s="405"/>
    </row>
    <row r="1260" spans="2:10" s="1" customFormat="1" ht="24.75" customHeight="1" x14ac:dyDescent="0.2">
      <c r="B1260" s="494" t="s">
        <v>27</v>
      </c>
      <c r="C1260" s="495"/>
      <c r="D1260" s="495"/>
      <c r="E1260" s="495"/>
      <c r="F1260" s="495"/>
      <c r="G1260" s="495"/>
      <c r="H1260" s="495"/>
      <c r="I1260" s="495"/>
      <c r="J1260" s="496"/>
    </row>
    <row r="1261" spans="2:10" s="1" customFormat="1" ht="12.75" x14ac:dyDescent="0.2">
      <c r="B1261" s="2" t="s">
        <v>35</v>
      </c>
      <c r="C1261" s="3" t="s">
        <v>36</v>
      </c>
      <c r="D1261" s="3"/>
      <c r="E1261" s="4"/>
      <c r="F1261" s="5"/>
      <c r="G1261" s="6" t="s">
        <v>8</v>
      </c>
      <c r="H1261" s="497">
        <v>42879</v>
      </c>
      <c r="I1261" s="497"/>
      <c r="J1261" s="7"/>
    </row>
    <row r="1262" spans="2:10" s="1" customFormat="1" ht="12.75" x14ac:dyDescent="0.2">
      <c r="B1262" s="2" t="s">
        <v>33</v>
      </c>
      <c r="C1262" s="3" t="s">
        <v>29</v>
      </c>
      <c r="D1262" s="8"/>
      <c r="E1262" s="8"/>
      <c r="F1262" s="3"/>
      <c r="G1262" s="9" t="s">
        <v>32</v>
      </c>
      <c r="H1262" s="4" t="s">
        <v>29</v>
      </c>
      <c r="I1262" s="10"/>
      <c r="J1262" s="11"/>
    </row>
    <row r="1263" spans="2:10" s="1" customFormat="1" ht="12.75" x14ac:dyDescent="0.2">
      <c r="B1263" s="2" t="s">
        <v>34</v>
      </c>
      <c r="C1263" s="3" t="s">
        <v>29</v>
      </c>
      <c r="D1263" s="8"/>
      <c r="E1263" s="8"/>
      <c r="F1263" s="3"/>
      <c r="G1263" s="9" t="s">
        <v>30</v>
      </c>
      <c r="H1263" s="4" t="s">
        <v>31</v>
      </c>
      <c r="I1263" s="10"/>
      <c r="J1263" s="11"/>
    </row>
    <row r="1264" spans="2:10" s="1" customFormat="1" ht="13.5" thickBot="1" x14ac:dyDescent="0.25">
      <c r="B1264" s="12" t="s">
        <v>43</v>
      </c>
      <c r="C1264" s="13" t="s">
        <v>44</v>
      </c>
      <c r="D1264" s="14"/>
      <c r="E1264" s="14"/>
      <c r="F1264" s="13"/>
      <c r="G1264" s="15" t="s">
        <v>41</v>
      </c>
      <c r="H1264" s="16" t="s">
        <v>42</v>
      </c>
      <c r="I1264" s="17"/>
      <c r="J1264" s="18"/>
    </row>
    <row r="1265" spans="2:10" s="1" customFormat="1" ht="12.75" x14ac:dyDescent="0.2">
      <c r="B1265" s="405"/>
      <c r="C1265" s="405"/>
      <c r="D1265" s="405"/>
      <c r="E1265" s="405"/>
      <c r="F1265" s="405"/>
      <c r="G1265" s="405"/>
      <c r="H1265" s="405"/>
      <c r="I1265" s="405"/>
      <c r="J1265" s="405"/>
    </row>
    <row r="1266" spans="2:10" s="1" customFormat="1" ht="12.75" x14ac:dyDescent="0.2">
      <c r="B1266" s="21" t="s">
        <v>5</v>
      </c>
      <c r="C1266" s="22" t="s">
        <v>0</v>
      </c>
      <c r="D1266" s="22" t="s">
        <v>9</v>
      </c>
      <c r="E1266" s="22" t="s">
        <v>10</v>
      </c>
      <c r="F1266" s="22" t="s">
        <v>1</v>
      </c>
      <c r="G1266" s="22" t="s">
        <v>2</v>
      </c>
      <c r="H1266" s="22" t="s">
        <v>11</v>
      </c>
      <c r="I1266" s="22" t="s">
        <v>6</v>
      </c>
      <c r="J1266" s="22" t="s">
        <v>7</v>
      </c>
    </row>
    <row r="1267" spans="2:10" s="1" customFormat="1" ht="12.75" x14ac:dyDescent="0.2">
      <c r="B1267" s="55">
        <v>4.03</v>
      </c>
      <c r="C1267" s="56" t="s">
        <v>222</v>
      </c>
      <c r="D1267" s="60"/>
      <c r="E1267" s="40"/>
      <c r="F1267" s="40"/>
      <c r="G1267" s="40"/>
      <c r="H1267" s="40"/>
      <c r="I1267" s="40"/>
      <c r="J1267" s="41"/>
    </row>
    <row r="1268" spans="2:10" s="1" customFormat="1" ht="12.75" x14ac:dyDescent="0.2">
      <c r="B1268" s="73" t="s">
        <v>14</v>
      </c>
      <c r="C1268" s="73" t="s">
        <v>615</v>
      </c>
      <c r="D1268" s="60"/>
      <c r="E1268" s="40"/>
      <c r="F1268" s="40"/>
      <c r="G1268" s="40"/>
      <c r="H1268" s="40"/>
      <c r="I1268" s="40"/>
      <c r="J1268" s="41"/>
    </row>
    <row r="1269" spans="2:10" s="1" customFormat="1" ht="12.75" x14ac:dyDescent="0.2">
      <c r="B1269" s="25" t="s">
        <v>15</v>
      </c>
      <c r="C1269" s="28" t="s">
        <v>616</v>
      </c>
      <c r="D1269" s="60"/>
      <c r="E1269" s="40"/>
      <c r="F1269" s="40"/>
      <c r="G1269" s="40"/>
      <c r="H1269" s="40"/>
      <c r="I1269" s="40">
        <f>+SUM(H1270:H1271)</f>
        <v>10.130000000000001</v>
      </c>
      <c r="J1269" s="41" t="s">
        <v>45</v>
      </c>
    </row>
    <row r="1270" spans="2:10" s="1" customFormat="1" ht="12.75" x14ac:dyDescent="0.2">
      <c r="B1270" s="46"/>
      <c r="C1270" s="39" t="s">
        <v>724</v>
      </c>
      <c r="D1270" s="60">
        <v>1</v>
      </c>
      <c r="E1270" s="40">
        <v>19.3</v>
      </c>
      <c r="F1270" s="40">
        <v>0.5</v>
      </c>
      <c r="G1270" s="40"/>
      <c r="H1270" s="40">
        <f t="shared" ref="H1270:H1271" si="81">IF(AND(F1270=0,G1270=0),D1270*E1270,IF(AND(E1270=0,G1270=0),D1270*F1270,IF(AND(E1270=0,F1270=0),D1270*G1270,IF(AND(E1270=0),D1270*F1270*G1270,IF(AND(F1270=0),D1270*E1270*G1270,IF(AND(G1270=0),D1270*E1270*F1270,D1270*E1270*F1270*G1270))))))</f>
        <v>9.65</v>
      </c>
      <c r="I1270" s="40"/>
      <c r="J1270" s="41"/>
    </row>
    <row r="1271" spans="2:10" s="1" customFormat="1" ht="12.75" x14ac:dyDescent="0.2">
      <c r="B1271" s="46"/>
      <c r="C1271" s="39" t="s">
        <v>383</v>
      </c>
      <c r="D1271" s="40">
        <v>1</v>
      </c>
      <c r="E1271" s="40">
        <v>0.6</v>
      </c>
      <c r="F1271" s="40">
        <v>0.8</v>
      </c>
      <c r="G1271" s="40"/>
      <c r="H1271" s="40">
        <f t="shared" si="81"/>
        <v>0.48</v>
      </c>
      <c r="I1271" s="40"/>
      <c r="J1271" s="41"/>
    </row>
    <row r="1272" spans="2:10" x14ac:dyDescent="0.25">
      <c r="B1272" s="25" t="s">
        <v>232</v>
      </c>
      <c r="C1272" s="28" t="s">
        <v>617</v>
      </c>
      <c r="D1272" s="23"/>
      <c r="E1272" s="23"/>
      <c r="F1272" s="23"/>
      <c r="G1272" s="23"/>
      <c r="H1272" s="24"/>
      <c r="I1272" s="25">
        <f>+I1269</f>
        <v>10.130000000000001</v>
      </c>
      <c r="J1272" s="26" t="s">
        <v>45</v>
      </c>
    </row>
    <row r="1273" spans="2:10" s="1" customFormat="1" ht="12.75" x14ac:dyDescent="0.2">
      <c r="B1273" s="46"/>
      <c r="C1273" s="59"/>
      <c r="D1273" s="60"/>
      <c r="E1273" s="40"/>
      <c r="F1273" s="40"/>
      <c r="G1273" s="40"/>
      <c r="H1273" s="40"/>
      <c r="I1273" s="40"/>
      <c r="J1273" s="41"/>
    </row>
    <row r="1274" spans="2:10" x14ac:dyDescent="0.25">
      <c r="B1274" s="73" t="s">
        <v>25</v>
      </c>
      <c r="C1274" s="73" t="s">
        <v>614</v>
      </c>
      <c r="D1274" s="23"/>
      <c r="E1274" s="23"/>
      <c r="F1274" s="23"/>
      <c r="G1274" s="23"/>
      <c r="H1274" s="24"/>
      <c r="I1274" s="25"/>
      <c r="J1274" s="26"/>
    </row>
    <row r="1275" spans="2:10" s="1" customFormat="1" ht="15.75" customHeight="1" x14ac:dyDescent="0.2">
      <c r="B1275" s="25" t="s">
        <v>26</v>
      </c>
      <c r="C1275" s="1" t="s">
        <v>622</v>
      </c>
      <c r="D1275" s="60"/>
      <c r="E1275" s="40"/>
      <c r="F1275" s="40"/>
      <c r="G1275" s="40"/>
      <c r="H1275" s="24"/>
      <c r="I1275" s="25">
        <f>+SUM(H1276)</f>
        <v>5.7900000000000009</v>
      </c>
      <c r="J1275" s="26" t="s">
        <v>4</v>
      </c>
    </row>
    <row r="1276" spans="2:10" s="1" customFormat="1" ht="12.75" x14ac:dyDescent="0.2">
      <c r="B1276" s="25"/>
      <c r="C1276" s="1" t="s">
        <v>436</v>
      </c>
      <c r="D1276" s="60">
        <v>1</v>
      </c>
      <c r="E1276" s="40">
        <v>19.3</v>
      </c>
      <c r="F1276" s="40">
        <v>0.5</v>
      </c>
      <c r="G1276" s="40">
        <f>0.4+0.2</f>
        <v>0.60000000000000009</v>
      </c>
      <c r="H1276" s="40">
        <f>IF(AND(F1276=0,G1276=0),D1276*E1276,IF(AND(E1276=0,G1276=0),D1276*F1276,IF(AND(E1276=0,F1276=0),D1276*G1276,IF(AND(E1276=0),D1276*F1276*G1276,IF(AND(F1276=0),D1276*E1276*G1276,IF(AND(G1276=0),D1276*E1276*F1276,D1276*E1276*F1276*G1276))))))</f>
        <v>5.7900000000000009</v>
      </c>
      <c r="I1276" s="40"/>
      <c r="J1276" s="41"/>
    </row>
    <row r="1277" spans="2:10" s="1" customFormat="1" ht="12.75" x14ac:dyDescent="0.2">
      <c r="B1277" s="25"/>
      <c r="D1277" s="60"/>
      <c r="E1277" s="40"/>
      <c r="F1277" s="40"/>
      <c r="G1277" s="40"/>
      <c r="H1277" s="40"/>
      <c r="I1277" s="40"/>
      <c r="J1277" s="41"/>
    </row>
    <row r="1278" spans="2:10" s="1" customFormat="1" ht="12.75" x14ac:dyDescent="0.2">
      <c r="B1278" s="25" t="s">
        <v>654</v>
      </c>
      <c r="C1278" s="1" t="s">
        <v>623</v>
      </c>
      <c r="D1278" s="60"/>
      <c r="E1278" s="40"/>
      <c r="F1278" s="40"/>
      <c r="G1278" s="40"/>
      <c r="H1278" s="24"/>
      <c r="I1278" s="25">
        <f>+SUM(H1279)</f>
        <v>0.28800000000000003</v>
      </c>
      <c r="J1278" s="26" t="s">
        <v>4</v>
      </c>
    </row>
    <row r="1279" spans="2:10" s="1" customFormat="1" ht="12.75" x14ac:dyDescent="0.2">
      <c r="B1279" s="413"/>
      <c r="C1279" s="39" t="s">
        <v>383</v>
      </c>
      <c r="D1279" s="40">
        <v>1</v>
      </c>
      <c r="E1279" s="40">
        <v>0.6</v>
      </c>
      <c r="F1279" s="40">
        <v>0.8</v>
      </c>
      <c r="G1279" s="40">
        <f>0.4+0.2</f>
        <v>0.60000000000000009</v>
      </c>
      <c r="H1279" s="40">
        <f>IF(AND(F1279=0,G1279=0),D1279*E1279,IF(AND(E1279=0,G1279=0),D1279*F1279,IF(AND(E1279=0,F1279=0),D1279*G1279,IF(AND(E1279=0),D1279*F1279*G1279,IF(AND(F1279=0),D1279*E1279*G1279,IF(AND(G1279=0),D1279*E1279*F1279,D1279*E1279*F1279*G1279))))))</f>
        <v>0.28800000000000003</v>
      </c>
      <c r="I1279" s="40"/>
      <c r="J1279" s="41"/>
    </row>
    <row r="1280" spans="2:10" s="1" customFormat="1" ht="12.75" x14ac:dyDescent="0.2">
      <c r="B1280" s="25" t="s">
        <v>822</v>
      </c>
      <c r="C1280" s="1" t="s">
        <v>738</v>
      </c>
      <c r="D1280" s="60"/>
      <c r="E1280" s="40"/>
      <c r="F1280" s="40"/>
      <c r="G1280" s="40"/>
      <c r="H1280" s="40"/>
      <c r="I1280" s="40">
        <f>+SUM(H1281)</f>
        <v>0</v>
      </c>
      <c r="J1280" s="41" t="s">
        <v>4</v>
      </c>
    </row>
    <row r="1281" spans="2:10" s="1" customFormat="1" ht="12.75" x14ac:dyDescent="0.2">
      <c r="B1281" s="46"/>
      <c r="C1281" s="39"/>
      <c r="E1281" s="40"/>
      <c r="F1281" s="40"/>
      <c r="G1281" s="40"/>
      <c r="H1281" s="40">
        <f>IF(AND(F1281=0,G1281=0),D1281*E1281,IF(AND(E1281=0,G1281=0),D1281*F1281,IF(AND(E1281=0,F1281=0),D1281*G1281,IF(AND(E1281=0),D1281*F1281*G1281,IF(AND(F1281=0),D1281*E1281*G1281,IF(AND(G1281=0),D1281*E1281*F1281,D1281*E1281*F1281*G1281))))))</f>
        <v>0</v>
      </c>
      <c r="I1281" s="40"/>
      <c r="J1281" s="41"/>
    </row>
    <row r="1282" spans="2:10" x14ac:dyDescent="0.25">
      <c r="B1282" s="25" t="s">
        <v>820</v>
      </c>
      <c r="C1282" s="414" t="s">
        <v>779</v>
      </c>
      <c r="D1282" s="23"/>
      <c r="E1282" s="23"/>
      <c r="F1282" s="23"/>
      <c r="G1282" s="23"/>
      <c r="I1282" s="24">
        <f>+SUM(H1283:H1284)</f>
        <v>10.130000000000001</v>
      </c>
      <c r="J1282" s="26" t="s">
        <v>45</v>
      </c>
    </row>
    <row r="1283" spans="2:10" x14ac:dyDescent="0.25">
      <c r="B1283" s="25"/>
      <c r="C1283" s="39" t="s">
        <v>383</v>
      </c>
      <c r="D1283" s="40">
        <v>1</v>
      </c>
      <c r="E1283" s="40">
        <v>0.6</v>
      </c>
      <c r="F1283" s="40">
        <v>0.8</v>
      </c>
      <c r="G1283" s="40"/>
      <c r="H1283" s="40">
        <f>IF(AND(F1283=0,G1283=0),D1283*E1283,IF(AND(E1283=0,G1283=0),D1283*F1283,IF(AND(E1283=0,F1283=0),D1283*G1283,IF(AND(E1283=0),D1283*F1283*G1283,IF(AND(F1283=0),D1283*E1283*G1283,IF(AND(G1283=0),D1283*E1283*F1283,D1283*E1283*F1283*G1283))))))</f>
        <v>0.48</v>
      </c>
      <c r="I1283" s="25"/>
      <c r="J1283" s="26"/>
    </row>
    <row r="1284" spans="2:10" x14ac:dyDescent="0.25">
      <c r="B1284" s="25"/>
      <c r="C1284" s="39" t="s">
        <v>436</v>
      </c>
      <c r="D1284" s="60">
        <v>1</v>
      </c>
      <c r="E1284" s="40">
        <v>19.3</v>
      </c>
      <c r="F1284" s="40">
        <v>0.5</v>
      </c>
      <c r="G1284" s="40"/>
      <c r="H1284" s="40">
        <f>IF(AND(F1284=0,G1284=0),D1284*E1284,IF(AND(E1284=0,G1284=0),D1284*F1284,IF(AND(E1284=0,F1284=0),D1284*G1284,IF(AND(E1284=0),D1284*F1284*G1284,IF(AND(F1284=0),D1284*E1284*G1284,IF(AND(G1284=0),D1284*E1284*F1284,D1284*E1284*F1284*G1284))))))</f>
        <v>9.65</v>
      </c>
      <c r="I1284" s="25"/>
      <c r="J1284" s="26"/>
    </row>
    <row r="1285" spans="2:10" s="1" customFormat="1" ht="12.75" x14ac:dyDescent="0.2">
      <c r="B1285" s="25" t="s">
        <v>823</v>
      </c>
      <c r="C1285" s="28" t="s">
        <v>719</v>
      </c>
      <c r="D1285" s="60"/>
      <c r="E1285" s="40"/>
      <c r="F1285" s="40"/>
      <c r="G1285" s="40"/>
      <c r="H1285" s="40"/>
      <c r="I1285" s="40">
        <f>+SUM(H1286)</f>
        <v>28.950000000000003</v>
      </c>
      <c r="J1285" s="41" t="s">
        <v>45</v>
      </c>
    </row>
    <row r="1286" spans="2:10" s="1" customFormat="1" ht="12.75" x14ac:dyDescent="0.2">
      <c r="B1286" s="46"/>
      <c r="C1286" s="39" t="s">
        <v>436</v>
      </c>
      <c r="D1286" s="60">
        <v>1</v>
      </c>
      <c r="E1286" s="40">
        <v>19.3</v>
      </c>
      <c r="F1286" s="40">
        <v>0.5</v>
      </c>
      <c r="G1286" s="40">
        <f>0.4+0.1</f>
        <v>0.5</v>
      </c>
      <c r="H1286" s="40">
        <f>+(F1286+G1286*2)*E1286</f>
        <v>28.950000000000003</v>
      </c>
      <c r="I1286" s="40"/>
      <c r="J1286" s="41"/>
    </row>
    <row r="1287" spans="2:10" s="1" customFormat="1" ht="12.75" x14ac:dyDescent="0.2">
      <c r="B1287" s="25" t="s">
        <v>825</v>
      </c>
      <c r="C1287" s="28" t="s">
        <v>794</v>
      </c>
      <c r="D1287" s="60"/>
      <c r="E1287" s="40"/>
      <c r="F1287" s="40" t="s">
        <v>795</v>
      </c>
      <c r="G1287" s="40"/>
      <c r="H1287" s="40"/>
      <c r="I1287" s="40">
        <f>+SUM(H1288:H1291)</f>
        <v>112.58630927835051</v>
      </c>
      <c r="J1287" s="41" t="s">
        <v>12</v>
      </c>
    </row>
    <row r="1288" spans="2:10" s="1" customFormat="1" ht="12.75" x14ac:dyDescent="0.2">
      <c r="B1288" s="380"/>
      <c r="C1288" s="39" t="s">
        <v>465</v>
      </c>
      <c r="D1288" s="60">
        <v>5</v>
      </c>
      <c r="E1288" s="40">
        <f>9.78+0.55</f>
        <v>10.33</v>
      </c>
      <c r="F1288" s="40">
        <f>8.2/5</f>
        <v>1.64</v>
      </c>
      <c r="G1288" s="40"/>
      <c r="H1288" s="40">
        <f>IF(AND(F1288=0,G1288=0),D1288*E1288,IF(AND(E1288=0,G1288=0),D1288*F1288,IF(AND(E1288=0,F1288=0),D1288*G1288,IF(AND(E1288=0),D1288*F1288*G1288,IF(AND(F1288=0),D1288*E1288*G1288,IF(AND(G1288=0),D1288*E1288*F1288,D1288*E1288*F1288*G1288))))))</f>
        <v>84.705999999999989</v>
      </c>
      <c r="I1288" s="40"/>
      <c r="J1288" s="41"/>
    </row>
    <row r="1289" spans="2:10" s="1" customFormat="1" ht="12.75" x14ac:dyDescent="0.2">
      <c r="B1289" s="380"/>
      <c r="C1289" s="43" t="s">
        <v>228</v>
      </c>
      <c r="D1289" s="60"/>
      <c r="E1289" s="40"/>
      <c r="F1289" s="40"/>
      <c r="G1289" s="40"/>
      <c r="H1289" s="40"/>
      <c r="I1289" s="40"/>
      <c r="J1289" s="41"/>
    </row>
    <row r="1290" spans="2:10" s="1" customFormat="1" ht="12.75" x14ac:dyDescent="0.2">
      <c r="B1290" s="380"/>
      <c r="C1290" s="39" t="s">
        <v>558</v>
      </c>
      <c r="D1290" s="40">
        <v>1</v>
      </c>
      <c r="E1290" s="40">
        <v>3.7</v>
      </c>
      <c r="F1290" s="40">
        <f>27.69/5.82</f>
        <v>4.7577319587628866</v>
      </c>
      <c r="G1290" s="40"/>
      <c r="H1290" s="40">
        <f t="shared" ref="H1290:H1291" si="82">IF(AND(F1290=0,G1290=0),D1290*E1290,IF(AND(E1290=0,G1290=0),D1290*F1290,IF(AND(E1290=0,F1290=0),D1290*G1290,IF(AND(E1290=0),D1290*F1290*G1290,IF(AND(F1290=0),D1290*E1290*G1290,IF(AND(G1290=0),D1290*E1290*F1290,D1290*E1290*F1290*G1290))))))</f>
        <v>17.603608247422681</v>
      </c>
      <c r="I1290" s="40"/>
      <c r="J1290" s="41"/>
    </row>
    <row r="1291" spans="2:10" s="1" customFormat="1" ht="12.75" x14ac:dyDescent="0.2">
      <c r="B1291" s="380"/>
      <c r="C1291" s="39" t="s">
        <v>557</v>
      </c>
      <c r="D1291" s="60">
        <v>1</v>
      </c>
      <c r="E1291" s="40">
        <f>0.96+1.2</f>
        <v>2.16</v>
      </c>
      <c r="F1291" s="40">
        <f>27.69/5.82</f>
        <v>4.7577319587628866</v>
      </c>
      <c r="G1291" s="40"/>
      <c r="H1291" s="40">
        <f t="shared" si="82"/>
        <v>10.276701030927835</v>
      </c>
      <c r="I1291" s="40"/>
      <c r="J1291" s="41"/>
    </row>
    <row r="1292" spans="2:10" s="1" customFormat="1" ht="12.75" x14ac:dyDescent="0.2">
      <c r="B1292" s="25" t="s">
        <v>899</v>
      </c>
      <c r="C1292" s="28" t="s">
        <v>625</v>
      </c>
      <c r="D1292" s="60"/>
      <c r="E1292" s="40"/>
      <c r="F1292" s="40"/>
      <c r="G1292" s="40"/>
      <c r="H1292" s="40"/>
      <c r="I1292" s="40">
        <f>+SUM(H1293:H1296)</f>
        <v>2.6290000000000004</v>
      </c>
      <c r="J1292" s="41" t="s">
        <v>4</v>
      </c>
    </row>
    <row r="1293" spans="2:10" s="1" customFormat="1" ht="12.75" x14ac:dyDescent="0.2">
      <c r="B1293" s="46"/>
      <c r="C1293" s="39" t="s">
        <v>730</v>
      </c>
      <c r="D1293" s="60">
        <v>2</v>
      </c>
      <c r="E1293" s="40">
        <v>19.3</v>
      </c>
      <c r="F1293" s="40">
        <v>0.1</v>
      </c>
      <c r="G1293" s="40">
        <v>0.4</v>
      </c>
      <c r="H1293" s="40">
        <f t="shared" ref="H1293:H1296" si="83">IF(AND(F1293=0,G1293=0),D1293*E1293,IF(AND(E1293=0,G1293=0),D1293*F1293,IF(AND(E1293=0,F1293=0),D1293*G1293,IF(AND(E1293=0),D1293*F1293*G1293,IF(AND(F1293=0),D1293*E1293*G1293,IF(AND(G1293=0),D1293*E1293*F1293,D1293*E1293*F1293*G1293))))))</f>
        <v>1.5440000000000003</v>
      </c>
      <c r="I1293" s="40"/>
      <c r="J1293" s="41"/>
    </row>
    <row r="1294" spans="2:10" s="1" customFormat="1" ht="12.75" x14ac:dyDescent="0.2">
      <c r="B1294" s="46"/>
      <c r="C1294" s="39"/>
      <c r="D1294" s="60">
        <v>1</v>
      </c>
      <c r="E1294" s="40">
        <v>19.3</v>
      </c>
      <c r="F1294" s="40">
        <v>0.5</v>
      </c>
      <c r="G1294" s="40">
        <v>0.1</v>
      </c>
      <c r="H1294" s="40">
        <f t="shared" si="83"/>
        <v>0.96500000000000008</v>
      </c>
      <c r="I1294" s="40"/>
      <c r="J1294" s="41"/>
    </row>
    <row r="1295" spans="2:10" s="1" customFormat="1" ht="12.75" x14ac:dyDescent="0.2">
      <c r="B1295" s="46"/>
      <c r="C1295" s="39" t="s">
        <v>383</v>
      </c>
      <c r="D1295" s="40">
        <v>2</v>
      </c>
      <c r="E1295" s="40">
        <v>0.8</v>
      </c>
      <c r="F1295" s="40">
        <v>0.1</v>
      </c>
      <c r="G1295" s="40">
        <v>0.5</v>
      </c>
      <c r="H1295" s="40">
        <f t="shared" si="83"/>
        <v>8.0000000000000016E-2</v>
      </c>
      <c r="I1295" s="40"/>
      <c r="J1295" s="41"/>
    </row>
    <row r="1296" spans="2:10" s="1" customFormat="1" ht="12.75" x14ac:dyDescent="0.2">
      <c r="B1296" s="46"/>
      <c r="C1296" s="59"/>
      <c r="D1296" s="60">
        <v>2</v>
      </c>
      <c r="E1296" s="40">
        <v>0.4</v>
      </c>
      <c r="F1296" s="40">
        <v>0.1</v>
      </c>
      <c r="G1296" s="40">
        <v>0.5</v>
      </c>
      <c r="H1296" s="40">
        <f t="shared" si="83"/>
        <v>4.0000000000000008E-2</v>
      </c>
      <c r="I1296" s="40"/>
      <c r="J1296" s="41"/>
    </row>
    <row r="1297" spans="2:10" s="1" customFormat="1" ht="12.75" x14ac:dyDescent="0.2">
      <c r="B1297" s="25" t="s">
        <v>900</v>
      </c>
      <c r="C1297" s="28" t="s">
        <v>789</v>
      </c>
      <c r="D1297" s="60" t="s">
        <v>791</v>
      </c>
      <c r="E1297" s="40"/>
      <c r="F1297" s="40"/>
      <c r="G1297" s="40"/>
      <c r="H1297" s="40"/>
      <c r="I1297" s="40">
        <f>+SUM(H1298:H1299)</f>
        <v>7.597500000000001</v>
      </c>
      <c r="J1297" s="41" t="s">
        <v>4</v>
      </c>
    </row>
    <row r="1298" spans="2:10" s="1" customFormat="1" ht="12.75" x14ac:dyDescent="0.2">
      <c r="B1298" s="25"/>
      <c r="C1298" s="39" t="s">
        <v>383</v>
      </c>
      <c r="D1298" s="40">
        <v>1.25</v>
      </c>
      <c r="E1298" s="40">
        <v>0.6</v>
      </c>
      <c r="F1298" s="40">
        <v>0.8</v>
      </c>
      <c r="G1298" s="40">
        <f>0.4+0.2</f>
        <v>0.60000000000000009</v>
      </c>
      <c r="H1298" s="40">
        <f>IF(AND(F1298=0,G1298=0),D1298*E1298,IF(AND(E1298=0,G1298=0),D1298*F1298,IF(AND(E1298=0,F1298=0),D1298*G1298,IF(AND(E1298=0),D1298*F1298*G1298,IF(AND(F1298=0),D1298*E1298*G1298,IF(AND(G1298=0),D1298*E1298*F1298,D1298*E1298*F1298*G1298))))))</f>
        <v>0.3600000000000001</v>
      </c>
      <c r="I1298" s="40"/>
      <c r="J1298" s="41"/>
    </row>
    <row r="1299" spans="2:10" s="1" customFormat="1" ht="12.75" x14ac:dyDescent="0.2">
      <c r="B1299" s="46"/>
      <c r="C1299" s="39" t="s">
        <v>730</v>
      </c>
      <c r="D1299" s="60">
        <v>1.25</v>
      </c>
      <c r="E1299" s="40">
        <v>19.3</v>
      </c>
      <c r="F1299" s="40">
        <v>0.5</v>
      </c>
      <c r="G1299" s="40">
        <f>0.4+0.2</f>
        <v>0.60000000000000009</v>
      </c>
      <c r="H1299" s="40">
        <f>IF(AND(F1299=0,G1299=0),D1299*E1299,IF(AND(E1299=0,G1299=0),D1299*F1299,IF(AND(E1299=0,F1299=0),D1299*G1299,IF(AND(E1299=0),D1299*F1299*G1299,IF(AND(F1299=0),D1299*E1299*G1299,IF(AND(G1299=0),D1299*E1299*F1299,D1299*E1299*F1299*G1299))))))</f>
        <v>7.2375000000000007</v>
      </c>
      <c r="I1299" s="40"/>
      <c r="J1299" s="41"/>
    </row>
    <row r="1300" spans="2:10" s="1" customFormat="1" ht="12.75" x14ac:dyDescent="0.2">
      <c r="B1300" s="25" t="s">
        <v>901</v>
      </c>
      <c r="C1300" s="28" t="s">
        <v>624</v>
      </c>
      <c r="D1300" s="60"/>
      <c r="E1300" s="40"/>
      <c r="F1300" s="40"/>
      <c r="G1300" s="40"/>
      <c r="H1300" s="40"/>
      <c r="I1300" s="40">
        <f>+I1297</f>
        <v>7.597500000000001</v>
      </c>
      <c r="J1300" s="41" t="s">
        <v>4</v>
      </c>
    </row>
    <row r="1301" spans="2:10" s="1" customFormat="1" ht="12.75" x14ac:dyDescent="0.2">
      <c r="B1301" s="46"/>
      <c r="C1301" s="39"/>
      <c r="D1301" s="8"/>
      <c r="E1301" s="86"/>
      <c r="F1301" s="40"/>
      <c r="G1301" s="40"/>
      <c r="H1301" s="40"/>
      <c r="I1301" s="40"/>
      <c r="J1301" s="41"/>
    </row>
    <row r="1302" spans="2:10" x14ac:dyDescent="0.25">
      <c r="B1302" s="73" t="s">
        <v>829</v>
      </c>
      <c r="C1302" s="74" t="s">
        <v>626</v>
      </c>
      <c r="D1302" s="23"/>
      <c r="E1302" s="23"/>
      <c r="F1302" s="23"/>
      <c r="G1302" s="23"/>
      <c r="H1302" s="24"/>
      <c r="I1302" s="25"/>
      <c r="J1302" s="26"/>
    </row>
    <row r="1303" spans="2:10" s="1" customFormat="1" ht="12.75" x14ac:dyDescent="0.2">
      <c r="B1303" s="43" t="s">
        <v>830</v>
      </c>
      <c r="C1303" s="25" t="s">
        <v>627</v>
      </c>
      <c r="D1303" s="60"/>
      <c r="E1303" s="40"/>
      <c r="F1303" s="40"/>
      <c r="G1303" s="40"/>
      <c r="H1303" s="40"/>
      <c r="I1303" s="44">
        <f>+SUM(H1304:H1304)</f>
        <v>9.65</v>
      </c>
      <c r="J1303" s="45" t="s">
        <v>45</v>
      </c>
    </row>
    <row r="1304" spans="2:10" s="1" customFormat="1" ht="12.75" x14ac:dyDescent="0.2">
      <c r="B1304" s="25"/>
      <c r="C1304" s="1" t="s">
        <v>436</v>
      </c>
      <c r="D1304" s="60">
        <v>1</v>
      </c>
      <c r="E1304" s="40">
        <v>19.3</v>
      </c>
      <c r="F1304" s="40">
        <v>0.5</v>
      </c>
      <c r="G1304" s="40"/>
      <c r="H1304" s="40">
        <f>IF(AND(F1304=0,G1304=0),D1304*E1304,IF(AND(E1304=0,G1304=0),D1304*F1304,IF(AND(E1304=0,F1304=0),D1304*G1304,IF(AND(E1304=0),D1304*F1304*G1304,IF(AND(F1304=0),D1304*E1304*G1304,IF(AND(G1304=0),D1304*E1304*F1304,D1304*E1304*F1304*G1304))))))</f>
        <v>9.65</v>
      </c>
      <c r="I1304" s="40"/>
      <c r="J1304" s="41"/>
    </row>
    <row r="1305" spans="2:10" s="1" customFormat="1" ht="12.75" x14ac:dyDescent="0.2">
      <c r="B1305" s="43" t="s">
        <v>831</v>
      </c>
      <c r="C1305" s="25" t="s">
        <v>680</v>
      </c>
      <c r="D1305" s="60"/>
      <c r="E1305" s="40"/>
      <c r="F1305" s="40"/>
      <c r="G1305" s="40"/>
      <c r="H1305" s="40"/>
      <c r="I1305" s="44">
        <f>+SUM(H1306:H1306)</f>
        <v>0.48</v>
      </c>
      <c r="J1305" s="45" t="s">
        <v>45</v>
      </c>
    </row>
    <row r="1306" spans="2:10" s="1" customFormat="1" ht="12.75" x14ac:dyDescent="0.2">
      <c r="B1306" s="413"/>
      <c r="C1306" s="39" t="s">
        <v>383</v>
      </c>
      <c r="D1306" s="40">
        <v>1</v>
      </c>
      <c r="E1306" s="40">
        <v>0.6</v>
      </c>
      <c r="F1306" s="40">
        <v>0.8</v>
      </c>
      <c r="G1306" s="40"/>
      <c r="H1306" s="40">
        <f>IF(AND(F1306=0,G1306=0),D1306*E1306,IF(AND(E1306=0,G1306=0),D1306*F1306,IF(AND(E1306=0,F1306=0),D1306*G1306,IF(AND(E1306=0),D1306*F1306*G1306,IF(AND(F1306=0),D1306*E1306*G1306,IF(AND(G1306=0),D1306*E1306*F1306,D1306*E1306*F1306*G1306))))))</f>
        <v>0.48</v>
      </c>
      <c r="I1306" s="40"/>
      <c r="J1306" s="41"/>
    </row>
    <row r="1307" spans="2:10" s="1" customFormat="1" ht="12.75" x14ac:dyDescent="0.2">
      <c r="B1307" s="70"/>
      <c r="C1307" s="39"/>
      <c r="D1307" s="60"/>
      <c r="E1307" s="40"/>
      <c r="F1307" s="40"/>
      <c r="G1307" s="40"/>
      <c r="H1307" s="40"/>
      <c r="I1307" s="40"/>
      <c r="J1307" s="41"/>
    </row>
    <row r="1308" spans="2:10" s="1" customFormat="1" ht="12.75" x14ac:dyDescent="0.2">
      <c r="B1308" s="57" t="s">
        <v>838</v>
      </c>
      <c r="C1308" s="58" t="s">
        <v>224</v>
      </c>
      <c r="D1308" s="60"/>
      <c r="E1308" s="40"/>
      <c r="F1308" s="40"/>
      <c r="G1308" s="40"/>
      <c r="H1308" s="40"/>
      <c r="I1308" s="40"/>
      <c r="J1308" s="41"/>
    </row>
    <row r="1309" spans="2:10" s="414" customFormat="1" ht="12.75" x14ac:dyDescent="0.2">
      <c r="B1309" s="43" t="s">
        <v>854</v>
      </c>
      <c r="C1309" s="43" t="s">
        <v>695</v>
      </c>
      <c r="D1309" s="60"/>
      <c r="E1309" s="40"/>
      <c r="F1309" s="40"/>
      <c r="G1309" s="40"/>
      <c r="H1309" s="40"/>
      <c r="I1309" s="44">
        <f>SUM(H1310)</f>
        <v>1</v>
      </c>
      <c r="J1309" s="45" t="s">
        <v>13</v>
      </c>
    </row>
    <row r="1310" spans="2:10" s="414" customFormat="1" ht="12.75" x14ac:dyDescent="0.2">
      <c r="B1310" s="413"/>
      <c r="C1310" s="39" t="s">
        <v>383</v>
      </c>
      <c r="D1310" s="40">
        <v>1</v>
      </c>
      <c r="E1310" s="40"/>
      <c r="F1310" s="40"/>
      <c r="G1310" s="40"/>
      <c r="H1310" s="40">
        <f t="shared" ref="H1310" si="84">+D1310</f>
        <v>1</v>
      </c>
      <c r="I1310" s="40"/>
      <c r="J1310" s="41"/>
    </row>
    <row r="1311" spans="2:10" s="414" customFormat="1" ht="12.75" x14ac:dyDescent="0.2">
      <c r="B1311" s="46"/>
      <c r="C1311" s="59"/>
      <c r="D1311" s="60"/>
      <c r="E1311" s="40"/>
      <c r="F1311" s="40"/>
      <c r="G1311" s="40"/>
      <c r="H1311" s="40"/>
      <c r="I1311" s="40"/>
      <c r="J1311" s="41"/>
    </row>
    <row r="1312" spans="2:10" s="414" customFormat="1" ht="12.75" x14ac:dyDescent="0.2">
      <c r="B1312" s="25" t="s">
        <v>859</v>
      </c>
      <c r="C1312" s="28" t="s">
        <v>735</v>
      </c>
      <c r="D1312" s="60"/>
      <c r="E1312" s="40"/>
      <c r="F1312" s="40"/>
      <c r="G1312" s="40"/>
      <c r="H1312" s="40"/>
      <c r="I1312" s="40">
        <f>+SUM(H1313:H1315)</f>
        <v>1.34</v>
      </c>
      <c r="J1312" s="41" t="s">
        <v>45</v>
      </c>
    </row>
    <row r="1313" spans="2:10" s="414" customFormat="1" ht="12.75" x14ac:dyDescent="0.2">
      <c r="B1313" s="25"/>
      <c r="C1313" s="39" t="s">
        <v>383</v>
      </c>
      <c r="D1313" s="40">
        <v>1</v>
      </c>
      <c r="E1313" s="40">
        <v>2</v>
      </c>
      <c r="F1313" s="40"/>
      <c r="G1313" s="40">
        <f>0.4+0.15</f>
        <v>0.55000000000000004</v>
      </c>
      <c r="H1313" s="40">
        <f t="shared" ref="H1313:H1314" si="85">IF(AND(F1313=0,G1313=0),D1313*E1313,IF(AND(E1313=0,G1313=0),D1313*F1313,IF(AND(E1313=0,F1313=0),D1313*G1313,IF(AND(E1313=0),D1313*F1313*G1313,IF(AND(F1313=0),D1313*E1313*G1313,IF(AND(G1313=0),D1313*E1313*F1313,D1313*E1313*F1313*G1313))))))</f>
        <v>1.1000000000000001</v>
      </c>
      <c r="I1313" s="40"/>
      <c r="J1313" s="41"/>
    </row>
    <row r="1314" spans="2:10" s="414" customFormat="1" ht="12.75" x14ac:dyDescent="0.2">
      <c r="B1314" s="25"/>
      <c r="C1314" s="59"/>
      <c r="D1314" s="60">
        <v>1</v>
      </c>
      <c r="E1314" s="40">
        <v>0.4</v>
      </c>
      <c r="F1314" s="40"/>
      <c r="G1314" s="40">
        <v>0.6</v>
      </c>
      <c r="H1314" s="40">
        <f t="shared" si="85"/>
        <v>0.24</v>
      </c>
      <c r="I1314" s="40"/>
      <c r="J1314" s="41"/>
    </row>
    <row r="1315" spans="2:10" s="414" customFormat="1" ht="12.75" x14ac:dyDescent="0.2">
      <c r="B1315" s="25"/>
      <c r="C1315" s="59"/>
      <c r="D1315" s="60"/>
      <c r="E1315" s="40"/>
      <c r="F1315" s="40"/>
      <c r="G1315" s="40"/>
      <c r="H1315" s="40"/>
      <c r="I1315" s="40"/>
      <c r="J1315" s="41"/>
    </row>
    <row r="1316" spans="2:10" s="414" customFormat="1" ht="12.75" x14ac:dyDescent="0.2">
      <c r="B1316" s="25" t="s">
        <v>860</v>
      </c>
      <c r="C1316" s="28" t="s">
        <v>736</v>
      </c>
      <c r="D1316" s="60"/>
      <c r="E1316" s="40"/>
      <c r="F1316" s="40"/>
      <c r="G1316" s="40"/>
      <c r="H1316" s="40"/>
      <c r="I1316" s="40">
        <f>+SUM(H1317:H1318)</f>
        <v>27.020000000000003</v>
      </c>
      <c r="J1316" s="41" t="s">
        <v>45</v>
      </c>
    </row>
    <row r="1317" spans="2:10" s="414" customFormat="1" ht="12.75" x14ac:dyDescent="0.2">
      <c r="B1317" s="46"/>
      <c r="C1317" s="39" t="s">
        <v>730</v>
      </c>
      <c r="D1317" s="60">
        <v>2</v>
      </c>
      <c r="E1317" s="40">
        <v>19.3</v>
      </c>
      <c r="F1317" s="40"/>
      <c r="G1317" s="40">
        <f>0.4+0.15</f>
        <v>0.55000000000000004</v>
      </c>
      <c r="H1317" s="40">
        <f t="shared" ref="H1317:H1318" si="86">IF(AND(F1317=0,G1317=0),D1317*E1317,IF(AND(E1317=0,G1317=0),D1317*F1317,IF(AND(E1317=0,F1317=0),D1317*G1317,IF(AND(E1317=0),D1317*F1317*G1317,IF(AND(F1317=0),D1317*E1317*G1317,IF(AND(G1317=0),D1317*E1317*F1317,D1317*E1317*F1317*G1317))))))</f>
        <v>21.230000000000004</v>
      </c>
      <c r="I1317" s="40"/>
      <c r="J1317" s="41"/>
    </row>
    <row r="1318" spans="2:10" s="414" customFormat="1" ht="12.75" x14ac:dyDescent="0.2">
      <c r="B1318" s="46"/>
      <c r="C1318" s="39"/>
      <c r="D1318" s="60">
        <v>1</v>
      </c>
      <c r="E1318" s="40">
        <v>19.3</v>
      </c>
      <c r="F1318" s="40"/>
      <c r="G1318" s="40">
        <v>0.3</v>
      </c>
      <c r="H1318" s="40">
        <f t="shared" si="86"/>
        <v>5.79</v>
      </c>
      <c r="I1318" s="40"/>
      <c r="J1318" s="41"/>
    </row>
    <row r="1319" spans="2:10" s="1" customFormat="1" ht="12.75" x14ac:dyDescent="0.2">
      <c r="B1319" s="57" t="s">
        <v>876</v>
      </c>
      <c r="C1319" s="58" t="s">
        <v>223</v>
      </c>
      <c r="D1319" s="60"/>
      <c r="E1319" s="40"/>
      <c r="F1319" s="40"/>
      <c r="G1319" s="40"/>
      <c r="H1319" s="40"/>
      <c r="I1319" s="40"/>
      <c r="J1319" s="41"/>
    </row>
    <row r="1320" spans="2:10" s="1" customFormat="1" ht="12.75" x14ac:dyDescent="0.2">
      <c r="B1320" s="43" t="s">
        <v>877</v>
      </c>
      <c r="C1320" s="412" t="s">
        <v>657</v>
      </c>
      <c r="D1320" s="60"/>
      <c r="E1320" s="40"/>
      <c r="F1320" s="40"/>
      <c r="G1320" s="40"/>
      <c r="H1320" s="40"/>
      <c r="I1320" s="44">
        <f>+SUM(H1321:H1321)</f>
        <v>2</v>
      </c>
      <c r="J1320" s="45" t="s">
        <v>13</v>
      </c>
    </row>
    <row r="1321" spans="2:10" s="1" customFormat="1" ht="12.75" x14ac:dyDescent="0.2">
      <c r="B1321" s="46"/>
      <c r="C1321" s="39" t="s">
        <v>456</v>
      </c>
      <c r="D1321" s="60">
        <v>2</v>
      </c>
      <c r="E1321" s="40"/>
      <c r="F1321" s="40"/>
      <c r="G1321" s="40"/>
      <c r="H1321" s="40">
        <f t="shared" ref="H1321" si="87">+D1321</f>
        <v>2</v>
      </c>
      <c r="I1321" s="40"/>
      <c r="J1321" s="41"/>
    </row>
    <row r="1322" spans="2:10" s="1" customFormat="1" ht="12.75" x14ac:dyDescent="0.2">
      <c r="B1322" s="43" t="s">
        <v>884</v>
      </c>
      <c r="C1322" s="43" t="s">
        <v>559</v>
      </c>
      <c r="D1322" s="60"/>
      <c r="E1322" s="40"/>
      <c r="F1322" s="40"/>
      <c r="G1322" s="40"/>
      <c r="H1322" s="40"/>
      <c r="I1322" s="44">
        <f>+SUM(H1323:H1324)</f>
        <v>2</v>
      </c>
      <c r="J1322" s="45" t="s">
        <v>13</v>
      </c>
    </row>
    <row r="1323" spans="2:10" s="1" customFormat="1" ht="12.75" x14ac:dyDescent="0.2">
      <c r="B1323" s="46"/>
      <c r="C1323" s="39" t="s">
        <v>558</v>
      </c>
      <c r="D1323" s="60">
        <v>1</v>
      </c>
      <c r="E1323" s="40"/>
      <c r="F1323" s="40"/>
      <c r="G1323" s="40"/>
      <c r="H1323" s="40">
        <f>+D1323</f>
        <v>1</v>
      </c>
      <c r="I1323" s="40"/>
      <c r="J1323" s="41"/>
    </row>
    <row r="1324" spans="2:10" s="1" customFormat="1" ht="12.75" x14ac:dyDescent="0.2">
      <c r="B1324" s="46"/>
      <c r="C1324" s="39" t="s">
        <v>557</v>
      </c>
      <c r="D1324" s="60">
        <v>1</v>
      </c>
      <c r="E1324" s="40"/>
      <c r="F1324" s="40"/>
      <c r="G1324" s="40"/>
      <c r="H1324" s="40">
        <f>+D1324</f>
        <v>1</v>
      </c>
      <c r="I1324" s="40"/>
      <c r="J1324" s="41"/>
    </row>
    <row r="1325" spans="2:10" s="1" customFormat="1" ht="12.75" x14ac:dyDescent="0.2">
      <c r="B1325" s="46"/>
      <c r="C1325" s="59"/>
      <c r="D1325" s="60"/>
      <c r="E1325" s="40"/>
      <c r="F1325" s="40"/>
      <c r="G1325" s="40"/>
      <c r="H1325" s="40"/>
      <c r="I1325" s="40"/>
      <c r="J1325" s="41"/>
    </row>
    <row r="1326" spans="2:10" s="1" customFormat="1" ht="12.75" x14ac:dyDescent="0.2">
      <c r="B1326" s="46"/>
      <c r="C1326" s="59"/>
      <c r="D1326" s="60"/>
      <c r="E1326" s="40"/>
      <c r="F1326" s="40"/>
      <c r="G1326" s="40"/>
      <c r="H1326" s="40"/>
      <c r="I1326" s="40"/>
      <c r="J1326" s="41"/>
    </row>
    <row r="1327" spans="2:10" s="1" customFormat="1" ht="12.75" x14ac:dyDescent="0.2">
      <c r="B1327" s="46"/>
      <c r="C1327" s="59"/>
      <c r="D1327" s="60"/>
      <c r="E1327" s="40"/>
      <c r="F1327" s="40"/>
      <c r="G1327" s="40"/>
      <c r="H1327" s="40"/>
      <c r="I1327" s="40"/>
      <c r="J1327" s="41"/>
    </row>
    <row r="1328" spans="2:10" s="1" customFormat="1" ht="12.75" x14ac:dyDescent="0.2">
      <c r="B1328" s="46"/>
      <c r="C1328" s="59"/>
      <c r="D1328" s="60"/>
      <c r="E1328" s="40"/>
      <c r="F1328" s="40"/>
      <c r="G1328" s="40"/>
      <c r="H1328" s="40"/>
      <c r="I1328" s="40"/>
      <c r="J1328" s="41"/>
    </row>
    <row r="1329" spans="2:10" s="1" customFormat="1" ht="12.75" x14ac:dyDescent="0.2">
      <c r="B1329" s="46"/>
      <c r="C1329" s="59"/>
      <c r="D1329" s="60"/>
      <c r="E1329" s="40"/>
      <c r="F1329" s="40"/>
      <c r="G1329" s="40"/>
      <c r="H1329" s="40"/>
      <c r="I1329" s="40"/>
      <c r="J1329" s="41"/>
    </row>
    <row r="1330" spans="2:10" s="1" customFormat="1" ht="12.75" x14ac:dyDescent="0.2">
      <c r="B1330" s="46"/>
      <c r="C1330" s="59"/>
      <c r="D1330" s="60"/>
      <c r="E1330" s="40"/>
      <c r="F1330" s="40"/>
      <c r="G1330" s="40"/>
      <c r="H1330" s="40"/>
      <c r="I1330" s="40"/>
      <c r="J1330" s="41"/>
    </row>
    <row r="1331" spans="2:10" s="1" customFormat="1" ht="12.75" x14ac:dyDescent="0.2">
      <c r="B1331" s="46"/>
      <c r="C1331" s="59"/>
      <c r="D1331" s="60"/>
      <c r="E1331" s="40"/>
      <c r="F1331" s="40"/>
      <c r="G1331" s="40"/>
      <c r="H1331" s="40"/>
      <c r="I1331" s="40"/>
      <c r="J1331" s="41"/>
    </row>
    <row r="1332" spans="2:10" s="1" customFormat="1" ht="12.75" x14ac:dyDescent="0.2">
      <c r="B1332" s="46"/>
      <c r="C1332" s="59"/>
      <c r="D1332" s="60"/>
      <c r="E1332" s="40"/>
      <c r="F1332" s="40"/>
      <c r="G1332" s="40"/>
      <c r="H1332" s="40"/>
      <c r="I1332" s="40"/>
      <c r="J1332" s="41"/>
    </row>
    <row r="1333" spans="2:10" s="1" customFormat="1" ht="12.75" x14ac:dyDescent="0.2">
      <c r="B1333" s="46"/>
      <c r="C1333" s="59"/>
      <c r="D1333" s="60"/>
      <c r="E1333" s="40"/>
      <c r="F1333" s="40"/>
      <c r="G1333" s="40"/>
      <c r="H1333" s="40"/>
      <c r="I1333" s="40"/>
      <c r="J1333" s="41"/>
    </row>
    <row r="1334" spans="2:10" s="1" customFormat="1" ht="12.75" x14ac:dyDescent="0.2">
      <c r="B1334" s="46"/>
      <c r="C1334" s="59"/>
      <c r="D1334" s="60"/>
      <c r="E1334" s="40"/>
      <c r="F1334" s="40"/>
      <c r="G1334" s="40"/>
      <c r="H1334" s="40"/>
      <c r="I1334" s="40"/>
      <c r="J1334" s="41"/>
    </row>
    <row r="1335" spans="2:10" s="1" customFormat="1" ht="12.75" x14ac:dyDescent="0.2">
      <c r="B1335" s="46"/>
      <c r="C1335" s="59"/>
      <c r="D1335" s="60"/>
      <c r="E1335" s="40"/>
      <c r="F1335" s="40"/>
      <c r="G1335" s="40"/>
      <c r="H1335" s="40"/>
      <c r="I1335" s="40"/>
      <c r="J1335" s="41"/>
    </row>
    <row r="1336" spans="2:10" s="1" customFormat="1" ht="12.75" x14ac:dyDescent="0.2">
      <c r="B1336" s="46"/>
      <c r="C1336" s="59"/>
      <c r="D1336" s="60"/>
      <c r="E1336" s="40"/>
      <c r="F1336" s="40"/>
      <c r="G1336" s="40"/>
      <c r="H1336" s="40"/>
      <c r="I1336" s="40"/>
      <c r="J1336" s="41"/>
    </row>
    <row r="1337" spans="2:10" s="1" customFormat="1" ht="12.75" x14ac:dyDescent="0.2">
      <c r="B1337" s="46"/>
      <c r="C1337" s="59"/>
      <c r="D1337" s="60"/>
      <c r="E1337" s="40"/>
      <c r="F1337" s="40"/>
      <c r="G1337" s="40"/>
      <c r="H1337" s="40"/>
      <c r="I1337" s="40"/>
      <c r="J1337" s="41"/>
    </row>
    <row r="1338" spans="2:10" s="1" customFormat="1" ht="12.75" x14ac:dyDescent="0.2">
      <c r="C1338" s="400" t="s">
        <v>37</v>
      </c>
      <c r="D1338" s="400"/>
      <c r="E1338" s="400"/>
      <c r="F1338" s="400"/>
      <c r="G1338" s="400"/>
      <c r="H1338" s="400"/>
    </row>
    <row r="1339" spans="2:10" s="1" customFormat="1" ht="12.75" x14ac:dyDescent="0.2">
      <c r="C1339" s="400" t="s">
        <v>38</v>
      </c>
      <c r="D1339" s="400"/>
      <c r="E1339" s="400"/>
      <c r="F1339" s="400"/>
      <c r="G1339" s="400"/>
      <c r="H1339" s="400"/>
    </row>
    <row r="1340" spans="2:10" s="1" customFormat="1" ht="12.75" x14ac:dyDescent="0.2">
      <c r="C1340" s="400" t="s">
        <v>39</v>
      </c>
      <c r="D1340" s="400"/>
      <c r="E1340" s="400"/>
      <c r="F1340" s="400"/>
      <c r="G1340" s="400"/>
      <c r="H1340" s="400"/>
    </row>
    <row r="1341" spans="2:10" s="1" customFormat="1" ht="12.75" x14ac:dyDescent="0.2">
      <c r="C1341" s="401" t="s">
        <v>40</v>
      </c>
      <c r="D1341" s="401"/>
      <c r="E1341" s="401"/>
      <c r="F1341" s="401"/>
      <c r="G1341" s="401"/>
      <c r="H1341" s="401"/>
    </row>
    <row r="1342" spans="2:10" s="1" customFormat="1" ht="33" customHeight="1" x14ac:dyDescent="0.2">
      <c r="C1342" s="401"/>
      <c r="D1342" s="401"/>
      <c r="E1342" s="401"/>
      <c r="F1342" s="401"/>
      <c r="G1342" s="401"/>
      <c r="H1342" s="401"/>
    </row>
    <row r="1343" spans="2:10" s="1" customFormat="1" ht="15.75" x14ac:dyDescent="0.2">
      <c r="B1343" s="402" t="s">
        <v>65</v>
      </c>
      <c r="C1343" s="403"/>
      <c r="D1343" s="403"/>
      <c r="E1343" s="403"/>
      <c r="F1343" s="403"/>
      <c r="G1343" s="403"/>
      <c r="H1343" s="403"/>
      <c r="I1343" s="403"/>
      <c r="J1343" s="404"/>
    </row>
    <row r="1344" spans="2:10" s="1" customFormat="1" ht="20.25" x14ac:dyDescent="0.2">
      <c r="B1344" s="406" t="s">
        <v>366</v>
      </c>
      <c r="C1344" s="407"/>
      <c r="D1344" s="407"/>
      <c r="E1344" s="407"/>
      <c r="F1344" s="407"/>
      <c r="G1344" s="407"/>
      <c r="H1344" s="407"/>
      <c r="I1344" s="407"/>
      <c r="J1344" s="408"/>
    </row>
    <row r="1345" spans="2:10" s="1" customFormat="1" ht="13.5" thickBot="1" x14ac:dyDescent="0.25">
      <c r="B1345" s="405"/>
      <c r="C1345" s="405"/>
      <c r="D1345" s="405"/>
      <c r="E1345" s="405"/>
      <c r="F1345" s="405"/>
      <c r="G1345" s="405"/>
      <c r="H1345" s="405"/>
      <c r="I1345" s="405"/>
      <c r="J1345" s="405"/>
    </row>
    <row r="1346" spans="2:10" s="1" customFormat="1" ht="24.75" customHeight="1" x14ac:dyDescent="0.2">
      <c r="B1346" s="494" t="s">
        <v>27</v>
      </c>
      <c r="C1346" s="495"/>
      <c r="D1346" s="495"/>
      <c r="E1346" s="495"/>
      <c r="F1346" s="495"/>
      <c r="G1346" s="495"/>
      <c r="H1346" s="495"/>
      <c r="I1346" s="495"/>
      <c r="J1346" s="496"/>
    </row>
    <row r="1347" spans="2:10" s="1" customFormat="1" ht="12.75" x14ac:dyDescent="0.2">
      <c r="B1347" s="2" t="s">
        <v>35</v>
      </c>
      <c r="C1347" s="3" t="s">
        <v>36</v>
      </c>
      <c r="D1347" s="3"/>
      <c r="E1347" s="4"/>
      <c r="F1347" s="5"/>
      <c r="G1347" s="6" t="s">
        <v>8</v>
      </c>
      <c r="H1347" s="497">
        <v>42879</v>
      </c>
      <c r="I1347" s="497"/>
      <c r="J1347" s="7"/>
    </row>
    <row r="1348" spans="2:10" s="1" customFormat="1" ht="12.75" x14ac:dyDescent="0.2">
      <c r="B1348" s="2" t="s">
        <v>33</v>
      </c>
      <c r="C1348" s="3" t="s">
        <v>29</v>
      </c>
      <c r="D1348" s="8"/>
      <c r="E1348" s="8"/>
      <c r="F1348" s="3"/>
      <c r="G1348" s="9" t="s">
        <v>32</v>
      </c>
      <c r="H1348" s="4" t="s">
        <v>29</v>
      </c>
      <c r="I1348" s="10"/>
      <c r="J1348" s="11"/>
    </row>
    <row r="1349" spans="2:10" s="1" customFormat="1" ht="12.75" x14ac:dyDescent="0.2">
      <c r="B1349" s="2" t="s">
        <v>34</v>
      </c>
      <c r="C1349" s="3" t="s">
        <v>29</v>
      </c>
      <c r="D1349" s="8"/>
      <c r="E1349" s="8"/>
      <c r="F1349" s="3"/>
      <c r="G1349" s="9" t="s">
        <v>30</v>
      </c>
      <c r="H1349" s="4" t="s">
        <v>31</v>
      </c>
      <c r="I1349" s="10"/>
      <c r="J1349" s="11"/>
    </row>
    <row r="1350" spans="2:10" s="1" customFormat="1" ht="13.5" thickBot="1" x14ac:dyDescent="0.25">
      <c r="B1350" s="12" t="s">
        <v>43</v>
      </c>
      <c r="C1350" s="13" t="s">
        <v>44</v>
      </c>
      <c r="D1350" s="14"/>
      <c r="E1350" s="14"/>
      <c r="F1350" s="13"/>
      <c r="G1350" s="15" t="s">
        <v>41</v>
      </c>
      <c r="H1350" s="16" t="s">
        <v>42</v>
      </c>
      <c r="I1350" s="17"/>
      <c r="J1350" s="18"/>
    </row>
    <row r="1351" spans="2:10" s="1" customFormat="1" ht="12.75" x14ac:dyDescent="0.2">
      <c r="B1351" s="405"/>
      <c r="C1351" s="405"/>
      <c r="D1351" s="405"/>
      <c r="E1351" s="405"/>
      <c r="F1351" s="405"/>
      <c r="G1351" s="405"/>
      <c r="H1351" s="405"/>
      <c r="I1351" s="405"/>
      <c r="J1351" s="405"/>
    </row>
    <row r="1352" spans="2:10" s="1" customFormat="1" ht="12.75" x14ac:dyDescent="0.2">
      <c r="B1352" s="21" t="s">
        <v>5</v>
      </c>
      <c r="C1352" s="22" t="s">
        <v>0</v>
      </c>
      <c r="D1352" s="22" t="s">
        <v>9</v>
      </c>
      <c r="E1352" s="22" t="s">
        <v>10</v>
      </c>
      <c r="F1352" s="22" t="s">
        <v>1</v>
      </c>
      <c r="G1352" s="22" t="s">
        <v>2</v>
      </c>
      <c r="H1352" s="22" t="s">
        <v>11</v>
      </c>
      <c r="I1352" s="22" t="s">
        <v>6</v>
      </c>
      <c r="J1352" s="22" t="s">
        <v>7</v>
      </c>
    </row>
    <row r="1353" spans="2:10" s="1" customFormat="1" ht="12.75" x14ac:dyDescent="0.2">
      <c r="B1353" s="55">
        <v>4.03</v>
      </c>
      <c r="C1353" s="56" t="s">
        <v>222</v>
      </c>
      <c r="D1353" s="60"/>
      <c r="E1353" s="40"/>
      <c r="F1353" s="40"/>
      <c r="G1353" s="40"/>
      <c r="H1353" s="40"/>
      <c r="I1353" s="40"/>
      <c r="J1353" s="41"/>
    </row>
    <row r="1354" spans="2:10" s="1" customFormat="1" ht="12.75" x14ac:dyDescent="0.2">
      <c r="B1354" s="73" t="s">
        <v>14</v>
      </c>
      <c r="C1354" s="73" t="s">
        <v>615</v>
      </c>
      <c r="D1354" s="60"/>
      <c r="E1354" s="40"/>
      <c r="F1354" s="40"/>
      <c r="G1354" s="40"/>
      <c r="H1354" s="40"/>
      <c r="I1354" s="40"/>
      <c r="J1354" s="41"/>
    </row>
    <row r="1355" spans="2:10" s="1" customFormat="1" ht="12.75" x14ac:dyDescent="0.2">
      <c r="B1355" s="25" t="s">
        <v>15</v>
      </c>
      <c r="C1355" s="28" t="s">
        <v>616</v>
      </c>
      <c r="D1355" s="60"/>
      <c r="E1355" s="40"/>
      <c r="F1355" s="40"/>
      <c r="G1355" s="40"/>
      <c r="H1355" s="40"/>
      <c r="I1355" s="40">
        <f>+SUM(H1356:H1362)</f>
        <v>13.780999999999999</v>
      </c>
      <c r="J1355" s="41" t="s">
        <v>45</v>
      </c>
    </row>
    <row r="1356" spans="2:10" s="1" customFormat="1" ht="12.75" x14ac:dyDescent="0.2">
      <c r="B1356" s="46"/>
      <c r="C1356" s="39" t="s">
        <v>725</v>
      </c>
      <c r="D1356" s="40">
        <v>1</v>
      </c>
      <c r="E1356" s="40">
        <v>1.7</v>
      </c>
      <c r="F1356" s="40">
        <v>0.4</v>
      </c>
      <c r="G1356" s="40"/>
      <c r="H1356" s="40">
        <f t="shared" ref="H1356:H1362" si="88">IF(AND(F1356=0,G1356=0),D1356*E1356,IF(AND(E1356=0,G1356=0),D1356*F1356,IF(AND(E1356=0,F1356=0),D1356*G1356,IF(AND(E1356=0),D1356*F1356*G1356,IF(AND(F1356=0),D1356*E1356*G1356,IF(AND(G1356=0),D1356*E1356*F1356,D1356*E1356*F1356*G1356))))))</f>
        <v>0.68</v>
      </c>
      <c r="I1356" s="40"/>
      <c r="J1356" s="41"/>
    </row>
    <row r="1357" spans="2:10" s="1" customFormat="1" ht="12.75" x14ac:dyDescent="0.2">
      <c r="B1357" s="46"/>
      <c r="C1357" s="43" t="s">
        <v>472</v>
      </c>
      <c r="D1357" s="60"/>
      <c r="E1357" s="40"/>
      <c r="F1357" s="40"/>
      <c r="G1357" s="40"/>
      <c r="H1357" s="40"/>
      <c r="I1357" s="40"/>
      <c r="J1357" s="41"/>
    </row>
    <row r="1358" spans="2:10" s="1" customFormat="1" ht="12.75" x14ac:dyDescent="0.2">
      <c r="B1358" s="46"/>
      <c r="C1358" s="39" t="s">
        <v>508</v>
      </c>
      <c r="D1358" s="60">
        <v>1</v>
      </c>
      <c r="E1358" s="40">
        <f>0.7+6.7</f>
        <v>7.4</v>
      </c>
      <c r="F1358" s="40">
        <v>0.45</v>
      </c>
      <c r="G1358" s="40"/>
      <c r="H1358" s="40">
        <f t="shared" si="88"/>
        <v>3.33</v>
      </c>
      <c r="I1358" s="40"/>
      <c r="J1358" s="41"/>
    </row>
    <row r="1359" spans="2:10" s="1" customFormat="1" ht="12.75" x14ac:dyDescent="0.2">
      <c r="B1359" s="46"/>
      <c r="C1359" s="39" t="s">
        <v>509</v>
      </c>
      <c r="D1359" s="60">
        <v>1</v>
      </c>
      <c r="E1359" s="40">
        <f>3.1+1.6</f>
        <v>4.7</v>
      </c>
      <c r="F1359" s="40">
        <v>0.45</v>
      </c>
      <c r="G1359" s="40"/>
      <c r="H1359" s="40">
        <f t="shared" si="88"/>
        <v>2.1150000000000002</v>
      </c>
      <c r="I1359" s="40"/>
      <c r="J1359" s="41"/>
    </row>
    <row r="1360" spans="2:10" s="1" customFormat="1" ht="12.75" x14ac:dyDescent="0.2">
      <c r="B1360" s="46"/>
      <c r="C1360" s="39"/>
      <c r="D1360" s="60"/>
      <c r="E1360" s="40"/>
      <c r="F1360" s="40"/>
      <c r="G1360" s="40"/>
      <c r="H1360" s="40"/>
      <c r="I1360" s="40"/>
      <c r="J1360" s="41"/>
    </row>
    <row r="1361" spans="2:10" s="1" customFormat="1" ht="12.75" x14ac:dyDescent="0.2">
      <c r="B1361" s="46"/>
      <c r="C1361" s="43" t="s">
        <v>228</v>
      </c>
      <c r="D1361" s="60"/>
      <c r="E1361" s="40"/>
      <c r="F1361" s="40"/>
      <c r="G1361" s="40"/>
      <c r="H1361" s="40"/>
      <c r="I1361" s="40"/>
      <c r="J1361" s="41"/>
    </row>
    <row r="1362" spans="2:10" s="1" customFormat="1" ht="12.75" x14ac:dyDescent="0.2">
      <c r="B1362" s="46"/>
      <c r="C1362" s="39" t="s">
        <v>506</v>
      </c>
      <c r="D1362" s="40">
        <v>1</v>
      </c>
      <c r="E1362" s="40">
        <v>12.76</v>
      </c>
      <c r="F1362" s="40">
        <v>0.6</v>
      </c>
      <c r="G1362" s="40"/>
      <c r="H1362" s="40">
        <f t="shared" si="88"/>
        <v>7.6559999999999997</v>
      </c>
      <c r="I1362" s="40"/>
      <c r="J1362" s="41"/>
    </row>
    <row r="1363" spans="2:10" x14ac:dyDescent="0.25">
      <c r="B1363" s="25" t="s">
        <v>232</v>
      </c>
      <c r="C1363" s="28" t="s">
        <v>617</v>
      </c>
      <c r="D1363" s="23"/>
      <c r="E1363" s="23"/>
      <c r="F1363" s="23"/>
      <c r="G1363" s="23"/>
      <c r="H1363" s="24"/>
      <c r="I1363" s="25">
        <f>+I1355</f>
        <v>13.780999999999999</v>
      </c>
      <c r="J1363" s="26" t="s">
        <v>45</v>
      </c>
    </row>
    <row r="1364" spans="2:10" s="1" customFormat="1" ht="12.75" x14ac:dyDescent="0.2">
      <c r="B1364" s="46"/>
      <c r="C1364" s="59"/>
      <c r="D1364" s="60"/>
      <c r="E1364" s="40"/>
      <c r="F1364" s="40"/>
      <c r="G1364" s="40"/>
      <c r="H1364" s="40"/>
      <c r="I1364" s="40"/>
      <c r="J1364" s="41"/>
    </row>
    <row r="1365" spans="2:10" x14ac:dyDescent="0.25">
      <c r="B1365" s="73" t="s">
        <v>25</v>
      </c>
      <c r="C1365" s="73" t="s">
        <v>614</v>
      </c>
      <c r="D1365" s="23"/>
      <c r="E1365" s="23"/>
      <c r="F1365" s="23"/>
      <c r="G1365" s="23"/>
      <c r="H1365" s="24"/>
      <c r="I1365" s="25"/>
      <c r="J1365" s="26"/>
    </row>
    <row r="1366" spans="2:10" s="1" customFormat="1" ht="15.75" customHeight="1" x14ac:dyDescent="0.2">
      <c r="B1366" s="25" t="s">
        <v>26</v>
      </c>
      <c r="C1366" s="1" t="s">
        <v>622</v>
      </c>
      <c r="D1366" s="60"/>
      <c r="E1366" s="40"/>
      <c r="F1366" s="40"/>
      <c r="G1366" s="40"/>
      <c r="H1366" s="24"/>
      <c r="I1366" s="25">
        <f>+SUM(H1367)</f>
        <v>0.35360000000000003</v>
      </c>
      <c r="J1366" s="26" t="s">
        <v>4</v>
      </c>
    </row>
    <row r="1367" spans="2:10" s="1" customFormat="1" ht="15.75" customHeight="1" x14ac:dyDescent="0.2">
      <c r="B1367" s="25"/>
      <c r="C1367" s="39" t="s">
        <v>434</v>
      </c>
      <c r="D1367" s="40">
        <v>1</v>
      </c>
      <c r="E1367" s="40">
        <v>1.7</v>
      </c>
      <c r="F1367" s="40">
        <v>0.4</v>
      </c>
      <c r="G1367" s="40">
        <f>0.32+0.2</f>
        <v>0.52</v>
      </c>
      <c r="H1367" s="40">
        <f>IF(AND(F1367=0,G1367=0),D1367*E1367,IF(AND(E1367=0,G1367=0),D1367*F1367,IF(AND(E1367=0,F1367=0),D1367*G1367,IF(AND(E1367=0),D1367*F1367*G1367,IF(AND(F1367=0),D1367*E1367*G1367,IF(AND(G1367=0),D1367*E1367*F1367,D1367*E1367*F1367*G1367))))))</f>
        <v>0.35360000000000003</v>
      </c>
      <c r="I1367" s="40"/>
      <c r="J1367" s="41"/>
    </row>
    <row r="1368" spans="2:10" x14ac:dyDescent="0.25">
      <c r="B1368" s="25" t="s">
        <v>654</v>
      </c>
      <c r="C1368" s="1" t="s">
        <v>623</v>
      </c>
      <c r="D1368" s="23"/>
      <c r="E1368" s="23"/>
      <c r="F1368" s="23"/>
      <c r="G1368" s="23"/>
      <c r="H1368" s="24"/>
      <c r="I1368" s="25">
        <f>+SUM(H1369:H1369)</f>
        <v>0</v>
      </c>
      <c r="J1368" s="26" t="s">
        <v>4</v>
      </c>
    </row>
    <row r="1369" spans="2:10" s="1" customFormat="1" ht="12.75" x14ac:dyDescent="0.2">
      <c r="C1369" s="39"/>
      <c r="D1369" s="40"/>
      <c r="E1369" s="40"/>
      <c r="F1369" s="40"/>
      <c r="G1369" s="40"/>
      <c r="H1369" s="40">
        <f>IF(AND(F1369=0,G1369=0),D1369*E1369,IF(AND(E1369=0,G1369=0),D1369*F1369,IF(AND(E1369=0,F1369=0),D1369*G1369,IF(AND(E1369=0),D1369*F1369*G1369,IF(AND(F1369=0),D1369*E1369*G1369,IF(AND(G1369=0),D1369*E1369*F1369,D1369*E1369*F1369*G1369))))))</f>
        <v>0</v>
      </c>
      <c r="I1369" s="40"/>
      <c r="J1369" s="41"/>
    </row>
    <row r="1370" spans="2:10" s="1" customFormat="1" ht="12.75" x14ac:dyDescent="0.2">
      <c r="B1370" s="25" t="s">
        <v>822</v>
      </c>
      <c r="C1370" s="1" t="s">
        <v>738</v>
      </c>
      <c r="D1370" s="60"/>
      <c r="E1370" s="40"/>
      <c r="F1370" s="40"/>
      <c r="G1370" s="40"/>
      <c r="H1370" s="40"/>
      <c r="I1370" s="40">
        <f>+SUM(H1371)</f>
        <v>0</v>
      </c>
      <c r="J1370" s="41" t="s">
        <v>4</v>
      </c>
    </row>
    <row r="1371" spans="2:10" s="1" customFormat="1" ht="12.75" x14ac:dyDescent="0.2">
      <c r="B1371" s="46"/>
      <c r="C1371" s="59"/>
      <c r="D1371" s="60"/>
      <c r="E1371" s="40"/>
      <c r="F1371" s="40"/>
      <c r="G1371" s="40"/>
      <c r="H1371" s="40"/>
      <c r="I1371" s="40"/>
      <c r="J1371" s="41"/>
    </row>
    <row r="1372" spans="2:10" x14ac:dyDescent="0.25">
      <c r="B1372" s="25" t="s">
        <v>820</v>
      </c>
      <c r="C1372" s="414" t="s">
        <v>779</v>
      </c>
      <c r="D1372" s="23"/>
      <c r="E1372" s="23"/>
      <c r="F1372" s="23"/>
      <c r="G1372" s="23"/>
      <c r="I1372" s="24">
        <f>+SUM(H1373:H1373)</f>
        <v>0.68</v>
      </c>
      <c r="J1372" s="26" t="s">
        <v>45</v>
      </c>
    </row>
    <row r="1373" spans="2:10" x14ac:dyDescent="0.25">
      <c r="B1373" s="25"/>
      <c r="C1373" s="39" t="s">
        <v>434</v>
      </c>
      <c r="D1373" s="40">
        <v>1</v>
      </c>
      <c r="E1373" s="40">
        <v>1.7</v>
      </c>
      <c r="F1373" s="40">
        <v>0.4</v>
      </c>
      <c r="G1373" s="40"/>
      <c r="H1373" s="40">
        <f>IF(AND(F1373=0,G1373=0),D1373*E1373,IF(AND(E1373=0,G1373=0),D1373*F1373,IF(AND(E1373=0,F1373=0),D1373*G1373,IF(AND(E1373=0),D1373*F1373*G1373,IF(AND(F1373=0),D1373*E1373*G1373,IF(AND(G1373=0),D1373*E1373*F1373,D1373*E1373*F1373*G1373))))))</f>
        <v>0.68</v>
      </c>
      <c r="I1373" s="25"/>
      <c r="J1373" s="26"/>
    </row>
    <row r="1374" spans="2:10" x14ac:dyDescent="0.25">
      <c r="B1374" s="107"/>
      <c r="C1374" s="370"/>
      <c r="D1374" s="23"/>
      <c r="E1374" s="23"/>
      <c r="F1374" s="23"/>
      <c r="G1374" s="23"/>
      <c r="H1374" s="24"/>
      <c r="I1374" s="25"/>
      <c r="J1374" s="26"/>
    </row>
    <row r="1375" spans="2:10" s="1" customFormat="1" ht="12.75" x14ac:dyDescent="0.2">
      <c r="B1375" s="25" t="s">
        <v>823</v>
      </c>
      <c r="C1375" s="28" t="s">
        <v>719</v>
      </c>
      <c r="D1375" s="60"/>
      <c r="E1375" s="40"/>
      <c r="F1375" s="40"/>
      <c r="G1375" s="40"/>
      <c r="H1375" s="40"/>
      <c r="I1375" s="40">
        <f>+SUM(H1376)</f>
        <v>2.5</v>
      </c>
      <c r="J1375" s="41" t="s">
        <v>45</v>
      </c>
    </row>
    <row r="1376" spans="2:10" s="1" customFormat="1" ht="12.75" x14ac:dyDescent="0.2">
      <c r="B1376" s="46"/>
      <c r="C1376" s="59"/>
      <c r="D1376" s="39" t="s">
        <v>434</v>
      </c>
      <c r="E1376" s="40">
        <v>1</v>
      </c>
      <c r="F1376" s="40">
        <v>1.7</v>
      </c>
      <c r="G1376" s="40">
        <v>0.4</v>
      </c>
      <c r="H1376" s="40">
        <f>+(F1376+G1376*2)*E1376</f>
        <v>2.5</v>
      </c>
      <c r="I1376" s="40"/>
      <c r="J1376" s="41"/>
    </row>
    <row r="1377" spans="2:10" s="1" customFormat="1" ht="12.75" x14ac:dyDescent="0.2">
      <c r="B1377" s="46"/>
      <c r="C1377" s="59"/>
      <c r="D1377" s="60"/>
      <c r="E1377" s="40"/>
      <c r="F1377" s="40"/>
      <c r="G1377" s="40"/>
      <c r="H1377" s="40"/>
      <c r="I1377" s="40"/>
      <c r="J1377" s="41"/>
    </row>
    <row r="1378" spans="2:10" s="1" customFormat="1" ht="12.75" x14ac:dyDescent="0.2">
      <c r="B1378" s="25" t="s">
        <v>824</v>
      </c>
      <c r="C1378" s="28" t="s">
        <v>718</v>
      </c>
      <c r="D1378" s="60"/>
      <c r="E1378" s="40"/>
      <c r="F1378" s="40"/>
      <c r="G1378" s="40"/>
      <c r="H1378" s="40"/>
      <c r="I1378" s="40">
        <f>+SUM(H1380:H1384)</f>
        <v>31.107999999999997</v>
      </c>
      <c r="J1378" s="41" t="s">
        <v>45</v>
      </c>
    </row>
    <row r="1379" spans="2:10" s="1" customFormat="1" ht="12.75" x14ac:dyDescent="0.2">
      <c r="B1379" s="46"/>
      <c r="C1379" s="43" t="s">
        <v>472</v>
      </c>
      <c r="D1379" s="60"/>
      <c r="E1379" s="40"/>
      <c r="F1379" s="40"/>
      <c r="G1379" s="40"/>
      <c r="H1379" s="40"/>
      <c r="I1379" s="40"/>
      <c r="J1379" s="41"/>
    </row>
    <row r="1380" spans="2:10" s="1" customFormat="1" ht="12.75" x14ac:dyDescent="0.2">
      <c r="B1380" s="46"/>
      <c r="C1380" s="39" t="s">
        <v>508</v>
      </c>
      <c r="D1380" s="60">
        <v>1</v>
      </c>
      <c r="E1380" s="40">
        <f>0.7+6.7</f>
        <v>7.4</v>
      </c>
      <c r="F1380" s="40">
        <v>0.5</v>
      </c>
      <c r="G1380" s="40">
        <v>0.35</v>
      </c>
      <c r="H1380" s="40">
        <f>+(F1380+G1380*2)*E1380</f>
        <v>8.8800000000000008</v>
      </c>
      <c r="I1380" s="40"/>
      <c r="J1380" s="41"/>
    </row>
    <row r="1381" spans="2:10" s="1" customFormat="1" ht="12.75" x14ac:dyDescent="0.2">
      <c r="B1381" s="46"/>
      <c r="C1381" s="39" t="s">
        <v>509</v>
      </c>
      <c r="D1381" s="60">
        <v>1</v>
      </c>
      <c r="E1381" s="40">
        <f>3.1+1.6</f>
        <v>4.7</v>
      </c>
      <c r="F1381" s="40">
        <v>0.5</v>
      </c>
      <c r="G1381" s="40">
        <v>0.35</v>
      </c>
      <c r="H1381" s="40">
        <f>+(F1381+G1381*2)*E1381</f>
        <v>5.64</v>
      </c>
      <c r="I1381" s="40"/>
      <c r="J1381" s="41"/>
    </row>
    <row r="1382" spans="2:10" s="1" customFormat="1" ht="12.75" x14ac:dyDescent="0.2">
      <c r="B1382" s="46"/>
      <c r="C1382" s="39"/>
      <c r="D1382" s="60"/>
      <c r="E1382" s="40"/>
      <c r="F1382" s="40"/>
      <c r="G1382" s="40"/>
      <c r="H1382" s="40"/>
      <c r="I1382" s="40"/>
      <c r="J1382" s="41"/>
    </row>
    <row r="1383" spans="2:10" s="1" customFormat="1" ht="12.75" x14ac:dyDescent="0.2">
      <c r="B1383" s="46"/>
      <c r="C1383" s="43" t="s">
        <v>228</v>
      </c>
      <c r="D1383" s="60"/>
      <c r="E1383" s="40"/>
      <c r="F1383" s="40"/>
      <c r="G1383" s="40"/>
      <c r="H1383" s="40"/>
      <c r="I1383" s="40"/>
      <c r="J1383" s="41"/>
    </row>
    <row r="1384" spans="2:10" s="1" customFormat="1" ht="12.75" x14ac:dyDescent="0.2">
      <c r="B1384" s="46"/>
      <c r="C1384" s="39" t="s">
        <v>506</v>
      </c>
      <c r="D1384" s="40">
        <v>1</v>
      </c>
      <c r="E1384" s="40">
        <v>12.76</v>
      </c>
      <c r="F1384" s="40">
        <v>0.6</v>
      </c>
      <c r="G1384" s="40">
        <v>0.35</v>
      </c>
      <c r="H1384" s="40">
        <f>+(F1384+G1384*2)*E1384</f>
        <v>16.587999999999997</v>
      </c>
      <c r="I1384" s="40"/>
      <c r="J1384" s="41"/>
    </row>
    <row r="1385" spans="2:10" s="414" customFormat="1" ht="12.75" x14ac:dyDescent="0.2">
      <c r="B1385" s="25" t="s">
        <v>825</v>
      </c>
      <c r="C1385" s="28" t="s">
        <v>794</v>
      </c>
      <c r="D1385" s="60"/>
      <c r="E1385" s="40"/>
      <c r="F1385" s="40" t="s">
        <v>795</v>
      </c>
      <c r="G1385" s="40"/>
      <c r="H1385" s="40"/>
      <c r="I1385" s="40">
        <f>+SUM(H1386:H1392)</f>
        <v>113.35265979381442</v>
      </c>
      <c r="J1385" s="41" t="s">
        <v>12</v>
      </c>
    </row>
    <row r="1386" spans="2:10" s="414" customFormat="1" ht="12.75" x14ac:dyDescent="0.2">
      <c r="B1386" s="380"/>
      <c r="C1386" s="39" t="s">
        <v>466</v>
      </c>
      <c r="D1386" s="60">
        <v>2</v>
      </c>
      <c r="E1386" s="40">
        <v>10</v>
      </c>
      <c r="F1386" s="40">
        <f>8.2/5</f>
        <v>1.64</v>
      </c>
      <c r="G1386" s="40"/>
      <c r="H1386" s="40">
        <f>IF(AND(F1386=0,G1386=0),D1386*E1386,IF(AND(E1386=0,G1386=0),D1386*F1386,IF(AND(E1386=0,F1386=0),D1386*G1386,IF(AND(E1386=0),D1386*F1386*G1386,IF(AND(F1386=0),D1386*E1386*G1386,IF(AND(G1386=0),D1386*E1386*F1386,D1386*E1386*F1386*G1386))))))</f>
        <v>32.799999999999997</v>
      </c>
      <c r="I1386" s="40"/>
      <c r="J1386" s="41"/>
    </row>
    <row r="1387" spans="2:10" s="414" customFormat="1" ht="12.75" x14ac:dyDescent="0.2">
      <c r="B1387" s="380"/>
      <c r="C1387" s="43" t="s">
        <v>472</v>
      </c>
      <c r="D1387" s="60"/>
      <c r="E1387" s="40"/>
      <c r="F1387" s="40"/>
      <c r="G1387" s="40"/>
      <c r="H1387" s="40"/>
      <c r="I1387" s="40"/>
      <c r="J1387" s="41"/>
    </row>
    <row r="1388" spans="2:10" s="1" customFormat="1" ht="12.75" x14ac:dyDescent="0.2">
      <c r="B1388" s="380"/>
      <c r="C1388" s="39" t="s">
        <v>508</v>
      </c>
      <c r="D1388" s="60">
        <v>1</v>
      </c>
      <c r="E1388" s="40">
        <f>0.7+6.7</f>
        <v>7.4</v>
      </c>
      <c r="F1388" s="40">
        <f t="shared" ref="F1388:F1389" si="89">8.2/5</f>
        <v>1.64</v>
      </c>
      <c r="G1388" s="40"/>
      <c r="H1388" s="40">
        <f t="shared" ref="H1388:H1389" si="90">IF(AND(F1388=0,G1388=0),D1388*E1388,IF(AND(E1388=0,G1388=0),D1388*F1388,IF(AND(E1388=0,F1388=0),D1388*G1388,IF(AND(E1388=0),D1388*F1388*G1388,IF(AND(F1388=0),D1388*E1388*G1388,IF(AND(G1388=0),D1388*E1388*F1388,D1388*E1388*F1388*G1388))))))</f>
        <v>12.135999999999999</v>
      </c>
      <c r="I1388" s="40"/>
      <c r="J1388" s="41"/>
    </row>
    <row r="1389" spans="2:10" s="1" customFormat="1" ht="12.75" x14ac:dyDescent="0.2">
      <c r="B1389" s="380"/>
      <c r="C1389" s="39" t="s">
        <v>509</v>
      </c>
      <c r="D1389" s="60">
        <v>1</v>
      </c>
      <c r="E1389" s="40">
        <f>3.1+1.6</f>
        <v>4.7</v>
      </c>
      <c r="F1389" s="40">
        <f t="shared" si="89"/>
        <v>1.64</v>
      </c>
      <c r="G1389" s="40"/>
      <c r="H1389" s="40">
        <f t="shared" si="90"/>
        <v>7.7080000000000002</v>
      </c>
      <c r="I1389" s="40"/>
      <c r="J1389" s="41"/>
    </row>
    <row r="1390" spans="2:10" s="1" customFormat="1" ht="12.75" x14ac:dyDescent="0.2">
      <c r="B1390" s="380"/>
      <c r="C1390" s="39"/>
      <c r="D1390" s="60"/>
      <c r="E1390" s="40"/>
      <c r="F1390" s="40"/>
      <c r="G1390" s="40"/>
      <c r="H1390" s="40"/>
      <c r="I1390" s="40"/>
      <c r="J1390" s="41"/>
    </row>
    <row r="1391" spans="2:10" s="1" customFormat="1" ht="12.75" x14ac:dyDescent="0.2">
      <c r="B1391" s="380"/>
      <c r="C1391" s="43" t="s">
        <v>228</v>
      </c>
      <c r="D1391" s="60"/>
      <c r="E1391" s="40"/>
      <c r="F1391" s="40"/>
      <c r="G1391" s="40"/>
      <c r="H1391" s="40"/>
      <c r="I1391" s="40"/>
      <c r="J1391" s="41"/>
    </row>
    <row r="1392" spans="2:10" s="1" customFormat="1" ht="12.75" x14ac:dyDescent="0.2">
      <c r="B1392" s="380"/>
      <c r="C1392" s="39" t="s">
        <v>506</v>
      </c>
      <c r="D1392" s="40">
        <v>1</v>
      </c>
      <c r="E1392" s="40">
        <v>12.76</v>
      </c>
      <c r="F1392" s="40">
        <f>27.69/5.82</f>
        <v>4.7577319587628866</v>
      </c>
      <c r="G1392" s="40"/>
      <c r="H1392" s="40">
        <f t="shared" ref="H1392" si="91">IF(AND(F1392=0,G1392=0),D1392*E1392,IF(AND(E1392=0,G1392=0),D1392*F1392,IF(AND(E1392=0,F1392=0),D1392*G1392,IF(AND(E1392=0),D1392*F1392*G1392,IF(AND(F1392=0),D1392*E1392*G1392,IF(AND(G1392=0),D1392*E1392*F1392,D1392*E1392*F1392*G1392))))))</f>
        <v>60.708659793814434</v>
      </c>
      <c r="I1392" s="40"/>
      <c r="J1392" s="41"/>
    </row>
    <row r="1393" spans="2:10" s="1" customFormat="1" ht="12.75" x14ac:dyDescent="0.2">
      <c r="B1393" s="25" t="s">
        <v>899</v>
      </c>
      <c r="C1393" s="28" t="s">
        <v>625</v>
      </c>
      <c r="D1393" s="60"/>
      <c r="E1393" s="40"/>
      <c r="F1393" s="40"/>
      <c r="G1393" s="40"/>
      <c r="H1393" s="40"/>
      <c r="I1393" s="40">
        <f>+SUM(H1394:H1395)</f>
        <v>0.21080000000000002</v>
      </c>
      <c r="J1393" s="41" t="s">
        <v>4</v>
      </c>
    </row>
    <row r="1394" spans="2:10" s="1" customFormat="1" ht="12.75" x14ac:dyDescent="0.2">
      <c r="B1394" s="46"/>
      <c r="C1394" s="39" t="s">
        <v>731</v>
      </c>
      <c r="D1394" s="40">
        <v>2</v>
      </c>
      <c r="E1394" s="40">
        <v>1.7</v>
      </c>
      <c r="F1394" s="40">
        <v>0.1</v>
      </c>
      <c r="G1394" s="40">
        <v>0.42</v>
      </c>
      <c r="H1394" s="40">
        <f t="shared" ref="H1394:H1395" si="92">IF(AND(F1394=0,G1394=0),D1394*E1394,IF(AND(E1394=0,G1394=0),D1394*F1394,IF(AND(E1394=0,F1394=0),D1394*G1394,IF(AND(E1394=0),D1394*F1394*G1394,IF(AND(F1394=0),D1394*E1394*G1394,IF(AND(G1394=0),D1394*E1394*F1394,D1394*E1394*F1394*G1394))))))</f>
        <v>0.14280000000000001</v>
      </c>
      <c r="I1394" s="40"/>
      <c r="J1394" s="41"/>
    </row>
    <row r="1395" spans="2:10" s="1" customFormat="1" ht="12.75" x14ac:dyDescent="0.2">
      <c r="B1395" s="46"/>
      <c r="C1395" s="59"/>
      <c r="D1395" s="60">
        <v>1</v>
      </c>
      <c r="E1395" s="40">
        <v>1.7</v>
      </c>
      <c r="F1395" s="40">
        <v>0.4</v>
      </c>
      <c r="G1395" s="40">
        <v>0.1</v>
      </c>
      <c r="H1395" s="40">
        <f t="shared" si="92"/>
        <v>6.8000000000000005E-2</v>
      </c>
      <c r="I1395" s="40"/>
      <c r="J1395" s="41"/>
    </row>
    <row r="1396" spans="2:10" s="1" customFormat="1" ht="12.75" x14ac:dyDescent="0.2">
      <c r="B1396" s="25" t="s">
        <v>900</v>
      </c>
      <c r="C1396" s="28" t="s">
        <v>789</v>
      </c>
      <c r="D1396" s="60" t="s">
        <v>791</v>
      </c>
      <c r="E1396" s="40"/>
      <c r="F1396" s="40"/>
      <c r="G1396" s="40"/>
      <c r="H1396" s="40"/>
      <c r="I1396" s="40">
        <f>+SUM(H1397:H1397)</f>
        <v>0.44200000000000006</v>
      </c>
      <c r="J1396" s="41" t="s">
        <v>4</v>
      </c>
    </row>
    <row r="1397" spans="2:10" s="1" customFormat="1" ht="12.75" x14ac:dyDescent="0.2">
      <c r="B1397" s="25"/>
      <c r="C1397" s="39" t="s">
        <v>434</v>
      </c>
      <c r="D1397" s="40">
        <v>1.25</v>
      </c>
      <c r="E1397" s="40">
        <v>1.7</v>
      </c>
      <c r="F1397" s="40">
        <v>0.4</v>
      </c>
      <c r="G1397" s="40">
        <f>0.32+0.2</f>
        <v>0.52</v>
      </c>
      <c r="H1397" s="40">
        <f>IF(AND(F1397=0,G1397=0),D1397*E1397,IF(AND(E1397=0,G1397=0),D1397*F1397,IF(AND(E1397=0,F1397=0),D1397*G1397,IF(AND(E1397=0),D1397*F1397*G1397,IF(AND(F1397=0),D1397*E1397*G1397,IF(AND(G1397=0),D1397*E1397*F1397,D1397*E1397*F1397*G1397))))))</f>
        <v>0.44200000000000006</v>
      </c>
      <c r="I1397" s="40"/>
      <c r="J1397" s="41"/>
    </row>
    <row r="1398" spans="2:10" s="1" customFormat="1" ht="12.75" x14ac:dyDescent="0.2">
      <c r="B1398" s="25" t="s">
        <v>901</v>
      </c>
      <c r="C1398" s="28" t="s">
        <v>624</v>
      </c>
      <c r="D1398" s="60"/>
      <c r="E1398" s="40"/>
      <c r="F1398" s="40"/>
      <c r="G1398" s="40"/>
      <c r="H1398" s="40"/>
      <c r="I1398" s="40">
        <f>+I1396</f>
        <v>0.44200000000000006</v>
      </c>
      <c r="J1398" s="41" t="s">
        <v>4</v>
      </c>
    </row>
    <row r="1399" spans="2:10" s="1" customFormat="1" ht="12.75" x14ac:dyDescent="0.2">
      <c r="B1399" s="46"/>
      <c r="C1399" s="59"/>
      <c r="D1399" s="60"/>
      <c r="E1399" s="40"/>
      <c r="F1399" s="40"/>
      <c r="G1399" s="40"/>
      <c r="H1399" s="40"/>
      <c r="I1399" s="40"/>
      <c r="J1399" s="41"/>
    </row>
    <row r="1400" spans="2:10" x14ac:dyDescent="0.25">
      <c r="B1400" s="73" t="s">
        <v>829</v>
      </c>
      <c r="C1400" s="74" t="s">
        <v>626</v>
      </c>
      <c r="D1400" s="23"/>
      <c r="E1400" s="23"/>
      <c r="F1400" s="23"/>
      <c r="G1400" s="23"/>
      <c r="H1400" s="24"/>
      <c r="I1400" s="25"/>
      <c r="J1400" s="26"/>
    </row>
    <row r="1401" spans="2:10" s="1" customFormat="1" ht="12.75" x14ac:dyDescent="0.2">
      <c r="B1401" s="43" t="s">
        <v>830</v>
      </c>
      <c r="C1401" s="25" t="s">
        <v>627</v>
      </c>
      <c r="D1401" s="60"/>
      <c r="E1401" s="40"/>
      <c r="F1401" s="40"/>
      <c r="G1401" s="40"/>
      <c r="H1401" s="40"/>
      <c r="I1401" s="44">
        <f>+SUM(H1402:H1402)</f>
        <v>0.68</v>
      </c>
      <c r="J1401" s="45" t="s">
        <v>45</v>
      </c>
    </row>
    <row r="1402" spans="2:10" s="1" customFormat="1" ht="15.75" customHeight="1" x14ac:dyDescent="0.2">
      <c r="B1402" s="25"/>
      <c r="C1402" s="39" t="s">
        <v>434</v>
      </c>
      <c r="D1402" s="40">
        <v>1</v>
      </c>
      <c r="E1402" s="40">
        <v>1.7</v>
      </c>
      <c r="F1402" s="40">
        <v>0.4</v>
      </c>
      <c r="G1402" s="40"/>
      <c r="H1402" s="40">
        <f>IF(AND(F1402=0,G1402=0),D1402*E1402,IF(AND(E1402=0,G1402=0),D1402*F1402,IF(AND(E1402=0,F1402=0),D1402*G1402,IF(AND(E1402=0),D1402*F1402*G1402,IF(AND(F1402=0),D1402*E1402*G1402,IF(AND(G1402=0),D1402*E1402*F1402,D1402*E1402*F1402*G1402))))))</f>
        <v>0.68</v>
      </c>
      <c r="I1402" s="40"/>
      <c r="J1402" s="41"/>
    </row>
    <row r="1403" spans="2:10" s="1" customFormat="1" ht="12.75" x14ac:dyDescent="0.2">
      <c r="B1403" s="43" t="s">
        <v>831</v>
      </c>
      <c r="C1403" s="25" t="s">
        <v>680</v>
      </c>
      <c r="D1403" s="60"/>
      <c r="E1403" s="40"/>
      <c r="F1403" s="40"/>
      <c r="G1403" s="40"/>
      <c r="H1403" s="40"/>
      <c r="I1403" s="44">
        <f>+SUM(H1404:H1404)</f>
        <v>0</v>
      </c>
      <c r="J1403" s="45" t="s">
        <v>45</v>
      </c>
    </row>
    <row r="1404" spans="2:10" s="1" customFormat="1" ht="12.75" x14ac:dyDescent="0.2">
      <c r="B1404" s="413"/>
      <c r="C1404" s="39"/>
      <c r="D1404" s="40"/>
      <c r="E1404" s="40"/>
      <c r="F1404" s="40"/>
      <c r="G1404" s="40"/>
      <c r="H1404" s="40">
        <f>IF(AND(F1404=0,G1404=0),D1404*E1404,IF(AND(E1404=0,G1404=0),D1404*F1404,IF(AND(E1404=0,F1404=0),D1404*G1404,IF(AND(E1404=0),D1404*F1404*G1404,IF(AND(F1404=0),D1404*E1404*G1404,IF(AND(G1404=0),D1404*E1404*F1404,D1404*E1404*F1404*G1404))))))</f>
        <v>0</v>
      </c>
      <c r="I1404" s="40"/>
      <c r="J1404" s="41"/>
    </row>
    <row r="1405" spans="2:10" s="1" customFormat="1" ht="12.75" x14ac:dyDescent="0.2">
      <c r="B1405" s="70"/>
      <c r="C1405" s="39"/>
      <c r="D1405" s="60"/>
      <c r="E1405" s="40"/>
      <c r="F1405" s="40"/>
      <c r="G1405" s="40"/>
      <c r="H1405" s="40"/>
      <c r="I1405" s="40"/>
      <c r="J1405" s="41"/>
    </row>
    <row r="1406" spans="2:10" s="1" customFormat="1" ht="12.75" x14ac:dyDescent="0.2">
      <c r="B1406" s="57" t="s">
        <v>838</v>
      </c>
      <c r="C1406" s="58" t="s">
        <v>224</v>
      </c>
      <c r="D1406" s="60"/>
      <c r="E1406" s="40"/>
      <c r="F1406" s="40"/>
      <c r="G1406" s="40"/>
      <c r="H1406" s="40"/>
      <c r="I1406" s="40"/>
      <c r="J1406" s="41"/>
    </row>
    <row r="1407" spans="2:10" s="414" customFormat="1" ht="12.75" x14ac:dyDescent="0.2">
      <c r="B1407" s="43" t="s">
        <v>849</v>
      </c>
      <c r="C1407" s="25" t="s">
        <v>902</v>
      </c>
      <c r="D1407" s="60"/>
      <c r="E1407" s="40"/>
      <c r="F1407" s="40"/>
      <c r="G1407" s="40"/>
      <c r="H1407" s="40"/>
      <c r="I1407" s="44">
        <f>+SUM(H1408:H1409)</f>
        <v>12.100000000000001</v>
      </c>
      <c r="J1407" s="45" t="s">
        <v>345</v>
      </c>
    </row>
    <row r="1408" spans="2:10" s="414" customFormat="1" ht="12.75" x14ac:dyDescent="0.2">
      <c r="B1408" s="43"/>
      <c r="C1408" s="39" t="s">
        <v>508</v>
      </c>
      <c r="D1408" s="60">
        <v>1</v>
      </c>
      <c r="E1408" s="40">
        <f>0.7+6.7</f>
        <v>7.4</v>
      </c>
      <c r="F1408" s="40"/>
      <c r="G1408" s="40"/>
      <c r="H1408" s="40">
        <f>IF(AND(F1408=0,G1408=0),D1408*E1408,IF(AND(E1408=0,G1408=0),D1408*F1408,IF(AND(E1408=0,F1408=0),D1408*G1408,IF(AND(E1408=0),D1408*F1408*G1408,IF(AND(F1408=0),D1408*E1408*G1408,IF(AND(G1408=0),D1408*E1408*F1408,D1408*E1408*F1408*G1408))))))</f>
        <v>7.4</v>
      </c>
      <c r="I1408" s="44"/>
      <c r="J1408" s="45"/>
    </row>
    <row r="1409" spans="2:10" s="414" customFormat="1" ht="12.75" x14ac:dyDescent="0.2">
      <c r="B1409" s="43"/>
      <c r="C1409" s="39" t="s">
        <v>509</v>
      </c>
      <c r="D1409" s="60">
        <v>1</v>
      </c>
      <c r="E1409" s="40">
        <f>3.1+1.6</f>
        <v>4.7</v>
      </c>
      <c r="F1409" s="40"/>
      <c r="G1409" s="40"/>
      <c r="H1409" s="40">
        <f>IF(AND(F1409=0,G1409=0),D1409*E1409,IF(AND(E1409=0,G1409=0),D1409*F1409,IF(AND(E1409=0,F1409=0),D1409*G1409,IF(AND(E1409=0),D1409*F1409*G1409,IF(AND(F1409=0),D1409*E1409*G1409,IF(AND(G1409=0),D1409*E1409*F1409,D1409*E1409*F1409*G1409))))))</f>
        <v>4.7</v>
      </c>
      <c r="I1409" s="44"/>
      <c r="J1409" s="45"/>
    </row>
    <row r="1410" spans="2:10" s="1" customFormat="1" ht="12.75" x14ac:dyDescent="0.2">
      <c r="B1410" s="25" t="s">
        <v>860</v>
      </c>
      <c r="C1410" s="28" t="s">
        <v>736</v>
      </c>
      <c r="D1410" s="60"/>
      <c r="E1410" s="40"/>
      <c r="F1410" s="40"/>
      <c r="G1410" s="40"/>
      <c r="H1410" s="40"/>
      <c r="I1410" s="40">
        <f>+SUM(H1411:H1412)</f>
        <v>1.9379999999999999</v>
      </c>
      <c r="J1410" s="41" t="s">
        <v>45</v>
      </c>
    </row>
    <row r="1411" spans="2:10" s="1" customFormat="1" ht="12.75" x14ac:dyDescent="0.2">
      <c r="B1411" s="46"/>
      <c r="C1411" s="39" t="s">
        <v>731</v>
      </c>
      <c r="D1411" s="40">
        <v>2</v>
      </c>
      <c r="E1411" s="40">
        <v>1.7</v>
      </c>
      <c r="F1411" s="40"/>
      <c r="G1411" s="40">
        <f>0.32+0.15</f>
        <v>0.47</v>
      </c>
      <c r="H1411" s="40">
        <f t="shared" ref="H1411:H1412" si="93">IF(AND(F1411=0,G1411=0),D1411*E1411,IF(AND(E1411=0,G1411=0),D1411*F1411,IF(AND(E1411=0,F1411=0),D1411*G1411,IF(AND(E1411=0),D1411*F1411*G1411,IF(AND(F1411=0),D1411*E1411*G1411,IF(AND(G1411=0),D1411*E1411*F1411,D1411*E1411*F1411*G1411))))))</f>
        <v>1.5979999999999999</v>
      </c>
      <c r="I1411" s="40"/>
      <c r="J1411" s="41"/>
    </row>
    <row r="1412" spans="2:10" s="1" customFormat="1" ht="12.75" x14ac:dyDescent="0.2">
      <c r="B1412" s="46"/>
      <c r="C1412" s="59"/>
      <c r="D1412" s="60">
        <v>1</v>
      </c>
      <c r="E1412" s="40">
        <v>1.7</v>
      </c>
      <c r="F1412" s="40"/>
      <c r="G1412" s="40">
        <v>0.2</v>
      </c>
      <c r="H1412" s="40">
        <f t="shared" si="93"/>
        <v>0.34</v>
      </c>
      <c r="I1412" s="40"/>
      <c r="J1412" s="41"/>
    </row>
    <row r="1413" spans="2:10" s="1" customFormat="1" ht="12.75" x14ac:dyDescent="0.2">
      <c r="B1413" s="25"/>
      <c r="D1413" s="60"/>
      <c r="E1413" s="40"/>
      <c r="F1413" s="40"/>
      <c r="G1413" s="40"/>
      <c r="H1413" s="40"/>
      <c r="I1413" s="40"/>
      <c r="J1413" s="41"/>
    </row>
    <row r="1414" spans="2:10" s="1" customFormat="1" ht="12.75" x14ac:dyDescent="0.2">
      <c r="B1414" s="57" t="s">
        <v>876</v>
      </c>
      <c r="C1414" s="58" t="s">
        <v>223</v>
      </c>
      <c r="D1414" s="60"/>
      <c r="E1414" s="40"/>
      <c r="F1414" s="40"/>
      <c r="G1414" s="40"/>
      <c r="H1414" s="40"/>
      <c r="I1414" s="40"/>
      <c r="J1414" s="41"/>
    </row>
    <row r="1415" spans="2:10" s="1" customFormat="1" ht="12.75" x14ac:dyDescent="0.2">
      <c r="B1415" s="43" t="s">
        <v>877</v>
      </c>
      <c r="C1415" s="412" t="s">
        <v>657</v>
      </c>
      <c r="D1415" s="60"/>
      <c r="E1415" s="40"/>
      <c r="F1415" s="40"/>
      <c r="G1415" s="40"/>
      <c r="H1415" s="40"/>
      <c r="I1415" s="44">
        <f>+SUM(H1416:H1418)</f>
        <v>7</v>
      </c>
      <c r="J1415" s="45" t="s">
        <v>13</v>
      </c>
    </row>
    <row r="1416" spans="2:10" s="1" customFormat="1" ht="12.75" x14ac:dyDescent="0.2">
      <c r="B1416" s="46"/>
      <c r="C1416" s="39" t="s">
        <v>456</v>
      </c>
      <c r="D1416" s="60">
        <v>4</v>
      </c>
      <c r="E1416" s="40"/>
      <c r="F1416" s="40"/>
      <c r="G1416" s="40"/>
      <c r="H1416" s="40">
        <f t="shared" ref="H1416:H1418" si="94">+D1416</f>
        <v>4</v>
      </c>
      <c r="I1416" s="40"/>
      <c r="J1416" s="41"/>
    </row>
    <row r="1417" spans="2:10" s="1" customFormat="1" ht="12.75" x14ac:dyDescent="0.2">
      <c r="B1417" s="46"/>
      <c r="C1417" s="39" t="s">
        <v>508</v>
      </c>
      <c r="D1417" s="60">
        <v>1</v>
      </c>
      <c r="E1417" s="40"/>
      <c r="F1417" s="40"/>
      <c r="G1417" s="40"/>
      <c r="H1417" s="40">
        <f t="shared" si="94"/>
        <v>1</v>
      </c>
      <c r="I1417" s="40"/>
      <c r="J1417" s="41"/>
    </row>
    <row r="1418" spans="2:10" s="1" customFormat="1" ht="12.75" x14ac:dyDescent="0.2">
      <c r="B1418" s="46"/>
      <c r="C1418" s="39" t="s">
        <v>509</v>
      </c>
      <c r="D1418" s="60">
        <v>2</v>
      </c>
      <c r="E1418" s="40"/>
      <c r="F1418" s="40"/>
      <c r="G1418" s="40"/>
      <c r="H1418" s="40">
        <f t="shared" si="94"/>
        <v>2</v>
      </c>
      <c r="I1418" s="40"/>
      <c r="J1418" s="41"/>
    </row>
    <row r="1419" spans="2:10" s="1" customFormat="1" ht="12.75" x14ac:dyDescent="0.2">
      <c r="B1419" s="46"/>
      <c r="C1419" s="39"/>
      <c r="D1419" s="60"/>
      <c r="E1419" s="40"/>
      <c r="F1419" s="40"/>
      <c r="G1419" s="40"/>
      <c r="H1419" s="40"/>
      <c r="I1419" s="40"/>
      <c r="J1419" s="41"/>
    </row>
    <row r="1420" spans="2:10" s="1" customFormat="1" ht="12.75" x14ac:dyDescent="0.2">
      <c r="B1420" s="46"/>
      <c r="C1420" s="59"/>
      <c r="D1420" s="60"/>
      <c r="E1420" s="40"/>
      <c r="F1420" s="40"/>
      <c r="G1420" s="40"/>
      <c r="H1420" s="40"/>
      <c r="I1420" s="40"/>
      <c r="J1420" s="41"/>
    </row>
    <row r="1421" spans="2:10" s="1" customFormat="1" ht="12.75" x14ac:dyDescent="0.2">
      <c r="B1421" s="46"/>
      <c r="C1421" s="59"/>
      <c r="D1421" s="60"/>
      <c r="E1421" s="40"/>
      <c r="F1421" s="40"/>
      <c r="G1421" s="40"/>
      <c r="H1421" s="40"/>
      <c r="I1421" s="40"/>
      <c r="J1421" s="41"/>
    </row>
    <row r="1422" spans="2:10" s="1" customFormat="1" ht="12.75" x14ac:dyDescent="0.2">
      <c r="B1422" s="46"/>
      <c r="C1422" s="59"/>
      <c r="D1422" s="60"/>
      <c r="E1422" s="40"/>
      <c r="F1422" s="40"/>
      <c r="G1422" s="40"/>
      <c r="H1422" s="40"/>
      <c r="I1422" s="40"/>
      <c r="J1422" s="41"/>
    </row>
    <row r="1423" spans="2:10" s="1" customFormat="1" ht="12.75" x14ac:dyDescent="0.2">
      <c r="B1423" s="46"/>
      <c r="C1423" s="59"/>
      <c r="D1423" s="60"/>
      <c r="E1423" s="40"/>
      <c r="F1423" s="40"/>
      <c r="G1423" s="40"/>
      <c r="H1423" s="40"/>
      <c r="I1423" s="40"/>
      <c r="J1423" s="41"/>
    </row>
    <row r="1424" spans="2:10" s="1" customFormat="1" ht="12.75" x14ac:dyDescent="0.2">
      <c r="B1424" s="46"/>
      <c r="C1424" s="59"/>
      <c r="D1424" s="60"/>
      <c r="E1424" s="40"/>
      <c r="F1424" s="40"/>
      <c r="G1424" s="40"/>
      <c r="H1424" s="40"/>
      <c r="I1424" s="40"/>
      <c r="J1424" s="41"/>
    </row>
    <row r="1425" spans="2:10" s="1" customFormat="1" ht="12.75" x14ac:dyDescent="0.2">
      <c r="B1425" s="46"/>
      <c r="C1425" s="59"/>
      <c r="D1425" s="60"/>
      <c r="E1425" s="40"/>
      <c r="F1425" s="40"/>
      <c r="G1425" s="40"/>
      <c r="H1425" s="40"/>
      <c r="I1425" s="40"/>
      <c r="J1425" s="41"/>
    </row>
    <row r="1426" spans="2:10" s="1" customFormat="1" ht="12.75" x14ac:dyDescent="0.2">
      <c r="C1426" s="400" t="s">
        <v>37</v>
      </c>
      <c r="D1426" s="400"/>
      <c r="E1426" s="400"/>
      <c r="F1426" s="400"/>
      <c r="G1426" s="400"/>
      <c r="H1426" s="400"/>
    </row>
    <row r="1427" spans="2:10" s="1" customFormat="1" ht="12.75" x14ac:dyDescent="0.2">
      <c r="C1427" s="400" t="s">
        <v>38</v>
      </c>
      <c r="D1427" s="400"/>
      <c r="E1427" s="400"/>
      <c r="F1427" s="400"/>
      <c r="G1427" s="400"/>
      <c r="H1427" s="400"/>
    </row>
    <row r="1428" spans="2:10" s="1" customFormat="1" ht="12.75" x14ac:dyDescent="0.2">
      <c r="C1428" s="400" t="s">
        <v>39</v>
      </c>
      <c r="D1428" s="400"/>
      <c r="E1428" s="400"/>
      <c r="F1428" s="400"/>
      <c r="G1428" s="400"/>
      <c r="H1428" s="400"/>
    </row>
    <row r="1429" spans="2:10" s="1" customFormat="1" ht="12.75" x14ac:dyDescent="0.2">
      <c r="C1429" s="401" t="s">
        <v>40</v>
      </c>
      <c r="D1429" s="401"/>
      <c r="E1429" s="401"/>
      <c r="F1429" s="401"/>
      <c r="G1429" s="401"/>
      <c r="H1429" s="401"/>
    </row>
    <row r="1430" spans="2:10" s="1" customFormat="1" ht="28.5" customHeight="1" x14ac:dyDescent="0.2">
      <c r="C1430" s="401"/>
      <c r="D1430" s="401"/>
      <c r="E1430" s="401"/>
      <c r="F1430" s="401"/>
      <c r="G1430" s="401"/>
      <c r="H1430" s="401"/>
    </row>
    <row r="1431" spans="2:10" s="1" customFormat="1" ht="15.75" x14ac:dyDescent="0.2">
      <c r="B1431" s="402" t="s">
        <v>65</v>
      </c>
      <c r="C1431" s="403"/>
      <c r="D1431" s="403"/>
      <c r="E1431" s="403"/>
      <c r="F1431" s="403"/>
      <c r="G1431" s="403"/>
      <c r="H1431" s="403"/>
      <c r="I1431" s="403"/>
      <c r="J1431" s="404"/>
    </row>
    <row r="1432" spans="2:10" s="1" customFormat="1" ht="20.25" x14ac:dyDescent="0.2">
      <c r="B1432" s="406" t="s">
        <v>367</v>
      </c>
      <c r="C1432" s="407"/>
      <c r="D1432" s="407"/>
      <c r="E1432" s="407"/>
      <c r="F1432" s="407"/>
      <c r="G1432" s="407"/>
      <c r="H1432" s="407"/>
      <c r="I1432" s="407"/>
      <c r="J1432" s="408"/>
    </row>
    <row r="1433" spans="2:10" s="1" customFormat="1" ht="13.5" thickBot="1" x14ac:dyDescent="0.25">
      <c r="B1433" s="405"/>
      <c r="C1433" s="405"/>
      <c r="D1433" s="405"/>
      <c r="E1433" s="405"/>
      <c r="F1433" s="405"/>
      <c r="G1433" s="405"/>
      <c r="H1433" s="405"/>
      <c r="I1433" s="405"/>
      <c r="J1433" s="405"/>
    </row>
    <row r="1434" spans="2:10" s="1" customFormat="1" ht="24.75" customHeight="1" x14ac:dyDescent="0.2">
      <c r="B1434" s="494" t="s">
        <v>27</v>
      </c>
      <c r="C1434" s="495"/>
      <c r="D1434" s="495"/>
      <c r="E1434" s="495"/>
      <c r="F1434" s="495"/>
      <c r="G1434" s="495"/>
      <c r="H1434" s="495"/>
      <c r="I1434" s="495"/>
      <c r="J1434" s="496"/>
    </row>
    <row r="1435" spans="2:10" s="1" customFormat="1" ht="12.75" x14ac:dyDescent="0.2">
      <c r="B1435" s="2" t="s">
        <v>35</v>
      </c>
      <c r="C1435" s="3" t="s">
        <v>36</v>
      </c>
      <c r="D1435" s="3"/>
      <c r="E1435" s="4"/>
      <c r="F1435" s="5"/>
      <c r="G1435" s="6" t="s">
        <v>8</v>
      </c>
      <c r="H1435" s="497">
        <v>42879</v>
      </c>
      <c r="I1435" s="497"/>
      <c r="J1435" s="7"/>
    </row>
    <row r="1436" spans="2:10" s="1" customFormat="1" ht="12.75" x14ac:dyDescent="0.2">
      <c r="B1436" s="2" t="s">
        <v>33</v>
      </c>
      <c r="C1436" s="3" t="s">
        <v>29</v>
      </c>
      <c r="D1436" s="8"/>
      <c r="E1436" s="8"/>
      <c r="F1436" s="3"/>
      <c r="G1436" s="9" t="s">
        <v>32</v>
      </c>
      <c r="H1436" s="4" t="s">
        <v>29</v>
      </c>
      <c r="I1436" s="10"/>
      <c r="J1436" s="11"/>
    </row>
    <row r="1437" spans="2:10" s="1" customFormat="1" ht="12.75" x14ac:dyDescent="0.2">
      <c r="B1437" s="2" t="s">
        <v>34</v>
      </c>
      <c r="C1437" s="3" t="s">
        <v>29</v>
      </c>
      <c r="D1437" s="8"/>
      <c r="E1437" s="8"/>
      <c r="F1437" s="3"/>
      <c r="G1437" s="9" t="s">
        <v>30</v>
      </c>
      <c r="H1437" s="4" t="s">
        <v>31</v>
      </c>
      <c r="I1437" s="10"/>
      <c r="J1437" s="11"/>
    </row>
    <row r="1438" spans="2:10" s="1" customFormat="1" ht="13.5" thickBot="1" x14ac:dyDescent="0.25">
      <c r="B1438" s="12" t="s">
        <v>43</v>
      </c>
      <c r="C1438" s="13" t="s">
        <v>44</v>
      </c>
      <c r="D1438" s="14"/>
      <c r="E1438" s="14"/>
      <c r="F1438" s="13"/>
      <c r="G1438" s="15" t="s">
        <v>41</v>
      </c>
      <c r="H1438" s="16" t="s">
        <v>42</v>
      </c>
      <c r="I1438" s="17"/>
      <c r="J1438" s="18"/>
    </row>
    <row r="1439" spans="2:10" s="1" customFormat="1" ht="12.75" x14ac:dyDescent="0.2">
      <c r="B1439" s="405"/>
      <c r="C1439" s="405"/>
      <c r="D1439" s="405"/>
      <c r="E1439" s="405"/>
      <c r="F1439" s="405"/>
      <c r="G1439" s="405"/>
      <c r="H1439" s="405"/>
      <c r="I1439" s="405"/>
      <c r="J1439" s="405"/>
    </row>
    <row r="1440" spans="2:10" s="1" customFormat="1" ht="12.75" x14ac:dyDescent="0.2">
      <c r="B1440" s="21" t="s">
        <v>5</v>
      </c>
      <c r="C1440" s="22" t="s">
        <v>0</v>
      </c>
      <c r="D1440" s="22" t="s">
        <v>9</v>
      </c>
      <c r="E1440" s="22" t="s">
        <v>10</v>
      </c>
      <c r="F1440" s="22" t="s">
        <v>1</v>
      </c>
      <c r="G1440" s="22" t="s">
        <v>2</v>
      </c>
      <c r="H1440" s="22" t="s">
        <v>11</v>
      </c>
      <c r="I1440" s="22" t="s">
        <v>6</v>
      </c>
      <c r="J1440" s="22" t="s">
        <v>7</v>
      </c>
    </row>
    <row r="1441" spans="2:10" s="1" customFormat="1" ht="12.75" x14ac:dyDescent="0.2">
      <c r="B1441" s="55">
        <v>4.03</v>
      </c>
      <c r="C1441" s="56" t="s">
        <v>222</v>
      </c>
      <c r="D1441" s="60"/>
      <c r="E1441" s="40"/>
      <c r="F1441" s="40"/>
      <c r="G1441" s="40"/>
      <c r="H1441" s="40"/>
      <c r="I1441" s="40"/>
      <c r="J1441" s="41"/>
    </row>
    <row r="1442" spans="2:10" s="1" customFormat="1" ht="12.75" x14ac:dyDescent="0.2">
      <c r="B1442" s="73" t="s">
        <v>14</v>
      </c>
      <c r="C1442" s="73" t="s">
        <v>615</v>
      </c>
      <c r="D1442" s="60"/>
      <c r="E1442" s="40"/>
      <c r="F1442" s="40"/>
      <c r="G1442" s="40"/>
      <c r="H1442" s="40"/>
      <c r="I1442" s="40"/>
      <c r="J1442" s="41"/>
    </row>
    <row r="1443" spans="2:10" s="1" customFormat="1" ht="12.75" x14ac:dyDescent="0.2">
      <c r="B1443" s="25" t="s">
        <v>15</v>
      </c>
      <c r="C1443" s="28" t="s">
        <v>616</v>
      </c>
      <c r="D1443" s="60"/>
      <c r="E1443" s="40"/>
      <c r="F1443" s="40"/>
      <c r="G1443" s="40"/>
      <c r="H1443" s="40"/>
      <c r="I1443" s="40">
        <f>+SUM(H1444:H1447)</f>
        <v>21.785</v>
      </c>
      <c r="J1443" s="41" t="s">
        <v>45</v>
      </c>
    </row>
    <row r="1444" spans="2:10" s="1" customFormat="1" ht="12.75" x14ac:dyDescent="0.2">
      <c r="B1444" s="46"/>
      <c r="C1444" s="39" t="s">
        <v>726</v>
      </c>
      <c r="D1444" s="40">
        <v>1</v>
      </c>
      <c r="E1444" s="40">
        <f>31.5+6.5</f>
        <v>38</v>
      </c>
      <c r="F1444" s="40">
        <v>0.5</v>
      </c>
      <c r="G1444" s="40"/>
      <c r="H1444" s="40">
        <f t="shared" ref="H1444:H1447" si="95">IF(AND(F1444=0,G1444=0),D1444*E1444,IF(AND(E1444=0,G1444=0),D1444*F1444,IF(AND(E1444=0,F1444=0),D1444*G1444,IF(AND(E1444=0),D1444*F1444*G1444,IF(AND(F1444=0),D1444*E1444*G1444,IF(AND(G1444=0),D1444*E1444*F1444,D1444*E1444*F1444*G1444))))))</f>
        <v>19</v>
      </c>
      <c r="I1444" s="40"/>
      <c r="J1444" s="41"/>
    </row>
    <row r="1445" spans="2:10" s="1" customFormat="1" ht="12.75" x14ac:dyDescent="0.2">
      <c r="B1445" s="46"/>
      <c r="C1445" s="39" t="s">
        <v>645</v>
      </c>
      <c r="D1445" s="40">
        <v>1</v>
      </c>
      <c r="E1445" s="40">
        <v>3.65</v>
      </c>
      <c r="F1445" s="40">
        <v>0.5</v>
      </c>
      <c r="G1445" s="40"/>
      <c r="H1445" s="40">
        <f t="shared" si="95"/>
        <v>1.825</v>
      </c>
      <c r="I1445" s="40"/>
      <c r="J1445" s="41"/>
    </row>
    <row r="1446" spans="2:10" s="1" customFormat="1" ht="12.75" x14ac:dyDescent="0.2">
      <c r="B1446" s="46"/>
      <c r="C1446" s="39" t="s">
        <v>402</v>
      </c>
      <c r="D1446" s="40">
        <v>1</v>
      </c>
      <c r="E1446" s="40">
        <v>0.6</v>
      </c>
      <c r="F1446" s="40">
        <v>0.8</v>
      </c>
      <c r="G1446" s="40"/>
      <c r="H1446" s="40">
        <f t="shared" si="95"/>
        <v>0.48</v>
      </c>
      <c r="I1446" s="40"/>
      <c r="J1446" s="41"/>
    </row>
    <row r="1447" spans="2:10" s="1" customFormat="1" ht="12.75" x14ac:dyDescent="0.2">
      <c r="B1447" s="46"/>
      <c r="C1447" s="39" t="s">
        <v>392</v>
      </c>
      <c r="D1447" s="40">
        <v>1</v>
      </c>
      <c r="E1447" s="40">
        <v>0.6</v>
      </c>
      <c r="F1447" s="40">
        <v>0.8</v>
      </c>
      <c r="G1447" s="40"/>
      <c r="H1447" s="40">
        <f t="shared" si="95"/>
        <v>0.48</v>
      </c>
      <c r="I1447" s="40"/>
      <c r="J1447" s="41"/>
    </row>
    <row r="1448" spans="2:10" x14ac:dyDescent="0.25">
      <c r="B1448" s="25" t="s">
        <v>232</v>
      </c>
      <c r="C1448" s="28" t="s">
        <v>617</v>
      </c>
      <c r="D1448" s="23"/>
      <c r="E1448" s="23"/>
      <c r="F1448" s="23"/>
      <c r="G1448" s="23"/>
      <c r="H1448" s="24"/>
      <c r="I1448" s="25">
        <f>+I1443</f>
        <v>21.785</v>
      </c>
      <c r="J1448" s="26" t="s">
        <v>45</v>
      </c>
    </row>
    <row r="1449" spans="2:10" s="1" customFormat="1" ht="12.75" x14ac:dyDescent="0.2">
      <c r="B1449" s="46"/>
      <c r="C1449" s="59"/>
      <c r="D1449" s="60"/>
      <c r="E1449" s="40"/>
      <c r="F1449" s="40"/>
      <c r="G1449" s="40"/>
      <c r="H1449" s="40"/>
      <c r="I1449" s="40"/>
      <c r="J1449" s="41"/>
    </row>
    <row r="1450" spans="2:10" x14ac:dyDescent="0.25">
      <c r="B1450" s="73" t="s">
        <v>25</v>
      </c>
      <c r="C1450" s="73" t="s">
        <v>614</v>
      </c>
      <c r="D1450" s="23"/>
      <c r="E1450" s="23"/>
      <c r="F1450" s="23"/>
      <c r="G1450" s="23"/>
      <c r="H1450" s="24"/>
      <c r="I1450" s="25"/>
      <c r="J1450" s="26"/>
    </row>
    <row r="1451" spans="2:10" s="1" customFormat="1" ht="15.75" customHeight="1" x14ac:dyDescent="0.2">
      <c r="B1451" s="25" t="s">
        <v>26</v>
      </c>
      <c r="C1451" s="1" t="s">
        <v>622</v>
      </c>
      <c r="D1451" s="60"/>
      <c r="E1451" s="40"/>
      <c r="F1451" s="40"/>
      <c r="G1451" s="40"/>
      <c r="H1451" s="24"/>
      <c r="I1451" s="25">
        <f>+SUM(H1452:H1453)</f>
        <v>6.5910000000000011</v>
      </c>
      <c r="J1451" s="26" t="s">
        <v>4</v>
      </c>
    </row>
    <row r="1452" spans="2:10" s="1" customFormat="1" ht="12.75" x14ac:dyDescent="0.2">
      <c r="B1452" s="25"/>
      <c r="C1452" s="39" t="s">
        <v>726</v>
      </c>
      <c r="D1452" s="40">
        <v>1</v>
      </c>
      <c r="E1452" s="40">
        <f>31.5+6.5</f>
        <v>38</v>
      </c>
      <c r="F1452" s="40">
        <v>0.4</v>
      </c>
      <c r="G1452" s="40">
        <f>0.2+0.2</f>
        <v>0.4</v>
      </c>
      <c r="H1452" s="40">
        <f>IF(AND(F1452=0,G1452=0),D1452*E1452,IF(AND(E1452=0,G1452=0),D1452*F1452,IF(AND(E1452=0,F1452=0),D1452*G1452,IF(AND(E1452=0),D1452*F1452*G1452,IF(AND(F1452=0),D1452*E1452*G1452,IF(AND(G1452=0),D1452*E1452*F1452,D1452*E1452*F1452*G1452))))))</f>
        <v>6.080000000000001</v>
      </c>
      <c r="I1452" s="40"/>
      <c r="J1452" s="41"/>
    </row>
    <row r="1453" spans="2:10" s="1" customFormat="1" ht="12.75" x14ac:dyDescent="0.2">
      <c r="B1453" s="25"/>
      <c r="C1453" s="39" t="s">
        <v>645</v>
      </c>
      <c r="D1453" s="40">
        <v>1</v>
      </c>
      <c r="E1453" s="40">
        <v>3.65</v>
      </c>
      <c r="F1453" s="40">
        <v>0.4</v>
      </c>
      <c r="G1453" s="40">
        <f>0.15+0.2</f>
        <v>0.35</v>
      </c>
      <c r="H1453" s="40">
        <f>IF(AND(F1453=0,G1453=0),D1453*E1453,IF(AND(E1453=0,G1453=0),D1453*F1453,IF(AND(E1453=0,F1453=0),D1453*G1453,IF(AND(E1453=0),D1453*F1453*G1453,IF(AND(F1453=0),D1453*E1453*G1453,IF(AND(G1453=0),D1453*E1453*F1453,D1453*E1453*F1453*G1453))))))</f>
        <v>0.51100000000000001</v>
      </c>
      <c r="I1453" s="40"/>
      <c r="J1453" s="41"/>
    </row>
    <row r="1454" spans="2:10" s="1" customFormat="1" ht="12.75" x14ac:dyDescent="0.2">
      <c r="B1454" s="25" t="s">
        <v>654</v>
      </c>
      <c r="C1454" s="1" t="s">
        <v>623</v>
      </c>
      <c r="D1454" s="60"/>
      <c r="E1454" s="40"/>
      <c r="F1454" s="40"/>
      <c r="G1454" s="40"/>
      <c r="H1454" s="24"/>
      <c r="I1454" s="25">
        <f>+SUM(H1455:H1456)</f>
        <v>0.46079999999999999</v>
      </c>
      <c r="J1454" s="26" t="s">
        <v>4</v>
      </c>
    </row>
    <row r="1455" spans="2:10" s="1" customFormat="1" ht="12.75" x14ac:dyDescent="0.2">
      <c r="B1455" s="57"/>
      <c r="C1455" s="39" t="s">
        <v>402</v>
      </c>
      <c r="D1455" s="40">
        <v>1</v>
      </c>
      <c r="E1455" s="40">
        <v>0.6</v>
      </c>
      <c r="F1455" s="40">
        <v>0.8</v>
      </c>
      <c r="G1455" s="40">
        <f>0.26+0.2</f>
        <v>0.46</v>
      </c>
      <c r="H1455" s="40">
        <f>IF(AND(F1455=0,G1455=0),D1455*E1455,IF(AND(E1455=0,G1455=0),D1455*F1455,IF(AND(E1455=0,F1455=0),D1455*G1455,IF(AND(E1455=0),D1455*F1455*G1455,IF(AND(F1455=0),D1455*E1455*G1455,IF(AND(G1455=0),D1455*E1455*F1455,D1455*E1455*F1455*G1455))))))</f>
        <v>0.2208</v>
      </c>
      <c r="I1455" s="40"/>
      <c r="J1455" s="41"/>
    </row>
    <row r="1456" spans="2:10" s="1" customFormat="1" ht="12.75" x14ac:dyDescent="0.2">
      <c r="B1456" s="57"/>
      <c r="C1456" s="39" t="s">
        <v>392</v>
      </c>
      <c r="D1456" s="40">
        <v>1</v>
      </c>
      <c r="E1456" s="40">
        <v>0.6</v>
      </c>
      <c r="F1456" s="40">
        <v>0.8</v>
      </c>
      <c r="G1456" s="40">
        <f>0.3+0.2</f>
        <v>0.5</v>
      </c>
      <c r="H1456" s="40">
        <f>IF(AND(F1456=0,G1456=0),D1456*E1456,IF(AND(E1456=0,G1456=0),D1456*F1456,IF(AND(E1456=0,F1456=0),D1456*G1456,IF(AND(E1456=0),D1456*F1456*G1456,IF(AND(F1456=0),D1456*E1456*G1456,IF(AND(G1456=0),D1456*E1456*F1456,D1456*E1456*F1456*G1456))))))</f>
        <v>0.24</v>
      </c>
      <c r="I1456" s="40"/>
      <c r="J1456" s="41"/>
    </row>
    <row r="1457" spans="2:10" s="1" customFormat="1" ht="12.75" x14ac:dyDescent="0.2">
      <c r="B1457" s="25" t="s">
        <v>822</v>
      </c>
      <c r="C1457" s="1" t="s">
        <v>738</v>
      </c>
      <c r="D1457" s="60"/>
      <c r="E1457" s="40"/>
      <c r="F1457" s="40"/>
      <c r="G1457" s="40"/>
      <c r="H1457" s="40"/>
      <c r="I1457" s="40">
        <f>+SUM(H1458)</f>
        <v>0</v>
      </c>
      <c r="J1457" s="41" t="s">
        <v>4</v>
      </c>
    </row>
    <row r="1458" spans="2:10" s="1" customFormat="1" ht="12.75" x14ac:dyDescent="0.2">
      <c r="B1458" s="46"/>
      <c r="C1458" s="39"/>
      <c r="E1458" s="40"/>
      <c r="F1458" s="40"/>
      <c r="G1458" s="40"/>
      <c r="H1458" s="40">
        <f>IF(AND(F1458=0,G1458=0),D1458*E1458,IF(AND(E1458=0,G1458=0),D1458*F1458,IF(AND(E1458=0,F1458=0),D1458*G1458,IF(AND(E1458=0),D1458*F1458*G1458,IF(AND(F1458=0),D1458*E1458*G1458,IF(AND(G1458=0),D1458*E1458*F1458,D1458*E1458*F1458*G1458))))))</f>
        <v>0</v>
      </c>
      <c r="I1458" s="40"/>
      <c r="J1458" s="41"/>
    </row>
    <row r="1459" spans="2:10" s="118" customFormat="1" x14ac:dyDescent="0.25">
      <c r="B1459" s="25" t="s">
        <v>820</v>
      </c>
      <c r="C1459" s="414" t="s">
        <v>779</v>
      </c>
      <c r="D1459" s="23"/>
      <c r="E1459" s="23"/>
      <c r="F1459" s="23"/>
      <c r="G1459" s="23"/>
      <c r="H1459" s="414"/>
      <c r="I1459" s="24">
        <f>+SUM(H1460:H1463)</f>
        <v>17.62</v>
      </c>
      <c r="J1459" s="26" t="s">
        <v>45</v>
      </c>
    </row>
    <row r="1460" spans="2:10" s="118" customFormat="1" x14ac:dyDescent="0.25">
      <c r="B1460" s="25"/>
      <c r="C1460" s="39" t="s">
        <v>732</v>
      </c>
      <c r="D1460" s="40">
        <v>1</v>
      </c>
      <c r="E1460" s="40">
        <f>31.5+6.5</f>
        <v>38</v>
      </c>
      <c r="F1460" s="40">
        <v>0.4</v>
      </c>
      <c r="G1460" s="40"/>
      <c r="H1460" s="40">
        <f>IF(AND(F1460=0,G1460=0),D1460*E1460,IF(AND(E1460=0,G1460=0),D1460*F1460,IF(AND(E1460=0,F1460=0),D1460*G1460,IF(AND(E1460=0),D1460*F1460*G1460,IF(AND(F1460=0),D1460*E1460*G1460,IF(AND(G1460=0),D1460*E1460*F1460,D1460*E1460*F1460*G1460))))))</f>
        <v>15.200000000000001</v>
      </c>
      <c r="I1460" s="25"/>
      <c r="J1460" s="26"/>
    </row>
    <row r="1461" spans="2:10" x14ac:dyDescent="0.25">
      <c r="B1461" s="107"/>
      <c r="C1461" s="39" t="s">
        <v>645</v>
      </c>
      <c r="D1461" s="40">
        <v>1</v>
      </c>
      <c r="E1461" s="40">
        <v>3.65</v>
      </c>
      <c r="F1461" s="40">
        <v>0.4</v>
      </c>
      <c r="G1461" s="40"/>
      <c r="H1461" s="40">
        <f>IF(AND(F1461=0,G1461=0),D1461*E1461,IF(AND(E1461=0,G1461=0),D1461*F1461,IF(AND(E1461=0,F1461=0),D1461*G1461,IF(AND(E1461=0),D1461*F1461*G1461,IF(AND(F1461=0),D1461*E1461*G1461,IF(AND(G1461=0),D1461*E1461*F1461,D1461*E1461*F1461*G1461))))))</f>
        <v>1.46</v>
      </c>
      <c r="I1461" s="25"/>
      <c r="J1461" s="26"/>
    </row>
    <row r="1462" spans="2:10" x14ac:dyDescent="0.25">
      <c r="B1462" s="107"/>
      <c r="C1462" s="39" t="s">
        <v>402</v>
      </c>
      <c r="D1462" s="40">
        <v>1</v>
      </c>
      <c r="E1462" s="40">
        <v>0.6</v>
      </c>
      <c r="F1462" s="40">
        <v>0.8</v>
      </c>
      <c r="G1462" s="40"/>
      <c r="H1462" s="40">
        <f>IF(AND(F1462=0,G1462=0),D1462*E1462,IF(AND(E1462=0,G1462=0),D1462*F1462,IF(AND(E1462=0,F1462=0),D1462*G1462,IF(AND(E1462=0),D1462*F1462*G1462,IF(AND(F1462=0),D1462*E1462*G1462,IF(AND(G1462=0),D1462*E1462*F1462,D1462*E1462*F1462*G1462))))))</f>
        <v>0.48</v>
      </c>
      <c r="I1462" s="25"/>
      <c r="J1462" s="26"/>
    </row>
    <row r="1463" spans="2:10" x14ac:dyDescent="0.25">
      <c r="B1463" s="107"/>
      <c r="C1463" s="39" t="s">
        <v>392</v>
      </c>
      <c r="D1463" s="40">
        <v>1</v>
      </c>
      <c r="E1463" s="40">
        <v>0.6</v>
      </c>
      <c r="F1463" s="40">
        <v>0.8</v>
      </c>
      <c r="G1463" s="40"/>
      <c r="H1463" s="40">
        <f>IF(AND(F1463=0,G1463=0),D1463*E1463,IF(AND(E1463=0,G1463=0),D1463*F1463,IF(AND(E1463=0,F1463=0),D1463*G1463,IF(AND(E1463=0),D1463*F1463*G1463,IF(AND(F1463=0),D1463*E1463*G1463,IF(AND(G1463=0),D1463*E1463*F1463,D1463*E1463*F1463*G1463))))))</f>
        <v>0.48</v>
      </c>
      <c r="I1463" s="25"/>
      <c r="J1463" s="26"/>
    </row>
    <row r="1464" spans="2:10" s="1" customFormat="1" ht="12.75" x14ac:dyDescent="0.2">
      <c r="B1464" s="25" t="s">
        <v>823</v>
      </c>
      <c r="C1464" s="28" t="s">
        <v>719</v>
      </c>
      <c r="D1464" s="60"/>
      <c r="E1464" s="40"/>
      <c r="F1464" s="40"/>
      <c r="G1464" s="40"/>
      <c r="H1464" s="40"/>
      <c r="I1464" s="40">
        <f>+SUM(H1465:H1465)</f>
        <v>49.4</v>
      </c>
      <c r="J1464" s="41" t="s">
        <v>45</v>
      </c>
    </row>
    <row r="1465" spans="2:10" s="1" customFormat="1" ht="12.75" x14ac:dyDescent="0.2">
      <c r="B1465" s="46"/>
      <c r="C1465" s="39" t="s">
        <v>433</v>
      </c>
      <c r="D1465" s="40">
        <v>1</v>
      </c>
      <c r="E1465" s="40">
        <f>31.5+6.5</f>
        <v>38</v>
      </c>
      <c r="F1465" s="40">
        <v>0.5</v>
      </c>
      <c r="G1465" s="40">
        <f>0.2+0.2</f>
        <v>0.4</v>
      </c>
      <c r="H1465" s="40">
        <f>+(F1465+G1465*2)*E1465</f>
        <v>49.4</v>
      </c>
      <c r="I1465" s="40"/>
      <c r="J1465" s="41"/>
    </row>
    <row r="1466" spans="2:10" s="414" customFormat="1" ht="12.75" x14ac:dyDescent="0.2">
      <c r="B1466" s="25" t="s">
        <v>825</v>
      </c>
      <c r="C1466" s="28" t="s">
        <v>794</v>
      </c>
      <c r="D1466" s="60"/>
      <c r="E1466" s="40"/>
      <c r="F1466" s="40" t="s">
        <v>795</v>
      </c>
      <c r="G1466" s="40"/>
      <c r="H1466" s="40"/>
      <c r="I1466" s="40">
        <f>+SUM(H1467:H1471)</f>
        <v>149.46960000000001</v>
      </c>
      <c r="J1466" s="41" t="s">
        <v>12</v>
      </c>
    </row>
    <row r="1467" spans="2:10" s="414" customFormat="1" ht="12.75" x14ac:dyDescent="0.2">
      <c r="B1467" s="380"/>
      <c r="C1467" s="43" t="s">
        <v>349</v>
      </c>
      <c r="D1467" s="60">
        <v>6</v>
      </c>
      <c r="E1467" s="40">
        <f>9.8+0.75</f>
        <v>10.55</v>
      </c>
      <c r="F1467" s="40">
        <f>8.2/5</f>
        <v>1.64</v>
      </c>
      <c r="G1467" s="40"/>
      <c r="H1467" s="40">
        <f>IF(AND(F1467=0,G1467=0),D1467*E1467,IF(AND(E1467=0,G1467=0),D1467*F1467,IF(AND(E1467=0,F1467=0),D1467*G1467,IF(AND(E1467=0),D1467*F1467*G1467,IF(AND(F1467=0),D1467*E1467*G1467,IF(AND(G1467=0),D1467*E1467*F1467,D1467*E1467*F1467*G1467))))))</f>
        <v>103.812</v>
      </c>
      <c r="I1467" s="40"/>
      <c r="J1467" s="41"/>
    </row>
    <row r="1468" spans="2:10" s="414" customFormat="1" ht="12.75" x14ac:dyDescent="0.2">
      <c r="B1468" s="380"/>
      <c r="C1468" s="39" t="s">
        <v>528</v>
      </c>
      <c r="D1468" s="60">
        <v>1</v>
      </c>
      <c r="E1468" s="89">
        <v>10.55</v>
      </c>
      <c r="F1468" s="40">
        <f>8.2/5</f>
        <v>1.64</v>
      </c>
      <c r="G1468" s="40"/>
      <c r="H1468" s="40">
        <f t="shared" ref="H1468:H1471" si="96">IF(AND(F1468=0,G1468=0),D1468*E1468,IF(AND(E1468=0,G1468=0),D1468*F1468,IF(AND(E1468=0,F1468=0),D1468*G1468,IF(AND(E1468=0),D1468*F1468*G1468,IF(AND(F1468=0),D1468*E1468*G1468,IF(AND(G1468=0),D1468*E1468*F1468,D1468*E1468*F1468*G1468))))))</f>
        <v>17.302</v>
      </c>
      <c r="I1468" s="40"/>
      <c r="J1468" s="41"/>
    </row>
    <row r="1469" spans="2:10" s="1" customFormat="1" ht="12.75" x14ac:dyDescent="0.2">
      <c r="B1469" s="380"/>
      <c r="C1469" s="39" t="s">
        <v>663</v>
      </c>
      <c r="D1469" s="60">
        <v>1</v>
      </c>
      <c r="E1469" s="40">
        <v>2</v>
      </c>
      <c r="F1469" s="40">
        <f t="shared" ref="F1469" si="97">8.2/5</f>
        <v>1.64</v>
      </c>
      <c r="G1469" s="40"/>
      <c r="H1469" s="40">
        <f t="shared" si="96"/>
        <v>3.28</v>
      </c>
      <c r="I1469" s="40"/>
      <c r="J1469" s="41"/>
    </row>
    <row r="1470" spans="2:10" s="1" customFormat="1" ht="12.75" x14ac:dyDescent="0.2">
      <c r="B1470" s="380"/>
      <c r="C1470" s="43" t="s">
        <v>472</v>
      </c>
      <c r="D1470" s="60"/>
      <c r="E1470" s="40"/>
      <c r="F1470" s="40"/>
      <c r="G1470" s="40"/>
      <c r="H1470" s="40"/>
      <c r="I1470" s="40"/>
      <c r="J1470" s="41"/>
    </row>
    <row r="1471" spans="2:10" s="1" customFormat="1" ht="12.75" x14ac:dyDescent="0.2">
      <c r="B1471" s="380"/>
      <c r="C1471" s="39" t="s">
        <v>553</v>
      </c>
      <c r="D1471" s="40">
        <v>1</v>
      </c>
      <c r="E1471" s="40">
        <f>4.92+2.65+7.72</f>
        <v>15.29</v>
      </c>
      <c r="F1471" s="40">
        <v>1.64</v>
      </c>
      <c r="G1471" s="40"/>
      <c r="H1471" s="40">
        <f t="shared" si="96"/>
        <v>25.075599999999998</v>
      </c>
      <c r="I1471" s="40"/>
      <c r="J1471" s="41"/>
    </row>
    <row r="1472" spans="2:10" s="1" customFormat="1" ht="12.75" x14ac:dyDescent="0.2">
      <c r="B1472" s="380"/>
      <c r="C1472" s="366"/>
      <c r="D1472" s="60"/>
      <c r="E1472" s="40"/>
      <c r="F1472" s="40"/>
      <c r="G1472" s="40"/>
      <c r="H1472" s="40"/>
      <c r="I1472" s="40"/>
      <c r="J1472" s="41"/>
    </row>
    <row r="1473" spans="2:10" s="1" customFormat="1" ht="12.75" x14ac:dyDescent="0.2">
      <c r="B1473" s="25" t="s">
        <v>899</v>
      </c>
      <c r="C1473" s="28" t="s">
        <v>625</v>
      </c>
      <c r="D1473" s="60"/>
      <c r="E1473" s="40"/>
      <c r="F1473" s="40"/>
      <c r="G1473" s="40"/>
      <c r="H1473" s="40"/>
      <c r="I1473" s="40">
        <f>+SUM(H1474:H1481)</f>
        <v>3.9159000000000002</v>
      </c>
      <c r="J1473" s="41" t="s">
        <v>4</v>
      </c>
    </row>
    <row r="1474" spans="2:10" s="1" customFormat="1" ht="12.75" x14ac:dyDescent="0.2">
      <c r="B1474" s="46"/>
      <c r="C1474" s="39" t="s">
        <v>732</v>
      </c>
      <c r="D1474" s="40">
        <v>2</v>
      </c>
      <c r="E1474" s="40">
        <f>31.5+6.5</f>
        <v>38</v>
      </c>
      <c r="F1474" s="40">
        <v>0.1</v>
      </c>
      <c r="G1474" s="40">
        <v>0.2</v>
      </c>
      <c r="H1474" s="40">
        <f t="shared" ref="H1474:H1481" si="98">IF(AND(F1474=0,G1474=0),D1474*E1474,IF(AND(E1474=0,G1474=0),D1474*F1474,IF(AND(E1474=0,F1474=0),D1474*G1474,IF(AND(E1474=0),D1474*F1474*G1474,IF(AND(F1474=0),D1474*E1474*G1474,IF(AND(G1474=0),D1474*E1474*F1474,D1474*E1474*F1474*G1474))))))</f>
        <v>1.5200000000000002</v>
      </c>
      <c r="I1474" s="40"/>
      <c r="J1474" s="41"/>
    </row>
    <row r="1475" spans="2:10" s="1" customFormat="1" ht="12.75" x14ac:dyDescent="0.2">
      <c r="B1475" s="46"/>
      <c r="C1475" s="39"/>
      <c r="D1475" s="40">
        <v>1</v>
      </c>
      <c r="E1475" s="40">
        <v>38</v>
      </c>
      <c r="F1475" s="40">
        <v>0.4</v>
      </c>
      <c r="G1475" s="40">
        <v>0.1</v>
      </c>
      <c r="H1475" s="40">
        <f t="shared" si="98"/>
        <v>1.5200000000000002</v>
      </c>
      <c r="I1475" s="40"/>
      <c r="J1475" s="41"/>
    </row>
    <row r="1476" spans="2:10" s="1" customFormat="1" ht="12.75" x14ac:dyDescent="0.2">
      <c r="B1476" s="46"/>
      <c r="C1476" s="39" t="s">
        <v>645</v>
      </c>
      <c r="D1476" s="40">
        <v>2</v>
      </c>
      <c r="E1476" s="40">
        <v>3.65</v>
      </c>
      <c r="F1476" s="40">
        <v>0.5</v>
      </c>
      <c r="G1476" s="40">
        <v>0.15</v>
      </c>
      <c r="H1476" s="40">
        <f t="shared" si="98"/>
        <v>0.54749999999999999</v>
      </c>
      <c r="I1476" s="40"/>
      <c r="J1476" s="41"/>
    </row>
    <row r="1477" spans="2:10" s="1" customFormat="1" ht="12.75" x14ac:dyDescent="0.2">
      <c r="B1477" s="46"/>
      <c r="C1477" s="59"/>
      <c r="D1477" s="60">
        <v>1</v>
      </c>
      <c r="E1477" s="40">
        <v>3.65</v>
      </c>
      <c r="F1477" s="40">
        <v>0.4</v>
      </c>
      <c r="G1477" s="40">
        <v>0.1</v>
      </c>
      <c r="H1477" s="40">
        <f t="shared" si="98"/>
        <v>0.14599999999999999</v>
      </c>
      <c r="I1477" s="40"/>
      <c r="J1477" s="41"/>
    </row>
    <row r="1478" spans="2:10" s="1" customFormat="1" ht="12.75" x14ac:dyDescent="0.2">
      <c r="B1478" s="46"/>
      <c r="C1478" s="39" t="s">
        <v>402</v>
      </c>
      <c r="D1478" s="40">
        <v>2</v>
      </c>
      <c r="E1478" s="40">
        <v>0.8</v>
      </c>
      <c r="F1478" s="40">
        <v>0.1</v>
      </c>
      <c r="G1478" s="40">
        <v>0.36</v>
      </c>
      <c r="H1478" s="40">
        <f t="shared" si="98"/>
        <v>5.7600000000000012E-2</v>
      </c>
      <c r="I1478" s="40"/>
      <c r="J1478" s="41"/>
    </row>
    <row r="1479" spans="2:10" s="1" customFormat="1" ht="12.75" x14ac:dyDescent="0.2">
      <c r="B1479" s="46"/>
      <c r="C1479" s="39"/>
      <c r="D1479" s="40">
        <v>2</v>
      </c>
      <c r="E1479" s="40">
        <v>0.4</v>
      </c>
      <c r="F1479" s="40">
        <v>0.1</v>
      </c>
      <c r="G1479" s="40">
        <v>0.36</v>
      </c>
      <c r="H1479" s="40">
        <f t="shared" si="98"/>
        <v>2.8800000000000006E-2</v>
      </c>
      <c r="I1479" s="40"/>
      <c r="J1479" s="41"/>
    </row>
    <row r="1480" spans="2:10" s="1" customFormat="1" ht="12.75" x14ac:dyDescent="0.2">
      <c r="B1480" s="46"/>
      <c r="C1480" s="39" t="s">
        <v>392</v>
      </c>
      <c r="D1480" s="40">
        <v>2</v>
      </c>
      <c r="E1480" s="40">
        <v>0.8</v>
      </c>
      <c r="F1480" s="40">
        <v>0.1</v>
      </c>
      <c r="G1480" s="40">
        <v>0.4</v>
      </c>
      <c r="H1480" s="40">
        <f t="shared" si="98"/>
        <v>6.4000000000000015E-2</v>
      </c>
      <c r="I1480" s="40"/>
      <c r="J1480" s="41"/>
    </row>
    <row r="1481" spans="2:10" s="1" customFormat="1" ht="12.75" x14ac:dyDescent="0.2">
      <c r="B1481" s="46"/>
      <c r="C1481" s="59"/>
      <c r="D1481" s="40">
        <v>2</v>
      </c>
      <c r="E1481" s="40">
        <v>0.4</v>
      </c>
      <c r="F1481" s="40">
        <v>0.1</v>
      </c>
      <c r="G1481" s="40">
        <v>0.4</v>
      </c>
      <c r="H1481" s="40">
        <f t="shared" si="98"/>
        <v>3.2000000000000008E-2</v>
      </c>
      <c r="I1481" s="40"/>
      <c r="J1481" s="41"/>
    </row>
    <row r="1482" spans="2:10" s="414" customFormat="1" ht="12.75" x14ac:dyDescent="0.2">
      <c r="B1482" s="25" t="s">
        <v>900</v>
      </c>
      <c r="C1482" s="28" t="s">
        <v>789</v>
      </c>
      <c r="D1482" s="60" t="s">
        <v>791</v>
      </c>
      <c r="E1482" s="40"/>
      <c r="F1482" s="40"/>
      <c r="G1482" s="40"/>
      <c r="H1482" s="40"/>
      <c r="I1482" s="40">
        <f>+SUM(H1483:H1486)</f>
        <v>8.8147500000000019</v>
      </c>
      <c r="J1482" s="41" t="s">
        <v>4</v>
      </c>
    </row>
    <row r="1483" spans="2:10" s="414" customFormat="1" ht="12.75" x14ac:dyDescent="0.2">
      <c r="B1483" s="25"/>
      <c r="C1483" s="39" t="s">
        <v>726</v>
      </c>
      <c r="D1483" s="40">
        <v>1.25</v>
      </c>
      <c r="E1483" s="40">
        <f>31.5+6.5</f>
        <v>38</v>
      </c>
      <c r="F1483" s="40">
        <v>0.4</v>
      </c>
      <c r="G1483" s="40">
        <f>0.2+0.2</f>
        <v>0.4</v>
      </c>
      <c r="H1483" s="40">
        <f>IF(AND(F1483=0,G1483=0),D1483*E1483,IF(AND(E1483=0,G1483=0),D1483*F1483,IF(AND(E1483=0,F1483=0),D1483*G1483,IF(AND(E1483=0),D1483*F1483*G1483,IF(AND(F1483=0),D1483*E1483*G1483,IF(AND(G1483=0),D1483*E1483*F1483,D1483*E1483*F1483*G1483))))))</f>
        <v>7.6000000000000005</v>
      </c>
      <c r="I1483" s="40"/>
      <c r="J1483" s="41"/>
    </row>
    <row r="1484" spans="2:10" s="1" customFormat="1" ht="12.75" x14ac:dyDescent="0.2">
      <c r="B1484" s="107"/>
      <c r="C1484" s="39" t="s">
        <v>645</v>
      </c>
      <c r="D1484" s="40">
        <v>1.25</v>
      </c>
      <c r="E1484" s="40">
        <v>3.65</v>
      </c>
      <c r="F1484" s="40">
        <v>0.4</v>
      </c>
      <c r="G1484" s="40">
        <f>0.15+0.2</f>
        <v>0.35</v>
      </c>
      <c r="H1484" s="40">
        <f>IF(AND(F1484=0,G1484=0),D1484*E1484,IF(AND(E1484=0,G1484=0),D1484*F1484,IF(AND(E1484=0,F1484=0),D1484*G1484,IF(AND(E1484=0),D1484*F1484*G1484,IF(AND(F1484=0),D1484*E1484*G1484,IF(AND(G1484=0),D1484*E1484*F1484,D1484*E1484*F1484*G1484))))))</f>
        <v>0.63875000000000004</v>
      </c>
      <c r="I1484" s="40"/>
      <c r="J1484" s="41"/>
    </row>
    <row r="1485" spans="2:10" s="1" customFormat="1" ht="12.75" x14ac:dyDescent="0.2">
      <c r="B1485" s="107"/>
      <c r="C1485" s="39" t="s">
        <v>402</v>
      </c>
      <c r="D1485" s="40">
        <v>1.25</v>
      </c>
      <c r="E1485" s="40">
        <v>0.6</v>
      </c>
      <c r="F1485" s="40">
        <v>0.8</v>
      </c>
      <c r="G1485" s="40">
        <f>0.26+0.2</f>
        <v>0.46</v>
      </c>
      <c r="H1485" s="40">
        <f>IF(AND(F1485=0,G1485=0),D1485*E1485,IF(AND(E1485=0,G1485=0),D1485*F1485,IF(AND(E1485=0,F1485=0),D1485*G1485,IF(AND(E1485=0),D1485*F1485*G1485,IF(AND(F1485=0),D1485*E1485*G1485,IF(AND(G1485=0),D1485*E1485*F1485,D1485*E1485*F1485*G1485))))))</f>
        <v>0.27600000000000008</v>
      </c>
      <c r="I1485" s="40"/>
      <c r="J1485" s="41"/>
    </row>
    <row r="1486" spans="2:10" s="1" customFormat="1" ht="12.75" x14ac:dyDescent="0.2">
      <c r="B1486" s="107"/>
      <c r="C1486" s="39" t="s">
        <v>392</v>
      </c>
      <c r="D1486" s="40">
        <v>1.25</v>
      </c>
      <c r="E1486" s="40">
        <v>0.6</v>
      </c>
      <c r="F1486" s="40">
        <v>0.8</v>
      </c>
      <c r="G1486" s="40">
        <f>0.3+0.2</f>
        <v>0.5</v>
      </c>
      <c r="H1486" s="40">
        <f>IF(AND(F1486=0,G1486=0),D1486*E1486,IF(AND(E1486=0,G1486=0),D1486*F1486,IF(AND(E1486=0,F1486=0),D1486*G1486,IF(AND(E1486=0),D1486*F1486*G1486,IF(AND(F1486=0),D1486*E1486*G1486,IF(AND(G1486=0),D1486*E1486*F1486,D1486*E1486*F1486*G1486))))))</f>
        <v>0.30000000000000004</v>
      </c>
      <c r="I1486" s="40"/>
      <c r="J1486" s="41"/>
    </row>
    <row r="1487" spans="2:10" s="414" customFormat="1" ht="12.75" x14ac:dyDescent="0.2">
      <c r="B1487" s="25" t="s">
        <v>901</v>
      </c>
      <c r="C1487" s="28" t="s">
        <v>624</v>
      </c>
      <c r="D1487" s="60"/>
      <c r="E1487" s="40"/>
      <c r="F1487" s="40"/>
      <c r="G1487" s="40"/>
      <c r="H1487" s="40"/>
      <c r="I1487" s="40">
        <f>+I1482</f>
        <v>8.8147500000000019</v>
      </c>
      <c r="J1487" s="41" t="s">
        <v>4</v>
      </c>
    </row>
    <row r="1488" spans="2:10" s="414" customFormat="1" ht="12.75" x14ac:dyDescent="0.2">
      <c r="B1488" s="46"/>
      <c r="C1488" s="59"/>
      <c r="D1488" s="60"/>
      <c r="E1488" s="40"/>
      <c r="F1488" s="40"/>
      <c r="G1488" s="40"/>
      <c r="H1488" s="40"/>
      <c r="I1488" s="40"/>
      <c r="J1488" s="41"/>
    </row>
    <row r="1489" spans="2:10" x14ac:dyDescent="0.25">
      <c r="B1489" s="73" t="s">
        <v>829</v>
      </c>
      <c r="C1489" s="74" t="s">
        <v>626</v>
      </c>
      <c r="D1489" s="23"/>
      <c r="E1489" s="23"/>
      <c r="F1489" s="23"/>
      <c r="G1489" s="23"/>
      <c r="H1489" s="24"/>
      <c r="I1489" s="25"/>
      <c r="J1489" s="26"/>
    </row>
    <row r="1490" spans="2:10" s="1" customFormat="1" ht="12.75" x14ac:dyDescent="0.2">
      <c r="B1490" s="43" t="s">
        <v>830</v>
      </c>
      <c r="C1490" s="25" t="s">
        <v>627</v>
      </c>
      <c r="D1490" s="60"/>
      <c r="E1490" s="40"/>
      <c r="F1490" s="40"/>
      <c r="G1490" s="40"/>
      <c r="H1490" s="40"/>
      <c r="I1490" s="44">
        <f>+SUM(H1491:H1492)</f>
        <v>16.66</v>
      </c>
      <c r="J1490" s="45" t="s">
        <v>45</v>
      </c>
    </row>
    <row r="1491" spans="2:10" s="1" customFormat="1" ht="12.75" x14ac:dyDescent="0.2">
      <c r="B1491" s="25"/>
      <c r="C1491" s="39" t="s">
        <v>726</v>
      </c>
      <c r="D1491" s="40">
        <v>1</v>
      </c>
      <c r="E1491" s="40">
        <f>31.5+6.5</f>
        <v>38</v>
      </c>
      <c r="F1491" s="40">
        <v>0.4</v>
      </c>
      <c r="G1491" s="40"/>
      <c r="H1491" s="40">
        <f>IF(AND(F1491=0,G1491=0),D1491*E1491,IF(AND(E1491=0,G1491=0),D1491*F1491,IF(AND(E1491=0,F1491=0),D1491*G1491,IF(AND(E1491=0),D1491*F1491*G1491,IF(AND(F1491=0),D1491*E1491*G1491,IF(AND(G1491=0),D1491*E1491*F1491,D1491*E1491*F1491*G1491))))))</f>
        <v>15.200000000000001</v>
      </c>
      <c r="I1491" s="40"/>
      <c r="J1491" s="41"/>
    </row>
    <row r="1492" spans="2:10" s="1" customFormat="1" ht="12.75" x14ac:dyDescent="0.2">
      <c r="B1492" s="25"/>
      <c r="C1492" s="39" t="s">
        <v>645</v>
      </c>
      <c r="D1492" s="40">
        <v>1</v>
      </c>
      <c r="E1492" s="40">
        <v>3.65</v>
      </c>
      <c r="F1492" s="40">
        <v>0.4</v>
      </c>
      <c r="G1492" s="40"/>
      <c r="H1492" s="40">
        <f>IF(AND(F1492=0,G1492=0),D1492*E1492,IF(AND(E1492=0,G1492=0),D1492*F1492,IF(AND(E1492=0,F1492=0),D1492*G1492,IF(AND(E1492=0),D1492*F1492*G1492,IF(AND(F1492=0),D1492*E1492*G1492,IF(AND(G1492=0),D1492*E1492*F1492,D1492*E1492*F1492*G1492))))))</f>
        <v>1.46</v>
      </c>
      <c r="I1492" s="40"/>
      <c r="J1492" s="41"/>
    </row>
    <row r="1493" spans="2:10" s="1" customFormat="1" ht="12.75" x14ac:dyDescent="0.2">
      <c r="B1493" s="43" t="s">
        <v>831</v>
      </c>
      <c r="C1493" s="25" t="s">
        <v>680</v>
      </c>
      <c r="D1493" s="60"/>
      <c r="E1493" s="40"/>
      <c r="F1493" s="40"/>
      <c r="G1493" s="40"/>
      <c r="H1493" s="40"/>
      <c r="I1493" s="44">
        <f>+SUM(H1494:H1495)</f>
        <v>0.96</v>
      </c>
      <c r="J1493" s="45" t="s">
        <v>45</v>
      </c>
    </row>
    <row r="1494" spans="2:10" s="1" customFormat="1" ht="12.75" x14ac:dyDescent="0.2">
      <c r="B1494" s="57"/>
      <c r="C1494" s="39" t="s">
        <v>402</v>
      </c>
      <c r="D1494" s="40">
        <v>1</v>
      </c>
      <c r="E1494" s="40">
        <v>0.6</v>
      </c>
      <c r="F1494" s="40">
        <v>0.8</v>
      </c>
      <c r="G1494" s="40"/>
      <c r="H1494" s="40">
        <f>IF(AND(F1494=0,G1494=0),D1494*E1494,IF(AND(E1494=0,G1494=0),D1494*F1494,IF(AND(E1494=0,F1494=0),D1494*G1494,IF(AND(E1494=0),D1494*F1494*G1494,IF(AND(F1494=0),D1494*E1494*G1494,IF(AND(G1494=0),D1494*E1494*F1494,D1494*E1494*F1494*G1494))))))</f>
        <v>0.48</v>
      </c>
      <c r="I1494" s="40"/>
      <c r="J1494" s="41"/>
    </row>
    <row r="1495" spans="2:10" s="1" customFormat="1" ht="12.75" x14ac:dyDescent="0.2">
      <c r="B1495" s="57"/>
      <c r="C1495" s="39" t="s">
        <v>392</v>
      </c>
      <c r="D1495" s="40">
        <v>1</v>
      </c>
      <c r="E1495" s="40">
        <v>0.6</v>
      </c>
      <c r="F1495" s="40">
        <v>0.8</v>
      </c>
      <c r="G1495" s="40"/>
      <c r="H1495" s="40">
        <f>IF(AND(F1495=0,G1495=0),D1495*E1495,IF(AND(E1495=0,G1495=0),D1495*F1495,IF(AND(E1495=0,F1495=0),D1495*G1495,IF(AND(E1495=0),D1495*F1495*G1495,IF(AND(F1495=0),D1495*E1495*G1495,IF(AND(G1495=0),D1495*E1495*F1495,D1495*E1495*F1495*G1495))))))</f>
        <v>0.48</v>
      </c>
      <c r="I1495" s="40"/>
      <c r="J1495" s="41"/>
    </row>
    <row r="1496" spans="2:10" s="1" customFormat="1" ht="12.75" x14ac:dyDescent="0.2">
      <c r="B1496" s="57"/>
      <c r="C1496" s="39"/>
      <c r="D1496" s="60"/>
      <c r="E1496" s="40"/>
      <c r="F1496" s="40"/>
      <c r="G1496" s="40"/>
      <c r="H1496" s="40"/>
      <c r="I1496" s="40"/>
      <c r="J1496" s="41"/>
    </row>
    <row r="1497" spans="2:10" s="1" customFormat="1" ht="12.75" x14ac:dyDescent="0.2">
      <c r="B1497" s="57" t="s">
        <v>838</v>
      </c>
      <c r="C1497" s="58" t="s">
        <v>224</v>
      </c>
      <c r="D1497" s="60"/>
      <c r="E1497" s="40"/>
      <c r="F1497" s="40"/>
      <c r="G1497" s="40"/>
      <c r="H1497" s="40"/>
      <c r="I1497" s="40"/>
      <c r="J1497" s="41"/>
    </row>
    <row r="1498" spans="2:10" s="1" customFormat="1" ht="12.75" x14ac:dyDescent="0.2">
      <c r="B1498" s="43" t="s">
        <v>849</v>
      </c>
      <c r="C1498" s="25" t="s">
        <v>902</v>
      </c>
      <c r="D1498" s="60"/>
      <c r="E1498" s="40"/>
      <c r="F1498" s="40"/>
      <c r="G1498" s="40"/>
      <c r="H1498" s="40"/>
      <c r="I1498" s="44">
        <f>SUM(H1499:H1499)</f>
        <v>15.29</v>
      </c>
      <c r="J1498" s="45" t="str">
        <f>+J1499</f>
        <v>ml</v>
      </c>
    </row>
    <row r="1499" spans="2:10" s="1" customFormat="1" ht="12.75" x14ac:dyDescent="0.2">
      <c r="B1499" s="57"/>
      <c r="C1499" s="39" t="s">
        <v>553</v>
      </c>
      <c r="D1499" s="40">
        <v>1</v>
      </c>
      <c r="E1499" s="40">
        <f>4.92+2.65+7.72</f>
        <v>15.29</v>
      </c>
      <c r="F1499" s="40"/>
      <c r="G1499" s="40"/>
      <c r="H1499" s="40">
        <f>IF(AND(F1499=0,G1499=0),D1499*E1499,IF(AND(E1499=0,G1499=0),D1499*F1499,IF(AND(E1499=0,F1499=0),D1499*G1499,IF(AND(E1499=0),D1499*F1499*G1499,IF(AND(F1499=0),D1499*E1499*G1499,IF(AND(G1499=0),D1499*E1499*F1499,D1499*E1499*F1499*G1499))))))</f>
        <v>15.29</v>
      </c>
      <c r="I1499" s="40"/>
      <c r="J1499" s="41" t="str">
        <f>IF(AND(E1499=0,F1499&lt;&gt;0,G1499&lt;&gt;0),"m2",IF(AND(F1499=0,E1499&lt;&gt;0,G1499&lt;&gt;0),"m2",IF(AND(G1499=0,E1499&lt;&gt;0,F1499&lt;&gt;0),"m2",IF(AND(F1499=0,G1499=0),"ml",IF(AND(E1499=0,G1499=0),"ml",IF(AND(E1499=0,F1499=0),"ml",IF(AND(E1499&lt;&gt;0,F1499&lt;&gt;0,G1499&lt;&gt;0),"m3",0)))))))</f>
        <v>ml</v>
      </c>
    </row>
    <row r="1500" spans="2:10" s="414" customFormat="1" ht="12.75" x14ac:dyDescent="0.2">
      <c r="B1500" s="43" t="s">
        <v>853</v>
      </c>
      <c r="C1500" s="43" t="s">
        <v>565</v>
      </c>
      <c r="D1500" s="60"/>
      <c r="E1500" s="40"/>
      <c r="F1500" s="40"/>
      <c r="G1500" s="40"/>
      <c r="H1500" s="40"/>
      <c r="I1500" s="44">
        <f>SUM(H1501:H1501)</f>
        <v>0</v>
      </c>
      <c r="J1500" s="45" t="s">
        <v>13</v>
      </c>
    </row>
    <row r="1501" spans="2:10" s="414" customFormat="1" ht="12.75" x14ac:dyDescent="0.2">
      <c r="B1501" s="43"/>
      <c r="C1501" s="39" t="s">
        <v>554</v>
      </c>
      <c r="D1501" s="40"/>
      <c r="E1501" s="40"/>
      <c r="F1501" s="40"/>
      <c r="G1501" s="40"/>
      <c r="H1501" s="40">
        <f t="shared" ref="H1501" si="99">+D1501</f>
        <v>0</v>
      </c>
      <c r="I1501" s="40"/>
      <c r="J1501" s="41" t="s">
        <v>13</v>
      </c>
    </row>
    <row r="1502" spans="2:10" s="1" customFormat="1" ht="12.75" x14ac:dyDescent="0.2">
      <c r="B1502" s="43" t="s">
        <v>854</v>
      </c>
      <c r="C1502" s="43" t="s">
        <v>695</v>
      </c>
      <c r="D1502" s="60"/>
      <c r="E1502" s="40"/>
      <c r="F1502" s="40"/>
      <c r="G1502" s="40"/>
      <c r="H1502" s="40"/>
      <c r="I1502" s="44">
        <f>SUM(H1503:H1504)</f>
        <v>2</v>
      </c>
      <c r="J1502" s="45">
        <f>+J1515</f>
        <v>0</v>
      </c>
    </row>
    <row r="1503" spans="2:10" s="1" customFormat="1" ht="12.75" x14ac:dyDescent="0.2">
      <c r="B1503" s="413"/>
      <c r="C1503" s="39" t="s">
        <v>402</v>
      </c>
      <c r="D1503" s="40">
        <v>1</v>
      </c>
      <c r="E1503" s="40"/>
      <c r="F1503" s="40"/>
      <c r="G1503" s="40"/>
      <c r="H1503" s="40">
        <f t="shared" ref="H1503:H1504" si="100">+D1503</f>
        <v>1</v>
      </c>
      <c r="I1503" s="40"/>
      <c r="J1503" s="41" t="s">
        <v>13</v>
      </c>
    </row>
    <row r="1504" spans="2:10" s="1" customFormat="1" ht="12.75" x14ac:dyDescent="0.2">
      <c r="B1504" s="413"/>
      <c r="C1504" s="39" t="s">
        <v>392</v>
      </c>
      <c r="D1504" s="40">
        <v>1</v>
      </c>
      <c r="E1504" s="40"/>
      <c r="F1504" s="40"/>
      <c r="G1504" s="40"/>
      <c r="H1504" s="40">
        <f t="shared" si="100"/>
        <v>1</v>
      </c>
      <c r="I1504" s="40"/>
      <c r="J1504" s="41"/>
    </row>
    <row r="1505" spans="2:10" s="1" customFormat="1" ht="12.75" x14ac:dyDescent="0.2">
      <c r="B1505" s="25" t="s">
        <v>859</v>
      </c>
      <c r="C1505" s="28" t="s">
        <v>735</v>
      </c>
      <c r="D1505" s="60"/>
      <c r="E1505" s="40"/>
      <c r="F1505" s="40"/>
      <c r="G1505" s="40"/>
      <c r="H1505" s="40"/>
      <c r="I1505" s="44">
        <f>+SUM(H1506:H1509)</f>
        <v>2.84</v>
      </c>
      <c r="J1505" s="41" t="s">
        <v>45</v>
      </c>
    </row>
    <row r="1506" spans="2:10" s="1" customFormat="1" ht="12.75" x14ac:dyDescent="0.2">
      <c r="B1506" s="25"/>
      <c r="C1506" s="39" t="s">
        <v>402</v>
      </c>
      <c r="D1506" s="40">
        <v>2</v>
      </c>
      <c r="E1506" s="40">
        <v>2</v>
      </c>
      <c r="F1506" s="40"/>
      <c r="G1506" s="40">
        <f>0.26+0.15</f>
        <v>0.41000000000000003</v>
      </c>
      <c r="H1506" s="40">
        <f t="shared" ref="H1506:H1509" si="101">IF(AND(F1506=0,G1506=0),D1506*E1506,IF(AND(E1506=0,G1506=0),D1506*F1506,IF(AND(E1506=0,F1506=0),D1506*G1506,IF(AND(E1506=0),D1506*F1506*G1506,IF(AND(F1506=0),D1506*E1506*G1506,IF(AND(G1506=0),D1506*E1506*F1506,D1506*E1506*F1506*G1506))))))</f>
        <v>1.6400000000000001</v>
      </c>
      <c r="I1506" s="40"/>
      <c r="J1506" s="41"/>
    </row>
    <row r="1507" spans="2:10" s="1" customFormat="1" ht="12.75" x14ac:dyDescent="0.2">
      <c r="B1507" s="25"/>
      <c r="C1507" s="39"/>
      <c r="D1507" s="40">
        <v>1</v>
      </c>
      <c r="E1507" s="40">
        <v>0.4</v>
      </c>
      <c r="F1507" s="40"/>
      <c r="G1507" s="40">
        <v>0.6</v>
      </c>
      <c r="H1507" s="40">
        <f t="shared" si="101"/>
        <v>0.24</v>
      </c>
      <c r="I1507" s="40"/>
      <c r="J1507" s="41"/>
    </row>
    <row r="1508" spans="2:10" s="1" customFormat="1" ht="12.75" x14ac:dyDescent="0.2">
      <c r="B1508" s="25"/>
      <c r="C1508" s="39" t="s">
        <v>392</v>
      </c>
      <c r="D1508" s="40">
        <v>2</v>
      </c>
      <c r="E1508" s="40">
        <v>0.8</v>
      </c>
      <c r="F1508" s="40"/>
      <c r="G1508" s="40">
        <f>0.3+0.15</f>
        <v>0.44999999999999996</v>
      </c>
      <c r="H1508" s="40">
        <f t="shared" si="101"/>
        <v>0.72</v>
      </c>
      <c r="I1508" s="40"/>
      <c r="J1508" s="41"/>
    </row>
    <row r="1509" spans="2:10" s="1" customFormat="1" ht="12.75" x14ac:dyDescent="0.2">
      <c r="B1509" s="25"/>
      <c r="C1509" s="59"/>
      <c r="D1509" s="40">
        <v>1</v>
      </c>
      <c r="E1509" s="40">
        <v>0.4</v>
      </c>
      <c r="F1509" s="40"/>
      <c r="G1509" s="40">
        <v>0.6</v>
      </c>
      <c r="H1509" s="40">
        <f t="shared" si="101"/>
        <v>0.24</v>
      </c>
      <c r="I1509" s="40"/>
      <c r="J1509" s="41"/>
    </row>
    <row r="1510" spans="2:10" s="1" customFormat="1" ht="12.75" x14ac:dyDescent="0.2">
      <c r="B1510" s="25" t="s">
        <v>860</v>
      </c>
      <c r="C1510" s="28" t="s">
        <v>736</v>
      </c>
      <c r="D1510" s="60"/>
      <c r="E1510" s="40"/>
      <c r="F1510" s="40"/>
      <c r="G1510" s="40"/>
      <c r="H1510" s="40"/>
      <c r="I1510" s="44">
        <f>+SUM(H1511:H1514)</f>
        <v>37.11999999999999</v>
      </c>
      <c r="J1510" s="41" t="s">
        <v>45</v>
      </c>
    </row>
    <row r="1511" spans="2:10" s="1" customFormat="1" ht="12.75" x14ac:dyDescent="0.2">
      <c r="B1511" s="46"/>
      <c r="C1511" s="39" t="s">
        <v>732</v>
      </c>
      <c r="D1511" s="40">
        <v>2</v>
      </c>
      <c r="E1511" s="40">
        <f>31.5+6.5</f>
        <v>38</v>
      </c>
      <c r="F1511" s="40"/>
      <c r="G1511" s="40">
        <f>0.2+0.15</f>
        <v>0.35</v>
      </c>
      <c r="H1511" s="40">
        <f t="shared" ref="H1511:H1514" si="102">IF(AND(F1511=0,G1511=0),D1511*E1511,IF(AND(E1511=0,G1511=0),D1511*F1511,IF(AND(E1511=0,F1511=0),D1511*G1511,IF(AND(E1511=0),D1511*F1511*G1511,IF(AND(F1511=0),D1511*E1511*G1511,IF(AND(G1511=0),D1511*E1511*F1511,D1511*E1511*F1511*G1511))))))</f>
        <v>26.599999999999998</v>
      </c>
      <c r="I1511" s="40"/>
      <c r="J1511" s="41"/>
    </row>
    <row r="1512" spans="2:10" s="1" customFormat="1" ht="12.75" x14ac:dyDescent="0.2">
      <c r="B1512" s="46"/>
      <c r="C1512" s="39"/>
      <c r="D1512" s="40">
        <v>1</v>
      </c>
      <c r="E1512" s="40">
        <v>38</v>
      </c>
      <c r="F1512" s="40"/>
      <c r="G1512" s="40">
        <v>0.2</v>
      </c>
      <c r="H1512" s="40">
        <f t="shared" si="102"/>
        <v>7.6000000000000005</v>
      </c>
      <c r="I1512" s="40"/>
      <c r="J1512" s="41"/>
    </row>
    <row r="1513" spans="2:10" s="1" customFormat="1" ht="12.75" x14ac:dyDescent="0.2">
      <c r="B1513" s="46"/>
      <c r="C1513" s="39" t="s">
        <v>645</v>
      </c>
      <c r="D1513" s="40">
        <v>2</v>
      </c>
      <c r="E1513" s="40">
        <v>3.65</v>
      </c>
      <c r="F1513" s="40"/>
      <c r="G1513" s="40">
        <f>0.15+0.15</f>
        <v>0.3</v>
      </c>
      <c r="H1513" s="40">
        <f t="shared" si="102"/>
        <v>2.19</v>
      </c>
      <c r="I1513" s="40"/>
      <c r="J1513" s="41"/>
    </row>
    <row r="1514" spans="2:10" s="1" customFormat="1" ht="12.75" x14ac:dyDescent="0.2">
      <c r="B1514" s="46"/>
      <c r="C1514" s="59"/>
      <c r="D1514" s="60">
        <v>1</v>
      </c>
      <c r="E1514" s="40">
        <v>3.65</v>
      </c>
      <c r="F1514" s="40"/>
      <c r="G1514" s="40">
        <v>0.2</v>
      </c>
      <c r="H1514" s="40">
        <f t="shared" si="102"/>
        <v>0.73</v>
      </c>
      <c r="I1514" s="40"/>
      <c r="J1514" s="41"/>
    </row>
    <row r="1515" spans="2:10" s="1" customFormat="1" ht="12.75" x14ac:dyDescent="0.2">
      <c r="B1515" s="57"/>
      <c r="C1515" s="39"/>
      <c r="D1515" s="60"/>
      <c r="E1515" s="40"/>
      <c r="F1515" s="40"/>
      <c r="G1515" s="40"/>
      <c r="H1515" s="40"/>
      <c r="I1515" s="40"/>
      <c r="J1515" s="41"/>
    </row>
    <row r="1516" spans="2:10" s="1" customFormat="1" ht="12.75" x14ac:dyDescent="0.2">
      <c r="B1516" s="57" t="s">
        <v>876</v>
      </c>
      <c r="C1516" s="58" t="s">
        <v>223</v>
      </c>
      <c r="D1516" s="60"/>
      <c r="E1516" s="40"/>
      <c r="F1516" s="40"/>
      <c r="G1516" s="40"/>
      <c r="H1516" s="40"/>
      <c r="I1516" s="40"/>
      <c r="J1516" s="41"/>
    </row>
    <row r="1517" spans="2:10" s="1" customFormat="1" ht="12.75" x14ac:dyDescent="0.2">
      <c r="B1517" s="43" t="s">
        <v>877</v>
      </c>
      <c r="C1517" s="43" t="s">
        <v>657</v>
      </c>
      <c r="D1517" s="60"/>
      <c r="E1517" s="40"/>
      <c r="F1517" s="40"/>
      <c r="G1517" s="40"/>
      <c r="H1517" s="40"/>
      <c r="I1517" s="44">
        <f>+SUM(H1518:H1519)</f>
        <v>15</v>
      </c>
      <c r="J1517" s="45" t="s">
        <v>13</v>
      </c>
    </row>
    <row r="1518" spans="2:10" s="1" customFormat="1" ht="12.75" x14ac:dyDescent="0.2">
      <c r="B1518" s="46"/>
      <c r="C1518" s="59" t="s">
        <v>658</v>
      </c>
      <c r="D1518" s="60">
        <v>3</v>
      </c>
      <c r="E1518" s="40">
        <v>1</v>
      </c>
      <c r="F1518" s="40"/>
      <c r="G1518" s="40"/>
      <c r="H1518" s="40">
        <f t="shared" ref="H1518" si="103">+D1518</f>
        <v>3</v>
      </c>
      <c r="I1518" s="40"/>
      <c r="J1518" s="41"/>
    </row>
    <row r="1519" spans="2:10" s="1" customFormat="1" ht="12.75" x14ac:dyDescent="0.2">
      <c r="B1519" s="46"/>
      <c r="C1519" s="39" t="s">
        <v>456</v>
      </c>
      <c r="D1519" s="60">
        <f>6*2</f>
        <v>12</v>
      </c>
      <c r="E1519" s="40"/>
      <c r="F1519" s="40"/>
      <c r="G1519" s="40"/>
      <c r="H1519" s="40">
        <f>+D1519</f>
        <v>12</v>
      </c>
      <c r="I1519" s="40"/>
      <c r="J1519" s="41"/>
    </row>
    <row r="1520" spans="2:10" s="1" customFormat="1" ht="12.75" x14ac:dyDescent="0.2">
      <c r="B1520" s="46"/>
      <c r="C1520" s="59"/>
      <c r="D1520" s="60"/>
      <c r="E1520" s="40"/>
      <c r="F1520" s="40"/>
      <c r="G1520" s="40"/>
      <c r="H1520" s="40"/>
      <c r="I1520" s="40"/>
      <c r="J1520" s="41"/>
    </row>
    <row r="1521" spans="2:10" s="1" customFormat="1" ht="12.75" x14ac:dyDescent="0.2">
      <c r="B1521" s="46"/>
      <c r="C1521" s="59"/>
      <c r="D1521" s="60"/>
      <c r="E1521" s="40"/>
      <c r="F1521" s="40"/>
      <c r="G1521" s="40"/>
      <c r="H1521" s="40"/>
      <c r="I1521" s="40"/>
      <c r="J1521" s="41"/>
    </row>
    <row r="1522" spans="2:10" s="1" customFormat="1" ht="12.75" x14ac:dyDescent="0.2">
      <c r="B1522" s="46"/>
      <c r="C1522" s="59"/>
      <c r="D1522" s="60"/>
      <c r="E1522" s="40"/>
      <c r="F1522" s="40"/>
      <c r="G1522" s="40"/>
      <c r="H1522" s="40"/>
      <c r="I1522" s="40"/>
      <c r="J1522" s="41"/>
    </row>
    <row r="1523" spans="2:10" s="1" customFormat="1" ht="12.75" x14ac:dyDescent="0.2">
      <c r="B1523" s="46"/>
      <c r="C1523" s="59"/>
      <c r="D1523" s="60"/>
      <c r="E1523" s="40"/>
      <c r="F1523" s="40"/>
      <c r="G1523" s="40"/>
      <c r="H1523" s="40"/>
      <c r="I1523" s="40"/>
      <c r="J1523" s="41"/>
    </row>
    <row r="1524" spans="2:10" s="1" customFormat="1" ht="12.75" x14ac:dyDescent="0.2">
      <c r="B1524" s="46"/>
      <c r="C1524" s="59"/>
      <c r="D1524" s="60"/>
      <c r="E1524" s="40"/>
      <c r="F1524" s="40"/>
      <c r="G1524" s="40"/>
      <c r="H1524" s="40"/>
      <c r="I1524" s="40"/>
      <c r="J1524" s="41"/>
    </row>
    <row r="1525" spans="2:10" s="1" customFormat="1" ht="12.75" x14ac:dyDescent="0.2">
      <c r="B1525" s="46"/>
      <c r="C1525" s="59"/>
      <c r="D1525" s="60"/>
      <c r="E1525" s="40"/>
      <c r="F1525" s="40"/>
      <c r="G1525" s="40"/>
      <c r="H1525" s="40"/>
      <c r="I1525" s="40"/>
      <c r="J1525" s="41"/>
    </row>
    <row r="1526" spans="2:10" s="1" customFormat="1" ht="12.75" x14ac:dyDescent="0.2">
      <c r="B1526" s="46"/>
      <c r="C1526" s="59"/>
      <c r="D1526" s="60"/>
      <c r="E1526" s="40"/>
      <c r="F1526" s="40"/>
      <c r="G1526" s="40"/>
      <c r="H1526" s="40"/>
      <c r="I1526" s="40"/>
      <c r="J1526" s="41"/>
    </row>
    <row r="1527" spans="2:10" s="1" customFormat="1" ht="12.75" x14ac:dyDescent="0.2">
      <c r="B1527" s="46"/>
      <c r="C1527" s="59"/>
      <c r="D1527" s="60"/>
      <c r="E1527" s="40"/>
      <c r="F1527" s="40"/>
      <c r="G1527" s="40"/>
      <c r="H1527" s="40"/>
      <c r="I1527" s="40"/>
      <c r="J1527" s="41"/>
    </row>
    <row r="1528" spans="2:10" s="1" customFormat="1" ht="12.75" x14ac:dyDescent="0.2">
      <c r="B1528" s="46"/>
      <c r="C1528" s="59"/>
      <c r="D1528" s="60"/>
      <c r="E1528" s="40"/>
      <c r="F1528" s="40"/>
      <c r="G1528" s="40"/>
      <c r="H1528" s="40"/>
      <c r="I1528" s="40"/>
      <c r="J1528" s="41"/>
    </row>
    <row r="1529" spans="2:10" s="1" customFormat="1" ht="12.75" x14ac:dyDescent="0.2">
      <c r="B1529" s="46"/>
      <c r="C1529" s="59"/>
      <c r="D1529" s="60"/>
      <c r="E1529" s="40"/>
      <c r="F1529" s="40"/>
      <c r="G1529" s="40"/>
      <c r="H1529" s="40"/>
      <c r="I1529" s="40"/>
      <c r="J1529" s="41"/>
    </row>
    <row r="1530" spans="2:10" s="1" customFormat="1" ht="12.75" x14ac:dyDescent="0.2">
      <c r="B1530" s="46"/>
      <c r="C1530" s="59"/>
      <c r="D1530" s="60"/>
      <c r="E1530" s="40"/>
      <c r="F1530" s="40"/>
      <c r="G1530" s="40"/>
      <c r="H1530" s="40"/>
      <c r="I1530" s="40"/>
      <c r="J1530" s="41"/>
    </row>
    <row r="1531" spans="2:10" s="1" customFormat="1" ht="12.75" x14ac:dyDescent="0.2">
      <c r="B1531" s="46"/>
      <c r="C1531" s="59"/>
      <c r="D1531" s="60"/>
      <c r="E1531" s="40"/>
      <c r="F1531" s="40"/>
      <c r="G1531" s="40"/>
      <c r="H1531" s="40"/>
      <c r="I1531" s="40"/>
      <c r="J1531" s="41"/>
    </row>
    <row r="1532" spans="2:10" s="1" customFormat="1" ht="12.75" x14ac:dyDescent="0.2">
      <c r="C1532" s="400" t="s">
        <v>37</v>
      </c>
      <c r="D1532" s="400"/>
      <c r="E1532" s="400"/>
      <c r="F1532" s="400"/>
      <c r="G1532" s="400"/>
      <c r="H1532" s="400"/>
    </row>
    <row r="1533" spans="2:10" s="1" customFormat="1" ht="12.75" x14ac:dyDescent="0.2">
      <c r="C1533" s="400" t="s">
        <v>38</v>
      </c>
      <c r="D1533" s="400"/>
      <c r="E1533" s="400"/>
      <c r="F1533" s="400"/>
      <c r="G1533" s="400"/>
      <c r="H1533" s="400"/>
    </row>
    <row r="1534" spans="2:10" s="1" customFormat="1" ht="12.75" x14ac:dyDescent="0.2">
      <c r="C1534" s="400" t="s">
        <v>39</v>
      </c>
      <c r="D1534" s="400"/>
      <c r="E1534" s="400"/>
      <c r="F1534" s="400"/>
      <c r="G1534" s="400"/>
      <c r="H1534" s="400"/>
    </row>
    <row r="1535" spans="2:10" s="1" customFormat="1" ht="12.75" x14ac:dyDescent="0.2">
      <c r="C1535" s="401" t="s">
        <v>40</v>
      </c>
      <c r="D1535" s="401"/>
      <c r="E1535" s="401"/>
      <c r="F1535" s="401"/>
      <c r="G1535" s="401"/>
      <c r="H1535" s="401"/>
    </row>
    <row r="1536" spans="2:10" s="1" customFormat="1" ht="12.75" customHeight="1" x14ac:dyDescent="0.2">
      <c r="C1536" s="401"/>
      <c r="D1536" s="401"/>
      <c r="E1536" s="401"/>
      <c r="F1536" s="401"/>
      <c r="G1536" s="401"/>
      <c r="H1536" s="401"/>
    </row>
    <row r="1537" spans="2:10" s="1" customFormat="1" ht="15.75" x14ac:dyDescent="0.2">
      <c r="B1537" s="402" t="s">
        <v>65</v>
      </c>
      <c r="C1537" s="403"/>
      <c r="D1537" s="403"/>
      <c r="E1537" s="403"/>
      <c r="F1537" s="403"/>
      <c r="G1537" s="403"/>
      <c r="H1537" s="403"/>
      <c r="I1537" s="403"/>
      <c r="J1537" s="404"/>
    </row>
    <row r="1538" spans="2:10" s="1" customFormat="1" ht="20.25" x14ac:dyDescent="0.2">
      <c r="B1538" s="406" t="s">
        <v>430</v>
      </c>
      <c r="C1538" s="407"/>
      <c r="D1538" s="407"/>
      <c r="E1538" s="407"/>
      <c r="F1538" s="407"/>
      <c r="G1538" s="407"/>
      <c r="H1538" s="407"/>
      <c r="I1538" s="407"/>
      <c r="J1538" s="408"/>
    </row>
    <row r="1539" spans="2:10" s="1" customFormat="1" ht="13.5" thickBot="1" x14ac:dyDescent="0.25">
      <c r="B1539" s="405"/>
      <c r="C1539" s="405"/>
      <c r="D1539" s="405"/>
      <c r="E1539" s="405"/>
      <c r="F1539" s="405"/>
      <c r="G1539" s="405"/>
      <c r="H1539" s="405"/>
      <c r="I1539" s="405"/>
      <c r="J1539" s="405"/>
    </row>
    <row r="1540" spans="2:10" s="1" customFormat="1" ht="24.75" customHeight="1" x14ac:dyDescent="0.2">
      <c r="B1540" s="494" t="s">
        <v>27</v>
      </c>
      <c r="C1540" s="495"/>
      <c r="D1540" s="495"/>
      <c r="E1540" s="495"/>
      <c r="F1540" s="495"/>
      <c r="G1540" s="495"/>
      <c r="H1540" s="495"/>
      <c r="I1540" s="495"/>
      <c r="J1540" s="496"/>
    </row>
    <row r="1541" spans="2:10" s="1" customFormat="1" ht="12.75" x14ac:dyDescent="0.2">
      <c r="B1541" s="2" t="s">
        <v>35</v>
      </c>
      <c r="C1541" s="3" t="s">
        <v>36</v>
      </c>
      <c r="D1541" s="3"/>
      <c r="E1541" s="4"/>
      <c r="F1541" s="5"/>
      <c r="G1541" s="6" t="s">
        <v>8</v>
      </c>
      <c r="H1541" s="497">
        <v>42879</v>
      </c>
      <c r="I1541" s="497"/>
      <c r="J1541" s="7"/>
    </row>
    <row r="1542" spans="2:10" s="1" customFormat="1" ht="12.75" x14ac:dyDescent="0.2">
      <c r="B1542" s="2" t="s">
        <v>33</v>
      </c>
      <c r="C1542" s="3" t="s">
        <v>29</v>
      </c>
      <c r="D1542" s="8"/>
      <c r="E1542" s="8"/>
      <c r="F1542" s="3"/>
      <c r="G1542" s="9" t="s">
        <v>32</v>
      </c>
      <c r="H1542" s="4" t="s">
        <v>29</v>
      </c>
      <c r="I1542" s="10"/>
      <c r="J1542" s="11"/>
    </row>
    <row r="1543" spans="2:10" s="1" customFormat="1" ht="12.75" x14ac:dyDescent="0.2">
      <c r="B1543" s="2" t="s">
        <v>34</v>
      </c>
      <c r="C1543" s="3" t="s">
        <v>29</v>
      </c>
      <c r="D1543" s="8"/>
      <c r="E1543" s="8"/>
      <c r="F1543" s="3"/>
      <c r="G1543" s="9" t="s">
        <v>30</v>
      </c>
      <c r="H1543" s="4" t="s">
        <v>31</v>
      </c>
      <c r="I1543" s="10"/>
      <c r="J1543" s="11"/>
    </row>
    <row r="1544" spans="2:10" s="1" customFormat="1" ht="13.5" thickBot="1" x14ac:dyDescent="0.25">
      <c r="B1544" s="12" t="s">
        <v>43</v>
      </c>
      <c r="C1544" s="13" t="s">
        <v>44</v>
      </c>
      <c r="D1544" s="14"/>
      <c r="E1544" s="14"/>
      <c r="F1544" s="13"/>
      <c r="G1544" s="15" t="s">
        <v>41</v>
      </c>
      <c r="H1544" s="16" t="s">
        <v>42</v>
      </c>
      <c r="I1544" s="17"/>
      <c r="J1544" s="18"/>
    </row>
    <row r="1545" spans="2:10" s="1" customFormat="1" ht="12.75" x14ac:dyDescent="0.2">
      <c r="B1545" s="405"/>
      <c r="C1545" s="405"/>
      <c r="D1545" s="405"/>
      <c r="E1545" s="405"/>
      <c r="F1545" s="405"/>
      <c r="G1545" s="405"/>
      <c r="H1545" s="405"/>
      <c r="I1545" s="405"/>
      <c r="J1545" s="405"/>
    </row>
    <row r="1546" spans="2:10" s="1" customFormat="1" ht="12.75" x14ac:dyDescent="0.2">
      <c r="B1546" s="21" t="s">
        <v>5</v>
      </c>
      <c r="C1546" s="22" t="s">
        <v>0</v>
      </c>
      <c r="D1546" s="22" t="s">
        <v>9</v>
      </c>
      <c r="E1546" s="22" t="s">
        <v>10</v>
      </c>
      <c r="F1546" s="22" t="s">
        <v>1</v>
      </c>
      <c r="G1546" s="22" t="s">
        <v>2</v>
      </c>
      <c r="H1546" s="22" t="s">
        <v>11</v>
      </c>
      <c r="I1546" s="22" t="s">
        <v>6</v>
      </c>
      <c r="J1546" s="22" t="s">
        <v>7</v>
      </c>
    </row>
    <row r="1547" spans="2:10" s="1" customFormat="1" ht="12.75" x14ac:dyDescent="0.2">
      <c r="B1547" s="55">
        <v>4.03</v>
      </c>
      <c r="C1547" s="56" t="s">
        <v>222</v>
      </c>
      <c r="D1547" s="60"/>
      <c r="E1547" s="40"/>
      <c r="F1547" s="40"/>
      <c r="G1547" s="40"/>
      <c r="H1547" s="40"/>
      <c r="I1547" s="40"/>
      <c r="J1547" s="41"/>
    </row>
    <row r="1548" spans="2:10" s="1" customFormat="1" ht="12.75" x14ac:dyDescent="0.2">
      <c r="B1548" s="73" t="s">
        <v>14</v>
      </c>
      <c r="C1548" s="73" t="s">
        <v>615</v>
      </c>
      <c r="D1548" s="60"/>
      <c r="E1548" s="40"/>
      <c r="F1548" s="40"/>
      <c r="G1548" s="40"/>
      <c r="H1548" s="40"/>
      <c r="I1548" s="40"/>
      <c r="J1548" s="41"/>
    </row>
    <row r="1549" spans="2:10" s="1" customFormat="1" ht="12.75" x14ac:dyDescent="0.2">
      <c r="B1549" s="25" t="s">
        <v>15</v>
      </c>
      <c r="C1549" s="28" t="s">
        <v>616</v>
      </c>
      <c r="D1549" s="60"/>
      <c r="E1549" s="40"/>
      <c r="F1549" s="40"/>
      <c r="G1549" s="40"/>
      <c r="H1549" s="40"/>
      <c r="I1549" s="40">
        <f>+SUM(H1550:H1553)</f>
        <v>20.046000000000003</v>
      </c>
      <c r="J1549" s="41" t="s">
        <v>45</v>
      </c>
    </row>
    <row r="1550" spans="2:10" s="1" customFormat="1" ht="12.75" x14ac:dyDescent="0.2">
      <c r="B1550" s="46"/>
      <c r="C1550" s="39" t="s">
        <v>727</v>
      </c>
      <c r="D1550" s="40">
        <v>2</v>
      </c>
      <c r="E1550" s="40">
        <v>3.95</v>
      </c>
      <c r="F1550" s="40">
        <v>0.5</v>
      </c>
      <c r="G1550" s="40"/>
      <c r="H1550" s="40">
        <f t="shared" ref="H1550:H1553" si="104">IF(AND(F1550=0,G1550=0),D1550*E1550,IF(AND(E1550=0,G1550=0),D1550*F1550,IF(AND(E1550=0,F1550=0),D1550*G1550,IF(AND(E1550=0),D1550*F1550*G1550,IF(AND(F1550=0),D1550*E1550*G1550,IF(AND(G1550=0),D1550*E1550*F1550,D1550*E1550*F1550*G1550))))))</f>
        <v>3.95</v>
      </c>
      <c r="I1550" s="40"/>
      <c r="J1550" s="41"/>
    </row>
    <row r="1551" spans="2:10" s="1" customFormat="1" ht="12.75" x14ac:dyDescent="0.2">
      <c r="B1551" s="46"/>
      <c r="C1551" s="39" t="s">
        <v>728</v>
      </c>
      <c r="D1551" s="8">
        <v>2</v>
      </c>
      <c r="E1551" s="86">
        <v>6.2</v>
      </c>
      <c r="F1551" s="40">
        <f>0.34+0.3</f>
        <v>0.64</v>
      </c>
      <c r="G1551" s="40"/>
      <c r="H1551" s="40">
        <f t="shared" si="104"/>
        <v>7.9360000000000008</v>
      </c>
      <c r="I1551" s="40"/>
      <c r="J1551" s="41"/>
    </row>
    <row r="1552" spans="2:10" s="1" customFormat="1" ht="12.75" x14ac:dyDescent="0.2">
      <c r="B1552" s="46"/>
      <c r="C1552" s="39" t="s">
        <v>446</v>
      </c>
      <c r="D1552" s="8">
        <v>2</v>
      </c>
      <c r="E1552" s="86">
        <v>6</v>
      </c>
      <c r="F1552" s="40">
        <f>0.34+0.3</f>
        <v>0.64</v>
      </c>
      <c r="G1552" s="40"/>
      <c r="H1552" s="40">
        <f t="shared" si="104"/>
        <v>7.68</v>
      </c>
      <c r="I1552" s="40"/>
      <c r="J1552" s="41"/>
    </row>
    <row r="1553" spans="2:10" s="1" customFormat="1" ht="12.75" x14ac:dyDescent="0.2">
      <c r="B1553" s="46"/>
      <c r="C1553" s="39" t="s">
        <v>693</v>
      </c>
      <c r="D1553" s="40">
        <v>3</v>
      </c>
      <c r="E1553" s="40">
        <v>0.4</v>
      </c>
      <c r="F1553" s="40">
        <v>0.4</v>
      </c>
      <c r="G1553" s="40"/>
      <c r="H1553" s="40">
        <f t="shared" si="104"/>
        <v>0.48000000000000009</v>
      </c>
      <c r="I1553" s="40"/>
      <c r="J1553" s="41"/>
    </row>
    <row r="1554" spans="2:10" x14ac:dyDescent="0.25">
      <c r="B1554" s="25" t="s">
        <v>232</v>
      </c>
      <c r="C1554" s="28" t="s">
        <v>617</v>
      </c>
      <c r="D1554" s="23"/>
      <c r="E1554" s="23"/>
      <c r="F1554" s="23"/>
      <c r="G1554" s="23"/>
      <c r="H1554" s="24"/>
      <c r="I1554" s="25">
        <f>+I1549</f>
        <v>20.046000000000003</v>
      </c>
      <c r="J1554" s="26" t="s">
        <v>45</v>
      </c>
    </row>
    <row r="1555" spans="2:10" s="1" customFormat="1" ht="12.75" x14ac:dyDescent="0.2">
      <c r="B1555" s="46"/>
      <c r="C1555" s="59"/>
      <c r="D1555" s="60"/>
      <c r="E1555" s="40"/>
      <c r="F1555" s="40"/>
      <c r="G1555" s="40"/>
      <c r="H1555" s="40"/>
      <c r="I1555" s="40"/>
      <c r="J1555" s="41"/>
    </row>
    <row r="1556" spans="2:10" x14ac:dyDescent="0.25">
      <c r="B1556" s="73" t="s">
        <v>25</v>
      </c>
      <c r="C1556" s="73" t="s">
        <v>614</v>
      </c>
      <c r="D1556" s="23"/>
      <c r="E1556" s="23"/>
      <c r="F1556" s="23"/>
      <c r="G1556" s="23"/>
      <c r="H1556" s="24"/>
      <c r="I1556" s="25"/>
      <c r="J1556" s="26"/>
    </row>
    <row r="1557" spans="2:10" s="1" customFormat="1" ht="15.75" customHeight="1" x14ac:dyDescent="0.2">
      <c r="B1557" s="25" t="s">
        <v>26</v>
      </c>
      <c r="C1557" s="1" t="s">
        <v>622</v>
      </c>
      <c r="D1557" s="60"/>
      <c r="E1557" s="40"/>
      <c r="F1557" s="40"/>
      <c r="G1557" s="40"/>
      <c r="H1557" s="24"/>
      <c r="I1557" s="25">
        <f>+SUM(H1558:H1560)</f>
        <v>13.760580000000001</v>
      </c>
      <c r="J1557" s="26" t="s">
        <v>4</v>
      </c>
    </row>
    <row r="1558" spans="2:10" s="1" customFormat="1" ht="15.75" customHeight="1" x14ac:dyDescent="0.2">
      <c r="B1558" s="25"/>
      <c r="C1558" s="39" t="s">
        <v>550</v>
      </c>
      <c r="D1558" s="40">
        <v>2</v>
      </c>
      <c r="E1558" s="40">
        <v>3.95</v>
      </c>
      <c r="F1558" s="40">
        <v>0.5</v>
      </c>
      <c r="G1558" s="40">
        <f>0.55+0.2</f>
        <v>0.75</v>
      </c>
      <c r="H1558" s="40">
        <f>IF(AND(F1558=0,G1558=0),D1558*E1558,IF(AND(E1558=0,G1558=0),D1558*F1558,IF(AND(E1558=0,F1558=0),D1558*G1558,IF(AND(E1558=0),D1558*F1558*G1558,IF(AND(F1558=0),D1558*E1558*G1558,IF(AND(G1558=0),D1558*E1558*F1558,D1558*E1558*F1558*G1558))))))</f>
        <v>2.9625000000000004</v>
      </c>
      <c r="I1558" s="40"/>
      <c r="J1558" s="41"/>
    </row>
    <row r="1559" spans="2:10" s="1" customFormat="1" ht="12.75" x14ac:dyDescent="0.2">
      <c r="B1559" s="25"/>
      <c r="C1559" s="39" t="s">
        <v>445</v>
      </c>
      <c r="D1559" s="8">
        <v>2</v>
      </c>
      <c r="E1559" s="86">
        <v>6.2</v>
      </c>
      <c r="F1559" s="40">
        <f>0.34+0.3</f>
        <v>0.64</v>
      </c>
      <c r="G1559" s="40">
        <f>0.53+0.25</f>
        <v>0.78</v>
      </c>
      <c r="H1559" s="40">
        <f t="shared" ref="H1559:H1560" si="105">IF(AND(F1559=0,G1559=0),D1559*E1559,IF(AND(E1559=0,G1559=0),D1559*F1559,IF(AND(E1559=0,F1559=0),D1559*G1559,IF(AND(E1559=0),D1559*F1559*G1559,IF(AND(F1559=0),D1559*E1559*G1559,IF(AND(G1559=0),D1559*E1559*F1559,D1559*E1559*F1559*G1559))))))</f>
        <v>6.1900800000000009</v>
      </c>
      <c r="I1559" s="40"/>
      <c r="J1559" s="41"/>
    </row>
    <row r="1560" spans="2:10" s="1" customFormat="1" ht="12.75" x14ac:dyDescent="0.2">
      <c r="B1560" s="25"/>
      <c r="C1560" s="39" t="s">
        <v>446</v>
      </c>
      <c r="D1560" s="8">
        <v>2</v>
      </c>
      <c r="E1560" s="86">
        <v>6</v>
      </c>
      <c r="F1560" s="40">
        <f>0.34+0.3</f>
        <v>0.64</v>
      </c>
      <c r="G1560" s="40">
        <f>0.35+0.25</f>
        <v>0.6</v>
      </c>
      <c r="H1560" s="40">
        <f t="shared" si="105"/>
        <v>4.6079999999999997</v>
      </c>
      <c r="I1560" s="25"/>
      <c r="J1560" s="26"/>
    </row>
    <row r="1561" spans="2:10" s="1" customFormat="1" ht="12.75" x14ac:dyDescent="0.2">
      <c r="B1561" s="25" t="s">
        <v>654</v>
      </c>
      <c r="C1561" s="1" t="s">
        <v>623</v>
      </c>
      <c r="D1561" s="60"/>
      <c r="E1561" s="40"/>
      <c r="F1561" s="40"/>
      <c r="G1561" s="40"/>
      <c r="H1561" s="24"/>
      <c r="I1561" s="25">
        <f>+SUM(H1562)</f>
        <v>0.19200000000000006</v>
      </c>
      <c r="J1561" s="26" t="s">
        <v>4</v>
      </c>
    </row>
    <row r="1562" spans="2:10" s="1" customFormat="1" ht="12.75" x14ac:dyDescent="0.2">
      <c r="B1562" s="57"/>
      <c r="C1562" s="39" t="s">
        <v>693</v>
      </c>
      <c r="D1562" s="40">
        <v>3</v>
      </c>
      <c r="E1562" s="40">
        <v>0.4</v>
      </c>
      <c r="F1562" s="40">
        <v>0.4</v>
      </c>
      <c r="G1562" s="40">
        <f>0.3+0.1</f>
        <v>0.4</v>
      </c>
      <c r="H1562" s="40">
        <f>IF(AND(F1562=0,G1562=0),D1562*E1562,IF(AND(E1562=0,G1562=0),D1562*F1562,IF(AND(E1562=0,F1562=0),D1562*G1562,IF(AND(E1562=0),D1562*F1562*G1562,IF(AND(F1562=0),D1562*E1562*G1562,IF(AND(G1562=0),D1562*E1562*F1562,D1562*E1562*F1562*G1562))))))</f>
        <v>0.19200000000000006</v>
      </c>
      <c r="I1562" s="40"/>
      <c r="J1562" s="41"/>
    </row>
    <row r="1563" spans="2:10" s="1" customFormat="1" ht="12.75" x14ac:dyDescent="0.2">
      <c r="B1563" s="25" t="s">
        <v>822</v>
      </c>
      <c r="C1563" s="1" t="s">
        <v>738</v>
      </c>
      <c r="D1563" s="60"/>
      <c r="E1563" s="40"/>
      <c r="F1563" s="40"/>
      <c r="G1563" s="40"/>
      <c r="H1563" s="40"/>
      <c r="I1563" s="40">
        <f>+SUM(H1564)</f>
        <v>0</v>
      </c>
      <c r="J1563" s="41" t="s">
        <v>4</v>
      </c>
    </row>
    <row r="1564" spans="2:10" s="1" customFormat="1" ht="12.75" x14ac:dyDescent="0.2">
      <c r="B1564" s="46"/>
      <c r="C1564" s="39"/>
      <c r="E1564" s="40"/>
      <c r="F1564" s="40"/>
      <c r="G1564" s="40"/>
      <c r="H1564" s="40">
        <f>IF(AND(F1564=0,G1564=0),D1564*E1564,IF(AND(E1564=0,G1564=0),D1564*F1564,IF(AND(E1564=0,F1564=0),D1564*G1564,IF(AND(E1564=0),D1564*F1564*G1564,IF(AND(F1564=0),D1564*E1564*G1564,IF(AND(G1564=0),D1564*E1564*F1564,D1564*E1564*F1564*G1564))))))</f>
        <v>0</v>
      </c>
      <c r="I1564" s="40"/>
      <c r="J1564" s="41"/>
    </row>
    <row r="1565" spans="2:10" x14ac:dyDescent="0.25">
      <c r="B1565" s="25" t="s">
        <v>820</v>
      </c>
      <c r="C1565" s="414" t="s">
        <v>779</v>
      </c>
      <c r="D1565" s="23"/>
      <c r="E1565" s="23"/>
      <c r="F1565" s="23"/>
      <c r="G1565" s="23"/>
      <c r="I1565" s="24">
        <f>+SUM(H1566:H1569)</f>
        <v>20.045999999999999</v>
      </c>
      <c r="J1565" s="26" t="s">
        <v>45</v>
      </c>
    </row>
    <row r="1566" spans="2:10" x14ac:dyDescent="0.25">
      <c r="B1566" s="25"/>
      <c r="C1566" s="39" t="s">
        <v>693</v>
      </c>
      <c r="D1566" s="40">
        <v>3</v>
      </c>
      <c r="E1566" s="40">
        <v>0.4</v>
      </c>
      <c r="F1566" s="40">
        <v>0.4</v>
      </c>
      <c r="G1566" s="40"/>
      <c r="H1566" s="40">
        <f>IF(AND(F1566=0,G1566=0),D1566*E1566,IF(AND(E1566=0,G1566=0),D1566*F1566,IF(AND(E1566=0,F1566=0),D1566*G1566,IF(AND(E1566=0),D1566*F1566*G1566,IF(AND(F1566=0),D1566*E1566*G1566,IF(AND(G1566=0),D1566*E1566*F1566,D1566*E1566*F1566*G1566))))))</f>
        <v>0.48000000000000009</v>
      </c>
      <c r="I1566" s="25"/>
      <c r="J1566" s="26"/>
    </row>
    <row r="1567" spans="2:10" x14ac:dyDescent="0.25">
      <c r="B1567" s="25"/>
      <c r="C1567" s="39" t="s">
        <v>550</v>
      </c>
      <c r="D1567" s="40">
        <v>2</v>
      </c>
      <c r="E1567" s="40">
        <v>3.95</v>
      </c>
      <c r="F1567" s="40">
        <v>0.5</v>
      </c>
      <c r="G1567" s="40"/>
      <c r="H1567" s="40">
        <f>IF(AND(F1567=0,G1567=0),D1567*E1567,IF(AND(E1567=0,G1567=0),D1567*F1567,IF(AND(E1567=0,F1567=0),D1567*G1567,IF(AND(E1567=0),D1567*F1567*G1567,IF(AND(F1567=0),D1567*E1567*G1567,IF(AND(G1567=0),D1567*E1567*F1567,D1567*E1567*F1567*G1567))))))</f>
        <v>3.95</v>
      </c>
      <c r="I1567" s="25"/>
      <c r="J1567" s="26"/>
    </row>
    <row r="1568" spans="2:10" x14ac:dyDescent="0.25">
      <c r="B1568" s="25"/>
      <c r="C1568" s="39" t="s">
        <v>445</v>
      </c>
      <c r="D1568" s="8">
        <v>2</v>
      </c>
      <c r="E1568" s="86">
        <v>6.2</v>
      </c>
      <c r="F1568" s="40">
        <f>0.34+0.3</f>
        <v>0.64</v>
      </c>
      <c r="G1568" s="40"/>
      <c r="H1568" s="40">
        <f t="shared" ref="H1568:H1569" si="106">IF(AND(F1568=0,G1568=0),D1568*E1568,IF(AND(E1568=0,G1568=0),D1568*F1568,IF(AND(E1568=0,F1568=0),D1568*G1568,IF(AND(E1568=0),D1568*F1568*G1568,IF(AND(F1568=0),D1568*E1568*G1568,IF(AND(G1568=0),D1568*E1568*F1568,D1568*E1568*F1568*G1568))))))</f>
        <v>7.9360000000000008</v>
      </c>
      <c r="I1568" s="25"/>
      <c r="J1568" s="26"/>
    </row>
    <row r="1569" spans="2:10" x14ac:dyDescent="0.25">
      <c r="B1569" s="25"/>
      <c r="C1569" s="39" t="s">
        <v>446</v>
      </c>
      <c r="D1569" s="8">
        <v>2</v>
      </c>
      <c r="E1569" s="86">
        <v>6</v>
      </c>
      <c r="F1569" s="40">
        <f>0.34+0.3</f>
        <v>0.64</v>
      </c>
      <c r="G1569" s="40"/>
      <c r="H1569" s="40">
        <f t="shared" si="106"/>
        <v>7.68</v>
      </c>
      <c r="I1569" s="25"/>
      <c r="J1569" s="26"/>
    </row>
    <row r="1570" spans="2:10" s="1" customFormat="1" ht="12.75" x14ac:dyDescent="0.2">
      <c r="B1570" s="25" t="s">
        <v>823</v>
      </c>
      <c r="C1570" s="28" t="s">
        <v>719</v>
      </c>
      <c r="D1570" s="60"/>
      <c r="E1570" s="40"/>
      <c r="F1570" s="40"/>
      <c r="G1570" s="40"/>
      <c r="H1570" s="40"/>
      <c r="I1570" s="40">
        <f>+SUM(H1571:H1573)</f>
        <v>28.130000000000003</v>
      </c>
      <c r="J1570" s="41" t="s">
        <v>45</v>
      </c>
    </row>
    <row r="1571" spans="2:10" s="1" customFormat="1" ht="12.75" x14ac:dyDescent="0.2">
      <c r="B1571" s="46"/>
      <c r="C1571" s="39" t="s">
        <v>550</v>
      </c>
      <c r="D1571" s="40">
        <v>2</v>
      </c>
      <c r="E1571" s="40">
        <v>3.95</v>
      </c>
      <c r="F1571" s="40">
        <v>0.5</v>
      </c>
      <c r="G1571" s="40">
        <f>0.55+0.1</f>
        <v>0.65</v>
      </c>
      <c r="H1571" s="40">
        <f>+(F1571+G1571*2)*E1571</f>
        <v>7.11</v>
      </c>
      <c r="I1571" s="40"/>
      <c r="J1571" s="41"/>
    </row>
    <row r="1572" spans="2:10" s="1" customFormat="1" ht="12.75" x14ac:dyDescent="0.2">
      <c r="B1572" s="46"/>
      <c r="C1572" s="39" t="s">
        <v>445</v>
      </c>
      <c r="D1572" s="8">
        <v>2</v>
      </c>
      <c r="E1572" s="86">
        <v>6.2</v>
      </c>
      <c r="F1572" s="40">
        <f>0.34+0.3</f>
        <v>0.64</v>
      </c>
      <c r="G1572" s="40">
        <f>0.53+0.1</f>
        <v>0.63</v>
      </c>
      <c r="H1572" s="40">
        <f t="shared" ref="H1572:H1573" si="107">+(F1572+G1572*2)*E1572</f>
        <v>11.78</v>
      </c>
      <c r="I1572" s="40"/>
      <c r="J1572" s="41"/>
    </row>
    <row r="1573" spans="2:10" s="1" customFormat="1" ht="12.75" x14ac:dyDescent="0.2">
      <c r="B1573" s="46"/>
      <c r="C1573" s="39" t="s">
        <v>446</v>
      </c>
      <c r="D1573" s="8">
        <v>2</v>
      </c>
      <c r="E1573" s="86">
        <v>6</v>
      </c>
      <c r="F1573" s="40">
        <f>0.34+0.3</f>
        <v>0.64</v>
      </c>
      <c r="G1573" s="40">
        <f>0.35+0.1</f>
        <v>0.44999999999999996</v>
      </c>
      <c r="H1573" s="40">
        <f t="shared" si="107"/>
        <v>9.24</v>
      </c>
      <c r="I1573" s="40"/>
      <c r="J1573" s="41"/>
    </row>
    <row r="1574" spans="2:10" s="1" customFormat="1" ht="12.75" x14ac:dyDescent="0.2">
      <c r="B1574" s="25" t="s">
        <v>825</v>
      </c>
      <c r="C1574" s="28" t="s">
        <v>794</v>
      </c>
      <c r="D1574" s="60"/>
      <c r="E1574" s="40"/>
      <c r="F1574" s="40" t="s">
        <v>795</v>
      </c>
      <c r="G1574" s="40"/>
      <c r="H1574" s="40"/>
      <c r="I1574" s="40">
        <f>+SUM(H1575:H1579)</f>
        <v>79.785999999999987</v>
      </c>
      <c r="J1574" s="41" t="s">
        <v>12</v>
      </c>
    </row>
    <row r="1575" spans="2:10" s="1" customFormat="1" ht="12.75" x14ac:dyDescent="0.2">
      <c r="B1575" s="380"/>
      <c r="C1575" s="39" t="s">
        <v>349</v>
      </c>
      <c r="D1575" s="60">
        <v>2</v>
      </c>
      <c r="E1575" s="40">
        <v>14</v>
      </c>
      <c r="F1575" s="40">
        <f>8.2/5</f>
        <v>1.64</v>
      </c>
      <c r="G1575" s="40"/>
      <c r="H1575" s="40">
        <f>IF(AND(F1575=0,G1575=0),D1575*E1575,IF(AND(E1575=0,G1575=0),D1575*F1575,IF(AND(E1575=0,F1575=0),D1575*G1575,IF(AND(E1575=0),D1575*F1575*G1575,IF(AND(F1575=0),D1575*E1575*G1575,IF(AND(G1575=0),D1575*E1575*F1575,D1575*E1575*F1575*G1575))))))</f>
        <v>45.919999999999995</v>
      </c>
      <c r="I1575" s="40"/>
      <c r="J1575" s="41"/>
    </row>
    <row r="1576" spans="2:10" s="1" customFormat="1" ht="12.75" x14ac:dyDescent="0.2">
      <c r="B1576" s="380"/>
      <c r="C1576" s="43" t="s">
        <v>472</v>
      </c>
      <c r="D1576" s="60"/>
      <c r="E1576" s="40"/>
      <c r="F1576" s="40"/>
      <c r="G1576" s="40"/>
      <c r="H1576" s="40"/>
      <c r="I1576" s="40"/>
      <c r="J1576" s="41"/>
    </row>
    <row r="1577" spans="2:10" s="1" customFormat="1" ht="12.75" x14ac:dyDescent="0.2">
      <c r="B1577" s="380"/>
      <c r="C1577" s="39" t="s">
        <v>510</v>
      </c>
      <c r="D1577" s="60">
        <v>1</v>
      </c>
      <c r="E1577" s="40">
        <v>4.95</v>
      </c>
      <c r="F1577" s="40">
        <f t="shared" ref="F1577:F1579" si="108">8.2/5</f>
        <v>1.64</v>
      </c>
      <c r="G1577" s="40"/>
      <c r="H1577" s="40">
        <f t="shared" ref="H1577:H1579" si="109">IF(AND(F1577=0,G1577=0),D1577*E1577,IF(AND(E1577=0,G1577=0),D1577*F1577,IF(AND(E1577=0,F1577=0),D1577*G1577,IF(AND(E1577=0),D1577*F1577*G1577,IF(AND(F1577=0),D1577*E1577*G1577,IF(AND(G1577=0),D1577*E1577*F1577,D1577*E1577*F1577*G1577))))))</f>
        <v>8.1180000000000003</v>
      </c>
      <c r="I1577" s="40"/>
      <c r="J1577" s="41"/>
    </row>
    <row r="1578" spans="2:10" s="1" customFormat="1" ht="12.75" x14ac:dyDescent="0.2">
      <c r="B1578" s="380"/>
      <c r="C1578" s="39" t="s">
        <v>511</v>
      </c>
      <c r="D1578" s="60">
        <v>3</v>
      </c>
      <c r="E1578" s="40">
        <v>2.65</v>
      </c>
      <c r="F1578" s="40">
        <f t="shared" si="108"/>
        <v>1.64</v>
      </c>
      <c r="G1578" s="40"/>
      <c r="H1578" s="40">
        <f t="shared" si="109"/>
        <v>13.037999999999998</v>
      </c>
      <c r="I1578" s="40"/>
      <c r="J1578" s="41"/>
    </row>
    <row r="1579" spans="2:10" s="1" customFormat="1" ht="12.75" x14ac:dyDescent="0.2">
      <c r="B1579" s="380"/>
      <c r="C1579" s="39" t="s">
        <v>512</v>
      </c>
      <c r="D1579" s="60">
        <v>1</v>
      </c>
      <c r="E1579" s="40">
        <v>7.75</v>
      </c>
      <c r="F1579" s="40">
        <f t="shared" si="108"/>
        <v>1.64</v>
      </c>
      <c r="G1579" s="40"/>
      <c r="H1579" s="40">
        <f t="shared" si="109"/>
        <v>12.709999999999999</v>
      </c>
      <c r="I1579" s="40"/>
      <c r="J1579" s="41"/>
    </row>
    <row r="1580" spans="2:10" s="1" customFormat="1" ht="12.75" x14ac:dyDescent="0.2">
      <c r="B1580" s="25" t="s">
        <v>899</v>
      </c>
      <c r="C1580" s="28" t="s">
        <v>625</v>
      </c>
      <c r="D1580" s="60"/>
      <c r="E1580" s="40"/>
      <c r="F1580" s="40"/>
      <c r="G1580" s="40"/>
      <c r="H1580" s="40"/>
      <c r="I1580" s="40">
        <f>+SUM(H1581:H1588)</f>
        <v>3.5270000000000001</v>
      </c>
      <c r="J1580" s="41" t="s">
        <v>4</v>
      </c>
    </row>
    <row r="1581" spans="2:10" s="1" customFormat="1" ht="12.75" x14ac:dyDescent="0.2">
      <c r="B1581" s="46"/>
      <c r="C1581" s="39" t="s">
        <v>550</v>
      </c>
      <c r="D1581" s="40">
        <v>2</v>
      </c>
      <c r="E1581" s="40">
        <v>3.95</v>
      </c>
      <c r="F1581" s="40">
        <v>0.1</v>
      </c>
      <c r="G1581" s="40">
        <v>0.55000000000000004</v>
      </c>
      <c r="H1581" s="40">
        <f t="shared" ref="H1581:H1588" si="110">IF(AND(F1581=0,G1581=0),D1581*E1581,IF(AND(E1581=0,G1581=0),D1581*F1581,IF(AND(E1581=0,F1581=0),D1581*G1581,IF(AND(E1581=0),D1581*F1581*G1581,IF(AND(F1581=0),D1581*E1581*G1581,IF(AND(G1581=0),D1581*E1581*F1581,D1581*E1581*F1581*G1581))))))</f>
        <v>0.43450000000000005</v>
      </c>
      <c r="I1581" s="40"/>
      <c r="J1581" s="41"/>
    </row>
    <row r="1582" spans="2:10" s="1" customFormat="1" ht="12.75" x14ac:dyDescent="0.2">
      <c r="B1582" s="46"/>
      <c r="C1582" s="39"/>
      <c r="D1582" s="23">
        <v>1</v>
      </c>
      <c r="E1582" s="24">
        <v>3.95</v>
      </c>
      <c r="F1582" s="40">
        <v>0.5</v>
      </c>
      <c r="G1582" s="40">
        <v>0.1</v>
      </c>
      <c r="H1582" s="40">
        <f t="shared" si="110"/>
        <v>0.19750000000000001</v>
      </c>
      <c r="I1582" s="40"/>
      <c r="J1582" s="41"/>
    </row>
    <row r="1583" spans="2:10" s="1" customFormat="1" ht="12.75" x14ac:dyDescent="0.2">
      <c r="B1583" s="46"/>
      <c r="C1583" s="39" t="s">
        <v>445</v>
      </c>
      <c r="D1583" s="8">
        <v>2</v>
      </c>
      <c r="E1583" s="86">
        <v>6.2</v>
      </c>
      <c r="F1583" s="40">
        <v>0.15</v>
      </c>
      <c r="G1583" s="40">
        <f>0.78-0.25</f>
        <v>0.53</v>
      </c>
      <c r="H1583" s="40">
        <f t="shared" si="110"/>
        <v>0.98580000000000001</v>
      </c>
      <c r="I1583" s="40"/>
      <c r="J1583" s="41"/>
    </row>
    <row r="1584" spans="2:10" s="1" customFormat="1" ht="12.75" x14ac:dyDescent="0.2">
      <c r="B1584" s="46"/>
      <c r="C1584" s="39"/>
      <c r="D1584" s="8">
        <v>1</v>
      </c>
      <c r="E1584" s="86">
        <v>6.2</v>
      </c>
      <c r="F1584" s="40">
        <v>0.64</v>
      </c>
      <c r="G1584" s="40">
        <v>0.15</v>
      </c>
      <c r="H1584" s="40">
        <f t="shared" si="110"/>
        <v>0.59520000000000006</v>
      </c>
      <c r="I1584" s="40"/>
      <c r="J1584" s="41"/>
    </row>
    <row r="1585" spans="2:10" s="1" customFormat="1" ht="12.75" x14ac:dyDescent="0.2">
      <c r="B1585" s="46"/>
      <c r="C1585" s="39" t="s">
        <v>446</v>
      </c>
      <c r="D1585" s="8">
        <v>2</v>
      </c>
      <c r="E1585" s="86">
        <v>6</v>
      </c>
      <c r="F1585" s="40">
        <v>0.15</v>
      </c>
      <c r="G1585" s="40">
        <f>+G1560-0.25</f>
        <v>0.35</v>
      </c>
      <c r="H1585" s="40">
        <f t="shared" si="110"/>
        <v>0.62999999999999989</v>
      </c>
      <c r="I1585" s="40"/>
      <c r="J1585" s="41"/>
    </row>
    <row r="1586" spans="2:10" s="1" customFormat="1" ht="12.75" x14ac:dyDescent="0.2">
      <c r="B1586" s="46"/>
      <c r="C1586" s="59"/>
      <c r="D1586" s="60">
        <v>1</v>
      </c>
      <c r="E1586" s="40">
        <v>6</v>
      </c>
      <c r="F1586" s="40">
        <v>0.64</v>
      </c>
      <c r="G1586" s="40">
        <v>0.15</v>
      </c>
      <c r="H1586" s="40">
        <f t="shared" si="110"/>
        <v>0.57599999999999996</v>
      </c>
      <c r="I1586" s="40"/>
      <c r="J1586" s="41"/>
    </row>
    <row r="1587" spans="2:10" s="1" customFormat="1" ht="12.75" x14ac:dyDescent="0.2">
      <c r="B1587" s="46"/>
      <c r="C1587" s="39" t="s">
        <v>693</v>
      </c>
      <c r="D1587" s="40">
        <v>6</v>
      </c>
      <c r="E1587" s="40">
        <v>0.4</v>
      </c>
      <c r="F1587" s="40">
        <v>0.1</v>
      </c>
      <c r="G1587" s="40">
        <v>0.3</v>
      </c>
      <c r="H1587" s="40">
        <f t="shared" si="110"/>
        <v>7.2000000000000008E-2</v>
      </c>
      <c r="I1587" s="40"/>
      <c r="J1587" s="41"/>
    </row>
    <row r="1588" spans="2:10" s="1" customFormat="1" ht="12.75" x14ac:dyDescent="0.2">
      <c r="B1588" s="46"/>
      <c r="C1588" s="59"/>
      <c r="D1588" s="60">
        <v>6</v>
      </c>
      <c r="E1588" s="40">
        <v>0.2</v>
      </c>
      <c r="F1588" s="40">
        <v>0.1</v>
      </c>
      <c r="G1588" s="40">
        <v>0.3</v>
      </c>
      <c r="H1588" s="40">
        <f t="shared" si="110"/>
        <v>3.6000000000000004E-2</v>
      </c>
      <c r="I1588" s="40"/>
      <c r="J1588" s="41"/>
    </row>
    <row r="1589" spans="2:10" s="1" customFormat="1" ht="12.75" x14ac:dyDescent="0.2">
      <c r="B1589" s="25" t="s">
        <v>900</v>
      </c>
      <c r="C1589" s="28" t="s">
        <v>789</v>
      </c>
      <c r="D1589" s="60" t="s">
        <v>791</v>
      </c>
      <c r="E1589" s="40"/>
      <c r="F1589" s="40"/>
      <c r="G1589" s="40"/>
      <c r="H1589" s="40"/>
      <c r="I1589" s="40">
        <f>+SUM(H1590:H1593)</f>
        <v>17.440724999999997</v>
      </c>
      <c r="J1589" s="41" t="s">
        <v>4</v>
      </c>
    </row>
    <row r="1590" spans="2:10" s="1" customFormat="1" ht="12.75" x14ac:dyDescent="0.2">
      <c r="B1590" s="25"/>
      <c r="C1590" s="39" t="s">
        <v>550</v>
      </c>
      <c r="D1590" s="40">
        <f>1.25*2</f>
        <v>2.5</v>
      </c>
      <c r="E1590" s="40">
        <v>3.95</v>
      </c>
      <c r="F1590" s="40">
        <v>0.5</v>
      </c>
      <c r="G1590" s="40">
        <f>0.55+0.2</f>
        <v>0.75</v>
      </c>
      <c r="H1590" s="40">
        <f>IF(AND(F1590=0,G1590=0),D1590*E1590,IF(AND(E1590=0,G1590=0),D1590*F1590,IF(AND(E1590=0,F1590=0),D1590*G1590,IF(AND(E1590=0),D1590*F1590*G1590,IF(AND(F1590=0),D1590*E1590*G1590,IF(AND(G1590=0),D1590*E1590*F1590,D1590*E1590*F1590*G1590))))))</f>
        <v>3.703125</v>
      </c>
      <c r="I1590" s="40"/>
      <c r="J1590" s="41"/>
    </row>
    <row r="1591" spans="2:10" s="1" customFormat="1" ht="12.75" x14ac:dyDescent="0.2">
      <c r="B1591" s="25"/>
      <c r="C1591" s="39" t="s">
        <v>445</v>
      </c>
      <c r="D1591" s="40">
        <f t="shared" ref="D1591:D1592" si="111">1.25*2</f>
        <v>2.5</v>
      </c>
      <c r="E1591" s="86">
        <v>6.2</v>
      </c>
      <c r="F1591" s="40">
        <f>0.34+0.3</f>
        <v>0.64</v>
      </c>
      <c r="G1591" s="40">
        <f>0.53+0.25</f>
        <v>0.78</v>
      </c>
      <c r="H1591" s="40">
        <f t="shared" ref="H1591:H1592" si="112">IF(AND(F1591=0,G1591=0),D1591*E1591,IF(AND(E1591=0,G1591=0),D1591*F1591,IF(AND(E1591=0,F1591=0),D1591*G1591,IF(AND(E1591=0),D1591*F1591*G1591,IF(AND(F1591=0),D1591*E1591*G1591,IF(AND(G1591=0),D1591*E1591*F1591,D1591*E1591*F1591*G1591))))))</f>
        <v>7.7376000000000005</v>
      </c>
      <c r="I1591" s="40"/>
      <c r="J1591" s="41"/>
    </row>
    <row r="1592" spans="2:10" s="1" customFormat="1" ht="12.75" x14ac:dyDescent="0.2">
      <c r="B1592" s="25"/>
      <c r="C1592" s="39" t="s">
        <v>446</v>
      </c>
      <c r="D1592" s="40">
        <f t="shared" si="111"/>
        <v>2.5</v>
      </c>
      <c r="E1592" s="86">
        <v>6</v>
      </c>
      <c r="F1592" s="40">
        <f>0.34+0.3</f>
        <v>0.64</v>
      </c>
      <c r="G1592" s="40">
        <f>0.35+0.25</f>
        <v>0.6</v>
      </c>
      <c r="H1592" s="40">
        <f t="shared" si="112"/>
        <v>5.76</v>
      </c>
      <c r="I1592" s="40"/>
      <c r="J1592" s="41"/>
    </row>
    <row r="1593" spans="2:10" s="1" customFormat="1" ht="12.75" x14ac:dyDescent="0.2">
      <c r="B1593" s="25"/>
      <c r="C1593" s="39" t="s">
        <v>693</v>
      </c>
      <c r="D1593" s="40">
        <f>1.25*3</f>
        <v>3.75</v>
      </c>
      <c r="E1593" s="40">
        <v>0.4</v>
      </c>
      <c r="F1593" s="40">
        <v>0.4</v>
      </c>
      <c r="G1593" s="40">
        <f>0.3+0.1</f>
        <v>0.4</v>
      </c>
      <c r="H1593" s="40">
        <f>IF(AND(F1593=0,G1593=0),D1593*E1593,IF(AND(E1593=0,G1593=0),D1593*F1593,IF(AND(E1593=0,F1593=0),D1593*G1593,IF(AND(E1593=0),D1593*F1593*G1593,IF(AND(F1593=0),D1593*E1593*G1593,IF(AND(G1593=0),D1593*E1593*F1593,D1593*E1593*F1593*G1593))))))</f>
        <v>0.24000000000000005</v>
      </c>
      <c r="I1593" s="40"/>
      <c r="J1593" s="41"/>
    </row>
    <row r="1594" spans="2:10" s="1" customFormat="1" ht="12.75" x14ac:dyDescent="0.2">
      <c r="B1594" s="25" t="s">
        <v>901</v>
      </c>
      <c r="C1594" s="28" t="s">
        <v>624</v>
      </c>
      <c r="D1594" s="60"/>
      <c r="E1594" s="40"/>
      <c r="F1594" s="40"/>
      <c r="G1594" s="40"/>
      <c r="H1594" s="40"/>
      <c r="I1594" s="40">
        <f>+I1589</f>
        <v>17.440724999999997</v>
      </c>
      <c r="J1594" s="41" t="s">
        <v>4</v>
      </c>
    </row>
    <row r="1595" spans="2:10" s="1" customFormat="1" ht="12.75" x14ac:dyDescent="0.2">
      <c r="B1595" s="46"/>
      <c r="C1595" s="59"/>
      <c r="D1595" s="60"/>
      <c r="E1595" s="40"/>
      <c r="F1595" s="40"/>
      <c r="G1595" s="40"/>
      <c r="H1595" s="40"/>
      <c r="I1595" s="40"/>
      <c r="J1595" s="41"/>
    </row>
    <row r="1596" spans="2:10" x14ac:dyDescent="0.25">
      <c r="B1596" s="73" t="s">
        <v>829</v>
      </c>
      <c r="C1596" s="74" t="s">
        <v>626</v>
      </c>
      <c r="D1596" s="23"/>
      <c r="E1596" s="23"/>
      <c r="F1596" s="23"/>
      <c r="G1596" s="23"/>
      <c r="H1596" s="24"/>
      <c r="I1596" s="25"/>
      <c r="J1596" s="26"/>
    </row>
    <row r="1597" spans="2:10" s="1" customFormat="1" ht="12.75" x14ac:dyDescent="0.2">
      <c r="B1597" s="43" t="s">
        <v>830</v>
      </c>
      <c r="C1597" s="25" t="s">
        <v>627</v>
      </c>
      <c r="D1597" s="60"/>
      <c r="E1597" s="40"/>
      <c r="F1597" s="40"/>
      <c r="G1597" s="40"/>
      <c r="H1597" s="40"/>
      <c r="I1597" s="44">
        <f>+SUM(H1598:H1600)</f>
        <v>19.566000000000003</v>
      </c>
      <c r="J1597" s="45" t="s">
        <v>45</v>
      </c>
    </row>
    <row r="1598" spans="2:10" s="1" customFormat="1" ht="15.75" customHeight="1" x14ac:dyDescent="0.2">
      <c r="B1598" s="25"/>
      <c r="C1598" s="39" t="s">
        <v>550</v>
      </c>
      <c r="D1598" s="40">
        <v>2</v>
      </c>
      <c r="E1598" s="40">
        <v>3.95</v>
      </c>
      <c r="F1598" s="40">
        <v>0.5</v>
      </c>
      <c r="G1598" s="40"/>
      <c r="H1598" s="40">
        <f>IF(AND(F1598=0,G1598=0),D1598*E1598,IF(AND(E1598=0,G1598=0),D1598*F1598,IF(AND(E1598=0,F1598=0),D1598*G1598,IF(AND(E1598=0),D1598*F1598*G1598,IF(AND(F1598=0),D1598*E1598*G1598,IF(AND(G1598=0),D1598*E1598*F1598,D1598*E1598*F1598*G1598))))))</f>
        <v>3.95</v>
      </c>
      <c r="I1598" s="40"/>
      <c r="J1598" s="41"/>
    </row>
    <row r="1599" spans="2:10" s="1" customFormat="1" ht="12.75" x14ac:dyDescent="0.2">
      <c r="B1599" s="25"/>
      <c r="C1599" s="39" t="s">
        <v>445</v>
      </c>
      <c r="D1599" s="8">
        <v>2</v>
      </c>
      <c r="E1599" s="86">
        <v>6.2</v>
      </c>
      <c r="F1599" s="40">
        <f>0.34+0.3</f>
        <v>0.64</v>
      </c>
      <c r="G1599" s="40"/>
      <c r="H1599" s="40">
        <f t="shared" ref="H1599:H1600" si="113">IF(AND(F1599=0,G1599=0),D1599*E1599,IF(AND(E1599=0,G1599=0),D1599*F1599,IF(AND(E1599=0,F1599=0),D1599*G1599,IF(AND(E1599=0),D1599*F1599*G1599,IF(AND(F1599=0),D1599*E1599*G1599,IF(AND(G1599=0),D1599*E1599*F1599,D1599*E1599*F1599*G1599))))))</f>
        <v>7.9360000000000008</v>
      </c>
      <c r="I1599" s="40"/>
      <c r="J1599" s="41"/>
    </row>
    <row r="1600" spans="2:10" s="1" customFormat="1" ht="12.75" x14ac:dyDescent="0.2">
      <c r="B1600" s="25"/>
      <c r="C1600" s="39" t="s">
        <v>446</v>
      </c>
      <c r="D1600" s="8">
        <v>2</v>
      </c>
      <c r="E1600" s="86">
        <v>6</v>
      </c>
      <c r="F1600" s="40">
        <f>0.34+0.3</f>
        <v>0.64</v>
      </c>
      <c r="G1600" s="40"/>
      <c r="H1600" s="40">
        <f t="shared" si="113"/>
        <v>7.68</v>
      </c>
      <c r="I1600" s="25"/>
      <c r="J1600" s="26"/>
    </row>
    <row r="1601" spans="2:10" s="1" customFormat="1" ht="12.75" x14ac:dyDescent="0.2">
      <c r="B1601" s="43" t="s">
        <v>831</v>
      </c>
      <c r="C1601" s="25" t="s">
        <v>680</v>
      </c>
      <c r="D1601" s="60"/>
      <c r="E1601" s="40"/>
      <c r="F1601" s="40"/>
      <c r="G1601" s="40"/>
      <c r="H1601" s="40"/>
      <c r="I1601" s="44">
        <f>+SUM(H1602:H1602)</f>
        <v>0.48000000000000009</v>
      </c>
      <c r="J1601" s="45" t="s">
        <v>45</v>
      </c>
    </row>
    <row r="1602" spans="2:10" s="1" customFormat="1" ht="12.75" x14ac:dyDescent="0.2">
      <c r="B1602" s="57"/>
      <c r="C1602" s="39" t="s">
        <v>693</v>
      </c>
      <c r="D1602" s="40">
        <v>3</v>
      </c>
      <c r="E1602" s="40">
        <v>0.4</v>
      </c>
      <c r="F1602" s="40">
        <v>0.4</v>
      </c>
      <c r="G1602" s="40"/>
      <c r="H1602" s="40">
        <f>IF(AND(F1602=0,G1602=0),D1602*E1602,IF(AND(E1602=0,G1602=0),D1602*F1602,IF(AND(E1602=0,F1602=0),D1602*G1602,IF(AND(E1602=0),D1602*F1602*G1602,IF(AND(F1602=0),D1602*E1602*G1602,IF(AND(G1602=0),D1602*E1602*F1602,D1602*E1602*F1602*G1602))))))</f>
        <v>0.48000000000000009</v>
      </c>
      <c r="I1602" s="40"/>
      <c r="J1602" s="41"/>
    </row>
    <row r="1603" spans="2:10" s="1" customFormat="1" ht="12.75" x14ac:dyDescent="0.2">
      <c r="B1603" s="57"/>
      <c r="C1603" s="39"/>
      <c r="D1603" s="60"/>
      <c r="E1603" s="40"/>
      <c r="F1603" s="40"/>
      <c r="G1603" s="40"/>
      <c r="H1603" s="40"/>
      <c r="I1603" s="40"/>
      <c r="J1603" s="41"/>
    </row>
    <row r="1604" spans="2:10" s="1" customFormat="1" ht="12.75" x14ac:dyDescent="0.2">
      <c r="B1604" s="57" t="s">
        <v>838</v>
      </c>
      <c r="C1604" s="58" t="s">
        <v>224</v>
      </c>
      <c r="D1604" s="60"/>
      <c r="E1604" s="40"/>
      <c r="F1604" s="40"/>
      <c r="G1604" s="40"/>
      <c r="H1604" s="40"/>
      <c r="I1604" s="40"/>
      <c r="J1604" s="41"/>
    </row>
    <row r="1605" spans="2:10" s="1" customFormat="1" ht="12.75" x14ac:dyDescent="0.2">
      <c r="B1605" s="43" t="s">
        <v>841</v>
      </c>
      <c r="C1605" s="43" t="s">
        <v>690</v>
      </c>
      <c r="D1605" s="60"/>
      <c r="E1605" s="40"/>
      <c r="F1605" s="40"/>
      <c r="G1605" s="40"/>
      <c r="H1605" s="40"/>
      <c r="I1605" s="44">
        <f>SUM(H1606:H1607)</f>
        <v>24.4</v>
      </c>
      <c r="J1605" s="45" t="s">
        <v>345</v>
      </c>
    </row>
    <row r="1606" spans="2:10" s="1" customFormat="1" ht="12.75" x14ac:dyDescent="0.2">
      <c r="B1606" s="57"/>
      <c r="C1606" s="39" t="s">
        <v>445</v>
      </c>
      <c r="D1606" s="8">
        <v>2</v>
      </c>
      <c r="E1606" s="86">
        <v>6.2</v>
      </c>
      <c r="F1606" s="40"/>
      <c r="G1606" s="40"/>
      <c r="H1606" s="40">
        <f t="shared" ref="H1606:H1607" si="114">IF(AND(F1606=0,G1606=0),D1606*E1606,IF(AND(E1606=0,G1606=0),D1606*F1606,IF(AND(E1606=0,F1606=0),D1606*G1606,IF(AND(E1606=0),D1606*F1606*G1606,IF(AND(F1606=0),D1606*E1606*G1606,IF(AND(G1606=0),D1606*E1606*F1606,D1606*E1606*F1606*G1606))))))</f>
        <v>12.4</v>
      </c>
      <c r="I1606" s="40"/>
      <c r="J1606" s="41"/>
    </row>
    <row r="1607" spans="2:10" s="1" customFormat="1" ht="12.75" x14ac:dyDescent="0.2">
      <c r="B1607" s="413"/>
      <c r="C1607" s="39" t="s">
        <v>446</v>
      </c>
      <c r="D1607" s="8">
        <v>2</v>
      </c>
      <c r="E1607" s="86">
        <v>6</v>
      </c>
      <c r="F1607" s="40"/>
      <c r="G1607" s="40"/>
      <c r="H1607" s="40">
        <f t="shared" si="114"/>
        <v>12</v>
      </c>
      <c r="I1607" s="40"/>
      <c r="J1607" s="41"/>
    </row>
    <row r="1608" spans="2:10" s="1" customFormat="1" ht="12.75" x14ac:dyDescent="0.2">
      <c r="B1608" s="43" t="s">
        <v>849</v>
      </c>
      <c r="C1608" s="25" t="s">
        <v>902</v>
      </c>
      <c r="D1608" s="60"/>
      <c r="E1608" s="40"/>
      <c r="F1608" s="40"/>
      <c r="G1608" s="40"/>
      <c r="H1608" s="40"/>
      <c r="I1608" s="44">
        <f>+SUM(H1609:H1611)</f>
        <v>20.65</v>
      </c>
      <c r="J1608" s="45" t="s">
        <v>345</v>
      </c>
    </row>
    <row r="1609" spans="2:10" s="1" customFormat="1" ht="12.75" x14ac:dyDescent="0.2">
      <c r="B1609" s="43"/>
      <c r="C1609" s="39" t="s">
        <v>510</v>
      </c>
      <c r="D1609" s="60">
        <v>1</v>
      </c>
      <c r="E1609" s="40">
        <v>4.95</v>
      </c>
      <c r="F1609" s="40"/>
      <c r="G1609" s="40"/>
      <c r="H1609" s="40">
        <f>IF(AND(F1609=0,G1609=0),D1609*E1609,IF(AND(E1609=0,G1609=0),D1609*F1609,IF(AND(E1609=0,F1609=0),D1609*G1609,IF(AND(E1609=0),D1609*F1609*G1609,IF(AND(F1609=0),D1609*E1609*G1609,IF(AND(G1609=0),D1609*E1609*F1609,D1609*E1609*F1609*G1609))))))</f>
        <v>4.95</v>
      </c>
      <c r="I1609" s="44"/>
      <c r="J1609" s="45"/>
    </row>
    <row r="1610" spans="2:10" s="1" customFormat="1" ht="12.75" x14ac:dyDescent="0.2">
      <c r="B1610" s="43"/>
      <c r="C1610" s="39" t="s">
        <v>511</v>
      </c>
      <c r="D1610" s="60">
        <v>3</v>
      </c>
      <c r="E1610" s="40">
        <v>2.65</v>
      </c>
      <c r="F1610" s="40"/>
      <c r="G1610" s="40"/>
      <c r="H1610" s="40">
        <f>IF(AND(F1610=0,G1610=0),D1610*E1610,IF(AND(E1610=0,G1610=0),D1610*F1610,IF(AND(E1610=0,F1610=0),D1610*G1610,IF(AND(E1610=0),D1610*F1610*G1610,IF(AND(F1610=0),D1610*E1610*G1610,IF(AND(G1610=0),D1610*E1610*F1610,D1610*E1610*F1610*G1610))))))</f>
        <v>7.9499999999999993</v>
      </c>
      <c r="I1610" s="44"/>
      <c r="J1610" s="45"/>
    </row>
    <row r="1611" spans="2:10" s="1" customFormat="1" ht="12.75" x14ac:dyDescent="0.2">
      <c r="B1611" s="43"/>
      <c r="C1611" s="39" t="s">
        <v>512</v>
      </c>
      <c r="D1611" s="60">
        <v>1</v>
      </c>
      <c r="E1611" s="40">
        <v>7.75</v>
      </c>
      <c r="F1611" s="40"/>
      <c r="G1611" s="40"/>
      <c r="H1611" s="40">
        <f>IF(AND(F1611=0,G1611=0),D1611*E1611,IF(AND(E1611=0,G1611=0),D1611*F1611,IF(AND(E1611=0,F1611=0),D1611*G1611,IF(AND(E1611=0),D1611*F1611*G1611,IF(AND(F1611=0),D1611*E1611*G1611,IF(AND(G1611=0),D1611*E1611*F1611,D1611*E1611*F1611*G1611))))))</f>
        <v>7.75</v>
      </c>
      <c r="I1611" s="44"/>
      <c r="J1611" s="45"/>
    </row>
    <row r="1612" spans="2:10" s="1" customFormat="1" ht="12.75" x14ac:dyDescent="0.2">
      <c r="B1612" s="43"/>
      <c r="C1612" s="39"/>
      <c r="D1612" s="60"/>
      <c r="E1612" s="40"/>
      <c r="F1612" s="40"/>
      <c r="G1612" s="40"/>
      <c r="H1612" s="40"/>
      <c r="I1612" s="44"/>
      <c r="J1612" s="45"/>
    </row>
    <row r="1613" spans="2:10" s="1" customFormat="1" ht="12.75" x14ac:dyDescent="0.2">
      <c r="B1613" s="43" t="s">
        <v>850</v>
      </c>
      <c r="C1613" s="43" t="s">
        <v>490</v>
      </c>
      <c r="D1613" s="60"/>
      <c r="E1613" s="40"/>
      <c r="F1613" s="40"/>
      <c r="G1613" s="40"/>
      <c r="H1613" s="40"/>
      <c r="I1613" s="44">
        <f>+SUM(H1614:H1614)</f>
        <v>0</v>
      </c>
      <c r="J1613" s="45" t="s">
        <v>345</v>
      </c>
    </row>
    <row r="1614" spans="2:10" s="1" customFormat="1" ht="12.75" x14ac:dyDescent="0.2">
      <c r="B1614" s="43"/>
      <c r="C1614" s="39" t="s">
        <v>510</v>
      </c>
      <c r="D1614" s="60"/>
      <c r="E1614" s="40"/>
      <c r="F1614" s="40"/>
      <c r="G1614" s="40"/>
      <c r="H1614" s="40">
        <f>IF(AND(F1614=0,G1614=0),D1614*E1614,IF(AND(E1614=0,G1614=0),D1614*F1614,IF(AND(E1614=0,F1614=0),D1614*G1614,IF(AND(E1614=0),D1614*F1614*G1614,IF(AND(F1614=0),D1614*E1614*G1614,IF(AND(G1614=0),D1614*E1614*F1614,D1614*E1614*F1614*G1614))))))</f>
        <v>0</v>
      </c>
      <c r="I1614" s="44"/>
      <c r="J1614" s="45"/>
    </row>
    <row r="1615" spans="2:10" s="1" customFormat="1" ht="12.75" x14ac:dyDescent="0.2">
      <c r="B1615" s="43" t="s">
        <v>840</v>
      </c>
      <c r="C1615" s="46" t="s">
        <v>566</v>
      </c>
      <c r="D1615" s="23"/>
      <c r="E1615" s="23"/>
      <c r="F1615" s="40"/>
      <c r="G1615" s="40"/>
      <c r="I1615" s="44">
        <f>SUM(H1616:H1624)</f>
        <v>24.4</v>
      </c>
      <c r="J1615" s="45" t="s">
        <v>345</v>
      </c>
    </row>
    <row r="1616" spans="2:10" s="1" customFormat="1" ht="12.75" x14ac:dyDescent="0.2">
      <c r="B1616" s="413"/>
      <c r="C1616" s="39" t="s">
        <v>445</v>
      </c>
      <c r="D1616" s="8">
        <v>2</v>
      </c>
      <c r="E1616" s="86">
        <v>6.2</v>
      </c>
      <c r="F1616" s="40"/>
      <c r="G1616" s="40"/>
      <c r="H1616" s="40">
        <f>IF(AND(F1616=0,G1616=0),D1616*E1616,IF(AND(E1616=0,G1616=0),D1616*F1616,IF(AND(E1616=0,F1616=0),D1616*G1616,IF(AND(E1616=0),D1616*F1616*G1616,IF(AND(F1616=0),D1616*E1616*G1616,IF(AND(G1616=0),D1616*E1616*F1616,D1616*E1616*F1616*G1616))))))</f>
        <v>12.4</v>
      </c>
      <c r="I1616" s="40"/>
      <c r="J1616" s="41"/>
    </row>
    <row r="1617" spans="2:10" s="1" customFormat="1" ht="12.75" x14ac:dyDescent="0.2">
      <c r="B1617" s="413"/>
      <c r="C1617" s="46" t="s">
        <v>819</v>
      </c>
      <c r="D1617" s="8"/>
      <c r="E1617" s="86"/>
      <c r="F1617" s="40" t="s">
        <v>685</v>
      </c>
      <c r="G1617" s="40" t="s">
        <v>682</v>
      </c>
      <c r="I1617" s="40">
        <f>+SUM(G1618:G1619)</f>
        <v>6.44</v>
      </c>
      <c r="J1617" s="41"/>
    </row>
    <row r="1618" spans="2:10" s="1" customFormat="1" ht="12.75" x14ac:dyDescent="0.2">
      <c r="B1618" s="413"/>
      <c r="C1618" s="39" t="s">
        <v>437</v>
      </c>
      <c r="D1618" s="8">
        <v>4</v>
      </c>
      <c r="E1618" s="86">
        <v>1</v>
      </c>
      <c r="F1618" s="40">
        <v>0.56000000000000005</v>
      </c>
      <c r="G1618" s="40">
        <f>+D1618*E1618*F1618</f>
        <v>2.2400000000000002</v>
      </c>
      <c r="H1618" s="40"/>
      <c r="I1618" s="40"/>
      <c r="J1618" s="41"/>
    </row>
    <row r="1619" spans="2:10" s="1" customFormat="1" ht="12.75" x14ac:dyDescent="0.2">
      <c r="B1619" s="413"/>
      <c r="C1619" s="39" t="s">
        <v>438</v>
      </c>
      <c r="D1619" s="8">
        <v>6</v>
      </c>
      <c r="E1619" s="86">
        <f>0.55+0.35*2</f>
        <v>1.25</v>
      </c>
      <c r="F1619" s="40">
        <v>0.56000000000000005</v>
      </c>
      <c r="G1619" s="40">
        <f>+D1619*E1619*F1619</f>
        <v>4.2</v>
      </c>
      <c r="H1619" s="40"/>
      <c r="I1619" s="40"/>
      <c r="J1619" s="41"/>
    </row>
    <row r="1620" spans="2:10" s="1" customFormat="1" ht="12.75" x14ac:dyDescent="0.2">
      <c r="B1620" s="413"/>
      <c r="C1620" s="418"/>
      <c r="D1620" s="8"/>
      <c r="E1620" s="86"/>
      <c r="F1620" s="40"/>
      <c r="G1620" s="40"/>
      <c r="H1620" s="40"/>
      <c r="I1620" s="40"/>
      <c r="J1620" s="41"/>
    </row>
    <row r="1621" spans="2:10" s="1" customFormat="1" ht="12.75" x14ac:dyDescent="0.2">
      <c r="B1621" s="413"/>
      <c r="C1621" s="39" t="s">
        <v>446</v>
      </c>
      <c r="D1621" s="8">
        <v>2</v>
      </c>
      <c r="E1621" s="86">
        <v>6</v>
      </c>
      <c r="F1621" s="40"/>
      <c r="G1621" s="40"/>
      <c r="H1621" s="40">
        <f>IF(AND(F1621=0,G1621=0),D1621*E1621,IF(AND(E1621=0,G1621=0),D1621*F1621,IF(AND(E1621=0,F1621=0),D1621*G1621,IF(AND(E1621=0),D1621*F1621*G1621,IF(AND(F1621=0),D1621*E1621*G1621,IF(AND(G1621=0),D1621*E1621*F1621,D1621*E1621*F1621*G1621))))))</f>
        <v>12</v>
      </c>
      <c r="I1621" s="40"/>
      <c r="J1621" s="41"/>
    </row>
    <row r="1622" spans="2:10" s="1" customFormat="1" ht="12.75" x14ac:dyDescent="0.2">
      <c r="B1622" s="413"/>
      <c r="C1622" s="46" t="s">
        <v>819</v>
      </c>
      <c r="D1622" s="8"/>
      <c r="E1622" s="86"/>
      <c r="F1622" s="40" t="s">
        <v>685</v>
      </c>
      <c r="G1622" s="40" t="s">
        <v>682</v>
      </c>
      <c r="I1622" s="89">
        <f>+SUM(G1623:G1624)</f>
        <v>12.656000000000002</v>
      </c>
      <c r="J1622" s="41"/>
    </row>
    <row r="1623" spans="2:10" s="1" customFormat="1" ht="12.75" x14ac:dyDescent="0.2">
      <c r="B1623" s="413"/>
      <c r="C1623" s="39" t="s">
        <v>437</v>
      </c>
      <c r="D1623" s="8">
        <f>4+4+5</f>
        <v>13</v>
      </c>
      <c r="E1623" s="86">
        <v>1</v>
      </c>
      <c r="F1623" s="40">
        <v>0.56000000000000005</v>
      </c>
      <c r="G1623" s="40">
        <f>+D1623*E1623*F1623</f>
        <v>7.2800000000000011</v>
      </c>
      <c r="H1623" s="40"/>
      <c r="I1623" s="40"/>
      <c r="J1623" s="41"/>
    </row>
    <row r="1624" spans="2:10" s="1" customFormat="1" ht="12.75" x14ac:dyDescent="0.2">
      <c r="B1624" s="413"/>
      <c r="C1624" s="39" t="s">
        <v>438</v>
      </c>
      <c r="D1624" s="8">
        <v>6</v>
      </c>
      <c r="E1624" s="86">
        <f>0.5*2+0.6</f>
        <v>1.6</v>
      </c>
      <c r="F1624" s="40">
        <v>0.56000000000000005</v>
      </c>
      <c r="G1624" s="40">
        <f>+D1624*E1624*F1624</f>
        <v>5.3760000000000012</v>
      </c>
      <c r="H1624" s="40"/>
      <c r="I1624" s="40"/>
      <c r="J1624" s="41"/>
    </row>
    <row r="1625" spans="2:10" s="1" customFormat="1" ht="12.75" x14ac:dyDescent="0.2">
      <c r="B1625" s="43" t="s">
        <v>844</v>
      </c>
      <c r="C1625" s="43" t="s">
        <v>564</v>
      </c>
      <c r="D1625" s="60"/>
      <c r="E1625" s="40"/>
      <c r="F1625" s="40"/>
      <c r="G1625" s="40"/>
      <c r="H1625" s="40"/>
      <c r="I1625" s="44">
        <f>SUM(H1626)</f>
        <v>0.89999999999999991</v>
      </c>
      <c r="J1625" s="45" t="s">
        <v>345</v>
      </c>
    </row>
    <row r="1626" spans="2:10" s="1" customFormat="1" ht="12.75" x14ac:dyDescent="0.2">
      <c r="B1626" s="413"/>
      <c r="C1626" s="39" t="s">
        <v>554</v>
      </c>
      <c r="D1626" s="60">
        <v>3</v>
      </c>
      <c r="E1626" s="40">
        <v>0.3</v>
      </c>
      <c r="F1626" s="40"/>
      <c r="G1626" s="40"/>
      <c r="H1626" s="40">
        <f>IF(AND(F1626=0,G1626=0),D1626*E1626,IF(AND(E1626=0,G1626=0),D1626*F1626,IF(AND(E1626=0,F1626=0),D1626*G1626,IF(AND(E1626=0),D1626*F1626*G1626,IF(AND(F1626=0),D1626*E1626*G1626,IF(AND(G1626=0),D1626*E1626*F1626,D1626*E1626*F1626*G1626))))))</f>
        <v>0.89999999999999991</v>
      </c>
      <c r="I1626" s="40"/>
      <c r="J1626" s="41"/>
    </row>
    <row r="1627" spans="2:10" s="1" customFormat="1" ht="12.75" x14ac:dyDescent="0.2">
      <c r="B1627" s="43" t="s">
        <v>853</v>
      </c>
      <c r="C1627" s="43" t="s">
        <v>565</v>
      </c>
      <c r="D1627" s="60"/>
      <c r="E1627" s="40"/>
      <c r="F1627" s="40"/>
      <c r="G1627" s="40"/>
      <c r="H1627" s="40"/>
      <c r="I1627" s="44">
        <f>SUM(H1628:H1628)</f>
        <v>3</v>
      </c>
      <c r="J1627" s="45" t="s">
        <v>13</v>
      </c>
    </row>
    <row r="1628" spans="2:10" s="1" customFormat="1" ht="12.75" x14ac:dyDescent="0.2">
      <c r="B1628" s="43"/>
      <c r="C1628" s="39" t="s">
        <v>693</v>
      </c>
      <c r="D1628" s="40">
        <v>3</v>
      </c>
      <c r="E1628" s="40"/>
      <c r="F1628" s="40"/>
      <c r="G1628" s="40"/>
      <c r="H1628" s="40">
        <f t="shared" ref="H1628" si="115">+D1628</f>
        <v>3</v>
      </c>
      <c r="I1628" s="40"/>
      <c r="J1628" s="41" t="s">
        <v>13</v>
      </c>
    </row>
    <row r="1629" spans="2:10" s="1" customFormat="1" ht="12.75" x14ac:dyDescent="0.2">
      <c r="B1629" s="25" t="s">
        <v>859</v>
      </c>
      <c r="C1629" s="28" t="s">
        <v>735</v>
      </c>
      <c r="D1629" s="60"/>
      <c r="E1629" s="40"/>
      <c r="F1629" s="40"/>
      <c r="G1629" s="40"/>
      <c r="H1629" s="40"/>
      <c r="I1629" s="44">
        <f>+SUM(H1630:H1631)</f>
        <v>1.2000000000000002</v>
      </c>
      <c r="J1629" s="41" t="s">
        <v>45</v>
      </c>
    </row>
    <row r="1630" spans="2:10" s="1" customFormat="1" ht="12.75" x14ac:dyDescent="0.2">
      <c r="B1630" s="25"/>
      <c r="C1630" s="39" t="s">
        <v>693</v>
      </c>
      <c r="D1630" s="40">
        <v>3</v>
      </c>
      <c r="E1630" s="40">
        <f>0.4*2</f>
        <v>0.8</v>
      </c>
      <c r="F1630" s="40"/>
      <c r="G1630" s="40">
        <f>0.3+0.15</f>
        <v>0.44999999999999996</v>
      </c>
      <c r="H1630" s="40">
        <f t="shared" ref="H1630:H1631" si="116">IF(AND(F1630=0,G1630=0),D1630*E1630,IF(AND(E1630=0,G1630=0),D1630*F1630,IF(AND(E1630=0,F1630=0),D1630*G1630,IF(AND(E1630=0),D1630*F1630*G1630,IF(AND(F1630=0),D1630*E1630*G1630,IF(AND(G1630=0),D1630*E1630*F1630,D1630*E1630*F1630*G1630))))))</f>
        <v>1.08</v>
      </c>
      <c r="I1630" s="40"/>
      <c r="J1630" s="41"/>
    </row>
    <row r="1631" spans="2:10" s="1" customFormat="1" ht="12.75" x14ac:dyDescent="0.2">
      <c r="B1631" s="25"/>
      <c r="C1631" s="59"/>
      <c r="D1631" s="60">
        <v>3</v>
      </c>
      <c r="E1631" s="40">
        <v>0.2</v>
      </c>
      <c r="F1631" s="40"/>
      <c r="G1631" s="40">
        <v>0.2</v>
      </c>
      <c r="H1631" s="40">
        <f t="shared" si="116"/>
        <v>0.12000000000000002</v>
      </c>
      <c r="I1631" s="40"/>
      <c r="J1631" s="41"/>
    </row>
    <row r="1632" spans="2:10" s="1" customFormat="1" ht="12.75" x14ac:dyDescent="0.2">
      <c r="B1632" s="25" t="s">
        <v>860</v>
      </c>
      <c r="C1632" s="28" t="s">
        <v>736</v>
      </c>
      <c r="D1632" s="60"/>
      <c r="E1632" s="40"/>
      <c r="F1632" s="40"/>
      <c r="G1632" s="40"/>
      <c r="H1632" s="40"/>
      <c r="I1632" s="44">
        <f>+SUM(H1633:H1638)</f>
        <v>25.295000000000002</v>
      </c>
      <c r="J1632" s="41" t="s">
        <v>45</v>
      </c>
    </row>
    <row r="1633" spans="2:10" s="1" customFormat="1" ht="12.75" x14ac:dyDescent="0.2">
      <c r="B1633" s="46"/>
      <c r="C1633" s="39" t="s">
        <v>550</v>
      </c>
      <c r="D1633" s="40">
        <v>2</v>
      </c>
      <c r="E1633" s="40">
        <v>3.95</v>
      </c>
      <c r="F1633" s="40"/>
      <c r="G1633" s="40">
        <f>0.55+0.15</f>
        <v>0.70000000000000007</v>
      </c>
      <c r="H1633" s="40">
        <f t="shared" ref="H1633:H1638" si="117">IF(AND(F1633=0,G1633=0),D1633*E1633,IF(AND(E1633=0,G1633=0),D1633*F1633,IF(AND(E1633=0,F1633=0),D1633*G1633,IF(AND(E1633=0),D1633*F1633*G1633,IF(AND(F1633=0),D1633*E1633*G1633,IF(AND(G1633=0),D1633*E1633*F1633,D1633*E1633*F1633*G1633))))))</f>
        <v>5.5300000000000011</v>
      </c>
      <c r="I1633" s="40"/>
      <c r="J1633" s="41"/>
    </row>
    <row r="1634" spans="2:10" s="1" customFormat="1" ht="12.75" x14ac:dyDescent="0.2">
      <c r="B1634" s="46"/>
      <c r="C1634" s="39"/>
      <c r="D1634" s="23">
        <v>1</v>
      </c>
      <c r="E1634" s="24">
        <v>3.95</v>
      </c>
      <c r="F1634" s="40"/>
      <c r="G1634" s="40">
        <v>0.3</v>
      </c>
      <c r="H1634" s="40">
        <f t="shared" si="117"/>
        <v>1.1850000000000001</v>
      </c>
      <c r="I1634" s="40"/>
      <c r="J1634" s="41"/>
    </row>
    <row r="1635" spans="2:10" s="1" customFormat="1" ht="12.75" x14ac:dyDescent="0.2">
      <c r="B1635" s="46"/>
      <c r="C1635" s="39" t="s">
        <v>445</v>
      </c>
      <c r="D1635" s="8">
        <v>2</v>
      </c>
      <c r="E1635" s="86">
        <v>6.2</v>
      </c>
      <c r="F1635" s="40"/>
      <c r="G1635" s="40">
        <f>0.78-0.25+0.15</f>
        <v>0.68</v>
      </c>
      <c r="H1635" s="40">
        <f t="shared" si="117"/>
        <v>8.4320000000000004</v>
      </c>
      <c r="I1635" s="40"/>
      <c r="J1635" s="41"/>
    </row>
    <row r="1636" spans="2:10" s="1" customFormat="1" ht="12.75" x14ac:dyDescent="0.2">
      <c r="B1636" s="46"/>
      <c r="C1636" s="39"/>
      <c r="D1636" s="8">
        <v>1</v>
      </c>
      <c r="E1636" s="86">
        <v>6.2</v>
      </c>
      <c r="F1636" s="40"/>
      <c r="G1636" s="40">
        <v>0.34</v>
      </c>
      <c r="H1636" s="40">
        <f t="shared" si="117"/>
        <v>2.1080000000000001</v>
      </c>
      <c r="I1636" s="40"/>
      <c r="J1636" s="41"/>
    </row>
    <row r="1637" spans="2:10" s="1" customFormat="1" ht="12.75" x14ac:dyDescent="0.2">
      <c r="B1637" s="46"/>
      <c r="C1637" s="39" t="s">
        <v>446</v>
      </c>
      <c r="D1637" s="8">
        <v>2</v>
      </c>
      <c r="E1637" s="86">
        <v>6</v>
      </c>
      <c r="F1637" s="40"/>
      <c r="G1637" s="40">
        <f>0.35+0.15</f>
        <v>0.5</v>
      </c>
      <c r="H1637" s="40">
        <f t="shared" si="117"/>
        <v>6</v>
      </c>
      <c r="I1637" s="40"/>
      <c r="J1637" s="41"/>
    </row>
    <row r="1638" spans="2:10" s="1" customFormat="1" ht="12.75" x14ac:dyDescent="0.2">
      <c r="B1638" s="46"/>
      <c r="C1638" s="59"/>
      <c r="D1638" s="60">
        <v>1</v>
      </c>
      <c r="E1638" s="40">
        <v>6</v>
      </c>
      <c r="F1638" s="40"/>
      <c r="G1638" s="40">
        <v>0.34</v>
      </c>
      <c r="H1638" s="40">
        <f t="shared" si="117"/>
        <v>2.04</v>
      </c>
      <c r="I1638" s="40"/>
      <c r="J1638" s="41"/>
    </row>
    <row r="1639" spans="2:10" s="1" customFormat="1" ht="12.75" x14ac:dyDescent="0.2">
      <c r="B1639" s="57"/>
      <c r="C1639" s="39"/>
      <c r="D1639" s="60"/>
      <c r="E1639" s="40"/>
      <c r="F1639" s="40"/>
      <c r="G1639" s="40"/>
      <c r="H1639" s="40"/>
      <c r="I1639" s="40"/>
      <c r="J1639" s="41"/>
    </row>
    <row r="1640" spans="2:10" s="1" customFormat="1" ht="12.75" x14ac:dyDescent="0.2">
      <c r="B1640" s="57" t="s">
        <v>876</v>
      </c>
      <c r="C1640" s="58" t="s">
        <v>223</v>
      </c>
      <c r="D1640" s="60"/>
      <c r="E1640" s="40"/>
      <c r="F1640" s="40"/>
      <c r="G1640" s="40"/>
      <c r="H1640" s="40"/>
      <c r="I1640" s="40"/>
      <c r="J1640" s="41"/>
    </row>
    <row r="1641" spans="2:10" s="1" customFormat="1" ht="12.75" x14ac:dyDescent="0.2">
      <c r="B1641" s="43" t="s">
        <v>877</v>
      </c>
      <c r="C1641" s="412" t="s">
        <v>657</v>
      </c>
      <c r="D1641" s="60"/>
      <c r="E1641" s="40"/>
      <c r="F1641" s="40"/>
      <c r="G1641" s="40"/>
      <c r="H1641" s="40"/>
      <c r="I1641" s="44">
        <f>+SUM(H1642:H1642)</f>
        <v>5</v>
      </c>
      <c r="J1641" s="45" t="s">
        <v>13</v>
      </c>
    </row>
    <row r="1642" spans="2:10" s="1" customFormat="1" ht="12.75" x14ac:dyDescent="0.2">
      <c r="B1642" s="46"/>
      <c r="C1642" s="39" t="s">
        <v>513</v>
      </c>
      <c r="D1642" s="60">
        <v>5</v>
      </c>
      <c r="E1642" s="40"/>
      <c r="F1642" s="40"/>
      <c r="G1642" s="40"/>
      <c r="H1642" s="40">
        <f>+D1642</f>
        <v>5</v>
      </c>
      <c r="I1642" s="40"/>
      <c r="J1642" s="41"/>
    </row>
    <row r="1643" spans="2:10" s="1" customFormat="1" ht="12.75" x14ac:dyDescent="0.2">
      <c r="B1643" s="46"/>
      <c r="C1643" s="59"/>
      <c r="D1643" s="60"/>
      <c r="E1643" s="40"/>
      <c r="F1643" s="40"/>
      <c r="G1643" s="40"/>
      <c r="H1643" s="40"/>
      <c r="I1643" s="40"/>
      <c r="J1643" s="41"/>
    </row>
    <row r="1644" spans="2:10" s="1" customFormat="1" ht="12.75" x14ac:dyDescent="0.2">
      <c r="B1644" s="46"/>
      <c r="C1644" s="59"/>
      <c r="D1644" s="60"/>
      <c r="E1644" s="40"/>
      <c r="F1644" s="40"/>
      <c r="G1644" s="40"/>
      <c r="H1644" s="40"/>
      <c r="I1644" s="40"/>
      <c r="J1644" s="41"/>
    </row>
    <row r="1645" spans="2:10" s="1" customFormat="1" ht="12.75" x14ac:dyDescent="0.2">
      <c r="B1645" s="46"/>
      <c r="C1645" s="59"/>
      <c r="D1645" s="60"/>
      <c r="E1645" s="40"/>
      <c r="F1645" s="40"/>
      <c r="G1645" s="40"/>
      <c r="H1645" s="40"/>
      <c r="I1645" s="40"/>
      <c r="J1645" s="41"/>
    </row>
    <row r="1646" spans="2:10" s="1" customFormat="1" ht="12.75" x14ac:dyDescent="0.2">
      <c r="B1646" s="46"/>
      <c r="C1646" s="59"/>
      <c r="D1646" s="60"/>
      <c r="E1646" s="40"/>
      <c r="F1646" s="40"/>
      <c r="G1646" s="40"/>
      <c r="H1646" s="40"/>
      <c r="I1646" s="40"/>
      <c r="J1646" s="41"/>
    </row>
    <row r="1647" spans="2:10" s="1" customFormat="1" ht="12.75" x14ac:dyDescent="0.2">
      <c r="B1647" s="46"/>
      <c r="C1647" s="59"/>
      <c r="D1647" s="60"/>
      <c r="E1647" s="40"/>
      <c r="F1647" s="40"/>
      <c r="G1647" s="40"/>
      <c r="H1647" s="40"/>
      <c r="I1647" s="40"/>
      <c r="J1647" s="41"/>
    </row>
    <row r="1648" spans="2:10" s="1" customFormat="1" ht="12.75" x14ac:dyDescent="0.2">
      <c r="B1648" s="46"/>
      <c r="C1648" s="59"/>
      <c r="D1648" s="60"/>
      <c r="E1648" s="40"/>
      <c r="F1648" s="40"/>
      <c r="G1648" s="40"/>
      <c r="H1648" s="40"/>
      <c r="I1648" s="40"/>
      <c r="J1648" s="41"/>
    </row>
    <row r="1649" spans="2:10" s="1" customFormat="1" ht="12.75" x14ac:dyDescent="0.2">
      <c r="B1649" s="46"/>
      <c r="C1649" s="59"/>
      <c r="D1649" s="60"/>
      <c r="E1649" s="40"/>
      <c r="F1649" s="40"/>
      <c r="G1649" s="40"/>
      <c r="H1649" s="40"/>
      <c r="I1649" s="40"/>
      <c r="J1649" s="41"/>
    </row>
    <row r="1650" spans="2:10" s="1" customFormat="1" ht="12.75" x14ac:dyDescent="0.2">
      <c r="B1650" s="46"/>
      <c r="C1650" s="59"/>
      <c r="D1650" s="60"/>
      <c r="E1650" s="40"/>
      <c r="F1650" s="40"/>
      <c r="G1650" s="40"/>
      <c r="H1650" s="40"/>
      <c r="I1650" s="40"/>
      <c r="J1650" s="41"/>
    </row>
    <row r="1651" spans="2:10" s="1" customFormat="1" ht="12.75" x14ac:dyDescent="0.2">
      <c r="B1651" s="46"/>
      <c r="C1651" s="59"/>
      <c r="D1651" s="60"/>
      <c r="E1651" s="40"/>
      <c r="F1651" s="40"/>
      <c r="G1651" s="40"/>
      <c r="H1651" s="40"/>
      <c r="I1651" s="40"/>
      <c r="J1651" s="41"/>
    </row>
    <row r="1652" spans="2:10" s="1" customFormat="1" ht="12.75" x14ac:dyDescent="0.2">
      <c r="B1652" s="46"/>
      <c r="C1652" s="59"/>
      <c r="D1652" s="60"/>
      <c r="E1652" s="40"/>
      <c r="F1652" s="40"/>
      <c r="G1652" s="40"/>
      <c r="H1652" s="40"/>
      <c r="I1652" s="40"/>
      <c r="J1652" s="41"/>
    </row>
    <row r="1653" spans="2:10" s="1" customFormat="1" ht="12.75" x14ac:dyDescent="0.2">
      <c r="B1653" s="46"/>
      <c r="C1653" s="59"/>
      <c r="D1653" s="60"/>
      <c r="E1653" s="40"/>
      <c r="F1653" s="40"/>
      <c r="G1653" s="40"/>
      <c r="H1653" s="40"/>
      <c r="I1653" s="40"/>
      <c r="J1653" s="41"/>
    </row>
    <row r="1654" spans="2:10" s="1" customFormat="1" ht="12.75" x14ac:dyDescent="0.2">
      <c r="B1654" s="46"/>
      <c r="C1654" s="59"/>
      <c r="D1654" s="60"/>
      <c r="E1654" s="40"/>
      <c r="F1654" s="40"/>
      <c r="G1654" s="40"/>
      <c r="H1654" s="40"/>
      <c r="I1654" s="40"/>
      <c r="J1654" s="41"/>
    </row>
    <row r="1655" spans="2:10" s="1" customFormat="1" ht="12.75" x14ac:dyDescent="0.2">
      <c r="B1655" s="46"/>
      <c r="C1655" s="59"/>
      <c r="D1655" s="60"/>
      <c r="E1655" s="40"/>
      <c r="F1655" s="40"/>
      <c r="G1655" s="40"/>
      <c r="H1655" s="40"/>
      <c r="I1655" s="40"/>
      <c r="J1655" s="41"/>
    </row>
    <row r="1656" spans="2:10" s="1" customFormat="1" ht="12.75" x14ac:dyDescent="0.2">
      <c r="C1656" s="400" t="s">
        <v>37</v>
      </c>
      <c r="D1656" s="400"/>
      <c r="E1656" s="400"/>
      <c r="F1656" s="400"/>
      <c r="G1656" s="400"/>
      <c r="H1656" s="400"/>
    </row>
    <row r="1657" spans="2:10" s="1" customFormat="1" ht="12.75" x14ac:dyDescent="0.2">
      <c r="C1657" s="400" t="s">
        <v>38</v>
      </c>
      <c r="D1657" s="400"/>
      <c r="E1657" s="400"/>
      <c r="F1657" s="400"/>
      <c r="G1657" s="400"/>
      <c r="H1657" s="400"/>
    </row>
    <row r="1658" spans="2:10" s="1" customFormat="1" ht="12.75" x14ac:dyDescent="0.2">
      <c r="C1658" s="400" t="s">
        <v>39</v>
      </c>
      <c r="D1658" s="400"/>
      <c r="E1658" s="400"/>
      <c r="F1658" s="400"/>
      <c r="G1658" s="400"/>
      <c r="H1658" s="400"/>
    </row>
    <row r="1659" spans="2:10" s="1" customFormat="1" ht="12.75" x14ac:dyDescent="0.2">
      <c r="C1659" s="401" t="s">
        <v>40</v>
      </c>
      <c r="D1659" s="401"/>
      <c r="E1659" s="401"/>
      <c r="F1659" s="401"/>
      <c r="G1659" s="401"/>
      <c r="H1659" s="401"/>
    </row>
    <row r="1660" spans="2:10" s="1" customFormat="1" ht="12.75" customHeight="1" x14ac:dyDescent="0.2">
      <c r="C1660" s="401"/>
      <c r="D1660" s="401"/>
      <c r="E1660" s="401"/>
      <c r="F1660" s="401"/>
      <c r="G1660" s="401"/>
      <c r="H1660" s="401"/>
    </row>
    <row r="1661" spans="2:10" s="1" customFormat="1" ht="15.75" x14ac:dyDescent="0.2">
      <c r="B1661" s="402" t="s">
        <v>65</v>
      </c>
      <c r="C1661" s="403"/>
      <c r="D1661" s="403"/>
      <c r="E1661" s="403"/>
      <c r="F1661" s="403"/>
      <c r="G1661" s="403"/>
      <c r="H1661" s="403"/>
      <c r="I1661" s="403"/>
      <c r="J1661" s="404"/>
    </row>
    <row r="1662" spans="2:10" s="1" customFormat="1" ht="20.25" x14ac:dyDescent="0.2">
      <c r="B1662" s="406" t="s">
        <v>431</v>
      </c>
      <c r="C1662" s="407"/>
      <c r="D1662" s="407"/>
      <c r="E1662" s="407"/>
      <c r="F1662" s="407"/>
      <c r="G1662" s="407"/>
      <c r="H1662" s="407"/>
      <c r="I1662" s="407"/>
      <c r="J1662" s="408"/>
    </row>
    <row r="1663" spans="2:10" s="1" customFormat="1" ht="13.5" thickBot="1" x14ac:dyDescent="0.25">
      <c r="B1663" s="405"/>
      <c r="C1663" s="405"/>
      <c r="D1663" s="405"/>
      <c r="E1663" s="405"/>
      <c r="F1663" s="405"/>
      <c r="G1663" s="405"/>
      <c r="H1663" s="405"/>
      <c r="I1663" s="405"/>
      <c r="J1663" s="405"/>
    </row>
    <row r="1664" spans="2:10" s="1" customFormat="1" ht="24.75" customHeight="1" x14ac:dyDescent="0.2">
      <c r="B1664" s="494" t="s">
        <v>27</v>
      </c>
      <c r="C1664" s="495"/>
      <c r="D1664" s="495"/>
      <c r="E1664" s="495"/>
      <c r="F1664" s="495"/>
      <c r="G1664" s="495"/>
      <c r="H1664" s="495"/>
      <c r="I1664" s="495"/>
      <c r="J1664" s="496"/>
    </row>
    <row r="1665" spans="2:10" s="1" customFormat="1" ht="12.75" x14ac:dyDescent="0.2">
      <c r="B1665" s="2" t="s">
        <v>35</v>
      </c>
      <c r="C1665" s="3" t="s">
        <v>36</v>
      </c>
      <c r="D1665" s="3"/>
      <c r="E1665" s="4"/>
      <c r="F1665" s="5"/>
      <c r="G1665" s="6" t="s">
        <v>8</v>
      </c>
      <c r="H1665" s="497">
        <v>42879</v>
      </c>
      <c r="I1665" s="497"/>
      <c r="J1665" s="7"/>
    </row>
    <row r="1666" spans="2:10" s="1" customFormat="1" ht="12.75" x14ac:dyDescent="0.2">
      <c r="B1666" s="2" t="s">
        <v>33</v>
      </c>
      <c r="C1666" s="3" t="s">
        <v>29</v>
      </c>
      <c r="D1666" s="8"/>
      <c r="E1666" s="8"/>
      <c r="F1666" s="3"/>
      <c r="G1666" s="9" t="s">
        <v>32</v>
      </c>
      <c r="H1666" s="4" t="s">
        <v>29</v>
      </c>
      <c r="I1666" s="10"/>
      <c r="J1666" s="11"/>
    </row>
    <row r="1667" spans="2:10" s="1" customFormat="1" ht="12.75" x14ac:dyDescent="0.2">
      <c r="B1667" s="2" t="s">
        <v>34</v>
      </c>
      <c r="C1667" s="3" t="s">
        <v>29</v>
      </c>
      <c r="D1667" s="8"/>
      <c r="E1667" s="8"/>
      <c r="F1667" s="3"/>
      <c r="G1667" s="9" t="s">
        <v>30</v>
      </c>
      <c r="H1667" s="4" t="s">
        <v>31</v>
      </c>
      <c r="I1667" s="10"/>
      <c r="J1667" s="11"/>
    </row>
    <row r="1668" spans="2:10" s="1" customFormat="1" ht="13.5" thickBot="1" x14ac:dyDescent="0.25">
      <c r="B1668" s="12" t="s">
        <v>43</v>
      </c>
      <c r="C1668" s="13" t="s">
        <v>44</v>
      </c>
      <c r="D1668" s="14"/>
      <c r="E1668" s="14"/>
      <c r="F1668" s="13"/>
      <c r="G1668" s="15" t="s">
        <v>41</v>
      </c>
      <c r="H1668" s="16" t="s">
        <v>42</v>
      </c>
      <c r="I1668" s="17"/>
      <c r="J1668" s="18"/>
    </row>
    <row r="1669" spans="2:10" s="1" customFormat="1" ht="12.75" x14ac:dyDescent="0.2">
      <c r="B1669" s="405"/>
      <c r="C1669" s="405"/>
      <c r="D1669" s="405"/>
      <c r="E1669" s="405"/>
      <c r="F1669" s="405"/>
      <c r="G1669" s="405"/>
      <c r="H1669" s="405"/>
      <c r="I1669" s="405"/>
      <c r="J1669" s="405"/>
    </row>
    <row r="1670" spans="2:10" s="1" customFormat="1" ht="12.75" x14ac:dyDescent="0.2">
      <c r="B1670" s="21" t="s">
        <v>5</v>
      </c>
      <c r="C1670" s="22" t="s">
        <v>0</v>
      </c>
      <c r="D1670" s="22" t="s">
        <v>9</v>
      </c>
      <c r="E1670" s="22" t="s">
        <v>10</v>
      </c>
      <c r="F1670" s="22" t="s">
        <v>1</v>
      </c>
      <c r="G1670" s="22" t="s">
        <v>2</v>
      </c>
      <c r="H1670" s="22" t="s">
        <v>11</v>
      </c>
      <c r="I1670" s="22" t="s">
        <v>6</v>
      </c>
      <c r="J1670" s="22" t="s">
        <v>7</v>
      </c>
    </row>
    <row r="1671" spans="2:10" s="1" customFormat="1" ht="12.75" x14ac:dyDescent="0.2">
      <c r="B1671" s="55">
        <v>4.03</v>
      </c>
      <c r="C1671" s="56" t="s">
        <v>222</v>
      </c>
      <c r="D1671" s="60"/>
      <c r="E1671" s="40"/>
      <c r="F1671" s="40"/>
      <c r="G1671" s="40"/>
      <c r="H1671" s="40"/>
      <c r="I1671" s="40"/>
      <c r="J1671" s="41"/>
    </row>
    <row r="1672" spans="2:10" s="1" customFormat="1" ht="12.75" x14ac:dyDescent="0.2">
      <c r="B1672" s="73" t="s">
        <v>14</v>
      </c>
      <c r="C1672" s="73" t="s">
        <v>615</v>
      </c>
      <c r="D1672" s="60"/>
      <c r="E1672" s="40"/>
      <c r="F1672" s="40"/>
      <c r="G1672" s="40"/>
      <c r="H1672" s="40"/>
      <c r="I1672" s="40"/>
      <c r="J1672" s="41"/>
    </row>
    <row r="1673" spans="2:10" s="1" customFormat="1" ht="12.75" x14ac:dyDescent="0.2">
      <c r="B1673" s="25" t="s">
        <v>15</v>
      </c>
      <c r="C1673" s="28" t="s">
        <v>616</v>
      </c>
      <c r="D1673" s="60"/>
      <c r="E1673" s="40"/>
      <c r="F1673" s="40"/>
      <c r="G1673" s="40"/>
      <c r="H1673" s="40"/>
      <c r="I1673" s="40">
        <f>+SUM(H1674:H1676)</f>
        <v>6.8650000000000002</v>
      </c>
      <c r="J1673" s="41" t="s">
        <v>45</v>
      </c>
    </row>
    <row r="1674" spans="2:10" s="1" customFormat="1" ht="12.75" x14ac:dyDescent="0.2">
      <c r="B1674" s="46"/>
      <c r="C1674" s="39" t="s">
        <v>688</v>
      </c>
      <c r="D1674" s="40">
        <v>1</v>
      </c>
      <c r="E1674" s="40">
        <v>1.75</v>
      </c>
      <c r="F1674" s="40">
        <v>0.4</v>
      </c>
      <c r="G1674" s="40"/>
      <c r="H1674" s="40">
        <f t="shared" ref="H1674:H1676" si="118">IF(AND(F1674=0,G1674=0),D1674*E1674,IF(AND(E1674=0,G1674=0),D1674*F1674,IF(AND(E1674=0,F1674=0),D1674*G1674,IF(AND(E1674=0),D1674*F1674*G1674,IF(AND(F1674=0),D1674*E1674*G1674,IF(AND(G1674=0),D1674*E1674*F1674,D1674*E1674*F1674*G1674))))))</f>
        <v>0.70000000000000007</v>
      </c>
      <c r="I1674" s="40"/>
      <c r="J1674" s="41"/>
    </row>
    <row r="1675" spans="2:10" s="1" customFormat="1" ht="12.75" x14ac:dyDescent="0.2">
      <c r="B1675" s="46"/>
      <c r="C1675" s="43" t="s">
        <v>472</v>
      </c>
      <c r="D1675" s="60"/>
      <c r="E1675" s="40"/>
      <c r="F1675" s="40"/>
      <c r="G1675" s="40"/>
      <c r="H1675" s="40"/>
      <c r="I1675" s="40"/>
      <c r="J1675" s="41"/>
    </row>
    <row r="1676" spans="2:10" s="1" customFormat="1" ht="12.75" x14ac:dyDescent="0.2">
      <c r="B1676" s="46"/>
      <c r="C1676" s="39" t="s">
        <v>514</v>
      </c>
      <c r="D1676" s="60">
        <v>1</v>
      </c>
      <c r="E1676" s="40">
        <f>7.9+5.5+0.2+0.1</f>
        <v>13.7</v>
      </c>
      <c r="F1676" s="40">
        <v>0.45</v>
      </c>
      <c r="G1676" s="40"/>
      <c r="H1676" s="40">
        <f t="shared" si="118"/>
        <v>6.165</v>
      </c>
      <c r="I1676" s="40"/>
      <c r="J1676" s="41"/>
    </row>
    <row r="1677" spans="2:10" x14ac:dyDescent="0.25">
      <c r="B1677" s="25" t="s">
        <v>232</v>
      </c>
      <c r="C1677" s="28" t="s">
        <v>617</v>
      </c>
      <c r="D1677" s="23"/>
      <c r="E1677" s="23"/>
      <c r="F1677" s="23"/>
      <c r="G1677" s="23"/>
      <c r="H1677" s="24"/>
      <c r="I1677" s="25">
        <f>+I1673</f>
        <v>6.8650000000000002</v>
      </c>
      <c r="J1677" s="26" t="s">
        <v>45</v>
      </c>
    </row>
    <row r="1678" spans="2:10" s="1" customFormat="1" ht="12.75" x14ac:dyDescent="0.2">
      <c r="B1678" s="46"/>
      <c r="C1678" s="59"/>
      <c r="D1678" s="60"/>
      <c r="E1678" s="40"/>
      <c r="F1678" s="40"/>
      <c r="G1678" s="40"/>
      <c r="H1678" s="40"/>
      <c r="I1678" s="40"/>
      <c r="J1678" s="41"/>
    </row>
    <row r="1679" spans="2:10" x14ac:dyDescent="0.25">
      <c r="B1679" s="73" t="s">
        <v>25</v>
      </c>
      <c r="C1679" s="73" t="s">
        <v>614</v>
      </c>
      <c r="D1679" s="23"/>
      <c r="E1679" s="23"/>
      <c r="F1679" s="23"/>
      <c r="G1679" s="23"/>
      <c r="H1679" s="24"/>
      <c r="I1679" s="25"/>
      <c r="J1679" s="26"/>
    </row>
    <row r="1680" spans="2:10" s="1" customFormat="1" ht="15.75" customHeight="1" x14ac:dyDescent="0.2">
      <c r="B1680" s="25" t="s">
        <v>26</v>
      </c>
      <c r="C1680" s="1" t="s">
        <v>622</v>
      </c>
      <c r="D1680" s="60"/>
      <c r="E1680" s="40"/>
      <c r="F1680" s="40"/>
      <c r="G1680" s="40"/>
      <c r="H1680" s="24"/>
      <c r="I1680" s="25">
        <f>+SUM(H1681)</f>
        <v>0.35000000000000003</v>
      </c>
      <c r="J1680" s="26" t="s">
        <v>4</v>
      </c>
    </row>
    <row r="1681" spans="2:10" s="1" customFormat="1" ht="15.75" customHeight="1" x14ac:dyDescent="0.2">
      <c r="B1681" s="25"/>
      <c r="C1681" s="39" t="s">
        <v>688</v>
      </c>
      <c r="D1681" s="40">
        <v>1</v>
      </c>
      <c r="E1681" s="40">
        <v>1.75</v>
      </c>
      <c r="F1681" s="40">
        <v>0.4</v>
      </c>
      <c r="G1681" s="40">
        <f>0.3+0.2</f>
        <v>0.5</v>
      </c>
      <c r="H1681" s="40">
        <f>IF(AND(F1681=0,G1681=0),D1681*E1681,IF(AND(E1681=0,G1681=0),D1681*F1681,IF(AND(E1681=0,F1681=0),D1681*G1681,IF(AND(E1681=0),D1681*F1681*G1681,IF(AND(F1681=0),D1681*E1681*G1681,IF(AND(G1681=0),D1681*E1681*F1681,D1681*E1681*F1681*G1681))))))</f>
        <v>0.35000000000000003</v>
      </c>
      <c r="I1681" s="40"/>
      <c r="J1681" s="41"/>
    </row>
    <row r="1682" spans="2:10" x14ac:dyDescent="0.25">
      <c r="B1682" s="25" t="s">
        <v>820</v>
      </c>
      <c r="C1682" s="414" t="s">
        <v>779</v>
      </c>
      <c r="D1682" s="23"/>
      <c r="E1682" s="23"/>
      <c r="F1682" s="23"/>
      <c r="G1682" s="23"/>
      <c r="I1682" s="24">
        <f>+SUM(H1683:H1683)</f>
        <v>0.70000000000000007</v>
      </c>
      <c r="J1682" s="26" t="s">
        <v>45</v>
      </c>
    </row>
    <row r="1683" spans="2:10" x14ac:dyDescent="0.25">
      <c r="B1683" s="25"/>
      <c r="C1683" s="39" t="s">
        <v>688</v>
      </c>
      <c r="D1683" s="40">
        <v>1</v>
      </c>
      <c r="E1683" s="40">
        <v>1.75</v>
      </c>
      <c r="F1683" s="40">
        <v>0.4</v>
      </c>
      <c r="G1683" s="40"/>
      <c r="H1683" s="40">
        <f>IF(AND(F1683=0,G1683=0),D1683*E1683,IF(AND(E1683=0,G1683=0),D1683*F1683,IF(AND(E1683=0,F1683=0),D1683*G1683,IF(AND(E1683=0),D1683*F1683*G1683,IF(AND(F1683=0),D1683*E1683*G1683,IF(AND(G1683=0),D1683*E1683*F1683,D1683*E1683*F1683*G1683))))))</f>
        <v>0.70000000000000007</v>
      </c>
      <c r="I1683" s="25"/>
      <c r="J1683" s="26"/>
    </row>
    <row r="1684" spans="2:10" s="1" customFormat="1" ht="12.75" x14ac:dyDescent="0.2">
      <c r="B1684" s="25" t="s">
        <v>822</v>
      </c>
      <c r="C1684" s="1" t="s">
        <v>738</v>
      </c>
      <c r="D1684" s="60"/>
      <c r="E1684" s="40"/>
      <c r="F1684" s="40"/>
      <c r="G1684" s="40"/>
      <c r="H1684" s="40"/>
      <c r="I1684" s="40">
        <f>+SUM(H1685)</f>
        <v>0</v>
      </c>
      <c r="J1684" s="41" t="s">
        <v>4</v>
      </c>
    </row>
    <row r="1685" spans="2:10" s="1" customFormat="1" ht="12.75" x14ac:dyDescent="0.2">
      <c r="B1685" s="46"/>
      <c r="C1685" s="39"/>
      <c r="E1685" s="40"/>
      <c r="F1685" s="40"/>
      <c r="G1685" s="40"/>
      <c r="H1685" s="40">
        <f>IF(AND(F1685=0,G1685=0),D1685*E1685,IF(AND(E1685=0,G1685=0),D1685*F1685,IF(AND(E1685=0,F1685=0),D1685*G1685,IF(AND(E1685=0),D1685*F1685*G1685,IF(AND(F1685=0),D1685*E1685*G1685,IF(AND(G1685=0),D1685*E1685*F1685,D1685*E1685*F1685*G1685))))))</f>
        <v>0</v>
      </c>
      <c r="I1685" s="40"/>
      <c r="J1685" s="41"/>
    </row>
    <row r="1686" spans="2:10" s="1" customFormat="1" ht="12.75" x14ac:dyDescent="0.2">
      <c r="B1686" s="25" t="s">
        <v>821</v>
      </c>
      <c r="C1686" s="414" t="s">
        <v>776</v>
      </c>
      <c r="D1686" s="60"/>
      <c r="E1686" s="40"/>
      <c r="F1686" s="40"/>
      <c r="G1686" s="40"/>
      <c r="H1686" s="40"/>
      <c r="I1686" s="40">
        <f>+SUM(H1688:H1688)-H1690</f>
        <v>2.4035229678272789</v>
      </c>
      <c r="J1686" s="41" t="s">
        <v>4</v>
      </c>
    </row>
    <row r="1687" spans="2:10" s="1" customFormat="1" ht="12.75" x14ac:dyDescent="0.2">
      <c r="B1687" s="46"/>
      <c r="C1687" s="43" t="s">
        <v>472</v>
      </c>
      <c r="D1687" s="60"/>
      <c r="E1687" s="40"/>
      <c r="F1687" s="40"/>
      <c r="G1687" s="40"/>
      <c r="H1687" s="40"/>
      <c r="I1687" s="40"/>
      <c r="J1687" s="41"/>
    </row>
    <row r="1688" spans="2:10" s="1" customFormat="1" ht="12.75" x14ac:dyDescent="0.2">
      <c r="B1688" s="46"/>
      <c r="C1688" s="39" t="s">
        <v>514</v>
      </c>
      <c r="D1688" s="60">
        <v>1</v>
      </c>
      <c r="E1688" s="40">
        <f>7.9+5.5+0.2+0.1</f>
        <v>13.7</v>
      </c>
      <c r="F1688" s="40">
        <v>0.45</v>
      </c>
      <c r="G1688" s="40">
        <v>0.4</v>
      </c>
      <c r="H1688" s="40">
        <f t="shared" ref="H1688" si="119">IF(AND(F1688=0,G1688=0),D1688*E1688,IF(AND(E1688=0,G1688=0),D1688*F1688,IF(AND(E1688=0,F1688=0),D1688*G1688,IF(AND(E1688=0),D1688*F1688*G1688,IF(AND(F1688=0),D1688*E1688*G1688,IF(AND(G1688=0),D1688*E1688*F1688,D1688*E1688*F1688*G1688))))))</f>
        <v>2.4660000000000002</v>
      </c>
      <c r="I1688" s="40"/>
      <c r="J1688" s="41"/>
    </row>
    <row r="1689" spans="2:10" s="1" customFormat="1" ht="12.75" x14ac:dyDescent="0.2">
      <c r="B1689" s="46"/>
      <c r="F1689" s="40" t="s">
        <v>786</v>
      </c>
      <c r="G1689" s="40">
        <v>3</v>
      </c>
      <c r="I1689" s="40"/>
      <c r="J1689" s="41"/>
    </row>
    <row r="1690" spans="2:10" s="1" customFormat="1" ht="12.75" x14ac:dyDescent="0.2">
      <c r="B1690" s="46"/>
      <c r="C1690" s="39" t="s">
        <v>784</v>
      </c>
      <c r="D1690" s="60">
        <v>1</v>
      </c>
      <c r="E1690" s="40">
        <f>+SUM(E1688:E1688)</f>
        <v>13.7</v>
      </c>
      <c r="F1690" s="40" t="s">
        <v>785</v>
      </c>
      <c r="G1690" s="381">
        <f>+PI()*((G1689*0.0254)^2)/4</f>
        <v>4.5603673118774788E-3</v>
      </c>
      <c r="H1690" s="40">
        <f>+E1690*G1690</f>
        <v>6.2477032172721457E-2</v>
      </c>
      <c r="I1690" s="40"/>
      <c r="J1690" s="41"/>
    </row>
    <row r="1691" spans="2:10" s="1" customFormat="1" ht="12.75" x14ac:dyDescent="0.2">
      <c r="B1691" s="25" t="s">
        <v>823</v>
      </c>
      <c r="C1691" s="28" t="s">
        <v>719</v>
      </c>
      <c r="D1691" s="60"/>
      <c r="E1691" s="40"/>
      <c r="F1691" s="40"/>
      <c r="G1691" s="40"/>
      <c r="H1691" s="40"/>
      <c r="I1691" s="40">
        <f>+SUM(H1692)</f>
        <v>2.1000000000000005</v>
      </c>
      <c r="J1691" s="41" t="s">
        <v>45</v>
      </c>
    </row>
    <row r="1692" spans="2:10" s="1" customFormat="1" ht="12.75" x14ac:dyDescent="0.2">
      <c r="B1692" s="46"/>
      <c r="C1692" s="39" t="s">
        <v>688</v>
      </c>
      <c r="D1692" s="40">
        <v>1</v>
      </c>
      <c r="E1692" s="40">
        <v>1.75</v>
      </c>
      <c r="F1692" s="40">
        <v>0.4</v>
      </c>
      <c r="G1692" s="40">
        <f>0.3+0.1</f>
        <v>0.4</v>
      </c>
      <c r="H1692" s="40">
        <f>+(F1692+G1692*2)*E1692</f>
        <v>2.1000000000000005</v>
      </c>
      <c r="I1692" s="40"/>
      <c r="J1692" s="41"/>
    </row>
    <row r="1693" spans="2:10" s="1" customFormat="1" ht="12.75" x14ac:dyDescent="0.2">
      <c r="B1693" s="25" t="s">
        <v>824</v>
      </c>
      <c r="C1693" s="28" t="s">
        <v>718</v>
      </c>
      <c r="D1693" s="60"/>
      <c r="E1693" s="40"/>
      <c r="F1693" s="40"/>
      <c r="G1693" s="40"/>
      <c r="H1693" s="40"/>
      <c r="I1693" s="40">
        <f>+SUM(H1695)</f>
        <v>17.809999999999999</v>
      </c>
      <c r="J1693" s="41" t="s">
        <v>45</v>
      </c>
    </row>
    <row r="1694" spans="2:10" s="1" customFormat="1" ht="12.75" x14ac:dyDescent="0.2">
      <c r="B1694" s="46"/>
      <c r="C1694" s="43" t="s">
        <v>472</v>
      </c>
      <c r="D1694" s="60"/>
      <c r="E1694" s="40"/>
      <c r="F1694" s="40"/>
      <c r="G1694" s="40"/>
      <c r="H1694" s="40"/>
      <c r="I1694" s="40"/>
      <c r="J1694" s="41"/>
    </row>
    <row r="1695" spans="2:10" s="1" customFormat="1" ht="12.75" x14ac:dyDescent="0.2">
      <c r="B1695" s="46"/>
      <c r="C1695" s="39" t="s">
        <v>514</v>
      </c>
      <c r="D1695" s="60">
        <v>1</v>
      </c>
      <c r="E1695" s="40">
        <f>7.9+5.5+0.2+0.1</f>
        <v>13.7</v>
      </c>
      <c r="F1695" s="40">
        <v>0.5</v>
      </c>
      <c r="G1695" s="40">
        <v>0.4</v>
      </c>
      <c r="H1695" s="40">
        <f>+(F1695+G1695*2)*E1695</f>
        <v>17.809999999999999</v>
      </c>
      <c r="I1695" s="40"/>
      <c r="J1695" s="41"/>
    </row>
    <row r="1696" spans="2:10" s="414" customFormat="1" ht="12.75" x14ac:dyDescent="0.2">
      <c r="B1696" s="25" t="s">
        <v>825</v>
      </c>
      <c r="C1696" s="28" t="s">
        <v>794</v>
      </c>
      <c r="D1696" s="60"/>
      <c r="E1696" s="40"/>
      <c r="F1696" s="40" t="s">
        <v>795</v>
      </c>
      <c r="G1696" s="40"/>
      <c r="H1696" s="40"/>
      <c r="I1696" s="40">
        <f>+SUM(H1697:H1699)</f>
        <v>31.159999999999997</v>
      </c>
      <c r="J1696" s="41" t="s">
        <v>12</v>
      </c>
    </row>
    <row r="1697" spans="2:10" s="414" customFormat="1" ht="12.75" x14ac:dyDescent="0.2">
      <c r="B1697" s="380"/>
      <c r="C1697" s="39" t="s">
        <v>467</v>
      </c>
      <c r="D1697" s="60">
        <v>2</v>
      </c>
      <c r="E1697" s="40">
        <v>2.65</v>
      </c>
      <c r="F1697" s="40">
        <f>8.2/5</f>
        <v>1.64</v>
      </c>
      <c r="G1697" s="40"/>
      <c r="H1697" s="40">
        <f>IF(AND(F1697=0,G1697=0),D1697*E1697,IF(AND(E1697=0,G1697=0),D1697*F1697,IF(AND(E1697=0,F1697=0),D1697*G1697,IF(AND(E1697=0),D1697*F1697*G1697,IF(AND(F1697=0),D1697*E1697*G1697,IF(AND(G1697=0),D1697*E1697*F1697,D1697*E1697*F1697*G1697))))))</f>
        <v>8.6919999999999984</v>
      </c>
      <c r="I1697" s="40"/>
      <c r="J1697" s="41"/>
    </row>
    <row r="1698" spans="2:10" s="1" customFormat="1" ht="12.75" x14ac:dyDescent="0.2">
      <c r="B1698" s="380"/>
      <c r="C1698" s="43" t="s">
        <v>472</v>
      </c>
      <c r="D1698" s="60"/>
      <c r="E1698" s="40"/>
      <c r="F1698" s="40"/>
      <c r="G1698" s="40"/>
      <c r="H1698" s="40"/>
      <c r="I1698" s="40"/>
      <c r="J1698" s="41"/>
    </row>
    <row r="1699" spans="2:10" s="1" customFormat="1" ht="12.75" x14ac:dyDescent="0.2">
      <c r="B1699" s="380"/>
      <c r="C1699" s="39" t="s">
        <v>514</v>
      </c>
      <c r="D1699" s="60">
        <v>1</v>
      </c>
      <c r="E1699" s="40">
        <f>7.9+5.5+0.2+0.1</f>
        <v>13.7</v>
      </c>
      <c r="F1699" s="40">
        <f t="shared" ref="F1699" si="120">8.2/5</f>
        <v>1.64</v>
      </c>
      <c r="G1699" s="40"/>
      <c r="H1699" s="40">
        <f t="shared" ref="H1699" si="121">IF(AND(F1699=0,G1699=0),D1699*E1699,IF(AND(E1699=0,G1699=0),D1699*F1699,IF(AND(E1699=0,F1699=0),D1699*G1699,IF(AND(E1699=0),D1699*F1699*G1699,IF(AND(F1699=0),D1699*E1699*G1699,IF(AND(G1699=0),D1699*E1699*F1699,D1699*E1699*F1699*G1699))))))</f>
        <v>22.467999999999996</v>
      </c>
      <c r="I1699" s="40"/>
      <c r="J1699" s="41"/>
    </row>
    <row r="1700" spans="2:10" s="1" customFormat="1" ht="12.75" x14ac:dyDescent="0.2">
      <c r="B1700" s="380"/>
      <c r="C1700" s="366"/>
      <c r="D1700" s="60"/>
      <c r="E1700" s="40"/>
      <c r="F1700" s="40"/>
      <c r="G1700" s="40"/>
      <c r="H1700" s="40"/>
      <c r="I1700" s="40"/>
      <c r="J1700" s="41"/>
    </row>
    <row r="1701" spans="2:10" s="1" customFormat="1" ht="12.75" x14ac:dyDescent="0.2">
      <c r="B1701" s="25" t="s">
        <v>899</v>
      </c>
      <c r="C1701" s="28" t="s">
        <v>625</v>
      </c>
      <c r="D1701" s="60"/>
      <c r="E1701" s="40"/>
      <c r="F1701" s="40"/>
      <c r="G1701" s="40"/>
      <c r="H1701" s="40"/>
      <c r="I1701" s="40">
        <f>+SUM(H1702:H1703)</f>
        <v>0.17500000000000002</v>
      </c>
      <c r="J1701" s="41" t="s">
        <v>4</v>
      </c>
    </row>
    <row r="1702" spans="2:10" s="1" customFormat="1" ht="12.75" x14ac:dyDescent="0.2">
      <c r="B1702" s="46"/>
      <c r="C1702" s="39" t="s">
        <v>733</v>
      </c>
      <c r="D1702" s="40">
        <v>2</v>
      </c>
      <c r="E1702" s="40">
        <v>1.75</v>
      </c>
      <c r="F1702" s="40">
        <v>0.1</v>
      </c>
      <c r="G1702" s="40">
        <v>0.3</v>
      </c>
      <c r="H1702" s="40">
        <f t="shared" ref="H1702:H1703" si="122">IF(AND(F1702=0,G1702=0),D1702*E1702,IF(AND(E1702=0,G1702=0),D1702*F1702,IF(AND(E1702=0,F1702=0),D1702*G1702,IF(AND(E1702=0),D1702*F1702*G1702,IF(AND(F1702=0),D1702*E1702*G1702,IF(AND(G1702=0),D1702*E1702*F1702,D1702*E1702*F1702*G1702))))))</f>
        <v>0.10500000000000001</v>
      </c>
      <c r="I1702" s="40"/>
      <c r="J1702" s="41"/>
    </row>
    <row r="1703" spans="2:10" s="1" customFormat="1" ht="12.75" x14ac:dyDescent="0.2">
      <c r="B1703" s="46"/>
      <c r="C1703" s="59"/>
      <c r="D1703" s="60">
        <v>1</v>
      </c>
      <c r="E1703" s="40">
        <v>1.75</v>
      </c>
      <c r="F1703" s="40">
        <v>0.4</v>
      </c>
      <c r="G1703" s="40">
        <v>0.1</v>
      </c>
      <c r="H1703" s="40">
        <f t="shared" si="122"/>
        <v>7.0000000000000007E-2</v>
      </c>
      <c r="I1703" s="40"/>
      <c r="J1703" s="41"/>
    </row>
    <row r="1704" spans="2:10" s="414" customFormat="1" ht="12.75" x14ac:dyDescent="0.2">
      <c r="B1704" s="46"/>
      <c r="C1704" s="59"/>
      <c r="D1704" s="60"/>
      <c r="E1704" s="40"/>
      <c r="F1704" s="40"/>
      <c r="G1704" s="40"/>
      <c r="H1704" s="40"/>
      <c r="I1704" s="40"/>
      <c r="J1704" s="41"/>
    </row>
    <row r="1705" spans="2:10" s="414" customFormat="1" ht="12.75" x14ac:dyDescent="0.2">
      <c r="B1705" s="25" t="s">
        <v>900</v>
      </c>
      <c r="C1705" s="28" t="s">
        <v>789</v>
      </c>
      <c r="D1705" s="60" t="s">
        <v>791</v>
      </c>
      <c r="E1705" s="40"/>
      <c r="F1705" s="40"/>
      <c r="G1705" s="40"/>
      <c r="H1705" s="40"/>
      <c r="I1705" s="40">
        <f>+SUM(H1706:H1709)</f>
        <v>0.51559629021590181</v>
      </c>
      <c r="J1705" s="41" t="s">
        <v>4</v>
      </c>
    </row>
    <row r="1706" spans="2:10" s="1" customFormat="1" ht="12.75" x14ac:dyDescent="0.2">
      <c r="B1706" s="107"/>
      <c r="C1706" s="39" t="s">
        <v>688</v>
      </c>
      <c r="D1706" s="40">
        <v>1.25</v>
      </c>
      <c r="E1706" s="40">
        <v>1.75</v>
      </c>
      <c r="F1706" s="40">
        <v>0.4</v>
      </c>
      <c r="G1706" s="40">
        <f>0.3+0.2</f>
        <v>0.5</v>
      </c>
      <c r="H1706" s="40">
        <f>IF(AND(F1706=0,G1706=0),D1706*E1706,IF(AND(E1706=0,G1706=0),D1706*F1706,IF(AND(E1706=0,F1706=0),D1706*G1706,IF(AND(E1706=0),D1706*F1706*G1706,IF(AND(F1706=0),D1706*E1706*G1706,IF(AND(G1706=0),D1706*E1706*F1706,D1706*E1706*F1706*G1706))))))</f>
        <v>0.4375</v>
      </c>
      <c r="I1706" s="40"/>
      <c r="J1706" s="41"/>
    </row>
    <row r="1707" spans="2:10" s="1" customFormat="1" ht="12.75" x14ac:dyDescent="0.2">
      <c r="B1707" s="107"/>
      <c r="C1707" s="43" t="s">
        <v>472</v>
      </c>
      <c r="D1707" s="60"/>
      <c r="E1707" s="40"/>
      <c r="F1707" s="40"/>
      <c r="G1707" s="40"/>
      <c r="H1707" s="40"/>
      <c r="I1707" s="40"/>
      <c r="J1707" s="41"/>
    </row>
    <row r="1708" spans="2:10" s="1" customFormat="1" ht="12.75" x14ac:dyDescent="0.2">
      <c r="B1708" s="107"/>
      <c r="C1708" s="39" t="s">
        <v>514</v>
      </c>
      <c r="F1708" s="40" t="s">
        <v>786</v>
      </c>
      <c r="G1708" s="40">
        <v>3</v>
      </c>
      <c r="H1708" s="40"/>
      <c r="I1708" s="40"/>
      <c r="J1708" s="41"/>
    </row>
    <row r="1709" spans="2:10" s="1" customFormat="1" ht="12.75" x14ac:dyDescent="0.2">
      <c r="B1709" s="107"/>
      <c r="C1709" s="39" t="s">
        <v>784</v>
      </c>
      <c r="D1709" s="60">
        <v>1.25</v>
      </c>
      <c r="E1709" s="40">
        <f>+E1690</f>
        <v>13.7</v>
      </c>
      <c r="F1709" s="40" t="s">
        <v>785</v>
      </c>
      <c r="G1709" s="381">
        <f>+PI()*((G1708*0.0254)^2)/4</f>
        <v>4.5603673118774788E-3</v>
      </c>
      <c r="H1709" s="40">
        <f>+D1709*E1709*G1709</f>
        <v>7.8096290215901823E-2</v>
      </c>
      <c r="I1709" s="40"/>
      <c r="J1709" s="41"/>
    </row>
    <row r="1710" spans="2:10" s="414" customFormat="1" ht="12.75" x14ac:dyDescent="0.2">
      <c r="B1710" s="25" t="s">
        <v>901</v>
      </c>
      <c r="C1710" s="28" t="s">
        <v>624</v>
      </c>
      <c r="D1710" s="60"/>
      <c r="E1710" s="40"/>
      <c r="F1710" s="40"/>
      <c r="G1710" s="40"/>
      <c r="H1710" s="40"/>
      <c r="I1710" s="40">
        <f>+I1705</f>
        <v>0.51559629021590181</v>
      </c>
      <c r="J1710" s="41" t="s">
        <v>4</v>
      </c>
    </row>
    <row r="1711" spans="2:10" s="414" customFormat="1" ht="12.75" x14ac:dyDescent="0.2">
      <c r="B1711" s="46"/>
      <c r="C1711" s="59"/>
      <c r="D1711" s="60"/>
      <c r="E1711" s="40"/>
      <c r="F1711" s="40"/>
      <c r="G1711" s="40"/>
      <c r="H1711" s="40"/>
      <c r="I1711" s="40"/>
      <c r="J1711" s="41"/>
    </row>
    <row r="1712" spans="2:10" x14ac:dyDescent="0.25">
      <c r="B1712" s="73" t="s">
        <v>829</v>
      </c>
      <c r="C1712" s="74" t="s">
        <v>626</v>
      </c>
      <c r="D1712" s="23"/>
      <c r="E1712" s="23"/>
      <c r="F1712" s="23"/>
      <c r="G1712" s="23"/>
      <c r="H1712" s="24"/>
      <c r="I1712" s="25"/>
      <c r="J1712" s="26"/>
    </row>
    <row r="1713" spans="2:10" s="1" customFormat="1" ht="12.75" x14ac:dyDescent="0.2">
      <c r="B1713" s="43" t="s">
        <v>830</v>
      </c>
      <c r="C1713" s="25" t="s">
        <v>627</v>
      </c>
      <c r="D1713" s="60"/>
      <c r="E1713" s="40"/>
      <c r="F1713" s="40"/>
      <c r="G1713" s="40"/>
      <c r="H1713" s="40"/>
      <c r="I1713" s="44">
        <f>+SUM(H1714:H1714)</f>
        <v>0.70000000000000007</v>
      </c>
      <c r="J1713" s="45" t="s">
        <v>45</v>
      </c>
    </row>
    <row r="1714" spans="2:10" s="1" customFormat="1" ht="15.75" customHeight="1" x14ac:dyDescent="0.2">
      <c r="B1714" s="25"/>
      <c r="C1714" s="39" t="s">
        <v>688</v>
      </c>
      <c r="D1714" s="40">
        <v>1</v>
      </c>
      <c r="E1714" s="40">
        <v>1.75</v>
      </c>
      <c r="F1714" s="40">
        <v>0.4</v>
      </c>
      <c r="G1714" s="40"/>
      <c r="H1714" s="40">
        <f>IF(AND(F1714=0,G1714=0),D1714*E1714,IF(AND(E1714=0,G1714=0),D1714*F1714,IF(AND(E1714=0,F1714=0),D1714*G1714,IF(AND(E1714=0),D1714*F1714*G1714,IF(AND(F1714=0),D1714*E1714*G1714,IF(AND(G1714=0),D1714*E1714*F1714,D1714*E1714*F1714*G1714))))))</f>
        <v>0.70000000000000007</v>
      </c>
      <c r="I1714" s="40"/>
      <c r="J1714" s="41"/>
    </row>
    <row r="1715" spans="2:10" s="1" customFormat="1" ht="12.75" x14ac:dyDescent="0.2">
      <c r="B1715" s="43" t="s">
        <v>831</v>
      </c>
      <c r="C1715" s="25" t="s">
        <v>680</v>
      </c>
      <c r="D1715" s="60"/>
      <c r="E1715" s="40"/>
      <c r="F1715" s="40"/>
      <c r="G1715" s="40"/>
      <c r="H1715" s="40"/>
      <c r="I1715" s="44">
        <f>+H1716</f>
        <v>0</v>
      </c>
      <c r="J1715" s="45" t="s">
        <v>45</v>
      </c>
    </row>
    <row r="1716" spans="2:10" s="1" customFormat="1" ht="12.75" x14ac:dyDescent="0.2">
      <c r="B1716" s="57"/>
      <c r="C1716" s="39"/>
      <c r="D1716" s="60"/>
      <c r="E1716" s="40"/>
      <c r="F1716" s="40"/>
      <c r="G1716" s="40"/>
      <c r="H1716" s="40">
        <v>0</v>
      </c>
      <c r="I1716" s="40"/>
      <c r="J1716" s="41"/>
    </row>
    <row r="1717" spans="2:10" s="1" customFormat="1" ht="12.75" x14ac:dyDescent="0.2">
      <c r="B1717" s="57" t="s">
        <v>838</v>
      </c>
      <c r="C1717" s="58" t="s">
        <v>224</v>
      </c>
      <c r="D1717" s="60"/>
      <c r="E1717" s="40"/>
      <c r="F1717" s="40"/>
      <c r="G1717" s="40"/>
      <c r="H1717" s="40"/>
      <c r="I1717" s="40"/>
      <c r="J1717" s="41"/>
    </row>
    <row r="1718" spans="2:10" s="1" customFormat="1" ht="12.75" x14ac:dyDescent="0.2">
      <c r="B1718" s="43" t="s">
        <v>849</v>
      </c>
      <c r="C1718" s="25" t="s">
        <v>902</v>
      </c>
      <c r="D1718" s="60"/>
      <c r="E1718" s="40"/>
      <c r="F1718" s="40"/>
      <c r="G1718" s="40"/>
      <c r="H1718" s="40"/>
      <c r="I1718" s="44">
        <f>+SUM(H1719:H1719)</f>
        <v>13.7</v>
      </c>
      <c r="J1718" s="45" t="s">
        <v>345</v>
      </c>
    </row>
    <row r="1719" spans="2:10" s="1" customFormat="1" ht="12.75" x14ac:dyDescent="0.2">
      <c r="B1719" s="43"/>
      <c r="C1719" s="39" t="s">
        <v>514</v>
      </c>
      <c r="D1719" s="60">
        <v>1</v>
      </c>
      <c r="E1719" s="40">
        <f>7.9+5.5+0.2+0.1</f>
        <v>13.7</v>
      </c>
      <c r="F1719" s="40"/>
      <c r="G1719" s="40"/>
      <c r="H1719" s="40">
        <f>IF(AND(F1719=0,G1719=0),D1719*E1719,IF(AND(E1719=0,G1719=0),D1719*F1719,IF(AND(E1719=0,F1719=0),D1719*G1719,IF(AND(E1719=0),D1719*F1719*G1719,IF(AND(F1719=0),D1719*E1719*G1719,IF(AND(G1719=0),D1719*E1719*F1719,D1719*E1719*F1719*G1719))))))</f>
        <v>13.7</v>
      </c>
      <c r="I1719" s="44"/>
      <c r="J1719" s="45"/>
    </row>
    <row r="1720" spans="2:10" s="1" customFormat="1" ht="12.75" x14ac:dyDescent="0.2">
      <c r="B1720" s="25" t="s">
        <v>860</v>
      </c>
      <c r="C1720" s="28" t="s">
        <v>736</v>
      </c>
      <c r="D1720" s="60"/>
      <c r="E1720" s="40"/>
      <c r="F1720" s="40"/>
      <c r="G1720" s="40"/>
      <c r="H1720" s="40"/>
      <c r="I1720" s="40">
        <f>+SUM(H1721:H1722)</f>
        <v>1.9249999999999998</v>
      </c>
      <c r="J1720" s="41" t="s">
        <v>45</v>
      </c>
    </row>
    <row r="1721" spans="2:10" s="1" customFormat="1" ht="12.75" x14ac:dyDescent="0.2">
      <c r="B1721" s="46"/>
      <c r="C1721" s="39" t="s">
        <v>733</v>
      </c>
      <c r="D1721" s="40">
        <v>2</v>
      </c>
      <c r="E1721" s="40">
        <v>1.75</v>
      </c>
      <c r="F1721" s="40"/>
      <c r="G1721" s="40">
        <f>0.3+0.15</f>
        <v>0.44999999999999996</v>
      </c>
      <c r="H1721" s="40">
        <f t="shared" ref="H1721:H1722" si="123">IF(AND(F1721=0,G1721=0),D1721*E1721,IF(AND(E1721=0,G1721=0),D1721*F1721,IF(AND(E1721=0,F1721=0),D1721*G1721,IF(AND(E1721=0),D1721*F1721*G1721,IF(AND(F1721=0),D1721*E1721*G1721,IF(AND(G1721=0),D1721*E1721*F1721,D1721*E1721*F1721*G1721))))))</f>
        <v>1.5749999999999997</v>
      </c>
      <c r="I1721" s="40"/>
      <c r="J1721" s="41"/>
    </row>
    <row r="1722" spans="2:10" s="1" customFormat="1" ht="12.75" x14ac:dyDescent="0.2">
      <c r="B1722" s="46"/>
      <c r="C1722" s="59"/>
      <c r="D1722" s="60">
        <v>1</v>
      </c>
      <c r="E1722" s="40">
        <v>1.75</v>
      </c>
      <c r="F1722" s="40"/>
      <c r="G1722" s="40">
        <v>0.2</v>
      </c>
      <c r="H1722" s="40">
        <f t="shared" si="123"/>
        <v>0.35000000000000003</v>
      </c>
      <c r="I1722" s="40"/>
      <c r="J1722" s="41"/>
    </row>
    <row r="1723" spans="2:10" s="1" customFormat="1" ht="12.75" x14ac:dyDescent="0.2">
      <c r="B1723" s="57"/>
      <c r="C1723" s="39"/>
      <c r="D1723" s="60"/>
      <c r="E1723" s="40"/>
      <c r="F1723" s="40"/>
      <c r="G1723" s="40"/>
      <c r="H1723" s="40"/>
      <c r="I1723" s="40"/>
      <c r="J1723" s="41"/>
    </row>
    <row r="1724" spans="2:10" s="1" customFormat="1" ht="12.75" x14ac:dyDescent="0.2">
      <c r="B1724" s="57" t="s">
        <v>876</v>
      </c>
      <c r="C1724" s="58" t="s">
        <v>223</v>
      </c>
      <c r="D1724" s="60"/>
      <c r="E1724" s="40"/>
      <c r="F1724" s="40"/>
      <c r="G1724" s="40"/>
      <c r="H1724" s="40"/>
      <c r="I1724" s="40"/>
      <c r="J1724" s="41"/>
    </row>
    <row r="1725" spans="2:10" s="1" customFormat="1" ht="12.75" x14ac:dyDescent="0.2">
      <c r="B1725" s="43" t="s">
        <v>877</v>
      </c>
      <c r="C1725" s="412" t="s">
        <v>657</v>
      </c>
      <c r="D1725" s="60"/>
      <c r="E1725" s="40"/>
      <c r="F1725" s="40"/>
      <c r="G1725" s="40"/>
      <c r="H1725" s="40"/>
      <c r="I1725" s="44">
        <f>+SUM(H1726:H1727)</f>
        <v>7</v>
      </c>
      <c r="J1725" s="45" t="s">
        <v>13</v>
      </c>
    </row>
    <row r="1726" spans="2:10" s="1" customFormat="1" ht="12.75" x14ac:dyDescent="0.2">
      <c r="B1726" s="46"/>
      <c r="C1726" s="39" t="s">
        <v>515</v>
      </c>
      <c r="D1726" s="60">
        <f>2*2</f>
        <v>4</v>
      </c>
      <c r="E1726" s="40"/>
      <c r="F1726" s="40"/>
      <c r="G1726" s="40"/>
      <c r="H1726" s="40">
        <f>+D1726</f>
        <v>4</v>
      </c>
      <c r="I1726" s="40"/>
      <c r="J1726" s="41"/>
    </row>
    <row r="1727" spans="2:10" s="1" customFormat="1" ht="12.75" x14ac:dyDescent="0.2">
      <c r="B1727" s="46"/>
      <c r="C1727" s="59" t="s">
        <v>516</v>
      </c>
      <c r="D1727" s="60">
        <v>3</v>
      </c>
      <c r="E1727" s="40"/>
      <c r="F1727" s="40"/>
      <c r="G1727" s="40"/>
      <c r="H1727" s="40">
        <f>+D1727</f>
        <v>3</v>
      </c>
      <c r="I1727" s="40"/>
      <c r="J1727" s="41"/>
    </row>
    <row r="1728" spans="2:10" s="1" customFormat="1" ht="12.75" x14ac:dyDescent="0.2">
      <c r="B1728" s="46"/>
      <c r="C1728" s="59"/>
      <c r="D1728" s="60"/>
      <c r="E1728" s="40"/>
      <c r="F1728" s="40"/>
      <c r="G1728" s="40"/>
      <c r="H1728" s="40"/>
      <c r="I1728" s="40"/>
      <c r="J1728" s="41"/>
    </row>
    <row r="1729" spans="2:10" s="1" customFormat="1" ht="12.75" x14ac:dyDescent="0.2">
      <c r="B1729" s="46"/>
      <c r="C1729" s="59"/>
      <c r="D1729" s="60"/>
      <c r="E1729" s="40"/>
      <c r="F1729" s="40"/>
      <c r="G1729" s="40"/>
      <c r="H1729" s="40"/>
      <c r="I1729" s="40"/>
      <c r="J1729" s="41"/>
    </row>
    <row r="1730" spans="2:10" s="1" customFormat="1" ht="12.75" x14ac:dyDescent="0.2">
      <c r="B1730" s="46"/>
      <c r="C1730" s="59"/>
      <c r="D1730" s="60"/>
      <c r="E1730" s="40"/>
      <c r="F1730" s="40"/>
      <c r="G1730" s="40"/>
      <c r="H1730" s="40"/>
      <c r="I1730" s="40"/>
      <c r="J1730" s="41"/>
    </row>
    <row r="1731" spans="2:10" s="1" customFormat="1" ht="12.75" x14ac:dyDescent="0.2">
      <c r="B1731" s="46"/>
      <c r="C1731" s="59"/>
      <c r="D1731" s="60"/>
      <c r="E1731" s="40"/>
      <c r="F1731" s="40"/>
      <c r="G1731" s="40"/>
      <c r="H1731" s="40"/>
      <c r="I1731" s="40"/>
      <c r="J1731" s="41"/>
    </row>
    <row r="1732" spans="2:10" s="1" customFormat="1" ht="12.75" x14ac:dyDescent="0.2">
      <c r="B1732" s="46"/>
      <c r="C1732" s="59"/>
      <c r="D1732" s="60"/>
      <c r="E1732" s="40"/>
      <c r="F1732" s="40"/>
      <c r="G1732" s="40"/>
      <c r="H1732" s="40"/>
      <c r="I1732" s="40"/>
      <c r="J1732" s="41"/>
    </row>
    <row r="1733" spans="2:10" s="1" customFormat="1" ht="12.75" x14ac:dyDescent="0.2">
      <c r="B1733" s="46"/>
      <c r="C1733" s="59"/>
      <c r="D1733" s="60"/>
      <c r="E1733" s="40"/>
      <c r="F1733" s="40"/>
      <c r="G1733" s="40"/>
      <c r="H1733" s="40"/>
      <c r="I1733" s="40"/>
      <c r="J1733" s="41"/>
    </row>
    <row r="1734" spans="2:10" s="1" customFormat="1" ht="12.75" x14ac:dyDescent="0.2">
      <c r="B1734" s="46"/>
      <c r="C1734" s="59"/>
      <c r="D1734" s="60"/>
      <c r="E1734" s="40"/>
      <c r="F1734" s="40"/>
      <c r="G1734" s="40"/>
      <c r="H1734" s="40"/>
      <c r="I1734" s="40"/>
      <c r="J1734" s="41"/>
    </row>
    <row r="1735" spans="2:10" s="1" customFormat="1" ht="12.75" x14ac:dyDescent="0.2">
      <c r="B1735" s="46"/>
      <c r="C1735" s="59"/>
      <c r="D1735" s="60"/>
      <c r="E1735" s="40"/>
      <c r="F1735" s="40"/>
      <c r="G1735" s="40"/>
      <c r="H1735" s="40"/>
      <c r="I1735" s="40"/>
      <c r="J1735" s="41"/>
    </row>
    <row r="1736" spans="2:10" s="1" customFormat="1" ht="12.75" x14ac:dyDescent="0.2">
      <c r="B1736" s="46"/>
      <c r="C1736" s="59"/>
      <c r="D1736" s="60"/>
      <c r="E1736" s="40"/>
      <c r="F1736" s="40"/>
      <c r="G1736" s="40"/>
      <c r="H1736" s="40"/>
      <c r="I1736" s="40"/>
      <c r="J1736" s="41"/>
    </row>
    <row r="1737" spans="2:10" s="1" customFormat="1" ht="12.75" x14ac:dyDescent="0.2">
      <c r="B1737" s="46"/>
      <c r="C1737" s="59"/>
      <c r="D1737" s="60"/>
      <c r="E1737" s="40"/>
      <c r="F1737" s="40"/>
      <c r="G1737" s="40"/>
      <c r="H1737" s="40"/>
      <c r="I1737" s="40"/>
      <c r="J1737" s="41"/>
    </row>
    <row r="1738" spans="2:10" s="1" customFormat="1" ht="12.75" x14ac:dyDescent="0.2">
      <c r="B1738" s="46"/>
      <c r="C1738" s="59"/>
      <c r="D1738" s="60"/>
      <c r="E1738" s="40"/>
      <c r="F1738" s="40"/>
      <c r="G1738" s="40"/>
      <c r="H1738" s="40"/>
      <c r="I1738" s="40"/>
      <c r="J1738" s="41"/>
    </row>
    <row r="1739" spans="2:10" s="1" customFormat="1" ht="12.75" x14ac:dyDescent="0.2">
      <c r="B1739" s="46"/>
      <c r="C1739" s="59"/>
      <c r="D1739" s="60"/>
      <c r="E1739" s="40"/>
      <c r="F1739" s="40"/>
      <c r="G1739" s="40"/>
      <c r="H1739" s="40"/>
      <c r="I1739" s="40"/>
      <c r="J1739" s="41"/>
    </row>
    <row r="1740" spans="2:10" s="1" customFormat="1" ht="12.75" x14ac:dyDescent="0.2">
      <c r="B1740" s="46"/>
      <c r="C1740" s="59"/>
      <c r="D1740" s="60"/>
      <c r="E1740" s="40"/>
      <c r="F1740" s="40"/>
      <c r="G1740" s="40"/>
      <c r="H1740" s="40"/>
      <c r="I1740" s="40"/>
      <c r="J1740" s="41"/>
    </row>
    <row r="1741" spans="2:10" s="1" customFormat="1" ht="12.75" x14ac:dyDescent="0.2">
      <c r="B1741" s="46"/>
      <c r="C1741" s="59"/>
      <c r="D1741" s="60"/>
      <c r="E1741" s="40"/>
      <c r="F1741" s="40"/>
      <c r="G1741" s="40"/>
      <c r="H1741" s="40"/>
      <c r="I1741" s="40"/>
      <c r="J1741" s="41"/>
    </row>
    <row r="1742" spans="2:10" s="1" customFormat="1" ht="12.75" x14ac:dyDescent="0.2">
      <c r="B1742" s="46"/>
      <c r="C1742" s="59"/>
      <c r="D1742" s="60"/>
      <c r="E1742" s="40"/>
      <c r="F1742" s="40"/>
      <c r="G1742" s="40"/>
      <c r="H1742" s="40"/>
      <c r="I1742" s="40"/>
      <c r="J1742" s="41"/>
    </row>
    <row r="1743" spans="2:10" s="1" customFormat="1" ht="12.75" x14ac:dyDescent="0.2">
      <c r="B1743" s="46"/>
      <c r="C1743" s="59"/>
      <c r="D1743" s="60"/>
      <c r="E1743" s="40"/>
      <c r="F1743" s="40"/>
      <c r="G1743" s="40"/>
      <c r="H1743" s="40"/>
      <c r="I1743" s="40"/>
      <c r="J1743" s="41"/>
    </row>
    <row r="1744" spans="2:10" s="1" customFormat="1" ht="12.75" x14ac:dyDescent="0.2">
      <c r="B1744" s="46"/>
      <c r="C1744" s="59"/>
      <c r="D1744" s="60"/>
      <c r="E1744" s="40"/>
      <c r="F1744" s="40"/>
      <c r="G1744" s="40"/>
      <c r="H1744" s="40"/>
      <c r="I1744" s="40"/>
      <c r="J1744" s="41"/>
    </row>
    <row r="1745" spans="2:10" s="1" customFormat="1" ht="12.75" x14ac:dyDescent="0.2">
      <c r="B1745" s="46"/>
      <c r="C1745" s="59"/>
      <c r="D1745" s="60"/>
      <c r="E1745" s="40"/>
      <c r="F1745" s="40"/>
      <c r="G1745" s="40"/>
      <c r="H1745" s="40"/>
      <c r="I1745" s="40"/>
      <c r="J1745" s="41"/>
    </row>
    <row r="1746" spans="2:10" s="1" customFormat="1" ht="12.75" x14ac:dyDescent="0.2">
      <c r="C1746" s="400" t="s">
        <v>37</v>
      </c>
      <c r="D1746" s="400"/>
      <c r="E1746" s="400"/>
      <c r="F1746" s="400"/>
      <c r="G1746" s="400"/>
      <c r="H1746" s="400"/>
    </row>
    <row r="1747" spans="2:10" s="1" customFormat="1" ht="12.75" x14ac:dyDescent="0.2">
      <c r="C1747" s="400" t="s">
        <v>38</v>
      </c>
      <c r="D1747" s="400"/>
      <c r="E1747" s="400"/>
      <c r="F1747" s="400"/>
      <c r="G1747" s="400"/>
      <c r="H1747" s="400"/>
    </row>
    <row r="1748" spans="2:10" s="1" customFormat="1" ht="12.75" x14ac:dyDescent="0.2">
      <c r="C1748" s="400" t="s">
        <v>39</v>
      </c>
      <c r="D1748" s="400"/>
      <c r="E1748" s="400"/>
      <c r="F1748" s="400"/>
      <c r="G1748" s="400"/>
      <c r="H1748" s="400"/>
    </row>
    <row r="1749" spans="2:10" s="1" customFormat="1" ht="12.75" x14ac:dyDescent="0.2">
      <c r="C1749" s="401" t="s">
        <v>40</v>
      </c>
      <c r="D1749" s="401"/>
      <c r="E1749" s="401"/>
      <c r="F1749" s="401"/>
      <c r="G1749" s="401"/>
      <c r="H1749" s="401"/>
    </row>
    <row r="1750" spans="2:10" s="1" customFormat="1" ht="28.5" customHeight="1" x14ac:dyDescent="0.2">
      <c r="C1750" s="401"/>
      <c r="D1750" s="401"/>
      <c r="E1750" s="401"/>
      <c r="F1750" s="401"/>
      <c r="G1750" s="401"/>
      <c r="H1750" s="401"/>
    </row>
    <row r="1751" spans="2:10" s="1" customFormat="1" ht="15.75" x14ac:dyDescent="0.2">
      <c r="B1751" s="402" t="s">
        <v>65</v>
      </c>
      <c r="C1751" s="403"/>
      <c r="D1751" s="403"/>
      <c r="E1751" s="403"/>
      <c r="F1751" s="403"/>
      <c r="G1751" s="403"/>
      <c r="H1751" s="403"/>
      <c r="I1751" s="403"/>
      <c r="J1751" s="404"/>
    </row>
    <row r="1752" spans="2:10" s="1" customFormat="1" ht="20.25" x14ac:dyDescent="0.2">
      <c r="B1752" s="406" t="s">
        <v>432</v>
      </c>
      <c r="C1752" s="407"/>
      <c r="D1752" s="407"/>
      <c r="E1752" s="407"/>
      <c r="F1752" s="407"/>
      <c r="G1752" s="407"/>
      <c r="H1752" s="407"/>
      <c r="I1752" s="407"/>
      <c r="J1752" s="408"/>
    </row>
    <row r="1753" spans="2:10" s="1" customFormat="1" ht="13.5" thickBot="1" x14ac:dyDescent="0.25">
      <c r="B1753" s="405"/>
      <c r="C1753" s="405"/>
      <c r="D1753" s="405"/>
      <c r="E1753" s="405"/>
      <c r="F1753" s="405"/>
      <c r="G1753" s="405"/>
      <c r="H1753" s="405"/>
      <c r="I1753" s="405"/>
      <c r="J1753" s="405"/>
    </row>
    <row r="1754" spans="2:10" s="1" customFormat="1" ht="24.75" customHeight="1" x14ac:dyDescent="0.2">
      <c r="B1754" s="494" t="s">
        <v>27</v>
      </c>
      <c r="C1754" s="495"/>
      <c r="D1754" s="495"/>
      <c r="E1754" s="495"/>
      <c r="F1754" s="495"/>
      <c r="G1754" s="495"/>
      <c r="H1754" s="495"/>
      <c r="I1754" s="495"/>
      <c r="J1754" s="496"/>
    </row>
    <row r="1755" spans="2:10" s="1" customFormat="1" ht="12.75" x14ac:dyDescent="0.2">
      <c r="B1755" s="2" t="s">
        <v>35</v>
      </c>
      <c r="C1755" s="3" t="s">
        <v>36</v>
      </c>
      <c r="D1755" s="3"/>
      <c r="E1755" s="4"/>
      <c r="F1755" s="5"/>
      <c r="G1755" s="6" t="s">
        <v>8</v>
      </c>
      <c r="H1755" s="497">
        <v>42879</v>
      </c>
      <c r="I1755" s="497"/>
      <c r="J1755" s="7"/>
    </row>
    <row r="1756" spans="2:10" s="1" customFormat="1" ht="12.75" x14ac:dyDescent="0.2">
      <c r="B1756" s="2" t="s">
        <v>33</v>
      </c>
      <c r="C1756" s="3" t="s">
        <v>29</v>
      </c>
      <c r="D1756" s="8"/>
      <c r="E1756" s="8"/>
      <c r="F1756" s="3"/>
      <c r="G1756" s="9" t="s">
        <v>32</v>
      </c>
      <c r="H1756" s="4" t="s">
        <v>29</v>
      </c>
      <c r="I1756" s="10"/>
      <c r="J1756" s="11"/>
    </row>
    <row r="1757" spans="2:10" s="1" customFormat="1" ht="12.75" x14ac:dyDescent="0.2">
      <c r="B1757" s="2" t="s">
        <v>34</v>
      </c>
      <c r="C1757" s="3" t="s">
        <v>29</v>
      </c>
      <c r="D1757" s="8"/>
      <c r="E1757" s="8"/>
      <c r="F1757" s="3"/>
      <c r="G1757" s="9" t="s">
        <v>30</v>
      </c>
      <c r="H1757" s="4" t="s">
        <v>31</v>
      </c>
      <c r="I1757" s="10"/>
      <c r="J1757" s="11"/>
    </row>
    <row r="1758" spans="2:10" s="1" customFormat="1" ht="13.5" thickBot="1" x14ac:dyDescent="0.25">
      <c r="B1758" s="12" t="s">
        <v>43</v>
      </c>
      <c r="C1758" s="13" t="s">
        <v>44</v>
      </c>
      <c r="D1758" s="14"/>
      <c r="E1758" s="14"/>
      <c r="F1758" s="13"/>
      <c r="G1758" s="15" t="s">
        <v>41</v>
      </c>
      <c r="H1758" s="16" t="s">
        <v>42</v>
      </c>
      <c r="I1758" s="17"/>
      <c r="J1758" s="18"/>
    </row>
    <row r="1759" spans="2:10" s="1" customFormat="1" ht="12.75" x14ac:dyDescent="0.2">
      <c r="B1759" s="405"/>
      <c r="C1759" s="405"/>
      <c r="D1759" s="405"/>
      <c r="E1759" s="405"/>
      <c r="F1759" s="405"/>
      <c r="G1759" s="405"/>
      <c r="H1759" s="405"/>
      <c r="I1759" s="405"/>
      <c r="J1759" s="405"/>
    </row>
    <row r="1760" spans="2:10" s="1" customFormat="1" ht="12.75" x14ac:dyDescent="0.2">
      <c r="B1760" s="21" t="s">
        <v>5</v>
      </c>
      <c r="C1760" s="22" t="s">
        <v>0</v>
      </c>
      <c r="D1760" s="22" t="s">
        <v>9</v>
      </c>
      <c r="E1760" s="22" t="s">
        <v>10</v>
      </c>
      <c r="F1760" s="22" t="s">
        <v>1</v>
      </c>
      <c r="G1760" s="22" t="s">
        <v>2</v>
      </c>
      <c r="H1760" s="22" t="s">
        <v>11</v>
      </c>
      <c r="I1760" s="22" t="s">
        <v>6</v>
      </c>
      <c r="J1760" s="22" t="s">
        <v>7</v>
      </c>
    </row>
    <row r="1761" spans="2:10" s="1" customFormat="1" ht="12.75" x14ac:dyDescent="0.2">
      <c r="B1761" s="55">
        <v>4.03</v>
      </c>
      <c r="C1761" s="56" t="s">
        <v>222</v>
      </c>
      <c r="D1761" s="60"/>
      <c r="E1761" s="40"/>
      <c r="F1761" s="40"/>
      <c r="G1761" s="40"/>
      <c r="H1761" s="40"/>
      <c r="I1761" s="40"/>
      <c r="J1761" s="41"/>
    </row>
    <row r="1762" spans="2:10" s="1" customFormat="1" ht="12.75" x14ac:dyDescent="0.2">
      <c r="B1762" s="73" t="s">
        <v>14</v>
      </c>
      <c r="C1762" s="73" t="s">
        <v>615</v>
      </c>
      <c r="D1762" s="60"/>
      <c r="E1762" s="40"/>
      <c r="F1762" s="40"/>
      <c r="G1762" s="40"/>
      <c r="H1762" s="40"/>
      <c r="I1762" s="40"/>
      <c r="J1762" s="41"/>
    </row>
    <row r="1763" spans="2:10" s="1" customFormat="1" ht="12.75" x14ac:dyDescent="0.2">
      <c r="B1763" s="25" t="s">
        <v>15</v>
      </c>
      <c r="C1763" s="28" t="s">
        <v>616</v>
      </c>
      <c r="D1763" s="60"/>
      <c r="E1763" s="40"/>
      <c r="F1763" s="40"/>
      <c r="G1763" s="40"/>
      <c r="H1763" s="40"/>
      <c r="I1763" s="40">
        <f>+SUM(H1764:H1773)</f>
        <v>36.358040000000003</v>
      </c>
      <c r="J1763" s="41" t="s">
        <v>45</v>
      </c>
    </row>
    <row r="1764" spans="2:10" s="1" customFormat="1" ht="12.75" x14ac:dyDescent="0.2">
      <c r="B1764" s="46"/>
      <c r="C1764" s="46" t="s">
        <v>526</v>
      </c>
      <c r="D1764" s="60">
        <v>1</v>
      </c>
      <c r="E1764" s="40">
        <v>5.2</v>
      </c>
      <c r="F1764" s="40">
        <v>0.5</v>
      </c>
      <c r="G1764" s="40"/>
      <c r="H1764" s="40">
        <f t="shared" ref="H1764:H1773" si="124">IF(AND(F1764=0,G1764=0),D1764*E1764,IF(AND(E1764=0,G1764=0),D1764*F1764,IF(AND(E1764=0,F1764=0),D1764*G1764,IF(AND(E1764=0),D1764*F1764*G1764,IF(AND(F1764=0),D1764*E1764*G1764,IF(AND(G1764=0),D1764*E1764*F1764,D1764*E1764*F1764*G1764))))))</f>
        <v>2.6</v>
      </c>
      <c r="I1764" s="40"/>
      <c r="J1764" s="41"/>
    </row>
    <row r="1765" spans="2:10" s="1" customFormat="1" ht="12.75" x14ac:dyDescent="0.2">
      <c r="B1765" s="46"/>
      <c r="C1765" s="46" t="s">
        <v>684</v>
      </c>
      <c r="D1765" s="8">
        <v>1</v>
      </c>
      <c r="E1765" s="86">
        <v>9.3000000000000007</v>
      </c>
      <c r="F1765" s="40">
        <v>0.5</v>
      </c>
      <c r="G1765" s="40"/>
      <c r="H1765" s="40">
        <f t="shared" si="124"/>
        <v>4.6500000000000004</v>
      </c>
      <c r="I1765" s="40"/>
      <c r="J1765" s="41"/>
    </row>
    <row r="1766" spans="2:10" s="1" customFormat="1" ht="12.75" x14ac:dyDescent="0.2">
      <c r="B1766" s="46"/>
      <c r="C1766" s="39" t="s">
        <v>450</v>
      </c>
      <c r="D1766" s="40">
        <v>1</v>
      </c>
      <c r="E1766" s="40">
        <v>0.9</v>
      </c>
      <c r="F1766" s="40">
        <v>1.5</v>
      </c>
      <c r="G1766" s="40"/>
      <c r="H1766" s="40">
        <f t="shared" si="124"/>
        <v>1.35</v>
      </c>
      <c r="I1766" s="40"/>
      <c r="J1766" s="41"/>
    </row>
    <row r="1767" spans="2:10" s="1" customFormat="1" ht="12.75" x14ac:dyDescent="0.2">
      <c r="B1767" s="46"/>
      <c r="C1767" s="43" t="s">
        <v>490</v>
      </c>
      <c r="D1767" s="60"/>
      <c r="E1767" s="40"/>
      <c r="F1767" s="40"/>
      <c r="G1767" s="40"/>
      <c r="H1767" s="40"/>
      <c r="I1767" s="40"/>
      <c r="J1767" s="41"/>
    </row>
    <row r="1768" spans="2:10" s="1" customFormat="1" ht="12.75" x14ac:dyDescent="0.2">
      <c r="B1768" s="46"/>
      <c r="C1768" s="39" t="s">
        <v>518</v>
      </c>
      <c r="D1768" s="40">
        <v>1</v>
      </c>
      <c r="E1768" s="40">
        <v>11.85</v>
      </c>
      <c r="F1768" s="40">
        <f>4*0.0254+0.4</f>
        <v>0.50160000000000005</v>
      </c>
      <c r="G1768" s="40"/>
      <c r="H1768" s="40">
        <f t="shared" si="124"/>
        <v>5.9439600000000006</v>
      </c>
      <c r="I1768" s="40"/>
      <c r="J1768" s="41"/>
    </row>
    <row r="1769" spans="2:10" s="1" customFormat="1" ht="12.75" x14ac:dyDescent="0.2">
      <c r="B1769" s="46"/>
      <c r="C1769" s="39" t="s">
        <v>519</v>
      </c>
      <c r="D1769" s="60">
        <v>1</v>
      </c>
      <c r="E1769" s="40">
        <f>16.6+0.3</f>
        <v>16.900000000000002</v>
      </c>
      <c r="F1769" s="40">
        <f t="shared" ref="F1769:F1770" si="125">4*0.0254+0.4</f>
        <v>0.50160000000000005</v>
      </c>
      <c r="G1769" s="40"/>
      <c r="H1769" s="40">
        <f t="shared" si="124"/>
        <v>8.4770400000000024</v>
      </c>
      <c r="I1769" s="40"/>
      <c r="J1769" s="41"/>
    </row>
    <row r="1770" spans="2:10" s="1" customFormat="1" ht="12.75" x14ac:dyDescent="0.2">
      <c r="B1770" s="46"/>
      <c r="C1770" s="91" t="s">
        <v>520</v>
      </c>
      <c r="D1770" s="60">
        <v>1</v>
      </c>
      <c r="E1770" s="40">
        <v>4.4000000000000004</v>
      </c>
      <c r="F1770" s="40">
        <f t="shared" si="125"/>
        <v>0.50160000000000005</v>
      </c>
      <c r="G1770" s="40"/>
      <c r="H1770" s="40">
        <f t="shared" si="124"/>
        <v>2.2070400000000006</v>
      </c>
      <c r="I1770" s="40"/>
      <c r="J1770" s="41"/>
    </row>
    <row r="1771" spans="2:10" s="1" customFormat="1" ht="12.75" x14ac:dyDescent="0.2">
      <c r="B1771" s="46"/>
      <c r="C1771" s="91"/>
      <c r="D1771" s="60"/>
      <c r="E1771" s="40"/>
      <c r="F1771" s="40"/>
      <c r="G1771" s="40"/>
      <c r="H1771" s="40"/>
      <c r="I1771" s="40"/>
      <c r="J1771" s="41"/>
    </row>
    <row r="1772" spans="2:10" s="1" customFormat="1" ht="12.75" x14ac:dyDescent="0.2">
      <c r="B1772" s="46"/>
      <c r="C1772" s="43" t="s">
        <v>250</v>
      </c>
      <c r="D1772" s="60"/>
      <c r="E1772" s="40"/>
      <c r="F1772" s="40"/>
      <c r="G1772" s="40"/>
      <c r="H1772" s="40"/>
      <c r="I1772" s="40"/>
      <c r="J1772" s="41"/>
    </row>
    <row r="1773" spans="2:10" s="1" customFormat="1" ht="12.75" x14ac:dyDescent="0.2">
      <c r="B1773" s="46"/>
      <c r="C1773" s="39" t="s">
        <v>521</v>
      </c>
      <c r="D1773" s="40">
        <v>1</v>
      </c>
      <c r="E1773" s="40">
        <f>0.8+15.1</f>
        <v>15.9</v>
      </c>
      <c r="F1773" s="40">
        <v>0.7</v>
      </c>
      <c r="G1773" s="40"/>
      <c r="H1773" s="40">
        <f t="shared" si="124"/>
        <v>11.129999999999999</v>
      </c>
      <c r="I1773" s="40"/>
      <c r="J1773" s="41"/>
    </row>
    <row r="1774" spans="2:10" x14ac:dyDescent="0.25">
      <c r="B1774" s="25" t="s">
        <v>232</v>
      </c>
      <c r="C1774" s="28" t="s">
        <v>617</v>
      </c>
      <c r="D1774" s="23"/>
      <c r="E1774" s="23"/>
      <c r="F1774" s="23"/>
      <c r="G1774" s="23"/>
      <c r="H1774" s="24"/>
      <c r="I1774" s="25">
        <f>+I1763</f>
        <v>36.358040000000003</v>
      </c>
      <c r="J1774" s="26" t="s">
        <v>45</v>
      </c>
    </row>
    <row r="1775" spans="2:10" s="1" customFormat="1" ht="12.75" x14ac:dyDescent="0.2">
      <c r="B1775" s="46"/>
      <c r="C1775" s="59"/>
      <c r="D1775" s="60"/>
      <c r="E1775" s="40"/>
      <c r="F1775" s="40"/>
      <c r="G1775" s="40"/>
      <c r="H1775" s="40"/>
      <c r="I1775" s="40"/>
      <c r="J1775" s="41"/>
    </row>
    <row r="1776" spans="2:10" x14ac:dyDescent="0.25">
      <c r="B1776" s="73" t="s">
        <v>25</v>
      </c>
      <c r="C1776" s="73" t="s">
        <v>614</v>
      </c>
      <c r="D1776" s="23"/>
      <c r="E1776" s="23"/>
      <c r="F1776" s="23"/>
      <c r="G1776" s="23"/>
      <c r="H1776" s="24"/>
      <c r="I1776" s="25"/>
      <c r="J1776" s="26"/>
    </row>
    <row r="1777" spans="2:10" s="1" customFormat="1" ht="15.75" customHeight="1" x14ac:dyDescent="0.2">
      <c r="B1777" s="25" t="s">
        <v>26</v>
      </c>
      <c r="C1777" s="1" t="s">
        <v>622</v>
      </c>
      <c r="D1777" s="60"/>
      <c r="E1777" s="40"/>
      <c r="F1777" s="40"/>
      <c r="G1777" s="40"/>
      <c r="H1777" s="24"/>
      <c r="I1777" s="25">
        <f>+SUM(H1778:H1779)</f>
        <v>5.7204999999999995</v>
      </c>
      <c r="J1777" s="26" t="s">
        <v>4</v>
      </c>
    </row>
    <row r="1778" spans="2:10" s="1" customFormat="1" ht="15.75" customHeight="1" x14ac:dyDescent="0.2">
      <c r="B1778" s="25"/>
      <c r="C1778" s="46" t="s">
        <v>526</v>
      </c>
      <c r="D1778" s="60">
        <v>1</v>
      </c>
      <c r="E1778" s="40">
        <v>5.2</v>
      </c>
      <c r="F1778" s="40">
        <v>0.5</v>
      </c>
      <c r="G1778" s="40">
        <f>0.43+0.25</f>
        <v>0.67999999999999994</v>
      </c>
      <c r="H1778" s="40">
        <f>IF(AND(F1778=0,G1778=0),D1778*E1778,IF(AND(E1778=0,G1778=0),D1778*F1778,IF(AND(E1778=0,F1778=0),D1778*G1778,IF(AND(E1778=0),D1778*F1778*G1778,IF(AND(F1778=0),D1778*E1778*G1778,IF(AND(G1778=0),D1778*E1778*F1778,D1778*E1778*F1778*G1778))))))</f>
        <v>1.7679999999999998</v>
      </c>
      <c r="I1778" s="40"/>
      <c r="J1778" s="41"/>
    </row>
    <row r="1779" spans="2:10" s="1" customFormat="1" ht="12.75" x14ac:dyDescent="0.2">
      <c r="B1779" s="25"/>
      <c r="C1779" s="46" t="s">
        <v>684</v>
      </c>
      <c r="D1779" s="8">
        <v>1</v>
      </c>
      <c r="E1779" s="86">
        <v>9.3000000000000007</v>
      </c>
      <c r="F1779" s="40">
        <v>0.5</v>
      </c>
      <c r="G1779" s="40">
        <f>0.6+0.25</f>
        <v>0.85</v>
      </c>
      <c r="H1779" s="40">
        <f>IF(AND(F1779=0,G1779=0),D1779*E1779,IF(AND(E1779=0,G1779=0),D1779*F1779,IF(AND(E1779=0,F1779=0),D1779*G1779,IF(AND(E1779=0),D1779*F1779*G1779,IF(AND(F1779=0),D1779*E1779*G1779,IF(AND(G1779=0),D1779*E1779*F1779,D1779*E1779*F1779*G1779))))))</f>
        <v>3.9525000000000001</v>
      </c>
      <c r="I1779" s="40"/>
      <c r="J1779" s="41"/>
    </row>
    <row r="1780" spans="2:10" s="1" customFormat="1" ht="12.75" x14ac:dyDescent="0.2">
      <c r="B1780" s="25" t="s">
        <v>654</v>
      </c>
      <c r="C1780" s="1" t="s">
        <v>623</v>
      </c>
      <c r="D1780" s="60"/>
      <c r="E1780" s="40"/>
      <c r="F1780" s="40"/>
      <c r="G1780" s="40"/>
      <c r="H1780" s="24"/>
      <c r="I1780" s="25">
        <f>+SUM(H1781)</f>
        <v>1.2150000000000001</v>
      </c>
      <c r="J1780" s="26" t="s">
        <v>4</v>
      </c>
    </row>
    <row r="1781" spans="2:10" s="1" customFormat="1" ht="12.75" x14ac:dyDescent="0.2">
      <c r="B1781" s="57"/>
      <c r="C1781" s="39" t="s">
        <v>450</v>
      </c>
      <c r="D1781" s="40">
        <v>1</v>
      </c>
      <c r="E1781" s="40">
        <v>0.9</v>
      </c>
      <c r="F1781" s="40">
        <v>1.5</v>
      </c>
      <c r="G1781" s="40">
        <f>0.65+0.25</f>
        <v>0.9</v>
      </c>
      <c r="H1781" s="40">
        <f>IF(AND(F1781=0,G1781=0),D1781*E1781,IF(AND(E1781=0,G1781=0),D1781*F1781,IF(AND(E1781=0,F1781=0),D1781*G1781,IF(AND(E1781=0),D1781*F1781*G1781,IF(AND(F1781=0),D1781*E1781*G1781,IF(AND(G1781=0),D1781*E1781*F1781,D1781*E1781*F1781*G1781))))))</f>
        <v>1.2150000000000001</v>
      </c>
      <c r="I1781" s="40"/>
      <c r="J1781" s="41"/>
    </row>
    <row r="1782" spans="2:10" s="1" customFormat="1" ht="12.75" x14ac:dyDescent="0.2">
      <c r="B1782" s="25" t="s">
        <v>822</v>
      </c>
      <c r="C1782" s="1" t="s">
        <v>738</v>
      </c>
      <c r="D1782" s="60"/>
      <c r="E1782" s="40"/>
      <c r="F1782" s="40"/>
      <c r="G1782" s="40"/>
      <c r="H1782" s="40"/>
      <c r="I1782" s="40">
        <f>+SUM(H1783)</f>
        <v>0</v>
      </c>
      <c r="J1782" s="41" t="s">
        <v>4</v>
      </c>
    </row>
    <row r="1783" spans="2:10" s="1" customFormat="1" ht="12.75" x14ac:dyDescent="0.2">
      <c r="B1783" s="46"/>
      <c r="C1783" s="39"/>
      <c r="E1783" s="40"/>
      <c r="F1783" s="40"/>
      <c r="G1783" s="40"/>
      <c r="H1783" s="40">
        <f>IF(AND(F1783=0,G1783=0),D1783*E1783,IF(AND(E1783=0,G1783=0),D1783*F1783,IF(AND(E1783=0,F1783=0),D1783*G1783,IF(AND(E1783=0),D1783*F1783*G1783,IF(AND(F1783=0),D1783*E1783*G1783,IF(AND(G1783=0),D1783*E1783*F1783,D1783*E1783*F1783*G1783))))))</f>
        <v>0</v>
      </c>
      <c r="I1783" s="40"/>
      <c r="J1783" s="41"/>
    </row>
    <row r="1784" spans="2:10" x14ac:dyDescent="0.25">
      <c r="B1784" s="25" t="s">
        <v>820</v>
      </c>
      <c r="C1784" s="414" t="s">
        <v>779</v>
      </c>
      <c r="D1784" s="23"/>
      <c r="E1784" s="23"/>
      <c r="F1784" s="23"/>
      <c r="G1784" s="23"/>
      <c r="I1784" s="24">
        <f>+SUM(H1785:H1787)</f>
        <v>8.6000000000000014</v>
      </c>
      <c r="J1784" s="26" t="s">
        <v>45</v>
      </c>
    </row>
    <row r="1785" spans="2:10" x14ac:dyDescent="0.25">
      <c r="B1785" s="107"/>
      <c r="C1785" s="39" t="s">
        <v>450</v>
      </c>
      <c r="D1785" s="40">
        <v>1</v>
      </c>
      <c r="E1785" s="40">
        <v>0.9</v>
      </c>
      <c r="F1785" s="40">
        <v>1.5</v>
      </c>
      <c r="G1785" s="40"/>
      <c r="H1785" s="40">
        <f>IF(AND(F1785=0,G1785=0),D1785*E1785,IF(AND(E1785=0,G1785=0),D1785*F1785,IF(AND(E1785=0,F1785=0),D1785*G1785,IF(AND(E1785=0),D1785*F1785*G1785,IF(AND(F1785=0),D1785*E1785*G1785,IF(AND(G1785=0),D1785*E1785*F1785,D1785*E1785*F1785*G1785))))))</f>
        <v>1.35</v>
      </c>
      <c r="I1785" s="25"/>
      <c r="J1785" s="26"/>
    </row>
    <row r="1786" spans="2:10" s="1" customFormat="1" ht="15.75" customHeight="1" x14ac:dyDescent="0.2">
      <c r="B1786" s="25"/>
      <c r="C1786" s="46" t="s">
        <v>526</v>
      </c>
      <c r="D1786" s="60">
        <v>1</v>
      </c>
      <c r="E1786" s="40">
        <v>5.2</v>
      </c>
      <c r="F1786" s="40">
        <v>0.5</v>
      </c>
      <c r="G1786" s="40"/>
      <c r="H1786" s="40">
        <f>IF(AND(F1786=0,G1786=0),D1786*E1786,IF(AND(E1786=0,G1786=0),D1786*F1786,IF(AND(E1786=0,F1786=0),D1786*G1786,IF(AND(E1786=0),D1786*F1786*G1786,IF(AND(F1786=0),D1786*E1786*G1786,IF(AND(G1786=0),D1786*E1786*F1786,D1786*E1786*F1786*G1786))))))</f>
        <v>2.6</v>
      </c>
      <c r="I1786" s="40"/>
      <c r="J1786" s="41"/>
    </row>
    <row r="1787" spans="2:10" s="1" customFormat="1" ht="12.75" x14ac:dyDescent="0.2">
      <c r="B1787" s="25"/>
      <c r="C1787" s="46" t="s">
        <v>684</v>
      </c>
      <c r="D1787" s="8">
        <v>1</v>
      </c>
      <c r="E1787" s="86">
        <v>9.3000000000000007</v>
      </c>
      <c r="F1787" s="40">
        <v>0.5</v>
      </c>
      <c r="G1787" s="40"/>
      <c r="H1787" s="40">
        <f>IF(AND(F1787=0,G1787=0),D1787*E1787,IF(AND(E1787=0,G1787=0),D1787*F1787,IF(AND(E1787=0,F1787=0),D1787*G1787,IF(AND(E1787=0),D1787*F1787*G1787,IF(AND(F1787=0),D1787*E1787*G1787,IF(AND(G1787=0),D1787*E1787*F1787,D1787*E1787*F1787*G1787))))))</f>
        <v>4.6500000000000004</v>
      </c>
      <c r="I1787" s="40"/>
      <c r="J1787" s="41"/>
    </row>
    <row r="1788" spans="2:10" x14ac:dyDescent="0.25">
      <c r="B1788" s="107"/>
      <c r="C1788" s="59"/>
      <c r="D1788" s="60"/>
      <c r="E1788" s="40"/>
      <c r="F1788" s="40"/>
      <c r="G1788" s="40"/>
      <c r="H1788" s="40"/>
      <c r="I1788" s="25"/>
      <c r="J1788" s="26"/>
    </row>
    <row r="1789" spans="2:10" s="1" customFormat="1" ht="12.75" x14ac:dyDescent="0.2">
      <c r="B1789" s="25" t="s">
        <v>821</v>
      </c>
      <c r="C1789" s="414" t="s">
        <v>776</v>
      </c>
      <c r="D1789" s="60"/>
      <c r="E1789" s="40"/>
      <c r="F1789" s="40"/>
      <c r="G1789" s="40"/>
      <c r="H1789" s="40"/>
      <c r="I1789" s="40">
        <f>+SUM(H1791:H1793)-H1795+H1797-H1799</f>
        <v>17.502507461321667</v>
      </c>
      <c r="J1789" s="41" t="s">
        <v>4</v>
      </c>
    </row>
    <row r="1790" spans="2:10" s="1" customFormat="1" ht="12.75" x14ac:dyDescent="0.2">
      <c r="B1790" s="46"/>
      <c r="C1790" s="43" t="s">
        <v>490</v>
      </c>
      <c r="D1790" s="60"/>
      <c r="E1790" s="40"/>
      <c r="F1790" s="40"/>
      <c r="G1790" s="40"/>
      <c r="H1790" s="40"/>
      <c r="I1790" s="40"/>
      <c r="J1790" s="41"/>
    </row>
    <row r="1791" spans="2:10" s="1" customFormat="1" ht="12.75" x14ac:dyDescent="0.2">
      <c r="B1791" s="46"/>
      <c r="C1791" s="39" t="s">
        <v>518</v>
      </c>
      <c r="D1791" s="40">
        <v>1</v>
      </c>
      <c r="E1791" s="40">
        <v>11.85</v>
      </c>
      <c r="F1791" s="40">
        <f>4*0.0254+0.4</f>
        <v>0.50160000000000005</v>
      </c>
      <c r="G1791" s="40">
        <v>0.65</v>
      </c>
      <c r="H1791" s="40">
        <f>IF(AND(F1791=0,G1791=0),D1791*E1791,IF(AND(E1791=0,G1791=0),D1791*F1791,IF(AND(E1791=0,F1791=0),D1791*G1791,IF(AND(E1791=0),D1791*F1791*G1791,IF(AND(F1791=0),D1791*E1791*G1791,IF(AND(G1791=0),D1791*E1791*F1791,D1791*E1791*F1791*G1791))))))</f>
        <v>3.8635740000000003</v>
      </c>
      <c r="I1791" s="40"/>
      <c r="J1791" s="41"/>
    </row>
    <row r="1792" spans="2:10" s="1" customFormat="1" ht="12.75" x14ac:dyDescent="0.2">
      <c r="B1792" s="46"/>
      <c r="C1792" s="39" t="s">
        <v>519</v>
      </c>
      <c r="D1792" s="60">
        <v>1</v>
      </c>
      <c r="E1792" s="40">
        <f>16.6+0.3</f>
        <v>16.900000000000002</v>
      </c>
      <c r="F1792" s="40">
        <f t="shared" ref="F1792:F1793" si="126">4*0.0254+0.4</f>
        <v>0.50160000000000005</v>
      </c>
      <c r="G1792" s="40">
        <v>0.7</v>
      </c>
      <c r="H1792" s="40">
        <f t="shared" ref="H1792:H1793" si="127">IF(AND(F1792=0,G1792=0),D1792*E1792,IF(AND(E1792=0,G1792=0),D1792*F1792,IF(AND(E1792=0,F1792=0),D1792*G1792,IF(AND(E1792=0),D1792*F1792*G1792,IF(AND(F1792=0),D1792*E1792*G1792,IF(AND(G1792=0),D1792*E1792*F1792,D1792*E1792*F1792*G1792))))))</f>
        <v>5.9339280000000016</v>
      </c>
      <c r="I1792" s="40"/>
      <c r="J1792" s="41"/>
    </row>
    <row r="1793" spans="2:10" s="1" customFormat="1" ht="12.75" x14ac:dyDescent="0.2">
      <c r="B1793" s="46"/>
      <c r="C1793" s="91" t="s">
        <v>520</v>
      </c>
      <c r="D1793" s="60">
        <v>1</v>
      </c>
      <c r="E1793" s="40">
        <v>4.4000000000000004</v>
      </c>
      <c r="F1793" s="40">
        <f t="shared" si="126"/>
        <v>0.50160000000000005</v>
      </c>
      <c r="G1793" s="40">
        <v>0.7</v>
      </c>
      <c r="H1793" s="40">
        <f t="shared" si="127"/>
        <v>1.5449280000000003</v>
      </c>
      <c r="I1793" s="40"/>
      <c r="J1793" s="41"/>
    </row>
    <row r="1794" spans="2:10" s="1" customFormat="1" ht="12.75" x14ac:dyDescent="0.2">
      <c r="B1794" s="46"/>
      <c r="F1794" s="40" t="s">
        <v>786</v>
      </c>
      <c r="G1794" s="40">
        <v>4</v>
      </c>
      <c r="I1794" s="40"/>
      <c r="J1794" s="41"/>
    </row>
    <row r="1795" spans="2:10" s="1" customFormat="1" ht="12.75" x14ac:dyDescent="0.2">
      <c r="B1795" s="46"/>
      <c r="C1795" s="39" t="s">
        <v>784</v>
      </c>
      <c r="D1795" s="60">
        <v>1</v>
      </c>
      <c r="E1795" s="40">
        <f>+SUM(E1791:E1793)</f>
        <v>33.15</v>
      </c>
      <c r="F1795" s="40" t="s">
        <v>785</v>
      </c>
      <c r="G1795" s="40">
        <f>+PI()*((G1794*0.0254)^2)/4</f>
        <v>8.107319665559963E-3</v>
      </c>
      <c r="H1795" s="40">
        <f>+E1795*G1795</f>
        <v>0.26875764691331278</v>
      </c>
      <c r="I1795" s="40"/>
      <c r="J1795" s="41"/>
    </row>
    <row r="1796" spans="2:10" s="1" customFormat="1" ht="12.75" x14ac:dyDescent="0.2">
      <c r="B1796" s="46"/>
      <c r="C1796" s="43" t="s">
        <v>250</v>
      </c>
      <c r="D1796" s="60"/>
      <c r="E1796" s="40"/>
      <c r="F1796" s="40"/>
      <c r="G1796" s="40"/>
      <c r="H1796" s="40"/>
      <c r="I1796" s="40"/>
      <c r="J1796" s="41"/>
    </row>
    <row r="1797" spans="2:10" s="1" customFormat="1" ht="12.75" x14ac:dyDescent="0.2">
      <c r="B1797" s="46"/>
      <c r="C1797" s="39" t="s">
        <v>521</v>
      </c>
      <c r="D1797" s="40">
        <v>1</v>
      </c>
      <c r="E1797" s="40">
        <f>0.8+15.1</f>
        <v>15.9</v>
      </c>
      <c r="F1797" s="40">
        <v>0.7</v>
      </c>
      <c r="G1797" s="40">
        <v>0.65</v>
      </c>
      <c r="H1797" s="40">
        <f t="shared" ref="H1797" si="128">IF(AND(F1797=0,G1797=0),D1797*E1797,IF(AND(E1797=0,G1797=0),D1797*F1797,IF(AND(E1797=0,F1797=0),D1797*G1797,IF(AND(E1797=0),D1797*F1797*G1797,IF(AND(F1797=0),D1797*E1797*G1797,IF(AND(G1797=0),D1797*E1797*F1797,D1797*E1797*F1797*G1797))))))</f>
        <v>7.2344999999999997</v>
      </c>
      <c r="I1797" s="40"/>
      <c r="J1797" s="41"/>
    </row>
    <row r="1798" spans="2:10" s="1" customFormat="1" ht="12.75" x14ac:dyDescent="0.2">
      <c r="B1798" s="46"/>
      <c r="F1798" s="40" t="s">
        <v>786</v>
      </c>
      <c r="G1798" s="40">
        <v>10</v>
      </c>
      <c r="I1798" s="40"/>
      <c r="J1798" s="41"/>
    </row>
    <row r="1799" spans="2:10" s="1" customFormat="1" ht="12.75" x14ac:dyDescent="0.2">
      <c r="B1799" s="46"/>
      <c r="C1799" s="39" t="s">
        <v>784</v>
      </c>
      <c r="D1799" s="60">
        <v>1</v>
      </c>
      <c r="E1799" s="40">
        <f>+E1797</f>
        <v>15.9</v>
      </c>
      <c r="F1799" s="40" t="s">
        <v>785</v>
      </c>
      <c r="G1799" s="40">
        <f>+PI()*((G1798*0.0254)^2)/4</f>
        <v>5.0670747909749778E-2</v>
      </c>
      <c r="H1799" s="40">
        <f>+E1799*G1799</f>
        <v>0.80566489176502143</v>
      </c>
      <c r="I1799" s="40"/>
      <c r="J1799" s="41"/>
    </row>
    <row r="1800" spans="2:10" s="1" customFormat="1" ht="12.75" x14ac:dyDescent="0.2">
      <c r="B1800" s="46" t="s">
        <v>823</v>
      </c>
      <c r="C1800" s="1" t="s">
        <v>719</v>
      </c>
      <c r="D1800" s="60"/>
      <c r="E1800" s="40"/>
      <c r="F1800" s="40"/>
      <c r="G1800" s="40"/>
      <c r="H1800" s="40"/>
      <c r="I1800" s="40">
        <f>+SUM(H1801)</f>
        <v>0</v>
      </c>
      <c r="J1800" s="41" t="s">
        <v>45</v>
      </c>
    </row>
    <row r="1801" spans="2:10" s="1" customFormat="1" ht="12.75" x14ac:dyDescent="0.2">
      <c r="B1801" s="46"/>
      <c r="C1801" s="59"/>
      <c r="D1801" s="60"/>
      <c r="E1801" s="40"/>
      <c r="F1801" s="40"/>
      <c r="G1801" s="40"/>
      <c r="H1801" s="40">
        <f>+(F1801+G1801*2)*E1801</f>
        <v>0</v>
      </c>
      <c r="I1801" s="40"/>
      <c r="J1801" s="41"/>
    </row>
    <row r="1802" spans="2:10" s="1" customFormat="1" ht="12.75" x14ac:dyDescent="0.2">
      <c r="B1802" s="25" t="s">
        <v>823</v>
      </c>
      <c r="C1802" s="28" t="s">
        <v>719</v>
      </c>
      <c r="D1802" s="60"/>
      <c r="E1802" s="40"/>
      <c r="F1802" s="40"/>
      <c r="G1802" s="40"/>
      <c r="H1802" s="40"/>
      <c r="I1802" s="40">
        <f>+SUM(H1803:H1804)</f>
        <v>25.782000000000004</v>
      </c>
      <c r="J1802" s="41" t="s">
        <v>45</v>
      </c>
    </row>
    <row r="1803" spans="2:10" s="1" customFormat="1" ht="12.75" x14ac:dyDescent="0.2">
      <c r="B1803" s="46"/>
      <c r="C1803" s="46" t="s">
        <v>526</v>
      </c>
      <c r="D1803" s="60">
        <v>1</v>
      </c>
      <c r="E1803" s="40">
        <v>5.2</v>
      </c>
      <c r="F1803" s="40">
        <v>0.5</v>
      </c>
      <c r="G1803" s="40">
        <f>0.43+0.1</f>
        <v>0.53</v>
      </c>
      <c r="H1803" s="40">
        <f>+(F1803+G1803*2)*E1803</f>
        <v>8.1120000000000001</v>
      </c>
      <c r="I1803" s="40"/>
      <c r="J1803" s="41"/>
    </row>
    <row r="1804" spans="2:10" s="1" customFormat="1" ht="12.75" x14ac:dyDescent="0.2">
      <c r="B1804" s="46"/>
      <c r="C1804" s="46" t="s">
        <v>684</v>
      </c>
      <c r="D1804" s="8">
        <v>1</v>
      </c>
      <c r="E1804" s="86">
        <v>9.3000000000000007</v>
      </c>
      <c r="F1804" s="40">
        <v>0.5</v>
      </c>
      <c r="G1804" s="40">
        <f>0.6+0.1</f>
        <v>0.7</v>
      </c>
      <c r="H1804" s="40">
        <f>+(F1804+G1804*2)*E1804</f>
        <v>17.670000000000002</v>
      </c>
      <c r="I1804" s="40"/>
      <c r="J1804" s="41"/>
    </row>
    <row r="1805" spans="2:10" s="1" customFormat="1" ht="12.75" x14ac:dyDescent="0.2">
      <c r="B1805" s="46"/>
      <c r="C1805" s="59"/>
      <c r="D1805" s="60"/>
      <c r="E1805" s="40"/>
      <c r="F1805" s="40"/>
      <c r="G1805" s="40"/>
      <c r="H1805" s="40"/>
      <c r="I1805" s="40"/>
      <c r="J1805" s="41"/>
    </row>
    <row r="1806" spans="2:10" s="1" customFormat="1" ht="12.75" x14ac:dyDescent="0.2">
      <c r="B1806" s="25" t="s">
        <v>824</v>
      </c>
      <c r="C1806" s="28" t="s">
        <v>718</v>
      </c>
      <c r="D1806" s="60"/>
      <c r="E1806" s="40"/>
      <c r="F1806" s="40"/>
      <c r="G1806" s="40"/>
      <c r="H1806" s="40"/>
      <c r="I1806" s="40">
        <f>+SUM(H1808:H1813)</f>
        <v>93.653040000000004</v>
      </c>
      <c r="J1806" s="41" t="s">
        <v>45</v>
      </c>
    </row>
    <row r="1807" spans="2:10" s="1" customFormat="1" ht="12.75" x14ac:dyDescent="0.2">
      <c r="B1807" s="46"/>
      <c r="C1807" s="43" t="s">
        <v>490</v>
      </c>
      <c r="D1807" s="60"/>
      <c r="E1807" s="40"/>
      <c r="F1807" s="40"/>
      <c r="G1807" s="40"/>
      <c r="H1807" s="40"/>
      <c r="I1807" s="40"/>
      <c r="J1807" s="41"/>
    </row>
    <row r="1808" spans="2:10" s="1" customFormat="1" ht="12.75" x14ac:dyDescent="0.2">
      <c r="B1808" s="46"/>
      <c r="C1808" s="39" t="s">
        <v>518</v>
      </c>
      <c r="D1808" s="40">
        <v>1</v>
      </c>
      <c r="E1808" s="40">
        <v>11.85</v>
      </c>
      <c r="F1808" s="40">
        <f>4*0.0254+0.4</f>
        <v>0.50160000000000005</v>
      </c>
      <c r="G1808" s="40">
        <v>0.65</v>
      </c>
      <c r="H1808" s="40">
        <f>+(F1808+G1808*2)*E1808</f>
        <v>21.348960000000002</v>
      </c>
      <c r="I1808" s="40"/>
      <c r="J1808" s="41"/>
    </row>
    <row r="1809" spans="2:10" s="1" customFormat="1" ht="12.75" x14ac:dyDescent="0.2">
      <c r="B1809" s="46"/>
      <c r="C1809" s="39" t="s">
        <v>519</v>
      </c>
      <c r="D1809" s="60">
        <v>1</v>
      </c>
      <c r="E1809" s="40">
        <f>16.6+0.3</f>
        <v>16.900000000000002</v>
      </c>
      <c r="F1809" s="40">
        <f t="shared" ref="F1809:F1810" si="129">4*0.0254+0.4</f>
        <v>0.50160000000000005</v>
      </c>
      <c r="G1809" s="40">
        <v>0.7</v>
      </c>
      <c r="H1809" s="40">
        <f t="shared" ref="H1809:H1810" si="130">+(F1809+G1809*2)*E1809</f>
        <v>32.137040000000006</v>
      </c>
      <c r="I1809" s="40"/>
      <c r="J1809" s="41"/>
    </row>
    <row r="1810" spans="2:10" s="1" customFormat="1" ht="12.75" x14ac:dyDescent="0.2">
      <c r="B1810" s="46"/>
      <c r="C1810" s="91" t="s">
        <v>520</v>
      </c>
      <c r="D1810" s="60">
        <v>1</v>
      </c>
      <c r="E1810" s="40">
        <v>4.4000000000000004</v>
      </c>
      <c r="F1810" s="40">
        <f t="shared" si="129"/>
        <v>0.50160000000000005</v>
      </c>
      <c r="G1810" s="40">
        <v>0.7</v>
      </c>
      <c r="H1810" s="40">
        <f t="shared" si="130"/>
        <v>8.3670400000000011</v>
      </c>
      <c r="I1810" s="40"/>
      <c r="J1810" s="41"/>
    </row>
    <row r="1811" spans="2:10" s="1" customFormat="1" ht="12.75" x14ac:dyDescent="0.2">
      <c r="B1811" s="46"/>
      <c r="C1811" s="91"/>
      <c r="D1811" s="60"/>
      <c r="E1811" s="40"/>
      <c r="F1811" s="40"/>
      <c r="G1811" s="40"/>
      <c r="H1811" s="40"/>
      <c r="I1811" s="40"/>
      <c r="J1811" s="41"/>
    </row>
    <row r="1812" spans="2:10" s="1" customFormat="1" ht="12.75" x14ac:dyDescent="0.2">
      <c r="B1812" s="46"/>
      <c r="C1812" s="43" t="s">
        <v>250</v>
      </c>
      <c r="D1812" s="60"/>
      <c r="E1812" s="40"/>
      <c r="F1812" s="40"/>
      <c r="G1812" s="40"/>
      <c r="H1812" s="40"/>
      <c r="I1812" s="40"/>
      <c r="J1812" s="41"/>
    </row>
    <row r="1813" spans="2:10" s="1" customFormat="1" ht="12.75" x14ac:dyDescent="0.2">
      <c r="B1813" s="46"/>
      <c r="C1813" s="39" t="s">
        <v>521</v>
      </c>
      <c r="D1813" s="40">
        <v>1</v>
      </c>
      <c r="E1813" s="40">
        <f>0.8+15.1</f>
        <v>15.9</v>
      </c>
      <c r="F1813" s="40">
        <v>0.7</v>
      </c>
      <c r="G1813" s="40">
        <v>0.65</v>
      </c>
      <c r="H1813" s="40">
        <f>+(F1813+G1813*2)*E1813</f>
        <v>31.8</v>
      </c>
      <c r="I1813" s="40"/>
      <c r="J1813" s="41"/>
    </row>
    <row r="1814" spans="2:10" s="1" customFormat="1" ht="12.75" x14ac:dyDescent="0.2">
      <c r="B1814" s="46"/>
      <c r="C1814" s="59"/>
      <c r="D1814" s="60"/>
      <c r="E1814" s="40"/>
      <c r="F1814" s="40"/>
      <c r="G1814" s="40"/>
      <c r="H1814" s="40"/>
      <c r="I1814" s="40"/>
      <c r="J1814" s="41"/>
    </row>
    <row r="1815" spans="2:10" s="1" customFormat="1" ht="12.75" x14ac:dyDescent="0.2">
      <c r="B1815" s="46"/>
      <c r="C1815" s="59"/>
      <c r="D1815" s="60"/>
      <c r="E1815" s="40"/>
      <c r="F1815" s="40"/>
      <c r="G1815" s="40"/>
      <c r="H1815" s="40"/>
      <c r="I1815" s="40"/>
      <c r="J1815" s="41"/>
    </row>
    <row r="1816" spans="2:10" s="1" customFormat="1" ht="12.75" x14ac:dyDescent="0.2">
      <c r="B1816" s="46"/>
      <c r="C1816" s="59"/>
      <c r="D1816" s="60"/>
      <c r="E1816" s="40"/>
      <c r="F1816" s="40"/>
      <c r="G1816" s="40"/>
      <c r="H1816" s="40"/>
      <c r="I1816" s="40"/>
      <c r="J1816" s="41"/>
    </row>
    <row r="1817" spans="2:10" s="1" customFormat="1" ht="12.75" x14ac:dyDescent="0.2">
      <c r="B1817" s="46"/>
      <c r="C1817" s="59"/>
      <c r="D1817" s="60"/>
      <c r="E1817" s="40"/>
      <c r="F1817" s="40"/>
      <c r="G1817" s="40"/>
      <c r="H1817" s="40"/>
      <c r="I1817" s="40"/>
      <c r="J1817" s="41"/>
    </row>
    <row r="1818" spans="2:10" s="1" customFormat="1" ht="12.75" x14ac:dyDescent="0.2">
      <c r="B1818" s="25" t="s">
        <v>825</v>
      </c>
      <c r="C1818" s="28" t="s">
        <v>794</v>
      </c>
      <c r="D1818" s="60"/>
      <c r="E1818" s="40"/>
      <c r="F1818" s="40" t="s">
        <v>795</v>
      </c>
      <c r="G1818" s="40"/>
      <c r="H1818" s="40"/>
      <c r="I1818" s="40">
        <f>+SUM(H1819:H1833)</f>
        <v>1424.2395094991364</v>
      </c>
      <c r="J1818" s="41" t="s">
        <v>12</v>
      </c>
    </row>
    <row r="1819" spans="2:10" s="1" customFormat="1" ht="12.75" x14ac:dyDescent="0.2">
      <c r="B1819" s="380"/>
      <c r="C1819" s="43" t="s">
        <v>269</v>
      </c>
      <c r="D1819" s="60"/>
      <c r="E1819" s="40"/>
      <c r="F1819" s="40"/>
      <c r="G1819" s="40"/>
      <c r="H1819" s="40">
        <f>IF(AND(F1819=0,G1819=0),D1819*E1819,IF(AND(E1819=0,G1819=0),D1819*F1819,IF(AND(E1819=0,F1819=0),D1819*G1819,IF(AND(E1819=0),D1819*F1819*G1819,IF(AND(F1819=0),D1819*E1819*G1819,IF(AND(G1819=0),D1819*E1819*F1819,D1819*E1819*F1819*G1819))))))</f>
        <v>0</v>
      </c>
      <c r="I1819" s="40"/>
      <c r="J1819" s="41"/>
    </row>
    <row r="1820" spans="2:10" s="1" customFormat="1" ht="12.75" x14ac:dyDescent="0.2">
      <c r="B1820" s="380"/>
      <c r="C1820" s="77" t="s">
        <v>71</v>
      </c>
      <c r="D1820" s="40"/>
      <c r="E1820" s="40"/>
      <c r="F1820" s="40"/>
      <c r="G1820" s="40"/>
      <c r="H1820" s="40"/>
      <c r="I1820" s="40"/>
      <c r="J1820" s="41"/>
    </row>
    <row r="1821" spans="2:10" s="1" customFormat="1" ht="12.75" x14ac:dyDescent="0.2">
      <c r="B1821" s="380"/>
      <c r="C1821" s="39" t="s">
        <v>349</v>
      </c>
      <c r="D1821" s="40">
        <v>36</v>
      </c>
      <c r="E1821" s="40">
        <v>3.25</v>
      </c>
      <c r="F1821" s="40">
        <f>13.58/5</f>
        <v>2.7160000000000002</v>
      </c>
      <c r="G1821" s="40"/>
      <c r="H1821" s="40">
        <f t="shared" ref="H1821:H1830" si="131">IF(AND(F1821=0,G1821=0),D1821*E1821,IF(AND(E1821=0,G1821=0),D1821*F1821,IF(AND(E1821=0,F1821=0),D1821*G1821,IF(AND(E1821=0),D1821*F1821*G1821,IF(AND(F1821=0),D1821*E1821*G1821,IF(AND(G1821=0),D1821*E1821*F1821,D1821*E1821*F1821*G1821))))))</f>
        <v>317.77200000000005</v>
      </c>
      <c r="I1821" s="40"/>
      <c r="J1821" s="41"/>
    </row>
    <row r="1822" spans="2:10" s="1" customFormat="1" ht="12.75" x14ac:dyDescent="0.2">
      <c r="B1822" s="380"/>
      <c r="C1822" s="39" t="s">
        <v>369</v>
      </c>
      <c r="D1822" s="40">
        <v>36</v>
      </c>
      <c r="E1822" s="40">
        <v>3</v>
      </c>
      <c r="F1822" s="40">
        <f>13.58/5</f>
        <v>2.7160000000000002</v>
      </c>
      <c r="G1822" s="40"/>
      <c r="H1822" s="40">
        <f t="shared" si="131"/>
        <v>293.32800000000003</v>
      </c>
      <c r="I1822" s="40"/>
      <c r="J1822" s="41"/>
    </row>
    <row r="1823" spans="2:10" s="1" customFormat="1" ht="12.75" x14ac:dyDescent="0.2">
      <c r="B1823" s="380"/>
      <c r="C1823" s="77" t="s">
        <v>72</v>
      </c>
      <c r="D1823" s="40"/>
      <c r="E1823" s="40"/>
      <c r="F1823" s="40"/>
      <c r="G1823" s="40"/>
      <c r="H1823" s="40"/>
      <c r="I1823" s="40"/>
      <c r="J1823" s="41"/>
    </row>
    <row r="1824" spans="2:10" s="1" customFormat="1" ht="12.75" x14ac:dyDescent="0.2">
      <c r="B1824" s="380"/>
      <c r="C1824" s="39" t="s">
        <v>349</v>
      </c>
      <c r="D1824" s="40">
        <v>36</v>
      </c>
      <c r="E1824" s="40">
        <v>3.25</v>
      </c>
      <c r="F1824" s="40">
        <f>13.58/5</f>
        <v>2.7160000000000002</v>
      </c>
      <c r="G1824" s="40"/>
      <c r="H1824" s="40">
        <f t="shared" si="131"/>
        <v>317.77200000000005</v>
      </c>
      <c r="I1824" s="40"/>
      <c r="J1824" s="41"/>
    </row>
    <row r="1825" spans="2:10" s="1" customFormat="1" ht="12.75" x14ac:dyDescent="0.2">
      <c r="B1825" s="380"/>
      <c r="C1825" s="77" t="s">
        <v>73</v>
      </c>
      <c r="D1825" s="40"/>
      <c r="E1825" s="40"/>
      <c r="F1825" s="40"/>
      <c r="G1825" s="40"/>
      <c r="H1825" s="40"/>
      <c r="I1825" s="40"/>
      <c r="J1825" s="41"/>
    </row>
    <row r="1826" spans="2:10" s="1" customFormat="1" ht="12.75" x14ac:dyDescent="0.2">
      <c r="B1826" s="380"/>
      <c r="C1826" s="39" t="s">
        <v>349</v>
      </c>
      <c r="D1826" s="40">
        <v>36</v>
      </c>
      <c r="E1826" s="40">
        <v>3.25</v>
      </c>
      <c r="F1826" s="40">
        <f>13.58/5</f>
        <v>2.7160000000000002</v>
      </c>
      <c r="G1826" s="40"/>
      <c r="H1826" s="40">
        <f t="shared" si="131"/>
        <v>317.77200000000005</v>
      </c>
      <c r="I1826" s="40"/>
      <c r="J1826" s="41"/>
    </row>
    <row r="1827" spans="2:10" s="1" customFormat="1" ht="12.75" x14ac:dyDescent="0.2">
      <c r="B1827" s="380"/>
      <c r="C1827" s="43" t="s">
        <v>490</v>
      </c>
      <c r="D1827" s="60"/>
      <c r="E1827" s="40"/>
      <c r="F1827" s="40"/>
      <c r="G1827" s="40"/>
      <c r="H1827" s="40"/>
      <c r="I1827" s="40"/>
      <c r="J1827" s="41"/>
    </row>
    <row r="1828" spans="2:10" s="1" customFormat="1" ht="12.75" x14ac:dyDescent="0.2">
      <c r="B1828" s="380"/>
      <c r="C1828" s="39" t="s">
        <v>518</v>
      </c>
      <c r="D1828" s="40">
        <v>1</v>
      </c>
      <c r="E1828" s="40">
        <v>11.85</v>
      </c>
      <c r="F1828" s="40">
        <f>10.1/5.85</f>
        <v>1.7264957264957266</v>
      </c>
      <c r="G1828" s="40"/>
      <c r="H1828" s="40">
        <f t="shared" si="131"/>
        <v>20.458974358974359</v>
      </c>
      <c r="I1828" s="40"/>
      <c r="J1828" s="41"/>
    </row>
    <row r="1829" spans="2:10" s="1" customFormat="1" ht="12.75" x14ac:dyDescent="0.2">
      <c r="B1829" s="380"/>
      <c r="C1829" s="39" t="s">
        <v>519</v>
      </c>
      <c r="D1829" s="60">
        <v>1</v>
      </c>
      <c r="E1829" s="40">
        <f>16.6+0.3</f>
        <v>16.900000000000002</v>
      </c>
      <c r="F1829" s="40">
        <f t="shared" ref="F1829:F1830" si="132">10.1/5.85</f>
        <v>1.7264957264957266</v>
      </c>
      <c r="G1829" s="40"/>
      <c r="H1829" s="40">
        <f t="shared" si="131"/>
        <v>29.177777777777784</v>
      </c>
      <c r="I1829" s="40"/>
      <c r="J1829" s="41"/>
    </row>
    <row r="1830" spans="2:10" s="1" customFormat="1" ht="12.75" x14ac:dyDescent="0.2">
      <c r="B1830" s="380"/>
      <c r="C1830" s="91" t="s">
        <v>520</v>
      </c>
      <c r="D1830" s="60">
        <v>1</v>
      </c>
      <c r="E1830" s="40">
        <v>4.4000000000000004</v>
      </c>
      <c r="F1830" s="40">
        <f t="shared" si="132"/>
        <v>1.7264957264957266</v>
      </c>
      <c r="G1830" s="40"/>
      <c r="H1830" s="40">
        <f t="shared" si="131"/>
        <v>7.5965811965811971</v>
      </c>
      <c r="I1830" s="40"/>
      <c r="J1830" s="41"/>
    </row>
    <row r="1831" spans="2:10" s="1" customFormat="1" ht="12.75" x14ac:dyDescent="0.2">
      <c r="B1831" s="380"/>
      <c r="C1831" s="91"/>
      <c r="D1831" s="60"/>
      <c r="E1831" s="40"/>
      <c r="F1831" s="40"/>
      <c r="G1831" s="40"/>
      <c r="H1831" s="40"/>
      <c r="I1831" s="40"/>
      <c r="J1831" s="41"/>
    </row>
    <row r="1832" spans="2:10" s="1" customFormat="1" ht="12.75" x14ac:dyDescent="0.2">
      <c r="B1832" s="380"/>
      <c r="C1832" s="43" t="s">
        <v>250</v>
      </c>
      <c r="D1832" s="60"/>
      <c r="E1832" s="40"/>
      <c r="F1832" s="40"/>
      <c r="G1832" s="40"/>
      <c r="H1832" s="40"/>
      <c r="I1832" s="40"/>
      <c r="J1832" s="41"/>
    </row>
    <row r="1833" spans="2:10" s="1" customFormat="1" ht="12.75" x14ac:dyDescent="0.2">
      <c r="B1833" s="380"/>
      <c r="C1833" s="39" t="s">
        <v>521</v>
      </c>
      <c r="D1833" s="40">
        <v>1</v>
      </c>
      <c r="E1833" s="40">
        <f>0.8+15.1</f>
        <v>15.9</v>
      </c>
      <c r="F1833" s="40">
        <f>43.83/5.79</f>
        <v>7.5699481865284968</v>
      </c>
      <c r="G1833" s="40"/>
      <c r="H1833" s="40">
        <f t="shared" ref="H1833" si="133">IF(AND(F1833=0,G1833=0),D1833*E1833,IF(AND(E1833=0,G1833=0),D1833*F1833,IF(AND(E1833=0,F1833=0),D1833*G1833,IF(AND(E1833=0),D1833*F1833*G1833,IF(AND(F1833=0),D1833*E1833*G1833,IF(AND(G1833=0),D1833*E1833*F1833,D1833*E1833*F1833*G1833))))))</f>
        <v>120.36217616580311</v>
      </c>
      <c r="I1833" s="40"/>
      <c r="J1833" s="41"/>
    </row>
    <row r="1834" spans="2:10" s="1" customFormat="1" ht="28.5" customHeight="1" x14ac:dyDescent="0.2">
      <c r="B1834" s="25" t="s">
        <v>899</v>
      </c>
      <c r="C1834" s="28" t="s">
        <v>625</v>
      </c>
      <c r="D1834" s="60"/>
      <c r="E1834" s="40"/>
      <c r="F1834" s="40"/>
      <c r="G1834" s="40"/>
      <c r="H1834" s="40"/>
      <c r="I1834" s="40">
        <f>+SUM(H1835:H1840)</f>
        <v>4.0578000000000003</v>
      </c>
      <c r="J1834" s="41" t="s">
        <v>4</v>
      </c>
    </row>
    <row r="1835" spans="2:10" s="1" customFormat="1" ht="28.5" customHeight="1" x14ac:dyDescent="0.2">
      <c r="B1835" s="46"/>
      <c r="C1835" s="46" t="s">
        <v>526</v>
      </c>
      <c r="D1835" s="60">
        <v>2</v>
      </c>
      <c r="E1835" s="40">
        <v>5.2</v>
      </c>
      <c r="F1835" s="40">
        <v>0.15</v>
      </c>
      <c r="G1835" s="40">
        <f>+G1778-0.25</f>
        <v>0.42999999999999994</v>
      </c>
      <c r="H1835" s="40">
        <f t="shared" ref="H1835:H1840" si="134">IF(AND(F1835=0,G1835=0),D1835*E1835,IF(AND(E1835=0,G1835=0),D1835*F1835,IF(AND(E1835=0,F1835=0),D1835*G1835,IF(AND(E1835=0),D1835*F1835*G1835,IF(AND(F1835=0),D1835*E1835*G1835,IF(AND(G1835=0),D1835*E1835*F1835,D1835*E1835*F1835*G1835))))))</f>
        <v>0.67079999999999995</v>
      </c>
      <c r="I1835" s="40"/>
      <c r="J1835" s="41"/>
    </row>
    <row r="1836" spans="2:10" s="1" customFormat="1" ht="28.5" customHeight="1" x14ac:dyDescent="0.2">
      <c r="B1836" s="46"/>
      <c r="C1836" s="46"/>
      <c r="D1836" s="23">
        <v>1</v>
      </c>
      <c r="E1836" s="40">
        <v>5.2</v>
      </c>
      <c r="F1836" s="40">
        <v>0.5</v>
      </c>
      <c r="G1836" s="40">
        <v>0.15</v>
      </c>
      <c r="H1836" s="40">
        <f t="shared" si="134"/>
        <v>0.39</v>
      </c>
      <c r="I1836" s="40"/>
      <c r="J1836" s="41"/>
    </row>
    <row r="1837" spans="2:10" s="1" customFormat="1" ht="28.5" customHeight="1" x14ac:dyDescent="0.2">
      <c r="B1837" s="46"/>
      <c r="C1837" s="39" t="s">
        <v>684</v>
      </c>
      <c r="D1837" s="8">
        <v>2</v>
      </c>
      <c r="E1837" s="86">
        <v>9.3000000000000007</v>
      </c>
      <c r="F1837" s="40">
        <v>0.15</v>
      </c>
      <c r="G1837" s="40">
        <f>+G1779-0.15</f>
        <v>0.7</v>
      </c>
      <c r="H1837" s="40">
        <f t="shared" si="134"/>
        <v>1.9529999999999998</v>
      </c>
      <c r="I1837" s="40"/>
      <c r="J1837" s="41"/>
    </row>
    <row r="1838" spans="2:10" s="1" customFormat="1" ht="28.5" customHeight="1" x14ac:dyDescent="0.2">
      <c r="B1838" s="46"/>
      <c r="C1838" s="46"/>
      <c r="D1838" s="8">
        <v>1</v>
      </c>
      <c r="E1838" s="86">
        <v>9.3000000000000007</v>
      </c>
      <c r="F1838" s="40">
        <v>0.5</v>
      </c>
      <c r="G1838" s="40">
        <v>0.15</v>
      </c>
      <c r="H1838" s="40">
        <f t="shared" si="134"/>
        <v>0.69750000000000001</v>
      </c>
      <c r="I1838" s="40"/>
      <c r="J1838" s="41"/>
    </row>
    <row r="1839" spans="2:10" s="1" customFormat="1" ht="12.75" x14ac:dyDescent="0.2">
      <c r="B1839" s="46"/>
      <c r="C1839" s="39" t="s">
        <v>450</v>
      </c>
      <c r="D1839" s="40">
        <v>2</v>
      </c>
      <c r="E1839" s="40">
        <v>1.5</v>
      </c>
      <c r="F1839" s="40">
        <v>0.15</v>
      </c>
      <c r="G1839" s="40">
        <v>0.65</v>
      </c>
      <c r="H1839" s="40">
        <f t="shared" si="134"/>
        <v>0.29249999999999998</v>
      </c>
      <c r="I1839" s="40"/>
      <c r="J1839" s="41"/>
    </row>
    <row r="1840" spans="2:10" s="1" customFormat="1" ht="12.75" x14ac:dyDescent="0.2">
      <c r="B1840" s="46"/>
      <c r="C1840" s="59"/>
      <c r="D1840" s="60">
        <v>2</v>
      </c>
      <c r="E1840" s="40">
        <v>1.2</v>
      </c>
      <c r="F1840" s="40">
        <v>0.15</v>
      </c>
      <c r="G1840" s="40">
        <v>0.15</v>
      </c>
      <c r="H1840" s="40">
        <f t="shared" si="134"/>
        <v>5.3999999999999999E-2</v>
      </c>
      <c r="I1840" s="40"/>
      <c r="J1840" s="41"/>
    </row>
    <row r="1841" spans="2:10" s="1" customFormat="1" ht="12.75" x14ac:dyDescent="0.2">
      <c r="B1841" s="25" t="s">
        <v>900</v>
      </c>
      <c r="C1841" s="28" t="s">
        <v>789</v>
      </c>
      <c r="D1841" s="60" t="s">
        <v>791</v>
      </c>
      <c r="E1841" s="40"/>
      <c r="F1841" s="40"/>
      <c r="G1841" s="40"/>
      <c r="H1841" s="40"/>
      <c r="I1841" s="40">
        <f>+SUM(H1842:H1850)</f>
        <v>9.8109869504066634</v>
      </c>
      <c r="J1841" s="41" t="s">
        <v>4</v>
      </c>
    </row>
    <row r="1842" spans="2:10" s="1" customFormat="1" ht="12.75" x14ac:dyDescent="0.2">
      <c r="B1842" s="25"/>
      <c r="C1842" s="46" t="s">
        <v>526</v>
      </c>
      <c r="D1842" s="60">
        <v>1.25</v>
      </c>
      <c r="E1842" s="40">
        <v>5.2</v>
      </c>
      <c r="F1842" s="40">
        <v>0.5</v>
      </c>
      <c r="G1842" s="40">
        <f>0.43+0.25</f>
        <v>0.67999999999999994</v>
      </c>
      <c r="H1842" s="40">
        <f>IF(AND(F1842=0,G1842=0),D1842*E1842,IF(AND(E1842=0,G1842=0),D1842*F1842,IF(AND(E1842=0,F1842=0),D1842*G1842,IF(AND(E1842=0),D1842*F1842*G1842,IF(AND(F1842=0),D1842*E1842*G1842,IF(AND(G1842=0),D1842*E1842*F1842,D1842*E1842*F1842*G1842))))))</f>
        <v>2.21</v>
      </c>
      <c r="I1842" s="40"/>
      <c r="J1842" s="41"/>
    </row>
    <row r="1843" spans="2:10" s="1" customFormat="1" ht="12.75" x14ac:dyDescent="0.2">
      <c r="B1843" s="25"/>
      <c r="C1843" s="46" t="s">
        <v>684</v>
      </c>
      <c r="D1843" s="60">
        <v>1.25</v>
      </c>
      <c r="E1843" s="86">
        <v>9.3000000000000007</v>
      </c>
      <c r="F1843" s="40">
        <v>0.5</v>
      </c>
      <c r="G1843" s="40">
        <f>0.6+0.25</f>
        <v>0.85</v>
      </c>
      <c r="H1843" s="40">
        <f>IF(AND(F1843=0,G1843=0),D1843*E1843,IF(AND(E1843=0,G1843=0),D1843*F1843,IF(AND(E1843=0,F1843=0),D1843*G1843,IF(AND(E1843=0),D1843*F1843*G1843,IF(AND(F1843=0),D1843*E1843*G1843,IF(AND(G1843=0),D1843*E1843*F1843,D1843*E1843*F1843*G1843))))))</f>
        <v>4.9406249999999998</v>
      </c>
      <c r="I1843" s="40"/>
      <c r="J1843" s="41"/>
    </row>
    <row r="1844" spans="2:10" s="1" customFormat="1" ht="12.75" x14ac:dyDescent="0.2">
      <c r="B1844" s="25"/>
      <c r="C1844" s="39" t="s">
        <v>450</v>
      </c>
      <c r="D1844" s="60">
        <v>1.25</v>
      </c>
      <c r="E1844" s="40">
        <v>0.9</v>
      </c>
      <c r="F1844" s="40">
        <v>1.5</v>
      </c>
      <c r="G1844" s="40">
        <f>0.65+0.25</f>
        <v>0.9</v>
      </c>
      <c r="H1844" s="40">
        <f>IF(AND(F1844=0,G1844=0),D1844*E1844,IF(AND(E1844=0,G1844=0),D1844*F1844,IF(AND(E1844=0,F1844=0),D1844*G1844,IF(AND(E1844=0),D1844*F1844*G1844,IF(AND(F1844=0),D1844*E1844*G1844,IF(AND(G1844=0),D1844*E1844*F1844,D1844*E1844*F1844*G1844))))))</f>
        <v>1.51875</v>
      </c>
      <c r="I1844" s="40"/>
      <c r="J1844" s="41"/>
    </row>
    <row r="1845" spans="2:10" s="1" customFormat="1" ht="12.75" x14ac:dyDescent="0.2">
      <c r="B1845" s="46"/>
      <c r="C1845" s="43" t="s">
        <v>490</v>
      </c>
      <c r="D1845" s="60"/>
      <c r="E1845" s="40"/>
      <c r="F1845" s="40"/>
      <c r="G1845" s="40"/>
      <c r="H1845" s="40"/>
      <c r="I1845" s="40"/>
      <c r="J1845" s="41"/>
    </row>
    <row r="1846" spans="2:10" s="1" customFormat="1" ht="12.75" x14ac:dyDescent="0.2">
      <c r="B1846" s="46"/>
      <c r="C1846" s="414"/>
      <c r="F1846" s="40" t="s">
        <v>786</v>
      </c>
      <c r="G1846" s="40">
        <v>4</v>
      </c>
      <c r="I1846" s="40"/>
      <c r="J1846" s="41"/>
    </row>
    <row r="1847" spans="2:10" s="1" customFormat="1" ht="12.75" x14ac:dyDescent="0.2">
      <c r="B1847" s="46"/>
      <c r="C1847" s="39" t="s">
        <v>784</v>
      </c>
      <c r="D1847" s="60">
        <v>1.25</v>
      </c>
      <c r="E1847" s="40">
        <f>+E1795</f>
        <v>33.15</v>
      </c>
      <c r="F1847" s="40" t="s">
        <v>785</v>
      </c>
      <c r="G1847" s="40">
        <f>+PI()*((G1846*0.0254)^2)/4</f>
        <v>8.107319665559963E-3</v>
      </c>
      <c r="H1847" s="40">
        <f>+D1847*E1847*G1847</f>
        <v>0.33594705864164098</v>
      </c>
      <c r="I1847" s="40"/>
      <c r="J1847" s="41"/>
    </row>
    <row r="1848" spans="2:10" s="1" customFormat="1" ht="12.75" x14ac:dyDescent="0.2">
      <c r="B1848" s="46"/>
      <c r="C1848" s="43" t="s">
        <v>250</v>
      </c>
      <c r="D1848" s="60"/>
      <c r="E1848" s="40"/>
      <c r="F1848" s="40"/>
      <c r="G1848" s="40"/>
      <c r="H1848" s="40"/>
      <c r="I1848" s="40"/>
      <c r="J1848" s="41"/>
    </row>
    <row r="1849" spans="2:10" s="1" customFormat="1" ht="12.75" x14ac:dyDescent="0.2">
      <c r="B1849" s="46"/>
      <c r="C1849" s="39" t="s">
        <v>521</v>
      </c>
      <c r="F1849" s="40" t="s">
        <v>786</v>
      </c>
      <c r="G1849" s="40">
        <v>10</v>
      </c>
      <c r="I1849" s="40"/>
      <c r="J1849" s="41"/>
    </row>
    <row r="1850" spans="2:10" s="1" customFormat="1" ht="12.75" x14ac:dyDescent="0.2">
      <c r="B1850" s="46"/>
      <c r="C1850" s="39" t="s">
        <v>784</v>
      </c>
      <c r="D1850" s="60">
        <v>1</v>
      </c>
      <c r="E1850" s="40">
        <f>+E1799</f>
        <v>15.9</v>
      </c>
      <c r="F1850" s="40" t="s">
        <v>785</v>
      </c>
      <c r="G1850" s="40">
        <f>+PI()*((G1849*0.0254)^2)/4</f>
        <v>5.0670747909749778E-2</v>
      </c>
      <c r="H1850" s="40">
        <f>+D1850*E1850*G1850</f>
        <v>0.80566489176502143</v>
      </c>
      <c r="I1850" s="40"/>
      <c r="J1850" s="41"/>
    </row>
    <row r="1851" spans="2:10" x14ac:dyDescent="0.25">
      <c r="B1851" s="414"/>
      <c r="C1851" s="414"/>
    </row>
    <row r="1852" spans="2:10" s="1" customFormat="1" ht="12.75" x14ac:dyDescent="0.2">
      <c r="B1852" s="25" t="s">
        <v>901</v>
      </c>
      <c r="C1852" s="28" t="s">
        <v>624</v>
      </c>
      <c r="D1852" s="60"/>
      <c r="E1852" s="40"/>
      <c r="F1852" s="40"/>
      <c r="G1852" s="40"/>
      <c r="H1852" s="40"/>
      <c r="I1852" s="40">
        <f>+I1841</f>
        <v>9.8109869504066634</v>
      </c>
      <c r="J1852" s="41" t="s">
        <v>4</v>
      </c>
    </row>
    <row r="1854" spans="2:10" x14ac:dyDescent="0.25">
      <c r="B1854" s="73" t="s">
        <v>829</v>
      </c>
      <c r="C1854" s="74" t="s">
        <v>626</v>
      </c>
      <c r="D1854" s="23"/>
      <c r="E1854" s="23"/>
      <c r="F1854" s="23"/>
      <c r="G1854" s="23"/>
      <c r="H1854" s="24"/>
      <c r="I1854" s="25"/>
      <c r="J1854" s="26"/>
    </row>
    <row r="1855" spans="2:10" s="1" customFormat="1" ht="12.75" x14ac:dyDescent="0.2">
      <c r="B1855" s="43" t="s">
        <v>830</v>
      </c>
      <c r="C1855" s="25" t="s">
        <v>627</v>
      </c>
      <c r="D1855" s="60"/>
      <c r="E1855" s="40"/>
      <c r="F1855" s="40"/>
      <c r="G1855" s="40"/>
      <c r="H1855" s="40"/>
      <c r="I1855" s="44">
        <f>+SUM(H1856:H1857)</f>
        <v>7.25</v>
      </c>
      <c r="J1855" s="45" t="s">
        <v>45</v>
      </c>
    </row>
    <row r="1856" spans="2:10" s="1" customFormat="1" ht="15.75" customHeight="1" x14ac:dyDescent="0.2">
      <c r="B1856" s="25"/>
      <c r="C1856" s="46" t="s">
        <v>526</v>
      </c>
      <c r="D1856" s="60">
        <v>1</v>
      </c>
      <c r="E1856" s="40">
        <v>5.2</v>
      </c>
      <c r="F1856" s="40">
        <v>0.5</v>
      </c>
      <c r="G1856" s="40"/>
      <c r="H1856" s="40">
        <f>IF(AND(F1856=0,G1856=0),D1856*E1856,IF(AND(E1856=0,G1856=0),D1856*F1856,IF(AND(E1856=0,F1856=0),D1856*G1856,IF(AND(E1856=0),D1856*F1856*G1856,IF(AND(F1856=0),D1856*E1856*G1856,IF(AND(G1856=0),D1856*E1856*F1856,D1856*E1856*F1856*G1856))))))</f>
        <v>2.6</v>
      </c>
      <c r="I1856" s="40"/>
      <c r="J1856" s="41"/>
    </row>
    <row r="1857" spans="2:10" s="1" customFormat="1" ht="12.75" x14ac:dyDescent="0.2">
      <c r="B1857" s="25"/>
      <c r="C1857" s="46" t="s">
        <v>684</v>
      </c>
      <c r="D1857" s="8">
        <v>1</v>
      </c>
      <c r="E1857" s="86">
        <v>9.3000000000000007</v>
      </c>
      <c r="F1857" s="40">
        <v>0.5</v>
      </c>
      <c r="G1857" s="40"/>
      <c r="H1857" s="40">
        <f>IF(AND(F1857=0,G1857=0),D1857*E1857,IF(AND(E1857=0,G1857=0),D1857*F1857,IF(AND(E1857=0,F1857=0),D1857*G1857,IF(AND(E1857=0),D1857*F1857*G1857,IF(AND(F1857=0),D1857*E1857*G1857,IF(AND(G1857=0),D1857*E1857*F1857,D1857*E1857*F1857*G1857))))))</f>
        <v>4.6500000000000004</v>
      </c>
      <c r="I1857" s="40"/>
      <c r="J1857" s="41"/>
    </row>
    <row r="1858" spans="2:10" s="1" customFormat="1" ht="12.75" x14ac:dyDescent="0.2">
      <c r="B1858" s="43" t="s">
        <v>831</v>
      </c>
      <c r="C1858" s="25" t="s">
        <v>680</v>
      </c>
      <c r="D1858" s="60"/>
      <c r="E1858" s="40"/>
      <c r="F1858" s="40"/>
      <c r="G1858" s="40"/>
      <c r="H1858" s="40"/>
      <c r="I1858" s="44">
        <f>+H1859</f>
        <v>1.35</v>
      </c>
      <c r="J1858" s="45" t="s">
        <v>45</v>
      </c>
    </row>
    <row r="1859" spans="2:10" s="1" customFormat="1" ht="12.75" x14ac:dyDescent="0.2">
      <c r="B1859" s="57"/>
      <c r="C1859" s="39" t="s">
        <v>450</v>
      </c>
      <c r="D1859" s="40">
        <v>1</v>
      </c>
      <c r="E1859" s="40">
        <v>0.9</v>
      </c>
      <c r="F1859" s="40">
        <v>1.5</v>
      </c>
      <c r="G1859" s="40"/>
      <c r="H1859" s="40">
        <f>IF(AND(F1859=0,G1859=0),D1859*E1859,IF(AND(E1859=0,G1859=0),D1859*F1859,IF(AND(E1859=0,F1859=0),D1859*G1859,IF(AND(E1859=0),D1859*F1859*G1859,IF(AND(F1859=0),D1859*E1859*G1859,IF(AND(G1859=0),D1859*E1859*F1859,D1859*E1859*F1859*G1859))))))</f>
        <v>1.35</v>
      </c>
      <c r="I1859" s="40"/>
      <c r="J1859" s="41"/>
    </row>
    <row r="1860" spans="2:10" s="1" customFormat="1" ht="12.75" x14ac:dyDescent="0.2">
      <c r="B1860" s="57"/>
      <c r="C1860" s="39"/>
      <c r="D1860" s="60"/>
      <c r="E1860" s="40"/>
      <c r="F1860" s="40"/>
      <c r="G1860" s="40"/>
      <c r="H1860" s="40"/>
      <c r="I1860" s="40"/>
      <c r="J1860" s="41"/>
    </row>
    <row r="1861" spans="2:10" s="1" customFormat="1" ht="12.75" x14ac:dyDescent="0.2">
      <c r="B1861" s="57" t="s">
        <v>838</v>
      </c>
      <c r="C1861" s="58" t="s">
        <v>224</v>
      </c>
      <c r="D1861" s="60"/>
      <c r="E1861" s="40"/>
      <c r="F1861" s="40"/>
      <c r="G1861" s="40"/>
      <c r="H1861" s="40"/>
      <c r="I1861" s="40"/>
      <c r="J1861" s="41"/>
    </row>
    <row r="1862" spans="2:10" s="414" customFormat="1" ht="12.75" x14ac:dyDescent="0.2">
      <c r="B1862" s="43" t="s">
        <v>839</v>
      </c>
      <c r="C1862" s="46" t="s">
        <v>440</v>
      </c>
      <c r="D1862" s="23"/>
      <c r="E1862" s="23"/>
      <c r="F1862" s="40"/>
      <c r="G1862" s="40"/>
      <c r="I1862" s="44">
        <f>SUM(H1863:H1869)</f>
        <v>14.5</v>
      </c>
      <c r="J1862" s="45" t="s">
        <v>345</v>
      </c>
    </row>
    <row r="1863" spans="2:10" s="414" customFormat="1" ht="12.75" x14ac:dyDescent="0.2">
      <c r="B1863" s="413"/>
      <c r="C1863" s="46" t="s">
        <v>526</v>
      </c>
      <c r="D1863" s="60">
        <v>1</v>
      </c>
      <c r="E1863" s="40">
        <v>5.2</v>
      </c>
      <c r="F1863" s="40"/>
      <c r="G1863" s="40"/>
      <c r="H1863" s="40">
        <f>IF(AND(F1863=0,G1863=0),D1863*E1863,IF(AND(E1863=0,G1863=0),D1863*F1863,IF(AND(E1863=0,F1863=0),D1863*G1863,IF(AND(E1863=0),D1863*F1863*G1863,IF(AND(F1863=0),D1863*E1863*G1863,IF(AND(G1863=0),D1863*E1863*F1863,D1863*E1863*F1863*G1863))))))</f>
        <v>5.2</v>
      </c>
      <c r="I1863" s="40"/>
      <c r="J1863" s="41"/>
    </row>
    <row r="1864" spans="2:10" s="414" customFormat="1" ht="12.75" x14ac:dyDescent="0.2">
      <c r="B1864" s="413"/>
      <c r="C1864" s="46" t="s">
        <v>818</v>
      </c>
      <c r="F1864" s="40" t="s">
        <v>681</v>
      </c>
      <c r="G1864" s="40" t="s">
        <v>682</v>
      </c>
      <c r="I1864" s="40">
        <f>+SUM(G1865:G1866)</f>
        <v>5.6999999999999993</v>
      </c>
      <c r="J1864" s="41"/>
    </row>
    <row r="1865" spans="2:10" s="414" customFormat="1" ht="12.75" x14ac:dyDescent="0.2">
      <c r="B1865" s="413"/>
      <c r="C1865" s="39" t="s">
        <v>437</v>
      </c>
      <c r="D1865" s="414">
        <f>4+4+4</f>
        <v>12</v>
      </c>
      <c r="E1865" s="414">
        <v>1</v>
      </c>
      <c r="F1865" s="40">
        <v>0.25</v>
      </c>
      <c r="G1865" s="40">
        <f>+D1865*E1865*F1865</f>
        <v>3</v>
      </c>
      <c r="H1865" s="40"/>
      <c r="I1865" s="40"/>
      <c r="J1865" s="41"/>
    </row>
    <row r="1866" spans="2:10" s="414" customFormat="1" ht="12.75" x14ac:dyDescent="0.2">
      <c r="B1866" s="413"/>
      <c r="C1866" s="39" t="s">
        <v>438</v>
      </c>
      <c r="D1866" s="60">
        <v>6</v>
      </c>
      <c r="E1866" s="40">
        <f>0.6*2+0.6</f>
        <v>1.7999999999999998</v>
      </c>
      <c r="F1866" s="40">
        <v>0.25</v>
      </c>
      <c r="G1866" s="40">
        <f>+D1866*E1866*F1866</f>
        <v>2.6999999999999997</v>
      </c>
      <c r="H1866" s="40"/>
      <c r="I1866" s="40"/>
      <c r="J1866" s="41"/>
    </row>
    <row r="1867" spans="2:10" s="414" customFormat="1" ht="12.75" x14ac:dyDescent="0.2">
      <c r="B1867" s="413"/>
      <c r="C1867" s="39"/>
      <c r="D1867" s="23"/>
      <c r="E1867" s="24"/>
      <c r="F1867" s="40"/>
      <c r="G1867" s="40"/>
      <c r="H1867" s="40"/>
      <c r="I1867" s="40"/>
      <c r="J1867" s="41"/>
    </row>
    <row r="1868" spans="2:10" s="414" customFormat="1" ht="12.75" x14ac:dyDescent="0.2">
      <c r="B1868" s="413"/>
      <c r="C1868" s="46" t="s">
        <v>684</v>
      </c>
      <c r="D1868" s="415">
        <v>1</v>
      </c>
      <c r="E1868" s="416">
        <v>9.3000000000000007</v>
      </c>
      <c r="F1868" s="40"/>
      <c r="G1868" s="40"/>
      <c r="H1868" s="40">
        <f>IF(AND(F1868=0,G1868=0),D1868*E1868,IF(AND(E1868=0,G1868=0),D1868*F1868,IF(AND(E1868=0,F1868=0),D1868*G1868,IF(AND(E1868=0),D1868*F1868*G1868,IF(AND(F1868=0),D1868*E1868*G1868,IF(AND(G1868=0),D1868*E1868*F1868,D1868*E1868*F1868*G1868))))))</f>
        <v>9.3000000000000007</v>
      </c>
      <c r="I1868" s="40"/>
      <c r="J1868" s="41"/>
    </row>
    <row r="1869" spans="2:10" s="414" customFormat="1" ht="12.75" x14ac:dyDescent="0.2">
      <c r="B1869" s="413"/>
      <c r="C1869" s="46" t="s">
        <v>818</v>
      </c>
      <c r="D1869" s="419"/>
      <c r="E1869" s="420"/>
      <c r="F1869" s="40" t="s">
        <v>681</v>
      </c>
      <c r="G1869" s="40" t="s">
        <v>682</v>
      </c>
      <c r="I1869" s="40">
        <f>+SUM(G1870:G1871)</f>
        <v>5.2249999999999996</v>
      </c>
      <c r="J1869" s="41"/>
    </row>
    <row r="1870" spans="2:10" s="414" customFormat="1" ht="12.75" x14ac:dyDescent="0.2">
      <c r="B1870" s="413"/>
      <c r="C1870" s="39" t="s">
        <v>437</v>
      </c>
      <c r="D1870" s="414">
        <v>11</v>
      </c>
      <c r="E1870" s="414">
        <v>1</v>
      </c>
      <c r="F1870" s="40">
        <v>0.25</v>
      </c>
      <c r="G1870" s="40">
        <f>+D1870*E1870*F1870</f>
        <v>2.75</v>
      </c>
      <c r="H1870" s="40"/>
      <c r="I1870" s="40"/>
      <c r="J1870" s="41"/>
    </row>
    <row r="1871" spans="2:10" s="414" customFormat="1" ht="12.75" x14ac:dyDescent="0.2">
      <c r="B1871" s="413"/>
      <c r="C1871" s="39" t="s">
        <v>438</v>
      </c>
      <c r="D1871" s="60">
        <v>6</v>
      </c>
      <c r="E1871" s="40">
        <f>0.55+0.55*2</f>
        <v>1.6500000000000001</v>
      </c>
      <c r="F1871" s="40">
        <v>0.25</v>
      </c>
      <c r="G1871" s="40">
        <f>+D1871*E1871*F1871</f>
        <v>2.4750000000000001</v>
      </c>
      <c r="H1871" s="40"/>
      <c r="I1871" s="40"/>
      <c r="J1871" s="41"/>
    </row>
    <row r="1872" spans="2:10" s="414" customFormat="1" ht="12.75" x14ac:dyDescent="0.2">
      <c r="B1872" s="43" t="s">
        <v>847</v>
      </c>
      <c r="C1872" s="43" t="s">
        <v>628</v>
      </c>
      <c r="D1872" s="60"/>
      <c r="E1872" s="40"/>
      <c r="F1872" s="40"/>
      <c r="G1872" s="40"/>
      <c r="H1872" s="40"/>
      <c r="I1872" s="44">
        <f>SUM(H1873)</f>
        <v>1.1000000000000001</v>
      </c>
      <c r="J1872" s="45" t="s">
        <v>345</v>
      </c>
    </row>
    <row r="1873" spans="2:10" s="414" customFormat="1" ht="12.75" x14ac:dyDescent="0.2">
      <c r="C1873" s="39" t="s">
        <v>450</v>
      </c>
      <c r="D1873" s="40">
        <v>1</v>
      </c>
      <c r="E1873" s="40">
        <v>1.1000000000000001</v>
      </c>
      <c r="F1873" s="40"/>
      <c r="G1873" s="40"/>
      <c r="H1873" s="40">
        <f>IF(AND(F1873=0,G1873=0),D1873*E1873,IF(AND(E1873=0,G1873=0),D1873*F1873,IF(AND(E1873=0,F1873=0),D1873*G1873,IF(AND(E1873=0),D1873*F1873*G1873,IF(AND(F1873=0),D1873*E1873*G1873,IF(AND(G1873=0),D1873*E1873*F1873,D1873*E1873*F1873*G1873))))))</f>
        <v>1.1000000000000001</v>
      </c>
    </row>
    <row r="1874" spans="2:10" s="1" customFormat="1" ht="12.75" x14ac:dyDescent="0.2">
      <c r="B1874" s="43" t="s">
        <v>850</v>
      </c>
      <c r="C1874" s="43" t="s">
        <v>490</v>
      </c>
      <c r="D1874" s="60"/>
      <c r="E1874" s="40"/>
      <c r="F1874" s="40"/>
      <c r="G1874" s="40"/>
      <c r="H1874" s="40"/>
      <c r="I1874" s="44">
        <f>SUM(H1875:H1877)</f>
        <v>33.15</v>
      </c>
      <c r="J1874" s="45" t="s">
        <v>345</v>
      </c>
    </row>
    <row r="1875" spans="2:10" s="1" customFormat="1" ht="12.75" x14ac:dyDescent="0.2">
      <c r="B1875" s="57"/>
      <c r="C1875" s="39" t="s">
        <v>518</v>
      </c>
      <c r="D1875" s="40">
        <v>1</v>
      </c>
      <c r="E1875" s="40">
        <v>11.85</v>
      </c>
      <c r="F1875" s="40"/>
      <c r="G1875" s="40"/>
      <c r="H1875" s="40">
        <f>IF(AND(F1875=0,G1875=0),D1875*E1875,IF(AND(E1875=0,G1875=0),D1875*F1875,IF(AND(E1875=0,F1875=0),D1875*G1875,IF(AND(E1875=0),D1875*F1875*G1875,IF(AND(F1875=0),D1875*E1875*G1875,IF(AND(G1875=0),D1875*E1875*F1875,D1875*E1875*F1875*G1875))))))</f>
        <v>11.85</v>
      </c>
      <c r="I1875" s="40"/>
      <c r="J1875" s="41"/>
    </row>
    <row r="1876" spans="2:10" s="1" customFormat="1" ht="12.75" x14ac:dyDescent="0.2">
      <c r="B1876" s="57"/>
      <c r="C1876" s="39" t="s">
        <v>519</v>
      </c>
      <c r="D1876" s="60">
        <v>1</v>
      </c>
      <c r="E1876" s="40">
        <f>16.6+0.3</f>
        <v>16.900000000000002</v>
      </c>
      <c r="F1876" s="40"/>
      <c r="G1876" s="40"/>
      <c r="H1876" s="40">
        <f>IF(AND(F1876=0,G1876=0),D1876*E1876,IF(AND(E1876=0,G1876=0),D1876*F1876,IF(AND(E1876=0,F1876=0),D1876*G1876,IF(AND(E1876=0),D1876*F1876*G1876,IF(AND(F1876=0),D1876*E1876*G1876,IF(AND(G1876=0),D1876*E1876*F1876,D1876*E1876*F1876*G1876))))))</f>
        <v>16.900000000000002</v>
      </c>
      <c r="I1876" s="40"/>
      <c r="J1876" s="41"/>
    </row>
    <row r="1877" spans="2:10" s="1" customFormat="1" ht="12.75" x14ac:dyDescent="0.2">
      <c r="B1877" s="57"/>
      <c r="C1877" s="91" t="s">
        <v>520</v>
      </c>
      <c r="D1877" s="60">
        <v>1</v>
      </c>
      <c r="E1877" s="40">
        <v>4.4000000000000004</v>
      </c>
      <c r="F1877" s="40"/>
      <c r="G1877" s="40"/>
      <c r="H1877" s="40">
        <f>IF(AND(F1877=0,G1877=0),D1877*E1877,IF(AND(E1877=0,G1877=0),D1877*F1877,IF(AND(E1877=0,F1877=0),D1877*G1877,IF(AND(E1877=0),D1877*F1877*G1877,IF(AND(F1877=0),D1877*E1877*G1877,IF(AND(G1877=0),D1877*E1877*F1877,D1877*E1877*F1877*G1877))))))</f>
        <v>4.4000000000000004</v>
      </c>
      <c r="I1877" s="40"/>
      <c r="J1877" s="41"/>
    </row>
    <row r="1878" spans="2:10" s="1" customFormat="1" ht="12.75" x14ac:dyDescent="0.2">
      <c r="B1878" s="70"/>
      <c r="C1878" s="366" t="s">
        <v>935</v>
      </c>
      <c r="D1878" s="60"/>
      <c r="E1878" s="40">
        <f>31+2.3+8*0.6+8*1.2+3*3</f>
        <v>56.699999999999996</v>
      </c>
      <c r="F1878" s="40"/>
      <c r="G1878" s="40"/>
      <c r="H1878" s="40"/>
      <c r="I1878" s="40"/>
      <c r="J1878" s="41"/>
    </row>
    <row r="1879" spans="2:10" s="1" customFormat="1" ht="12.75" x14ac:dyDescent="0.2">
      <c r="B1879" s="70"/>
      <c r="C1879" s="366" t="s">
        <v>934</v>
      </c>
      <c r="D1879" s="60"/>
      <c r="E1879" s="40">
        <f>68+6.6+12*0.6+3.5*5+12*1.2</f>
        <v>113.69999999999999</v>
      </c>
      <c r="F1879" s="40"/>
      <c r="G1879" s="40"/>
      <c r="H1879" s="40"/>
      <c r="I1879" s="40"/>
      <c r="J1879" s="41"/>
    </row>
    <row r="1880" spans="2:10" s="1" customFormat="1" ht="12.75" x14ac:dyDescent="0.2">
      <c r="B1880" s="70"/>
      <c r="C1880" s="366"/>
      <c r="D1880" s="60"/>
      <c r="E1880" s="40"/>
      <c r="F1880" s="40"/>
      <c r="G1880" s="40"/>
      <c r="H1880" s="40"/>
      <c r="I1880" s="40"/>
      <c r="J1880" s="41"/>
    </row>
    <row r="1881" spans="2:10" s="414" customFormat="1" ht="12.75" x14ac:dyDescent="0.2">
      <c r="B1881" s="25" t="s">
        <v>857</v>
      </c>
      <c r="C1881" s="28" t="s">
        <v>716</v>
      </c>
      <c r="D1881" s="60"/>
      <c r="E1881" s="40"/>
      <c r="F1881" s="40"/>
      <c r="G1881" s="40"/>
      <c r="H1881" s="40"/>
      <c r="I1881" s="40">
        <f>+SUM(H1882)</f>
        <v>1</v>
      </c>
      <c r="J1881" s="41" t="s">
        <v>13</v>
      </c>
    </row>
    <row r="1882" spans="2:10" s="414" customFormat="1" ht="12.75" x14ac:dyDescent="0.2">
      <c r="C1882" s="39" t="s">
        <v>450</v>
      </c>
      <c r="D1882" s="40">
        <v>1</v>
      </c>
      <c r="E1882" s="40"/>
      <c r="F1882" s="40"/>
      <c r="G1882" s="40"/>
      <c r="H1882" s="40">
        <f>+D1882</f>
        <v>1</v>
      </c>
      <c r="I1882" s="40"/>
      <c r="J1882" s="41"/>
    </row>
    <row r="1883" spans="2:10" s="1" customFormat="1" ht="12.75" x14ac:dyDescent="0.2">
      <c r="B1883" s="25" t="s">
        <v>859</v>
      </c>
      <c r="C1883" s="28" t="s">
        <v>735</v>
      </c>
      <c r="D1883" s="60"/>
      <c r="E1883" s="40"/>
      <c r="F1883" s="40"/>
      <c r="G1883" s="40"/>
      <c r="H1883" s="40"/>
      <c r="I1883" s="40">
        <f>+SUM(H1884:H1885)</f>
        <v>4.4400000000000004</v>
      </c>
      <c r="J1883" s="41" t="s">
        <v>45</v>
      </c>
    </row>
    <row r="1884" spans="2:10" s="1" customFormat="1" ht="12.75" x14ac:dyDescent="0.2">
      <c r="B1884" s="25"/>
      <c r="C1884" s="39" t="s">
        <v>450</v>
      </c>
      <c r="D1884" s="40">
        <v>1</v>
      </c>
      <c r="E1884" s="40">
        <f>0.9*2+1.2*2</f>
        <v>4.2</v>
      </c>
      <c r="F1884" s="40"/>
      <c r="G1884" s="40">
        <f>0.65+0.15</f>
        <v>0.8</v>
      </c>
      <c r="H1884" s="40">
        <f t="shared" ref="H1884:H1885" si="135">IF(AND(F1884=0,G1884=0),D1884*E1884,IF(AND(E1884=0,G1884=0),D1884*F1884,IF(AND(E1884=0,F1884=0),D1884*G1884,IF(AND(E1884=0),D1884*F1884*G1884,IF(AND(F1884=0),D1884*E1884*G1884,IF(AND(G1884=0),D1884*E1884*F1884,D1884*E1884*F1884*G1884))))))</f>
        <v>3.3600000000000003</v>
      </c>
      <c r="I1884" s="40"/>
      <c r="J1884" s="41"/>
    </row>
    <row r="1885" spans="2:10" s="1" customFormat="1" ht="12.75" x14ac:dyDescent="0.2">
      <c r="B1885" s="25"/>
      <c r="C1885" s="59"/>
      <c r="D1885" s="60">
        <v>1</v>
      </c>
      <c r="E1885" s="40">
        <v>0.9</v>
      </c>
      <c r="F1885" s="40"/>
      <c r="G1885" s="40">
        <v>1.2</v>
      </c>
      <c r="H1885" s="40">
        <f t="shared" si="135"/>
        <v>1.08</v>
      </c>
      <c r="I1885" s="40"/>
      <c r="J1885" s="41"/>
    </row>
    <row r="1886" spans="2:10" s="1" customFormat="1" ht="12.75" x14ac:dyDescent="0.2">
      <c r="B1886" s="25" t="s">
        <v>860</v>
      </c>
      <c r="C1886" s="28" t="s">
        <v>736</v>
      </c>
      <c r="D1886" s="60"/>
      <c r="E1886" s="40"/>
      <c r="F1886" s="40"/>
      <c r="G1886" s="40"/>
      <c r="H1886" s="40"/>
      <c r="I1886" s="40">
        <f>+SUM(H1887:H1890)</f>
        <v>25.782000000000004</v>
      </c>
      <c r="J1886" s="41" t="s">
        <v>45</v>
      </c>
    </row>
    <row r="1887" spans="2:10" s="1" customFormat="1" ht="12.75" x14ac:dyDescent="0.2">
      <c r="B1887" s="46"/>
      <c r="C1887" s="46" t="s">
        <v>526</v>
      </c>
      <c r="D1887" s="60">
        <v>2</v>
      </c>
      <c r="E1887" s="40">
        <v>5.2</v>
      </c>
      <c r="F1887" s="40"/>
      <c r="G1887" s="40">
        <f>0.43+0.2</f>
        <v>0.63</v>
      </c>
      <c r="H1887" s="40">
        <f t="shared" ref="H1887:H1890" si="136">IF(AND(F1887=0,G1887=0),D1887*E1887,IF(AND(E1887=0,G1887=0),D1887*F1887,IF(AND(E1887=0,F1887=0),D1887*G1887,IF(AND(E1887=0),D1887*F1887*G1887,IF(AND(F1887=0),D1887*E1887*G1887,IF(AND(G1887=0),D1887*E1887*F1887,D1887*E1887*F1887*G1887))))))</f>
        <v>6.5520000000000005</v>
      </c>
      <c r="I1887" s="40"/>
      <c r="J1887" s="41"/>
    </row>
    <row r="1888" spans="2:10" s="1" customFormat="1" ht="12.75" x14ac:dyDescent="0.2">
      <c r="B1888" s="46"/>
      <c r="C1888" s="46"/>
      <c r="D1888" s="23">
        <v>1</v>
      </c>
      <c r="E1888" s="40">
        <v>5.2</v>
      </c>
      <c r="F1888" s="40"/>
      <c r="G1888" s="40">
        <v>0.3</v>
      </c>
      <c r="H1888" s="40">
        <f t="shared" si="136"/>
        <v>1.56</v>
      </c>
      <c r="I1888" s="40"/>
      <c r="J1888" s="41"/>
    </row>
    <row r="1889" spans="2:10" s="1" customFormat="1" ht="12.75" x14ac:dyDescent="0.2">
      <c r="B1889" s="46"/>
      <c r="C1889" s="39" t="s">
        <v>684</v>
      </c>
      <c r="D1889" s="8">
        <v>2</v>
      </c>
      <c r="E1889" s="86">
        <v>9.3000000000000007</v>
      </c>
      <c r="F1889" s="40"/>
      <c r="G1889" s="40">
        <f>0.6+0.2</f>
        <v>0.8</v>
      </c>
      <c r="H1889" s="40">
        <f t="shared" si="136"/>
        <v>14.880000000000003</v>
      </c>
      <c r="I1889" s="40"/>
      <c r="J1889" s="41"/>
    </row>
    <row r="1890" spans="2:10" s="1" customFormat="1" ht="12.75" x14ac:dyDescent="0.2">
      <c r="B1890" s="46"/>
      <c r="C1890" s="46"/>
      <c r="D1890" s="8">
        <v>1</v>
      </c>
      <c r="E1890" s="86">
        <v>9.3000000000000007</v>
      </c>
      <c r="F1890" s="40"/>
      <c r="G1890" s="40">
        <v>0.3</v>
      </c>
      <c r="H1890" s="40">
        <f t="shared" si="136"/>
        <v>2.79</v>
      </c>
      <c r="I1890" s="40"/>
      <c r="J1890" s="41"/>
    </row>
    <row r="1891" spans="2:10" s="1" customFormat="1" ht="12.75" x14ac:dyDescent="0.2">
      <c r="B1891" s="57"/>
      <c r="C1891" s="39"/>
      <c r="D1891" s="60"/>
      <c r="E1891" s="40"/>
      <c r="F1891" s="40"/>
      <c r="G1891" s="40"/>
      <c r="H1891" s="40"/>
      <c r="I1891" s="40"/>
      <c r="J1891" s="41"/>
    </row>
    <row r="1892" spans="2:10" s="1" customFormat="1" ht="12.75" x14ac:dyDescent="0.2">
      <c r="B1892" s="57" t="s">
        <v>876</v>
      </c>
      <c r="C1892" s="58" t="s">
        <v>223</v>
      </c>
      <c r="D1892" s="60"/>
      <c r="E1892" s="40"/>
      <c r="F1892" s="40"/>
      <c r="G1892" s="40"/>
      <c r="H1892" s="40"/>
      <c r="I1892" s="40"/>
      <c r="J1892" s="41"/>
    </row>
    <row r="1893" spans="2:10" s="1" customFormat="1" ht="12.75" x14ac:dyDescent="0.2">
      <c r="B1893" s="43" t="s">
        <v>878</v>
      </c>
      <c r="C1893" s="43" t="s">
        <v>670</v>
      </c>
      <c r="D1893" s="60"/>
      <c r="E1893" s="40"/>
      <c r="F1893" s="40"/>
      <c r="G1893" s="40"/>
      <c r="H1893" s="40"/>
      <c r="I1893" s="44">
        <f>SUM(H1894:H1897)</f>
        <v>117</v>
      </c>
      <c r="J1893" s="45" t="s">
        <v>13</v>
      </c>
    </row>
    <row r="1894" spans="2:10" s="1" customFormat="1" ht="12.75" x14ac:dyDescent="0.2">
      <c r="B1894" s="57"/>
      <c r="C1894" s="39" t="s">
        <v>665</v>
      </c>
      <c r="D1894" s="40">
        <v>5</v>
      </c>
      <c r="E1894" s="40">
        <v>12</v>
      </c>
      <c r="F1894" s="40"/>
      <c r="G1894" s="40"/>
      <c r="H1894" s="40">
        <f>IF(AND(F1894=0,G1894=0),D1894*E1894,IF(AND(E1894=0,G1894=0),D1894*F1894,IF(AND(E1894=0,F1894=0),D1894*G1894,IF(AND(E1894=0),D1894*F1894*G1894,IF(AND(F1894=0),D1894*E1894*G1894,IF(AND(G1894=0),D1894*E1894*F1894,D1894*E1894*F1894*G1894))))))</f>
        <v>60</v>
      </c>
      <c r="I1894" s="40"/>
      <c r="J1894" s="41"/>
    </row>
    <row r="1895" spans="2:10" s="1" customFormat="1" ht="12.75" x14ac:dyDescent="0.2">
      <c r="B1895" s="57"/>
      <c r="C1895" s="39" t="s">
        <v>667</v>
      </c>
      <c r="D1895" s="60">
        <v>1</v>
      </c>
      <c r="E1895" s="40">
        <v>19</v>
      </c>
      <c r="F1895" s="40"/>
      <c r="G1895" s="40"/>
      <c r="H1895" s="40">
        <v>19</v>
      </c>
      <c r="I1895" s="40"/>
      <c r="J1895" s="41"/>
    </row>
    <row r="1896" spans="2:10" s="1" customFormat="1" ht="12.75" x14ac:dyDescent="0.2">
      <c r="B1896" s="57"/>
      <c r="C1896" s="91" t="s">
        <v>666</v>
      </c>
      <c r="D1896" s="60">
        <v>5</v>
      </c>
      <c r="E1896" s="40">
        <v>6</v>
      </c>
      <c r="F1896" s="40"/>
      <c r="G1896" s="40"/>
      <c r="H1896" s="40">
        <f t="shared" ref="H1896:H1897" si="137">IF(AND(F1896=0,G1896=0),D1896*E1896,IF(AND(E1896=0,G1896=0),D1896*F1896,IF(AND(E1896=0,F1896=0),D1896*G1896,IF(AND(E1896=0),D1896*F1896*G1896,IF(AND(F1896=0),D1896*E1896*G1896,IF(AND(G1896=0),D1896*E1896*F1896,D1896*E1896*F1896*G1896))))))</f>
        <v>30</v>
      </c>
      <c r="I1896" s="40"/>
      <c r="J1896" s="41"/>
    </row>
    <row r="1897" spans="2:10" s="414" customFormat="1" ht="12.75" x14ac:dyDescent="0.2">
      <c r="B1897" s="25"/>
      <c r="C1897" s="28" t="s">
        <v>668</v>
      </c>
      <c r="D1897" s="60">
        <v>1</v>
      </c>
      <c r="E1897" s="40">
        <v>8</v>
      </c>
      <c r="F1897" s="40"/>
      <c r="G1897" s="40"/>
      <c r="H1897" s="40">
        <f t="shared" si="137"/>
        <v>8</v>
      </c>
      <c r="I1897" s="40"/>
      <c r="J1897" s="41"/>
    </row>
    <row r="1898" spans="2:10" s="414" customFormat="1" ht="12.75" x14ac:dyDescent="0.2">
      <c r="B1898" s="414" t="s">
        <v>880</v>
      </c>
      <c r="C1898" s="39" t="s">
        <v>539</v>
      </c>
      <c r="D1898" s="40"/>
      <c r="E1898" s="40"/>
      <c r="F1898" s="40"/>
      <c r="G1898" s="40"/>
      <c r="H1898" s="40"/>
      <c r="I1898" s="40">
        <f>+H1899</f>
        <v>2</v>
      </c>
      <c r="J1898" s="41" t="s">
        <v>13</v>
      </c>
    </row>
    <row r="1899" spans="2:10" s="1" customFormat="1" ht="12.75" x14ac:dyDescent="0.2">
      <c r="B1899" s="25"/>
      <c r="C1899" s="28" t="s">
        <v>671</v>
      </c>
      <c r="D1899" s="60">
        <v>2</v>
      </c>
      <c r="E1899" s="40"/>
      <c r="F1899" s="40"/>
      <c r="G1899" s="40"/>
      <c r="H1899" s="40">
        <f>+D1899</f>
        <v>2</v>
      </c>
      <c r="I1899" s="40"/>
      <c r="J1899" s="41"/>
    </row>
    <row r="1900" spans="2:10" s="1" customFormat="1" ht="12.75" x14ac:dyDescent="0.2">
      <c r="B1900" s="25"/>
      <c r="C1900" s="39"/>
      <c r="D1900" s="40"/>
      <c r="E1900" s="40"/>
      <c r="F1900" s="40"/>
      <c r="G1900" s="40"/>
      <c r="H1900" s="40"/>
      <c r="I1900" s="40"/>
      <c r="J1900" s="41"/>
    </row>
    <row r="1901" spans="2:10" s="1" customFormat="1" ht="12.75" x14ac:dyDescent="0.2">
      <c r="B1901" s="25"/>
      <c r="C1901" s="59"/>
      <c r="D1901" s="60"/>
      <c r="E1901" s="40"/>
      <c r="F1901" s="40"/>
      <c r="G1901" s="40"/>
      <c r="H1901" s="40"/>
      <c r="I1901" s="40"/>
      <c r="J1901" s="41"/>
    </row>
    <row r="1902" spans="2:10" s="1" customFormat="1" ht="12.75" x14ac:dyDescent="0.2">
      <c r="B1902" s="43" t="s">
        <v>882</v>
      </c>
      <c r="C1902" s="43" t="s">
        <v>505</v>
      </c>
      <c r="D1902" s="60"/>
      <c r="E1902" s="40"/>
      <c r="F1902" s="40"/>
      <c r="G1902" s="40"/>
      <c r="H1902" s="40"/>
      <c r="I1902" s="44">
        <f>SUM(H1903)</f>
        <v>0</v>
      </c>
      <c r="J1902" s="45" t="str">
        <f>+J1903</f>
        <v>und</v>
      </c>
    </row>
    <row r="1903" spans="2:10" s="1" customFormat="1" ht="12.75" x14ac:dyDescent="0.2">
      <c r="B1903" s="57"/>
      <c r="C1903" s="39" t="s">
        <v>555</v>
      </c>
      <c r="D1903" s="40">
        <v>0</v>
      </c>
      <c r="E1903" s="40"/>
      <c r="F1903" s="40"/>
      <c r="G1903" s="40"/>
      <c r="H1903" s="40">
        <f>+D1903</f>
        <v>0</v>
      </c>
      <c r="I1903" s="40"/>
      <c r="J1903" s="41" t="s">
        <v>13</v>
      </c>
    </row>
    <row r="1904" spans="2:10" s="1" customFormat="1" ht="12.75" x14ac:dyDescent="0.2">
      <c r="B1904" s="57"/>
      <c r="C1904" s="39"/>
      <c r="D1904" s="60"/>
      <c r="E1904" s="40"/>
      <c r="F1904" s="40"/>
      <c r="G1904" s="40"/>
      <c r="H1904" s="40"/>
      <c r="I1904" s="40"/>
      <c r="J1904" s="41"/>
    </row>
    <row r="1905" spans="2:10" s="1" customFormat="1" ht="12.75" x14ac:dyDescent="0.2">
      <c r="B1905" s="57" t="s">
        <v>887</v>
      </c>
      <c r="C1905" s="91" t="s">
        <v>543</v>
      </c>
      <c r="D1905" s="60"/>
      <c r="E1905" s="40"/>
      <c r="F1905" s="40"/>
      <c r="G1905" s="40"/>
      <c r="H1905" s="40"/>
      <c r="I1905" s="40">
        <f>SUM(H1906:H1908)</f>
        <v>18</v>
      </c>
      <c r="J1905" s="41" t="str">
        <f>+J1906</f>
        <v>und</v>
      </c>
    </row>
    <row r="1906" spans="2:10" s="414" customFormat="1" ht="12.75" x14ac:dyDescent="0.2">
      <c r="B1906" s="25"/>
      <c r="C1906" s="28" t="s">
        <v>520</v>
      </c>
      <c r="D1906" s="60">
        <v>1</v>
      </c>
      <c r="E1906" s="40"/>
      <c r="F1906" s="40"/>
      <c r="G1906" s="40"/>
      <c r="H1906" s="40">
        <f>+D1906</f>
        <v>1</v>
      </c>
      <c r="I1906" s="40"/>
      <c r="J1906" s="41" t="s">
        <v>13</v>
      </c>
    </row>
    <row r="1907" spans="2:10" s="414" customFormat="1" ht="12.75" x14ac:dyDescent="0.2">
      <c r="C1907" s="39" t="s">
        <v>675</v>
      </c>
      <c r="D1907" s="40">
        <v>11</v>
      </c>
      <c r="E1907" s="40"/>
      <c r="F1907" s="40"/>
      <c r="G1907" s="40"/>
      <c r="H1907" s="40">
        <f>+D1907</f>
        <v>11</v>
      </c>
      <c r="I1907" s="40"/>
      <c r="J1907" s="41"/>
    </row>
    <row r="1908" spans="2:10" s="1" customFormat="1" ht="12.75" x14ac:dyDescent="0.2">
      <c r="B1908" s="25"/>
      <c r="C1908" s="28" t="s">
        <v>674</v>
      </c>
      <c r="D1908" s="60">
        <v>6</v>
      </c>
      <c r="E1908" s="40"/>
      <c r="F1908" s="40"/>
      <c r="G1908" s="40"/>
      <c r="H1908" s="40">
        <f>+D1908</f>
        <v>6</v>
      </c>
      <c r="I1908" s="40"/>
      <c r="J1908" s="41"/>
    </row>
    <row r="1909" spans="2:10" s="1" customFormat="1" ht="12.75" x14ac:dyDescent="0.2">
      <c r="B1909" s="25"/>
      <c r="C1909" s="39"/>
      <c r="D1909" s="40"/>
      <c r="E1909" s="40"/>
      <c r="F1909" s="40"/>
      <c r="G1909" s="40"/>
      <c r="H1909" s="40"/>
      <c r="I1909" s="40"/>
      <c r="J1909" s="41"/>
    </row>
    <row r="1910" spans="2:10" s="1" customFormat="1" ht="12.75" x14ac:dyDescent="0.2">
      <c r="B1910" s="25" t="s">
        <v>891</v>
      </c>
      <c r="C1910" s="59" t="s">
        <v>547</v>
      </c>
      <c r="D1910" s="60"/>
      <c r="E1910" s="40"/>
      <c r="F1910" s="40"/>
      <c r="G1910" s="40"/>
      <c r="H1910" s="40"/>
      <c r="I1910" s="40">
        <f>SUM(H1911)</f>
        <v>1</v>
      </c>
      <c r="J1910" s="41" t="str">
        <f>+J1911</f>
        <v>und</v>
      </c>
    </row>
    <row r="1911" spans="2:10" s="1" customFormat="1" ht="12.75" x14ac:dyDescent="0.2">
      <c r="B1911" s="43"/>
      <c r="C1911" s="43" t="s">
        <v>518</v>
      </c>
      <c r="D1911" s="60">
        <v>1</v>
      </c>
      <c r="E1911" s="40"/>
      <c r="F1911" s="40"/>
      <c r="G1911" s="40"/>
      <c r="H1911" s="40">
        <f>+D1911</f>
        <v>1</v>
      </c>
      <c r="I1911" s="44"/>
      <c r="J1911" s="45" t="s">
        <v>13</v>
      </c>
    </row>
    <row r="1912" spans="2:10" s="1" customFormat="1" ht="12.75" x14ac:dyDescent="0.2">
      <c r="B1912" s="57"/>
      <c r="C1912" s="39"/>
      <c r="D1912" s="40"/>
      <c r="E1912" s="40"/>
      <c r="F1912" s="40"/>
      <c r="G1912" s="40"/>
      <c r="H1912" s="40"/>
      <c r="I1912" s="40"/>
      <c r="J1912" s="41"/>
    </row>
    <row r="1913" spans="2:10" s="1" customFormat="1" ht="12.75" x14ac:dyDescent="0.2">
      <c r="B1913" s="57"/>
      <c r="C1913" s="39"/>
      <c r="D1913" s="60"/>
      <c r="E1913" s="40"/>
      <c r="F1913" s="40"/>
      <c r="G1913" s="40"/>
      <c r="H1913" s="40"/>
      <c r="I1913" s="40"/>
      <c r="J1913" s="41"/>
    </row>
    <row r="1914" spans="2:10" s="1" customFormat="1" ht="12.75" x14ac:dyDescent="0.2">
      <c r="B1914" s="57"/>
      <c r="C1914" s="91"/>
      <c r="D1914" s="60"/>
      <c r="E1914" s="40"/>
      <c r="F1914" s="40"/>
      <c r="G1914" s="40"/>
      <c r="H1914" s="40"/>
      <c r="I1914" s="40"/>
      <c r="J1914" s="41"/>
    </row>
    <row r="1915" spans="2:10" s="414" customFormat="1" ht="12.75" x14ac:dyDescent="0.2">
      <c r="B1915" s="25"/>
      <c r="C1915" s="28"/>
      <c r="D1915" s="60"/>
      <c r="E1915" s="40"/>
      <c r="F1915" s="40"/>
      <c r="G1915" s="40"/>
      <c r="H1915" s="40"/>
      <c r="I1915" s="40"/>
      <c r="J1915" s="41"/>
    </row>
    <row r="1916" spans="2:10" s="414" customFormat="1" ht="12.75" x14ac:dyDescent="0.2">
      <c r="C1916" s="39"/>
      <c r="D1916" s="40"/>
      <c r="E1916" s="40"/>
      <c r="F1916" s="40"/>
      <c r="G1916" s="40"/>
      <c r="H1916" s="40"/>
      <c r="I1916" s="40"/>
      <c r="J1916" s="41"/>
    </row>
    <row r="1917" spans="2:10" s="1" customFormat="1" ht="12.75" x14ac:dyDescent="0.2">
      <c r="B1917" s="25"/>
      <c r="C1917" s="28"/>
      <c r="D1917" s="60"/>
      <c r="E1917" s="40"/>
      <c r="F1917" s="40"/>
      <c r="G1917" s="40"/>
      <c r="H1917" s="40"/>
      <c r="I1917" s="40"/>
      <c r="J1917" s="41"/>
    </row>
    <row r="1918" spans="2:10" s="1" customFormat="1" ht="12.75" x14ac:dyDescent="0.2">
      <c r="B1918" s="25"/>
      <c r="C1918" s="39"/>
      <c r="D1918" s="40"/>
      <c r="E1918" s="40"/>
      <c r="F1918" s="40"/>
      <c r="G1918" s="40"/>
      <c r="H1918" s="40"/>
      <c r="I1918" s="40"/>
      <c r="J1918" s="41"/>
    </row>
    <row r="1919" spans="2:10" s="1" customFormat="1" ht="12.75" x14ac:dyDescent="0.2">
      <c r="B1919" s="25"/>
      <c r="C1919" s="59"/>
      <c r="D1919" s="60"/>
      <c r="E1919" s="40"/>
      <c r="F1919" s="40"/>
      <c r="G1919" s="40"/>
      <c r="H1919" s="40"/>
      <c r="I1919" s="40"/>
      <c r="J1919" s="41"/>
    </row>
    <row r="1920" spans="2:10" s="1" customFormat="1" ht="12.75" x14ac:dyDescent="0.2">
      <c r="B1920" s="43"/>
      <c r="C1920" s="43"/>
      <c r="D1920" s="60"/>
      <c r="E1920" s="40"/>
      <c r="F1920" s="40"/>
      <c r="G1920" s="40"/>
      <c r="H1920" s="40"/>
      <c r="I1920" s="44"/>
      <c r="J1920" s="45"/>
    </row>
    <row r="1921" spans="2:10" s="1" customFormat="1" ht="12.75" x14ac:dyDescent="0.2">
      <c r="B1921" s="57"/>
      <c r="C1921" s="39"/>
      <c r="D1921" s="40"/>
      <c r="E1921" s="40"/>
      <c r="F1921" s="40"/>
      <c r="G1921" s="40"/>
      <c r="H1921" s="40"/>
      <c r="I1921" s="40"/>
      <c r="J1921" s="41"/>
    </row>
    <row r="1922" spans="2:10" s="1" customFormat="1" ht="12.75" x14ac:dyDescent="0.2">
      <c r="B1922" s="57"/>
      <c r="C1922" s="39"/>
      <c r="D1922" s="60"/>
      <c r="E1922" s="40"/>
      <c r="F1922" s="40"/>
      <c r="G1922" s="40"/>
      <c r="H1922" s="40"/>
      <c r="I1922" s="40"/>
      <c r="J1922" s="41"/>
    </row>
  </sheetData>
  <mergeCells count="55">
    <mergeCell ref="C804:H804"/>
    <mergeCell ref="C410:H410"/>
    <mergeCell ref="B105:J105"/>
    <mergeCell ref="B106:J106"/>
    <mergeCell ref="B108:J108"/>
    <mergeCell ref="H109:I109"/>
    <mergeCell ref="C268:H268"/>
    <mergeCell ref="C269:H269"/>
    <mergeCell ref="B276:J276"/>
    <mergeCell ref="H277:I277"/>
    <mergeCell ref="C270:H270"/>
    <mergeCell ref="C271:H271"/>
    <mergeCell ref="C407:H407"/>
    <mergeCell ref="C408:H408"/>
    <mergeCell ref="C409:H409"/>
    <mergeCell ref="C103:H103"/>
    <mergeCell ref="C1:H1"/>
    <mergeCell ref="C2:H2"/>
    <mergeCell ref="C3:H3"/>
    <mergeCell ref="C4:H4"/>
    <mergeCell ref="B6:J6"/>
    <mergeCell ref="B8:J8"/>
    <mergeCell ref="B10:J10"/>
    <mergeCell ref="H11:I11"/>
    <mergeCell ref="C100:H100"/>
    <mergeCell ref="C101:H101"/>
    <mergeCell ref="C102:H102"/>
    <mergeCell ref="H812:I812"/>
    <mergeCell ref="H1005:I1005"/>
    <mergeCell ref="B1171:J1171"/>
    <mergeCell ref="H1172:I1172"/>
    <mergeCell ref="B415:J415"/>
    <mergeCell ref="H416:I416"/>
    <mergeCell ref="B536:J536"/>
    <mergeCell ref="H537:I537"/>
    <mergeCell ref="B811:J811"/>
    <mergeCell ref="C805:H805"/>
    <mergeCell ref="C806:H806"/>
    <mergeCell ref="C528:H528"/>
    <mergeCell ref="C529:H529"/>
    <mergeCell ref="C530:H530"/>
    <mergeCell ref="C531:H531"/>
    <mergeCell ref="C803:H803"/>
    <mergeCell ref="B1260:J1260"/>
    <mergeCell ref="H1261:I1261"/>
    <mergeCell ref="B1346:J1346"/>
    <mergeCell ref="H1347:I1347"/>
    <mergeCell ref="B1434:J1434"/>
    <mergeCell ref="B1754:J1754"/>
    <mergeCell ref="H1755:I1755"/>
    <mergeCell ref="H1435:I1435"/>
    <mergeCell ref="B1540:J1540"/>
    <mergeCell ref="H1541:I1541"/>
    <mergeCell ref="B1664:J1664"/>
    <mergeCell ref="H1665:I1665"/>
  </mergeCells>
  <pageMargins left="0.70866141732283472" right="0.70866141732283472" top="0.74803149606299213" bottom="0.74803149606299213" header="0.31496062992125984" footer="0.31496062992125984"/>
  <pageSetup paperSize="9" scale="52" fitToWidth="0" fitToHeight="0" orientation="portrait" r:id="rId1"/>
  <rowBreaks count="4" manualBreakCount="4">
    <brk id="98" min="1" max="9" man="1"/>
    <brk id="208" min="1" max="9" man="1"/>
    <brk id="266" min="1" max="9" man="1"/>
    <brk id="1104" min="1" max="9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9DC5C-08B6-4331-A0B2-DB8F47C855DA}">
  <sheetPr>
    <tabColor theme="9" tint="0.39997558519241921"/>
  </sheetPr>
  <dimension ref="B1:AJ49"/>
  <sheetViews>
    <sheetView view="pageBreakPreview" topLeftCell="A13" zoomScale="60" zoomScaleNormal="100" workbookViewId="0">
      <selection activeCell="C33" sqref="C33"/>
    </sheetView>
    <sheetView tabSelected="1" view="pageBreakPreview" topLeftCell="A13" zoomScale="60" zoomScaleNormal="100" workbookViewId="1">
      <selection activeCell="H29" sqref="H29"/>
    </sheetView>
  </sheetViews>
  <sheetFormatPr baseColWidth="10" defaultRowHeight="15" x14ac:dyDescent="0.25"/>
  <cols>
    <col min="1" max="1" width="2.140625" customWidth="1"/>
    <col min="2" max="2" width="15.7109375" style="1" customWidth="1"/>
    <col min="3" max="3" width="48.7109375" style="1" customWidth="1"/>
    <col min="4" max="4" width="11.42578125" style="1"/>
    <col min="5" max="5" width="8" style="1" customWidth="1"/>
    <col min="6" max="6" width="11.42578125" style="1" hidden="1" customWidth="1"/>
    <col min="7" max="7" width="20.42578125" style="1" hidden="1" customWidth="1"/>
    <col min="8" max="8" width="15.42578125" style="1" customWidth="1"/>
    <col min="9" max="9" width="11.42578125" style="1" customWidth="1"/>
    <col min="10" max="11" width="16.7109375" style="1" customWidth="1"/>
    <col min="12" max="12" width="8.85546875" style="1" customWidth="1"/>
    <col min="27" max="29" width="11.42578125" customWidth="1"/>
    <col min="30" max="30" width="16.5703125" bestFit="1" customWidth="1"/>
  </cols>
  <sheetData>
    <row r="1" spans="2:13" x14ac:dyDescent="0.25">
      <c r="C1" s="499" t="s">
        <v>37</v>
      </c>
      <c r="D1" s="499"/>
      <c r="E1" s="499"/>
      <c r="F1" s="499"/>
      <c r="G1" s="499"/>
      <c r="H1" s="499"/>
      <c r="I1" s="400"/>
    </row>
    <row r="2" spans="2:13" x14ac:dyDescent="0.25">
      <c r="C2" s="499" t="s">
        <v>38</v>
      </c>
      <c r="D2" s="499"/>
      <c r="E2" s="499"/>
      <c r="F2" s="499"/>
      <c r="G2" s="499"/>
      <c r="H2" s="499"/>
      <c r="I2" s="400"/>
    </row>
    <row r="3" spans="2:13" x14ac:dyDescent="0.25">
      <c r="C3" s="499" t="s">
        <v>39</v>
      </c>
      <c r="D3" s="499"/>
      <c r="E3" s="499"/>
      <c r="F3" s="499"/>
      <c r="G3" s="499"/>
      <c r="H3" s="499"/>
      <c r="I3" s="400"/>
    </row>
    <row r="4" spans="2:13" x14ac:dyDescent="0.25">
      <c r="C4" s="500" t="s">
        <v>40</v>
      </c>
      <c r="D4" s="500"/>
      <c r="E4" s="500"/>
      <c r="F4" s="500"/>
      <c r="G4" s="500"/>
      <c r="H4" s="500"/>
      <c r="I4" s="401"/>
    </row>
    <row r="5" spans="2:13" x14ac:dyDescent="0.25">
      <c r="C5" s="401"/>
      <c r="D5" s="401"/>
      <c r="E5" s="401"/>
      <c r="F5" s="401"/>
      <c r="G5" s="401"/>
      <c r="H5" s="401"/>
      <c r="I5" s="401"/>
    </row>
    <row r="6" spans="2:13" x14ac:dyDescent="0.25">
      <c r="B6" s="538" t="s">
        <v>28</v>
      </c>
      <c r="C6" s="539"/>
      <c r="D6" s="539"/>
      <c r="E6" s="539"/>
      <c r="F6" s="539"/>
      <c r="G6" s="539"/>
      <c r="H6" s="539"/>
      <c r="I6" s="539"/>
      <c r="J6" s="539"/>
      <c r="K6" s="539"/>
      <c r="L6" s="540"/>
    </row>
    <row r="8" spans="2:13" x14ac:dyDescent="0.25">
      <c r="B8" s="541" t="s">
        <v>275</v>
      </c>
      <c r="C8" s="541"/>
      <c r="D8" s="541"/>
      <c r="E8" s="541"/>
      <c r="F8" s="541"/>
      <c r="G8" s="541"/>
      <c r="H8" s="541"/>
      <c r="I8" s="541"/>
      <c r="J8" s="541"/>
      <c r="K8" s="541"/>
      <c r="L8" s="541"/>
    </row>
    <row r="9" spans="2:13" ht="15.75" thickBot="1" x14ac:dyDescent="0.3">
      <c r="B9" s="405"/>
      <c r="C9" s="405"/>
      <c r="D9" s="405"/>
      <c r="E9" s="405"/>
      <c r="F9" s="405"/>
      <c r="G9" s="405"/>
      <c r="H9" s="405"/>
      <c r="I9" s="405"/>
      <c r="J9" s="405"/>
      <c r="K9" s="405"/>
      <c r="L9" s="405"/>
    </row>
    <row r="10" spans="2:13" ht="31.5" customHeight="1" x14ac:dyDescent="0.25">
      <c r="B10" s="494" t="s">
        <v>27</v>
      </c>
      <c r="C10" s="495"/>
      <c r="D10" s="495"/>
      <c r="E10" s="495"/>
      <c r="F10" s="495"/>
      <c r="G10" s="495"/>
      <c r="H10" s="495"/>
      <c r="I10" s="495"/>
      <c r="J10" s="495"/>
      <c r="K10" s="495"/>
      <c r="L10" s="496"/>
    </row>
    <row r="11" spans="2:13" x14ac:dyDescent="0.25">
      <c r="B11" s="2" t="s">
        <v>35</v>
      </c>
      <c r="C11" s="3" t="s">
        <v>36</v>
      </c>
      <c r="D11" s="3"/>
      <c r="E11" s="4"/>
      <c r="F11" s="5"/>
      <c r="G11" s="6" t="s">
        <v>8</v>
      </c>
      <c r="H11" s="497">
        <v>42887</v>
      </c>
      <c r="I11" s="497"/>
      <c r="J11" s="497"/>
      <c r="K11" s="399"/>
      <c r="L11" s="7"/>
    </row>
    <row r="12" spans="2:13" x14ac:dyDescent="0.25">
      <c r="B12" s="2" t="s">
        <v>33</v>
      </c>
      <c r="C12" s="3" t="s">
        <v>29</v>
      </c>
      <c r="D12" s="8"/>
      <c r="E12" s="8"/>
      <c r="F12" s="3"/>
      <c r="G12" s="9" t="s">
        <v>32</v>
      </c>
      <c r="H12" s="4" t="s">
        <v>29</v>
      </c>
      <c r="I12" s="4"/>
      <c r="J12" s="10"/>
      <c r="K12" s="10"/>
      <c r="L12" s="11"/>
    </row>
    <row r="13" spans="2:13" x14ac:dyDescent="0.25">
      <c r="B13" s="2" t="s">
        <v>34</v>
      </c>
      <c r="C13" s="3" t="s">
        <v>29</v>
      </c>
      <c r="D13" s="8"/>
      <c r="E13" s="8"/>
      <c r="F13" s="3"/>
      <c r="G13" s="9" t="s">
        <v>30</v>
      </c>
      <c r="H13" s="4" t="s">
        <v>31</v>
      </c>
      <c r="I13" s="4"/>
      <c r="J13" s="10"/>
      <c r="K13" s="10"/>
      <c r="L13" s="11"/>
    </row>
    <row r="14" spans="2:13" ht="15.75" thickBot="1" x14ac:dyDescent="0.3">
      <c r="B14" s="12" t="s">
        <v>43</v>
      </c>
      <c r="C14" s="13" t="s">
        <v>44</v>
      </c>
      <c r="D14" s="14"/>
      <c r="E14" s="14"/>
      <c r="F14" s="13"/>
      <c r="G14" s="15" t="s">
        <v>41</v>
      </c>
      <c r="H14" s="16" t="s">
        <v>42</v>
      </c>
      <c r="I14" s="16"/>
      <c r="J14" s="17"/>
      <c r="K14" s="17"/>
      <c r="L14" s="18"/>
    </row>
    <row r="15" spans="2:13" x14ac:dyDescent="0.25">
      <c r="B15" s="19"/>
      <c r="C15" s="3"/>
      <c r="D15" s="8"/>
      <c r="E15" s="8"/>
      <c r="F15" s="3"/>
      <c r="G15" s="9"/>
      <c r="H15" s="4"/>
      <c r="I15" s="4"/>
      <c r="J15" s="10"/>
      <c r="K15" s="10"/>
      <c r="L15" s="20"/>
    </row>
    <row r="16" spans="2:13" ht="25.5" x14ac:dyDescent="0.25">
      <c r="B16" s="47" t="s">
        <v>5</v>
      </c>
      <c r="C16" s="48" t="s">
        <v>0</v>
      </c>
      <c r="D16" s="49"/>
      <c r="E16" s="49"/>
      <c r="F16" s="49"/>
      <c r="G16" s="49"/>
      <c r="H16" s="50"/>
      <c r="I16" s="429" t="s">
        <v>906</v>
      </c>
      <c r="J16" s="428" t="s">
        <v>907</v>
      </c>
      <c r="K16" s="428" t="s">
        <v>909</v>
      </c>
      <c r="L16" s="51" t="s">
        <v>7</v>
      </c>
      <c r="M16" t="s">
        <v>552</v>
      </c>
    </row>
    <row r="17" spans="2:23" x14ac:dyDescent="0.25">
      <c r="B17" s="71">
        <v>4</v>
      </c>
      <c r="C17" s="72" t="s">
        <v>66</v>
      </c>
      <c r="D17" s="23"/>
      <c r="E17" s="23"/>
      <c r="F17" s="23"/>
      <c r="G17" s="23"/>
      <c r="H17" s="24"/>
      <c r="I17" s="24"/>
      <c r="J17" s="25"/>
      <c r="K17" s="25"/>
      <c r="L17" s="26"/>
    </row>
    <row r="18" spans="2:23" x14ac:dyDescent="0.25">
      <c r="B18" s="71">
        <f>+MET_DED!B18</f>
        <v>4.03</v>
      </c>
      <c r="C18" s="72" t="s">
        <v>222</v>
      </c>
      <c r="D18" s="23"/>
      <c r="E18" s="23"/>
      <c r="F18" s="23"/>
      <c r="G18" s="23"/>
      <c r="H18" s="24"/>
      <c r="I18" s="24"/>
      <c r="J18" s="25"/>
      <c r="K18" s="25"/>
      <c r="L18" s="26"/>
    </row>
    <row r="19" spans="2:23" x14ac:dyDescent="0.25">
      <c r="B19" s="73" t="str">
        <f>+MET_DED!B19</f>
        <v>04.03.01</v>
      </c>
      <c r="C19" s="74" t="s">
        <v>225</v>
      </c>
      <c r="D19" s="23"/>
      <c r="E19" s="23"/>
      <c r="F19" s="23"/>
      <c r="G19" s="23"/>
      <c r="H19" s="24"/>
      <c r="I19" s="24"/>
      <c r="J19" s="25"/>
      <c r="K19" s="25"/>
      <c r="L19" s="26"/>
    </row>
    <row r="20" spans="2:23" x14ac:dyDescent="0.25">
      <c r="B20" s="25" t="str">
        <f>+MET_DED!B20</f>
        <v>04.03.01.01</v>
      </c>
      <c r="C20" s="28" t="s">
        <v>269</v>
      </c>
      <c r="D20" s="23"/>
      <c r="E20" s="23"/>
      <c r="F20" s="23"/>
      <c r="G20" s="23"/>
      <c r="H20" s="24"/>
      <c r="I20" s="24">
        <v>510</v>
      </c>
      <c r="J20" s="112">
        <f ca="1">+MET_DED!I20</f>
        <v>459</v>
      </c>
      <c r="K20" s="112">
        <f ca="1">+I20-J20</f>
        <v>51</v>
      </c>
      <c r="L20" s="26" t="s">
        <v>345</v>
      </c>
      <c r="M20">
        <v>510</v>
      </c>
      <c r="N20" s="52">
        <f ca="1">+J20-M20</f>
        <v>-51</v>
      </c>
      <c r="O20" s="374">
        <v>12</v>
      </c>
      <c r="P20">
        <v>498</v>
      </c>
      <c r="Q20" s="377">
        <f ca="1">+-N20-O20</f>
        <v>39</v>
      </c>
    </row>
    <row r="21" spans="2:23" x14ac:dyDescent="0.25">
      <c r="B21" s="25" t="str">
        <f>+MET_DED!B21</f>
        <v>04.03.01.02</v>
      </c>
      <c r="C21" s="28" t="s">
        <v>348</v>
      </c>
      <c r="D21" s="23"/>
      <c r="E21" s="23"/>
      <c r="F21" s="23"/>
      <c r="G21" s="23"/>
      <c r="H21" s="24"/>
      <c r="I21" s="24">
        <v>81</v>
      </c>
      <c r="J21" s="25">
        <f ca="1">+MET_DED!I21</f>
        <v>46</v>
      </c>
      <c r="K21" s="25">
        <f ca="1">+I21-J21</f>
        <v>35</v>
      </c>
      <c r="L21" s="26" t="s">
        <v>13</v>
      </c>
      <c r="M21">
        <v>81</v>
      </c>
      <c r="N21" s="52">
        <f ca="1">+J21-M21</f>
        <v>-35</v>
      </c>
      <c r="O21" s="374">
        <v>2</v>
      </c>
      <c r="P21">
        <v>79</v>
      </c>
      <c r="Q21" s="377">
        <f ca="1">+-N21-O21</f>
        <v>33</v>
      </c>
    </row>
    <row r="22" spans="2:23" x14ac:dyDescent="0.25">
      <c r="J22" s="25"/>
      <c r="K22" s="25"/>
    </row>
    <row r="23" spans="2:23" x14ac:dyDescent="0.25">
      <c r="B23" s="73" t="str">
        <f>+MET_DED!B23</f>
        <v>04.03.02</v>
      </c>
      <c r="C23" s="74" t="s">
        <v>224</v>
      </c>
      <c r="D23" s="23"/>
      <c r="E23" s="23"/>
      <c r="F23" s="23"/>
      <c r="G23" s="23"/>
      <c r="H23" s="24"/>
      <c r="I23" s="24"/>
      <c r="J23" s="25"/>
      <c r="K23" s="25"/>
      <c r="L23" s="26"/>
      <c r="N23" s="52"/>
    </row>
    <row r="24" spans="2:23" x14ac:dyDescent="0.25">
      <c r="B24" s="25" t="str">
        <f>+MET_DED!B24</f>
        <v>04.03.02.01</v>
      </c>
      <c r="C24" s="28" t="s">
        <v>343</v>
      </c>
      <c r="D24" s="23"/>
      <c r="E24" s="23"/>
      <c r="F24" s="23"/>
      <c r="G24" s="23"/>
      <c r="H24" s="24"/>
      <c r="I24" s="24">
        <v>91.5</v>
      </c>
      <c r="J24" s="25">
        <f>+MET_DED!I24</f>
        <v>0</v>
      </c>
      <c r="K24" s="25">
        <f t="shared" ref="K24" si="0">+I24-J24</f>
        <v>91.5</v>
      </c>
      <c r="L24" s="26" t="s">
        <v>345</v>
      </c>
      <c r="M24">
        <v>91.5</v>
      </c>
      <c r="N24" s="52">
        <f t="shared" ref="N24" si="1">+J24-M24</f>
        <v>-91.5</v>
      </c>
      <c r="O24">
        <v>0</v>
      </c>
      <c r="P24">
        <v>91.5</v>
      </c>
      <c r="Q24" s="52">
        <f t="shared" ref="Q24" si="2">+-N24-O24</f>
        <v>91.5</v>
      </c>
    </row>
    <row r="25" spans="2:23" x14ac:dyDescent="0.25">
      <c r="B25" s="25" t="str">
        <f>+MET_DED!B25</f>
        <v>04.03.02.02</v>
      </c>
      <c r="C25" s="28" t="s">
        <v>237</v>
      </c>
      <c r="D25" s="23"/>
      <c r="E25" s="23"/>
      <c r="F25" s="23"/>
      <c r="G25" s="23"/>
      <c r="H25" s="24"/>
      <c r="I25" s="24">
        <v>178.6</v>
      </c>
      <c r="J25" s="112">
        <f ca="1">+MET_DED!I25</f>
        <v>71.5</v>
      </c>
      <c r="K25" s="112">
        <f t="shared" ref="K25:K34" ca="1" si="3">+I25-J25</f>
        <v>107.1</v>
      </c>
      <c r="L25" s="26" t="s">
        <v>345</v>
      </c>
      <c r="M25">
        <v>178.6</v>
      </c>
      <c r="N25" s="52">
        <f t="shared" ref="N25:N34" ca="1" si="4">+J25-M25</f>
        <v>-107.1</v>
      </c>
      <c r="O25" s="374">
        <v>39.799999999999997</v>
      </c>
      <c r="P25">
        <v>138.80000000000001</v>
      </c>
      <c r="Q25" s="377">
        <f t="shared" ref="Q25:Q34" ca="1" si="5">+-N25-O25</f>
        <v>67.3</v>
      </c>
    </row>
    <row r="26" spans="2:23" x14ac:dyDescent="0.25">
      <c r="B26" s="25" t="str">
        <f>+MET_DED!B26</f>
        <v>04.03.02.03</v>
      </c>
      <c r="C26" s="28" t="s">
        <v>242</v>
      </c>
      <c r="D26" s="23"/>
      <c r="E26" s="23"/>
      <c r="F26" s="23"/>
      <c r="G26" s="23"/>
      <c r="H26" s="24"/>
      <c r="I26" s="24">
        <v>7.55</v>
      </c>
      <c r="J26" s="25">
        <f ca="1">+MET_DED!I26</f>
        <v>0</v>
      </c>
      <c r="K26" s="25">
        <f t="shared" ca="1" si="3"/>
        <v>7.55</v>
      </c>
      <c r="L26" s="26" t="s">
        <v>345</v>
      </c>
      <c r="M26">
        <v>7.55</v>
      </c>
      <c r="N26" s="52">
        <f t="shared" ca="1" si="4"/>
        <v>-7.55</v>
      </c>
      <c r="O26">
        <v>0</v>
      </c>
      <c r="P26">
        <v>7.55</v>
      </c>
      <c r="Q26" s="52">
        <f t="shared" ca="1" si="5"/>
        <v>7.55</v>
      </c>
    </row>
    <row r="27" spans="2:23" x14ac:dyDescent="0.25">
      <c r="B27" s="25" t="str">
        <f>+MET_DED!B27</f>
        <v>04.03.02.04</v>
      </c>
      <c r="C27" s="28" t="s">
        <v>245</v>
      </c>
      <c r="D27" s="23"/>
      <c r="E27" s="23"/>
      <c r="F27" s="23"/>
      <c r="G27" s="23"/>
      <c r="H27" s="24"/>
      <c r="I27" s="24">
        <v>158</v>
      </c>
      <c r="J27" s="25">
        <f ca="1">+MET_DED!I27</f>
        <v>69.8</v>
      </c>
      <c r="K27" s="25">
        <f t="shared" ca="1" si="3"/>
        <v>88.2</v>
      </c>
      <c r="L27" s="26" t="s">
        <v>345</v>
      </c>
      <c r="M27">
        <v>158</v>
      </c>
      <c r="N27" s="52">
        <f t="shared" ca="1" si="4"/>
        <v>-88.2</v>
      </c>
      <c r="O27">
        <v>0</v>
      </c>
      <c r="P27">
        <v>158</v>
      </c>
      <c r="Q27" s="52">
        <f t="shared" ca="1" si="5"/>
        <v>88.2</v>
      </c>
      <c r="W27" t="s">
        <v>650</v>
      </c>
    </row>
    <row r="28" spans="2:23" x14ac:dyDescent="0.25">
      <c r="B28" s="25" t="str">
        <f>+MET_DED!B28</f>
        <v>04.03.02.05</v>
      </c>
      <c r="C28" s="110" t="s">
        <v>247</v>
      </c>
      <c r="D28" s="23"/>
      <c r="E28" s="23"/>
      <c r="F28" s="23"/>
      <c r="G28" s="23"/>
      <c r="H28" s="24"/>
      <c r="I28" s="24">
        <v>7.55</v>
      </c>
      <c r="J28" s="25">
        <f ca="1">+MET_DED!I28</f>
        <v>0</v>
      </c>
      <c r="K28" s="25">
        <f t="shared" ca="1" si="3"/>
        <v>7.55</v>
      </c>
      <c r="L28" s="26" t="s">
        <v>345</v>
      </c>
      <c r="M28">
        <v>7.55</v>
      </c>
      <c r="N28" s="52">
        <f t="shared" ca="1" si="4"/>
        <v>-7.55</v>
      </c>
      <c r="O28" s="1">
        <v>0</v>
      </c>
      <c r="P28">
        <v>7.55</v>
      </c>
      <c r="Q28" s="52">
        <f t="shared" ca="1" si="5"/>
        <v>7.55</v>
      </c>
    </row>
    <row r="29" spans="2:23" x14ac:dyDescent="0.25">
      <c r="B29" s="25" t="str">
        <f>+MET_DED!B29</f>
        <v>04.03.02.06</v>
      </c>
      <c r="C29" s="28" t="s">
        <v>226</v>
      </c>
      <c r="D29" s="23"/>
      <c r="E29" s="23"/>
      <c r="F29" s="23"/>
      <c r="G29" s="23"/>
      <c r="H29" s="24"/>
      <c r="I29" s="24">
        <v>20.6</v>
      </c>
      <c r="J29" s="25">
        <f ca="1">+MET_DED!I29</f>
        <v>4.9000000000000004</v>
      </c>
      <c r="K29" s="25">
        <f t="shared" ca="1" si="3"/>
        <v>15.700000000000001</v>
      </c>
      <c r="L29" s="26" t="s">
        <v>345</v>
      </c>
      <c r="M29">
        <v>20.6</v>
      </c>
      <c r="N29" s="52">
        <f t="shared" ca="1" si="4"/>
        <v>-15.700000000000001</v>
      </c>
      <c r="O29">
        <v>0</v>
      </c>
      <c r="P29">
        <v>20.6</v>
      </c>
      <c r="Q29" s="52">
        <f t="shared" ca="1" si="5"/>
        <v>15.700000000000001</v>
      </c>
      <c r="S29" s="348">
        <v>2.5399999999999999E-2</v>
      </c>
    </row>
    <row r="30" spans="2:23" x14ac:dyDescent="0.25">
      <c r="B30" s="25" t="str">
        <f>+MET_DED!B30</f>
        <v>04.03.02.07</v>
      </c>
      <c r="C30" s="28" t="s">
        <v>705</v>
      </c>
      <c r="D30" s="23"/>
      <c r="E30" s="23"/>
      <c r="F30" s="23"/>
      <c r="G30" s="23"/>
      <c r="H30" s="24"/>
      <c r="I30" s="24">
        <v>53.15</v>
      </c>
      <c r="J30" s="112">
        <f ca="1">+MET_DED!I30</f>
        <v>37.21</v>
      </c>
      <c r="K30" s="112">
        <f t="shared" ca="1" si="3"/>
        <v>15.939999999999998</v>
      </c>
      <c r="L30" s="26" t="s">
        <v>345</v>
      </c>
      <c r="M30" s="129">
        <v>53.15</v>
      </c>
      <c r="N30" s="52">
        <f t="shared" ca="1" si="4"/>
        <v>-15.939999999999998</v>
      </c>
      <c r="O30" s="374">
        <v>9</v>
      </c>
      <c r="P30">
        <v>44.15</v>
      </c>
      <c r="Q30" s="377">
        <f t="shared" ca="1" si="5"/>
        <v>6.9399999999999977</v>
      </c>
      <c r="S30" s="52">
        <f ca="1">+J30</f>
        <v>37.21</v>
      </c>
      <c r="T30">
        <v>8</v>
      </c>
      <c r="U30">
        <f ca="1">+S30*T30*$S$29</f>
        <v>7.5610720000000002</v>
      </c>
    </row>
    <row r="31" spans="2:23" x14ac:dyDescent="0.25">
      <c r="B31" s="25" t="str">
        <f>+MET_DED!B31</f>
        <v>04.03.02.08</v>
      </c>
      <c r="C31" s="28" t="s">
        <v>250</v>
      </c>
      <c r="D31" s="23"/>
      <c r="E31" s="23"/>
      <c r="F31" s="23"/>
      <c r="G31" s="23"/>
      <c r="H31" s="24"/>
      <c r="I31" s="24">
        <v>92.149999999999991</v>
      </c>
      <c r="J31" s="25">
        <f ca="1">+MET_DED!I31</f>
        <v>71.930000000000007</v>
      </c>
      <c r="K31" s="25">
        <f t="shared" ca="1" si="3"/>
        <v>20.219999999999985</v>
      </c>
      <c r="L31" s="26" t="s">
        <v>345</v>
      </c>
      <c r="M31">
        <v>92.149999999999991</v>
      </c>
      <c r="N31" s="52">
        <f t="shared" ca="1" si="4"/>
        <v>-20.219999999999985</v>
      </c>
      <c r="O31">
        <v>0</v>
      </c>
      <c r="P31">
        <v>92.15</v>
      </c>
      <c r="Q31" s="52">
        <f t="shared" ca="1" si="5"/>
        <v>20.219999999999985</v>
      </c>
      <c r="S31" s="52">
        <f ca="1">+J31</f>
        <v>71.930000000000007</v>
      </c>
      <c r="T31">
        <v>10</v>
      </c>
      <c r="U31">
        <f ca="1">+S31*T31*$S$29</f>
        <v>18.270220000000002</v>
      </c>
    </row>
    <row r="32" spans="2:23" x14ac:dyDescent="0.25">
      <c r="B32" s="25" t="str">
        <f>+MET_DED!B32</f>
        <v>04.03.02.09</v>
      </c>
      <c r="C32" s="28" t="s">
        <v>252</v>
      </c>
      <c r="D32" s="23"/>
      <c r="E32" s="23"/>
      <c r="F32" s="23"/>
      <c r="G32" s="23"/>
      <c r="H32" s="24"/>
      <c r="I32" s="24">
        <v>126.99000000000001</v>
      </c>
      <c r="J32" s="25">
        <f ca="1">+MET_DED!I32</f>
        <v>92</v>
      </c>
      <c r="K32" s="25">
        <f t="shared" ca="1" si="3"/>
        <v>34.990000000000009</v>
      </c>
      <c r="L32" s="26" t="s">
        <v>345</v>
      </c>
      <c r="M32">
        <v>126.99000000000001</v>
      </c>
      <c r="N32" s="52">
        <f t="shared" ca="1" si="4"/>
        <v>-34.990000000000009</v>
      </c>
      <c r="O32" s="1">
        <v>0</v>
      </c>
      <c r="P32">
        <v>126.99</v>
      </c>
      <c r="Q32" s="52">
        <f t="shared" ca="1" si="5"/>
        <v>34.990000000000009</v>
      </c>
      <c r="S32" s="52">
        <f ca="1">+J32</f>
        <v>92</v>
      </c>
      <c r="T32">
        <v>14</v>
      </c>
      <c r="U32">
        <f ca="1">+S32*T32*$S$29</f>
        <v>32.715199999999996</v>
      </c>
    </row>
    <row r="33" spans="2:36" s="375" customFormat="1" ht="15.75" customHeight="1" x14ac:dyDescent="0.25">
      <c r="B33" s="43" t="str">
        <f>+MET_DED!B33</f>
        <v>04.03.02.10</v>
      </c>
      <c r="C33" s="43" t="s">
        <v>253</v>
      </c>
      <c r="D33" s="23"/>
      <c r="E33" s="23"/>
      <c r="F33" s="23"/>
      <c r="G33" s="23"/>
      <c r="H33" s="24"/>
      <c r="I33" s="24">
        <v>7</v>
      </c>
      <c r="J33" s="112">
        <f ca="1">+MET_DED!I33</f>
        <v>0</v>
      </c>
      <c r="K33" s="112">
        <f t="shared" ca="1" si="3"/>
        <v>7</v>
      </c>
      <c r="L33" s="26" t="s">
        <v>13</v>
      </c>
      <c r="M33" s="375">
        <v>9</v>
      </c>
      <c r="N33" s="378">
        <f t="shared" ca="1" si="4"/>
        <v>-9</v>
      </c>
      <c r="O33" s="375">
        <v>1</v>
      </c>
      <c r="P33" s="375">
        <v>8</v>
      </c>
      <c r="Q33" s="378">
        <f t="shared" ca="1" si="5"/>
        <v>8</v>
      </c>
      <c r="S33" s="378"/>
    </row>
    <row r="34" spans="2:36" s="375" customFormat="1" ht="15.75" customHeight="1" x14ac:dyDescent="0.25">
      <c r="B34" s="43" t="str">
        <f>+MET_DED!B34</f>
        <v>04.03.02.11</v>
      </c>
      <c r="C34" s="43" t="s">
        <v>254</v>
      </c>
      <c r="D34" s="23"/>
      <c r="E34" s="23"/>
      <c r="F34" s="23"/>
      <c r="G34" s="23"/>
      <c r="H34" s="24"/>
      <c r="I34" s="24">
        <v>9</v>
      </c>
      <c r="J34" s="25">
        <f ca="1">+MET_DED!I34</f>
        <v>0</v>
      </c>
      <c r="K34" s="25">
        <f t="shared" ca="1" si="3"/>
        <v>9</v>
      </c>
      <c r="L34" s="26" t="s">
        <v>13</v>
      </c>
      <c r="M34" s="375">
        <v>10</v>
      </c>
      <c r="N34" s="378">
        <f t="shared" ca="1" si="4"/>
        <v>-10</v>
      </c>
      <c r="O34" s="375">
        <v>1</v>
      </c>
      <c r="P34" s="375">
        <v>9</v>
      </c>
      <c r="Q34" s="378">
        <f t="shared" ca="1" si="5"/>
        <v>9</v>
      </c>
      <c r="S34" s="378"/>
    </row>
    <row r="35" spans="2:36" x14ac:dyDescent="0.25">
      <c r="B35" s="107"/>
      <c r="C35" s="343"/>
      <c r="D35" s="23"/>
      <c r="E35" s="23"/>
      <c r="F35" s="23"/>
      <c r="G35" s="23"/>
      <c r="H35" s="24"/>
      <c r="I35" s="24"/>
      <c r="J35" s="25"/>
      <c r="K35" s="25"/>
      <c r="L35" s="26"/>
      <c r="N35" s="52"/>
      <c r="AB35">
        <v>1.4</v>
      </c>
      <c r="AC35">
        <v>1.45</v>
      </c>
    </row>
    <row r="36" spans="2:36" x14ac:dyDescent="0.25">
      <c r="B36" s="73" t="str">
        <f>+MET_DED!B37</f>
        <v>04.03.03</v>
      </c>
      <c r="C36" s="74" t="s">
        <v>223</v>
      </c>
      <c r="D36" s="23"/>
      <c r="E36" s="23"/>
      <c r="F36" s="23"/>
      <c r="G36" s="23"/>
      <c r="H36" s="24"/>
      <c r="I36" s="24"/>
      <c r="J36" s="25"/>
      <c r="K36" s="25"/>
      <c r="L36" s="26"/>
      <c r="N36" s="52"/>
      <c r="AB36">
        <v>2.36</v>
      </c>
      <c r="AC36">
        <v>2.1</v>
      </c>
    </row>
    <row r="37" spans="2:36" x14ac:dyDescent="0.25">
      <c r="B37" s="25" t="str">
        <f>+MET_DED!B38</f>
        <v>04.03.03.01</v>
      </c>
      <c r="C37" s="28" t="s">
        <v>938</v>
      </c>
      <c r="D37" s="23"/>
      <c r="E37" s="23"/>
      <c r="F37" s="23"/>
      <c r="G37" s="23"/>
      <c r="H37" s="24"/>
      <c r="I37" s="24">
        <v>47</v>
      </c>
      <c r="J37" s="548">
        <f ca="1">+MET_DED!I38</f>
        <v>49</v>
      </c>
      <c r="K37" s="548">
        <f ca="1">+I37-J37</f>
        <v>-2</v>
      </c>
      <c r="L37" s="26" t="s">
        <v>13</v>
      </c>
      <c r="M37">
        <v>47</v>
      </c>
      <c r="N37" s="52">
        <f ca="1">+J37-M37</f>
        <v>2</v>
      </c>
      <c r="O37" s="375">
        <v>0</v>
      </c>
      <c r="P37" s="375">
        <v>47</v>
      </c>
      <c r="Q37" s="378">
        <f ca="1">+-N37-O37</f>
        <v>-2</v>
      </c>
      <c r="AB37">
        <v>2.83</v>
      </c>
      <c r="AC37">
        <v>3.66</v>
      </c>
    </row>
    <row r="38" spans="2:36" x14ac:dyDescent="0.25">
      <c r="B38" s="25" t="str">
        <f>+MET_DED!B39</f>
        <v>04.03.03.02</v>
      </c>
      <c r="C38" s="28" t="s">
        <v>266</v>
      </c>
      <c r="D38" s="29"/>
      <c r="E38" s="29"/>
      <c r="F38" s="29"/>
      <c r="G38" s="29"/>
      <c r="H38" s="30"/>
      <c r="I38" s="24">
        <v>664</v>
      </c>
      <c r="J38" s="25">
        <f ca="1">+MET_DED!I39</f>
        <v>648</v>
      </c>
      <c r="K38" s="25">
        <f ca="1">+I38-J38</f>
        <v>16</v>
      </c>
      <c r="L38" s="26" t="s">
        <v>13</v>
      </c>
      <c r="M38">
        <v>664</v>
      </c>
      <c r="N38" s="52">
        <f ca="1">+J38-M38</f>
        <v>-16</v>
      </c>
      <c r="O38">
        <v>0</v>
      </c>
      <c r="P38">
        <v>664</v>
      </c>
      <c r="Q38" s="52">
        <f ca="1">+-N38-O38</f>
        <v>16</v>
      </c>
      <c r="AB38">
        <v>0.4</v>
      </c>
      <c r="AC38">
        <v>0.47</v>
      </c>
      <c r="AE38">
        <v>1.32</v>
      </c>
      <c r="AF38">
        <f>+AE38+0.56</f>
        <v>1.8800000000000001</v>
      </c>
      <c r="AG38">
        <f t="shared" ref="AG38:AG39" si="6">+AE38+0.4</f>
        <v>1.7200000000000002</v>
      </c>
    </row>
    <row r="39" spans="2:36" x14ac:dyDescent="0.25">
      <c r="B39" s="25" t="str">
        <f>+MET_DED!B40</f>
        <v>04.03.03.03</v>
      </c>
      <c r="C39" s="28" t="s">
        <v>357</v>
      </c>
      <c r="D39" s="29"/>
      <c r="E39" s="29"/>
      <c r="F39" s="29"/>
      <c r="G39" s="29"/>
      <c r="H39" s="30"/>
      <c r="I39" s="24">
        <v>46</v>
      </c>
      <c r="J39" s="112">
        <f ca="1">+MET_DED!I40</f>
        <v>43</v>
      </c>
      <c r="K39" s="112">
        <f ca="1">+I39-J39</f>
        <v>3</v>
      </c>
      <c r="L39" s="26" t="s">
        <v>13</v>
      </c>
      <c r="M39">
        <v>46</v>
      </c>
      <c r="N39" s="52">
        <f ca="1">+J39-M39</f>
        <v>-3</v>
      </c>
      <c r="O39">
        <v>0</v>
      </c>
      <c r="P39">
        <v>46</v>
      </c>
      <c r="Q39" s="52">
        <f ca="1">+-N39-O39</f>
        <v>3</v>
      </c>
      <c r="AB39">
        <v>0.95</v>
      </c>
      <c r="AC39">
        <v>0.95</v>
      </c>
      <c r="AE39">
        <v>2.87</v>
      </c>
      <c r="AF39">
        <f>+AE39+0.56</f>
        <v>3.43</v>
      </c>
      <c r="AG39">
        <f t="shared" si="6"/>
        <v>3.27</v>
      </c>
    </row>
    <row r="40" spans="2:36" x14ac:dyDescent="0.25">
      <c r="B40" s="25" t="str">
        <f>+MET_DED!B41</f>
        <v>04.03.03.04</v>
      </c>
      <c r="C40" s="28" t="s">
        <v>263</v>
      </c>
      <c r="D40" s="29"/>
      <c r="E40" s="29"/>
      <c r="F40" s="29"/>
      <c r="G40" s="29"/>
      <c r="H40" s="30"/>
      <c r="I40" s="24">
        <v>9</v>
      </c>
      <c r="J40" s="25">
        <f ca="1">+MET_DED!I41</f>
        <v>1</v>
      </c>
      <c r="K40" s="25">
        <f ca="1">+I40-J40</f>
        <v>8</v>
      </c>
      <c r="L40" s="26" t="s">
        <v>13</v>
      </c>
      <c r="M40">
        <v>9</v>
      </c>
      <c r="N40" s="52">
        <f ca="1">+J40-M40</f>
        <v>-8</v>
      </c>
      <c r="O40">
        <v>0</v>
      </c>
      <c r="P40">
        <v>9</v>
      </c>
      <c r="Q40" s="52">
        <f ca="1">+-N40-O40</f>
        <v>8</v>
      </c>
      <c r="AB40" s="374">
        <f>SUM(AB35:AB39)</f>
        <v>7.94</v>
      </c>
      <c r="AC40" s="374">
        <f>SUM(AC35:AC39)</f>
        <v>8.629999999999999</v>
      </c>
      <c r="AD40" s="374"/>
      <c r="AE40" s="374">
        <f>SUM(AE35:AE39)</f>
        <v>4.1900000000000004</v>
      </c>
      <c r="AF40" s="374">
        <f>SUM(AF35:AF39)</f>
        <v>5.3100000000000005</v>
      </c>
      <c r="AG40" s="374">
        <f>SUM(AG35:AG39)</f>
        <v>4.99</v>
      </c>
    </row>
    <row r="41" spans="2:36" x14ac:dyDescent="0.25">
      <c r="B41" s="32" t="str">
        <f>+MET_DED!B42</f>
        <v>04.03.03.05</v>
      </c>
      <c r="C41" s="33" t="s">
        <v>264</v>
      </c>
      <c r="D41" s="431"/>
      <c r="E41" s="431"/>
      <c r="F41" s="431"/>
      <c r="G41" s="431"/>
      <c r="H41" s="432"/>
      <c r="I41" s="35">
        <v>4</v>
      </c>
      <c r="J41" s="32">
        <f ca="1">+MET_DED!I42</f>
        <v>1</v>
      </c>
      <c r="K41" s="32">
        <f ca="1">+I41-J41</f>
        <v>3</v>
      </c>
      <c r="L41" s="36" t="s">
        <v>13</v>
      </c>
      <c r="M41">
        <v>4</v>
      </c>
      <c r="N41" s="52">
        <f ca="1">+J41-M41</f>
        <v>-3</v>
      </c>
      <c r="O41" s="1">
        <v>0</v>
      </c>
      <c r="P41">
        <v>4</v>
      </c>
      <c r="Q41" s="52">
        <f ca="1">+-N41-O41</f>
        <v>3</v>
      </c>
      <c r="AB41">
        <v>10</v>
      </c>
      <c r="AC41">
        <v>10</v>
      </c>
      <c r="AE41">
        <v>12</v>
      </c>
      <c r="AF41">
        <v>14</v>
      </c>
      <c r="AG41">
        <v>7</v>
      </c>
      <c r="AH41" t="s">
        <v>345</v>
      </c>
      <c r="AI41" t="s">
        <v>682</v>
      </c>
      <c r="AJ41" s="376" t="s">
        <v>806</v>
      </c>
    </row>
    <row r="42" spans="2:36" x14ac:dyDescent="0.25">
      <c r="D42" s="23"/>
      <c r="E42" s="23"/>
      <c r="F42" s="23"/>
      <c r="G42" s="23"/>
      <c r="H42" s="23"/>
      <c r="I42" s="23"/>
      <c r="J42" s="23"/>
      <c r="K42" s="23"/>
      <c r="L42" s="67"/>
      <c r="AA42">
        <v>1</v>
      </c>
      <c r="AB42">
        <v>0.96</v>
      </c>
      <c r="AC42">
        <v>1.3</v>
      </c>
      <c r="AD42">
        <v>0.3</v>
      </c>
      <c r="AE42">
        <f t="shared" ref="AE42:AE44" si="7">+PRODUCT(AA42:AD42)</f>
        <v>0.37440000000000001</v>
      </c>
    </row>
    <row r="43" spans="2:36" x14ac:dyDescent="0.25">
      <c r="K43" s="23"/>
      <c r="L43" s="23"/>
      <c r="M43" s="23"/>
      <c r="N43" s="23"/>
      <c r="O43" s="23"/>
      <c r="P43" s="23"/>
      <c r="Q43" s="23"/>
      <c r="R43" s="23"/>
    </row>
    <row r="44" spans="2:36" x14ac:dyDescent="0.25">
      <c r="K44" s="23"/>
      <c r="L44" s="23"/>
      <c r="M44" s="23"/>
      <c r="N44" s="23"/>
      <c r="O44" s="23"/>
      <c r="P44" s="23"/>
      <c r="Q44" s="23"/>
      <c r="R44" s="23"/>
      <c r="Y44" t="s">
        <v>805</v>
      </c>
      <c r="AA44">
        <v>1</v>
      </c>
      <c r="AB44">
        <f>1.3+0.2+2.8+1.55</f>
        <v>5.85</v>
      </c>
      <c r="AC44">
        <v>1.3</v>
      </c>
      <c r="AD44">
        <v>0.3</v>
      </c>
      <c r="AE44">
        <f t="shared" si="7"/>
        <v>2.2814999999999999</v>
      </c>
    </row>
    <row r="45" spans="2:36" x14ac:dyDescent="0.25">
      <c r="K45" s="23"/>
      <c r="L45" s="23"/>
      <c r="M45" s="23"/>
      <c r="N45" s="23"/>
      <c r="O45" s="23"/>
      <c r="P45" s="23"/>
      <c r="Q45" s="23"/>
      <c r="R45" s="23"/>
      <c r="AE45" s="376">
        <f>+SUM(AE42:AE44)</f>
        <v>2.6558999999999999</v>
      </c>
      <c r="AF45" s="376" t="s">
        <v>804</v>
      </c>
      <c r="AG45" s="374">
        <f>+AE45*9.5</f>
        <v>25.23105</v>
      </c>
      <c r="AH45" s="374" t="s">
        <v>815</v>
      </c>
    </row>
    <row r="46" spans="2:36" s="1" customFormat="1" ht="12.75" x14ac:dyDescent="0.2">
      <c r="B46" s="37"/>
      <c r="J46" s="38"/>
      <c r="K46" s="38"/>
      <c r="L46" s="38"/>
      <c r="M46" s="38"/>
      <c r="N46" s="38"/>
      <c r="O46" s="38"/>
      <c r="P46" s="38"/>
      <c r="Q46" s="38"/>
      <c r="R46" s="38"/>
    </row>
    <row r="47" spans="2:36" s="1" customFormat="1" x14ac:dyDescent="0.25">
      <c r="B47" s="37"/>
      <c r="J47" s="38"/>
      <c r="K47" s="38"/>
      <c r="L47" s="38"/>
      <c r="M47" s="38"/>
      <c r="N47" s="38"/>
      <c r="O47" s="38"/>
      <c r="P47" s="38"/>
      <c r="Q47" s="38"/>
      <c r="R47" s="38"/>
      <c r="Y47" s="1" t="s">
        <v>816</v>
      </c>
      <c r="AA47" s="1">
        <v>1</v>
      </c>
      <c r="AB47" s="1">
        <v>5.9</v>
      </c>
      <c r="AC47" s="1">
        <v>0.5</v>
      </c>
      <c r="AD47" s="1">
        <v>0.2</v>
      </c>
      <c r="AE47">
        <f t="shared" ref="AE47" si="8">+PRODUCT(AA47:AD47)</f>
        <v>0.59000000000000008</v>
      </c>
    </row>
    <row r="48" spans="2:36" s="1" customFormat="1" x14ac:dyDescent="0.25">
      <c r="B48" s="37"/>
      <c r="C48" s="38"/>
      <c r="D48" s="38"/>
      <c r="E48" s="38"/>
      <c r="F48" s="38"/>
      <c r="G48" s="38"/>
      <c r="H48" s="38"/>
      <c r="I48" s="38"/>
      <c r="J48" s="38"/>
      <c r="K48" s="38"/>
      <c r="L48" s="38"/>
      <c r="AE48" s="1">
        <f>+SUM(AE45:AE47)</f>
        <v>3.2458999999999998</v>
      </c>
      <c r="AG48" s="374">
        <f>+AE48*9.5</f>
        <v>30.836049999999997</v>
      </c>
    </row>
    <row r="49" spans="2:12" s="1" customFormat="1" ht="12.75" x14ac:dyDescent="0.2">
      <c r="B49" s="37"/>
      <c r="C49" s="38"/>
      <c r="D49" s="38"/>
      <c r="E49" s="38"/>
      <c r="F49" s="38"/>
      <c r="G49" s="38"/>
      <c r="H49" s="38"/>
      <c r="I49" s="38"/>
      <c r="J49" s="38"/>
      <c r="K49" s="38"/>
      <c r="L49" s="38"/>
    </row>
  </sheetData>
  <mergeCells count="8">
    <mergeCell ref="B10:L10"/>
    <mergeCell ref="H11:J11"/>
    <mergeCell ref="C1:H1"/>
    <mergeCell ref="C2:H2"/>
    <mergeCell ref="C3:H3"/>
    <mergeCell ref="C4:H4"/>
    <mergeCell ref="B6:L6"/>
    <mergeCell ref="B8:L8"/>
  </mergeCells>
  <pageMargins left="0.70866141732283472" right="0.70866141732283472" top="0.74803149606299213" bottom="0.74803149606299213" header="0.31496062992125984" footer="0.31496062992125984"/>
  <pageSetup paperSize="9" scale="53" fitToWidth="0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BD145-F9B0-44C7-84DC-31478B2B9E0A}">
  <sheetPr>
    <tabColor theme="9" tint="0.39997558519241921"/>
  </sheetPr>
  <dimension ref="A1:AH1126"/>
  <sheetViews>
    <sheetView view="pageBreakPreview" topLeftCell="A25" zoomScale="68" zoomScaleNormal="100" zoomScaleSheetLayoutView="68" workbookViewId="0">
      <selection activeCell="C24" sqref="C24"/>
    </sheetView>
    <sheetView view="pageBreakPreview" topLeftCell="A66" zoomScale="60" zoomScaleNormal="100" workbookViewId="1">
      <pane ySplit="1" topLeftCell="A972" activePane="bottomLeft" state="frozen"/>
      <selection activeCell="A66" sqref="A66"/>
      <selection pane="bottomLeft" activeCell="B1095" sqref="B1095"/>
    </sheetView>
  </sheetViews>
  <sheetFormatPr baseColWidth="10" defaultRowHeight="15" x14ac:dyDescent="0.25"/>
  <cols>
    <col min="1" max="1" width="2.140625" customWidth="1"/>
    <col min="2" max="2" width="15.7109375" style="1" customWidth="1"/>
    <col min="3" max="3" width="48.7109375" style="1" customWidth="1"/>
    <col min="4" max="4" width="11.42578125" style="1"/>
    <col min="5" max="5" width="8" style="1" customWidth="1"/>
    <col min="6" max="6" width="11.42578125" style="1" hidden="1" customWidth="1"/>
    <col min="7" max="7" width="20.42578125" style="1" hidden="1" customWidth="1"/>
    <col min="8" max="8" width="11.42578125" style="1" customWidth="1"/>
    <col min="9" max="9" width="16.7109375" style="1" customWidth="1"/>
    <col min="10" max="10" width="8.85546875" style="1" customWidth="1"/>
    <col min="25" max="27" width="11.42578125" customWidth="1"/>
    <col min="28" max="28" width="16.5703125" bestFit="1" customWidth="1"/>
  </cols>
  <sheetData>
    <row r="1" spans="2:11" x14ac:dyDescent="0.25">
      <c r="C1" s="499" t="s">
        <v>37</v>
      </c>
      <c r="D1" s="499"/>
      <c r="E1" s="499"/>
      <c r="F1" s="499"/>
      <c r="G1" s="499"/>
      <c r="H1" s="499"/>
    </row>
    <row r="2" spans="2:11" x14ac:dyDescent="0.25">
      <c r="C2" s="499" t="s">
        <v>38</v>
      </c>
      <c r="D2" s="499"/>
      <c r="E2" s="499"/>
      <c r="F2" s="499"/>
      <c r="G2" s="499"/>
      <c r="H2" s="499"/>
    </row>
    <row r="3" spans="2:11" x14ac:dyDescent="0.25">
      <c r="C3" s="499" t="s">
        <v>39</v>
      </c>
      <c r="D3" s="499"/>
      <c r="E3" s="499"/>
      <c r="F3" s="499"/>
      <c r="G3" s="499"/>
      <c r="H3" s="499"/>
    </row>
    <row r="4" spans="2:11" x14ac:dyDescent="0.25">
      <c r="C4" s="500" t="s">
        <v>40</v>
      </c>
      <c r="D4" s="500"/>
      <c r="E4" s="500"/>
      <c r="F4" s="500"/>
      <c r="G4" s="500"/>
      <c r="H4" s="500"/>
    </row>
    <row r="5" spans="2:11" x14ac:dyDescent="0.25">
      <c r="C5" s="385"/>
      <c r="D5" s="385"/>
      <c r="E5" s="385"/>
      <c r="F5" s="385"/>
      <c r="G5" s="385"/>
      <c r="H5" s="385"/>
    </row>
    <row r="6" spans="2:11" x14ac:dyDescent="0.25">
      <c r="B6" s="538" t="s">
        <v>28</v>
      </c>
      <c r="C6" s="539"/>
      <c r="D6" s="539"/>
      <c r="E6" s="539"/>
      <c r="F6" s="539"/>
      <c r="G6" s="539"/>
      <c r="H6" s="539"/>
      <c r="I6" s="539"/>
      <c r="J6" s="540"/>
    </row>
    <row r="8" spans="2:11" x14ac:dyDescent="0.25">
      <c r="B8" s="541" t="s">
        <v>275</v>
      </c>
      <c r="C8" s="541"/>
      <c r="D8" s="541"/>
      <c r="E8" s="541"/>
      <c r="F8" s="541"/>
      <c r="G8" s="541"/>
      <c r="H8" s="541"/>
      <c r="I8" s="541"/>
      <c r="J8" s="541"/>
    </row>
    <row r="9" spans="2:11" ht="15.75" thickBot="1" x14ac:dyDescent="0.3">
      <c r="B9" s="389"/>
      <c r="C9" s="389"/>
      <c r="D9" s="389"/>
      <c r="E9" s="389"/>
      <c r="F9" s="389"/>
      <c r="G9" s="389"/>
      <c r="H9" s="389"/>
      <c r="I9" s="389"/>
      <c r="J9" s="389"/>
    </row>
    <row r="10" spans="2:11" ht="31.5" customHeight="1" x14ac:dyDescent="0.25">
      <c r="B10" s="494" t="s">
        <v>27</v>
      </c>
      <c r="C10" s="495"/>
      <c r="D10" s="495"/>
      <c r="E10" s="495"/>
      <c r="F10" s="495"/>
      <c r="G10" s="495"/>
      <c r="H10" s="495"/>
      <c r="I10" s="495"/>
      <c r="J10" s="496"/>
    </row>
    <row r="11" spans="2:11" x14ac:dyDescent="0.25">
      <c r="B11" s="2" t="s">
        <v>35</v>
      </c>
      <c r="C11" s="3" t="s">
        <v>36</v>
      </c>
      <c r="D11" s="3"/>
      <c r="E11" s="4"/>
      <c r="F11" s="5"/>
      <c r="G11" s="6" t="s">
        <v>8</v>
      </c>
      <c r="H11" s="497">
        <v>42887</v>
      </c>
      <c r="I11" s="497"/>
      <c r="J11" s="7"/>
    </row>
    <row r="12" spans="2:11" x14ac:dyDescent="0.25">
      <c r="B12" s="2" t="s">
        <v>33</v>
      </c>
      <c r="C12" s="3" t="s">
        <v>29</v>
      </c>
      <c r="D12" s="8"/>
      <c r="E12" s="8"/>
      <c r="F12" s="3"/>
      <c r="G12" s="9" t="s">
        <v>32</v>
      </c>
      <c r="H12" s="4" t="s">
        <v>29</v>
      </c>
      <c r="I12" s="10"/>
      <c r="J12" s="11"/>
    </row>
    <row r="13" spans="2:11" x14ac:dyDescent="0.25">
      <c r="B13" s="2" t="s">
        <v>34</v>
      </c>
      <c r="C13" s="3" t="s">
        <v>29</v>
      </c>
      <c r="D13" s="8"/>
      <c r="E13" s="8"/>
      <c r="F13" s="3"/>
      <c r="G13" s="9" t="s">
        <v>30</v>
      </c>
      <c r="H13" s="4" t="s">
        <v>31</v>
      </c>
      <c r="I13" s="10"/>
      <c r="J13" s="11"/>
    </row>
    <row r="14" spans="2:11" ht="15.75" thickBot="1" x14ac:dyDescent="0.3">
      <c r="B14" s="12" t="s">
        <v>43</v>
      </c>
      <c r="C14" s="13" t="s">
        <v>44</v>
      </c>
      <c r="D14" s="14"/>
      <c r="E14" s="14"/>
      <c r="F14" s="13"/>
      <c r="G14" s="15" t="s">
        <v>41</v>
      </c>
      <c r="H14" s="16" t="s">
        <v>42</v>
      </c>
      <c r="I14" s="17"/>
      <c r="J14" s="18"/>
    </row>
    <row r="15" spans="2:11" x14ac:dyDescent="0.25">
      <c r="B15" s="19"/>
      <c r="C15" s="3"/>
      <c r="D15" s="8"/>
      <c r="E15" s="8"/>
      <c r="F15" s="3"/>
      <c r="G15" s="9"/>
      <c r="H15" s="4"/>
      <c r="I15" s="10"/>
      <c r="J15" s="20"/>
    </row>
    <row r="16" spans="2:11" x14ac:dyDescent="0.25">
      <c r="B16" s="47" t="s">
        <v>5</v>
      </c>
      <c r="C16" s="48" t="s">
        <v>0</v>
      </c>
      <c r="D16" s="49"/>
      <c r="E16" s="49"/>
      <c r="F16" s="49"/>
      <c r="G16" s="49"/>
      <c r="H16" s="50"/>
      <c r="I16" s="51" t="s">
        <v>6</v>
      </c>
      <c r="J16" s="51" t="s">
        <v>7</v>
      </c>
      <c r="K16" t="s">
        <v>552</v>
      </c>
    </row>
    <row r="17" spans="2:21" x14ac:dyDescent="0.25">
      <c r="B17" s="71">
        <v>4</v>
      </c>
      <c r="C17" s="72" t="s">
        <v>66</v>
      </c>
      <c r="D17" s="23"/>
      <c r="E17" s="23"/>
      <c r="F17" s="23"/>
      <c r="G17" s="23"/>
      <c r="H17" s="24"/>
      <c r="I17" s="25"/>
      <c r="J17" s="26"/>
    </row>
    <row r="18" spans="2:21" x14ac:dyDescent="0.25">
      <c r="B18" s="71">
        <f>+B67</f>
        <v>4.03</v>
      </c>
      <c r="C18" s="72" t="str">
        <f>LOOKUP(B18,$B$67:$B$1126,$C$67:$C$1126)</f>
        <v>SISTEMA DE DRENAJE PLUVIAL</v>
      </c>
      <c r="D18" s="23"/>
      <c r="E18" s="23"/>
      <c r="F18" s="23"/>
      <c r="G18" s="23"/>
      <c r="H18" s="24"/>
      <c r="I18" s="25"/>
      <c r="J18" s="26"/>
    </row>
    <row r="19" spans="2:21" x14ac:dyDescent="0.25">
      <c r="B19" s="73" t="s">
        <v>14</v>
      </c>
      <c r="C19" s="74" t="s">
        <v>225</v>
      </c>
      <c r="D19" s="23"/>
      <c r="E19" s="23"/>
      <c r="F19" s="23"/>
      <c r="G19" s="23"/>
      <c r="H19" s="24"/>
      <c r="I19" s="25"/>
      <c r="J19" s="26"/>
    </row>
    <row r="20" spans="2:21" x14ac:dyDescent="0.25">
      <c r="B20" s="25" t="str">
        <f>+B69</f>
        <v>04.03.01.01</v>
      </c>
      <c r="C20" s="28" t="s">
        <v>269</v>
      </c>
      <c r="D20" s="23"/>
      <c r="E20" s="23"/>
      <c r="F20" s="23"/>
      <c r="G20" s="23"/>
      <c r="H20" s="24"/>
      <c r="I20" s="25">
        <f ca="1">SUMIF($B$67:$J$1126,B20,$I$67:$I$1126)</f>
        <v>459</v>
      </c>
      <c r="J20" s="26" t="s">
        <v>345</v>
      </c>
      <c r="K20">
        <v>510</v>
      </c>
      <c r="L20" s="52">
        <f ca="1">+I20-K20</f>
        <v>-51</v>
      </c>
      <c r="M20" s="374">
        <v>12</v>
      </c>
      <c r="N20">
        <v>498</v>
      </c>
      <c r="O20" s="377">
        <f ca="1">+-L20-M20</f>
        <v>39</v>
      </c>
    </row>
    <row r="21" spans="2:21" x14ac:dyDescent="0.25">
      <c r="B21" s="25" t="str">
        <f>+B71</f>
        <v>04.03.01.02</v>
      </c>
      <c r="C21" s="28" t="s">
        <v>348</v>
      </c>
      <c r="D21" s="23"/>
      <c r="E21" s="23"/>
      <c r="F21" s="23"/>
      <c r="G21" s="23"/>
      <c r="H21" s="24"/>
      <c r="I21" s="25">
        <f ca="1">SUMIF($B$67:$J$1126,B21,$I$67:$I$1126)</f>
        <v>46</v>
      </c>
      <c r="J21" s="26" t="str">
        <f>VLOOKUP(B21,$B$67:$J$1126,9)</f>
        <v>und</v>
      </c>
      <c r="K21">
        <v>81</v>
      </c>
      <c r="L21" s="52">
        <f ca="1">+I21-K21</f>
        <v>-35</v>
      </c>
      <c r="M21" s="374">
        <v>2</v>
      </c>
      <c r="N21">
        <v>79</v>
      </c>
      <c r="O21" s="377">
        <f ca="1">+-L21-M21</f>
        <v>33</v>
      </c>
    </row>
    <row r="22" spans="2:21" x14ac:dyDescent="0.25">
      <c r="I22" s="492"/>
    </row>
    <row r="23" spans="2:21" x14ac:dyDescent="0.25">
      <c r="B23" s="73" t="str">
        <f>+B73</f>
        <v>04.03.02</v>
      </c>
      <c r="C23" s="74" t="s">
        <v>224</v>
      </c>
      <c r="D23" s="23"/>
      <c r="E23" s="23"/>
      <c r="F23" s="23"/>
      <c r="G23" s="23"/>
      <c r="H23" s="24"/>
      <c r="I23" s="25"/>
      <c r="J23" s="26"/>
      <c r="L23" s="52"/>
    </row>
    <row r="24" spans="2:21" x14ac:dyDescent="0.25">
      <c r="B24" s="25" t="str">
        <f>+B74</f>
        <v>04.03.02.01</v>
      </c>
      <c r="C24" s="28" t="s">
        <v>343</v>
      </c>
      <c r="D24" s="23"/>
      <c r="E24" s="23"/>
      <c r="F24" s="23"/>
      <c r="G24" s="23"/>
      <c r="H24" s="24"/>
      <c r="I24" s="25">
        <v>0</v>
      </c>
      <c r="J24" s="26" t="str">
        <f>VLOOKUP(B24,$B$67:$J$1126,9)</f>
        <v>ml</v>
      </c>
      <c r="K24">
        <v>91.5</v>
      </c>
      <c r="L24" s="52">
        <f t="shared" ref="L24:L35" si="0">+I24-K24</f>
        <v>-91.5</v>
      </c>
      <c r="M24">
        <v>0</v>
      </c>
      <c r="N24">
        <v>91.5</v>
      </c>
      <c r="O24" s="52">
        <f t="shared" ref="O24:O35" si="1">+-L24-M24</f>
        <v>91.5</v>
      </c>
    </row>
    <row r="25" spans="2:21" x14ac:dyDescent="0.25">
      <c r="B25" s="25" t="str">
        <f>+B76</f>
        <v>04.03.02.02</v>
      </c>
      <c r="C25" s="28" t="s">
        <v>237</v>
      </c>
      <c r="D25" s="23"/>
      <c r="E25" s="23"/>
      <c r="F25" s="23"/>
      <c r="G25" s="23"/>
      <c r="H25" s="24"/>
      <c r="I25" s="25">
        <f t="shared" ref="I25:I35" ca="1" si="2">SUMIF($B$67:$J$1126,B25,$I$67:$I$1126)</f>
        <v>71.5</v>
      </c>
      <c r="J25" s="26" t="str">
        <f>VLOOKUP(B25,$B$67:$J$1126,9)</f>
        <v>ml</v>
      </c>
      <c r="K25">
        <v>178.6</v>
      </c>
      <c r="L25" s="52">
        <f t="shared" ca="1" si="0"/>
        <v>-107.1</v>
      </c>
      <c r="M25" s="374">
        <v>39.799999999999997</v>
      </c>
      <c r="N25">
        <v>138.80000000000001</v>
      </c>
      <c r="O25" s="377">
        <f t="shared" ca="1" si="1"/>
        <v>67.3</v>
      </c>
    </row>
    <row r="26" spans="2:21" x14ac:dyDescent="0.25">
      <c r="B26" s="25" t="str">
        <f>+B78</f>
        <v>04.03.02.03</v>
      </c>
      <c r="C26" s="28" t="s">
        <v>242</v>
      </c>
      <c r="D26" s="23"/>
      <c r="E26" s="23"/>
      <c r="F26" s="23"/>
      <c r="G26" s="23"/>
      <c r="H26" s="24"/>
      <c r="I26" s="25">
        <f t="shared" ca="1" si="2"/>
        <v>0</v>
      </c>
      <c r="J26" s="26" t="str">
        <f>VLOOKUP(B26,$B$67:$J$1126,9)</f>
        <v>ml</v>
      </c>
      <c r="K26">
        <v>7.55</v>
      </c>
      <c r="L26" s="52">
        <f t="shared" ca="1" si="0"/>
        <v>-7.55</v>
      </c>
      <c r="M26">
        <v>0</v>
      </c>
      <c r="N26">
        <v>7.55</v>
      </c>
      <c r="O26" s="52">
        <f t="shared" ca="1" si="1"/>
        <v>7.55</v>
      </c>
    </row>
    <row r="27" spans="2:21" x14ac:dyDescent="0.25">
      <c r="B27" s="25" t="str">
        <f>+B81</f>
        <v>04.03.02.04</v>
      </c>
      <c r="C27" s="28" t="s">
        <v>245</v>
      </c>
      <c r="D27" s="23"/>
      <c r="E27" s="23"/>
      <c r="F27" s="23"/>
      <c r="G27" s="23"/>
      <c r="H27" s="24"/>
      <c r="I27" s="25">
        <f t="shared" ca="1" si="2"/>
        <v>69.8</v>
      </c>
      <c r="J27" s="26" t="s">
        <v>345</v>
      </c>
      <c r="K27">
        <v>158</v>
      </c>
      <c r="L27" s="52">
        <f t="shared" ca="1" si="0"/>
        <v>-88.2</v>
      </c>
      <c r="M27">
        <v>0</v>
      </c>
      <c r="N27">
        <v>158</v>
      </c>
      <c r="O27" s="52">
        <f t="shared" ca="1" si="1"/>
        <v>88.2</v>
      </c>
      <c r="U27" t="s">
        <v>650</v>
      </c>
    </row>
    <row r="28" spans="2:21" x14ac:dyDescent="0.25">
      <c r="B28" s="25" t="str">
        <f>+B83</f>
        <v>04.03.02.05</v>
      </c>
      <c r="C28" s="110" t="s">
        <v>247</v>
      </c>
      <c r="D28" s="23"/>
      <c r="E28" s="23"/>
      <c r="F28" s="23"/>
      <c r="G28" s="23"/>
      <c r="H28" s="24"/>
      <c r="I28" s="25">
        <f t="shared" ca="1" si="2"/>
        <v>0</v>
      </c>
      <c r="J28" s="26" t="str">
        <f>VLOOKUP(B28,$B$67:$J$1126,9)</f>
        <v>ml</v>
      </c>
      <c r="K28">
        <v>7.55</v>
      </c>
      <c r="L28" s="52">
        <f t="shared" ca="1" si="0"/>
        <v>-7.55</v>
      </c>
      <c r="M28" s="1">
        <v>0</v>
      </c>
      <c r="N28">
        <v>7.55</v>
      </c>
      <c r="O28" s="52">
        <f t="shared" ca="1" si="1"/>
        <v>7.55</v>
      </c>
    </row>
    <row r="29" spans="2:21" x14ac:dyDescent="0.25">
      <c r="B29" s="25" t="str">
        <f>+B85</f>
        <v>04.03.02.06</v>
      </c>
      <c r="C29" s="28" t="s">
        <v>226</v>
      </c>
      <c r="D29" s="23"/>
      <c r="E29" s="23"/>
      <c r="F29" s="23"/>
      <c r="G29" s="23"/>
      <c r="H29" s="24"/>
      <c r="I29" s="25">
        <f t="shared" ca="1" si="2"/>
        <v>4.9000000000000004</v>
      </c>
      <c r="J29" s="26" t="s">
        <v>345</v>
      </c>
      <c r="K29">
        <v>20.6</v>
      </c>
      <c r="L29" s="52">
        <f t="shared" ca="1" si="0"/>
        <v>-15.700000000000001</v>
      </c>
      <c r="M29">
        <v>0</v>
      </c>
      <c r="N29">
        <v>20.6</v>
      </c>
      <c r="O29" s="52">
        <f t="shared" ca="1" si="1"/>
        <v>15.700000000000001</v>
      </c>
      <c r="Q29" s="348">
        <v>2.5399999999999999E-2</v>
      </c>
    </row>
    <row r="30" spans="2:21" x14ac:dyDescent="0.25">
      <c r="B30" s="25" t="str">
        <f>+B89</f>
        <v>04.03.02.07</v>
      </c>
      <c r="C30" s="28" t="s">
        <v>705</v>
      </c>
      <c r="D30" s="23"/>
      <c r="E30" s="23"/>
      <c r="F30" s="23"/>
      <c r="G30" s="23"/>
      <c r="H30" s="24"/>
      <c r="I30" s="25">
        <f t="shared" ca="1" si="2"/>
        <v>37.21</v>
      </c>
      <c r="J30" s="26" t="str">
        <f>VLOOKUP(B30,$B$67:$J$1126,9)</f>
        <v>ml</v>
      </c>
      <c r="K30" s="129">
        <v>53.15</v>
      </c>
      <c r="L30" s="52">
        <f t="shared" ca="1" si="0"/>
        <v>-15.939999999999998</v>
      </c>
      <c r="M30" s="374">
        <v>9</v>
      </c>
      <c r="N30">
        <v>44.15</v>
      </c>
      <c r="O30" s="377">
        <f t="shared" ca="1" si="1"/>
        <v>6.9399999999999977</v>
      </c>
      <c r="Q30" s="52">
        <f ca="1">+I30</f>
        <v>37.21</v>
      </c>
      <c r="R30">
        <v>8</v>
      </c>
      <c r="S30">
        <f ca="1">+Q30*R30*$Q$29</f>
        <v>7.5610720000000002</v>
      </c>
    </row>
    <row r="31" spans="2:21" x14ac:dyDescent="0.25">
      <c r="B31" s="25" t="str">
        <f>+B91</f>
        <v>04.03.02.08</v>
      </c>
      <c r="C31" s="28" t="s">
        <v>250</v>
      </c>
      <c r="D31" s="23"/>
      <c r="E31" s="23"/>
      <c r="F31" s="23"/>
      <c r="G31" s="23"/>
      <c r="H31" s="24"/>
      <c r="I31" s="25">
        <f t="shared" ca="1" si="2"/>
        <v>71.930000000000007</v>
      </c>
      <c r="J31" s="26" t="str">
        <f>VLOOKUP(B31,$B$67:$J$1126,9)</f>
        <v>ml</v>
      </c>
      <c r="K31">
        <v>92.149999999999991</v>
      </c>
      <c r="L31" s="52">
        <f t="shared" ca="1" si="0"/>
        <v>-20.219999999999985</v>
      </c>
      <c r="M31">
        <v>0</v>
      </c>
      <c r="N31">
        <v>92.15</v>
      </c>
      <c r="O31" s="52">
        <f t="shared" ca="1" si="1"/>
        <v>20.219999999999985</v>
      </c>
      <c r="Q31" s="52">
        <f ca="1">+I31</f>
        <v>71.930000000000007</v>
      </c>
      <c r="R31">
        <v>10</v>
      </c>
      <c r="S31">
        <f ca="1">+Q31*R31*$Q$29</f>
        <v>18.270220000000002</v>
      </c>
    </row>
    <row r="32" spans="2:21" x14ac:dyDescent="0.25">
      <c r="B32" s="25" t="str">
        <f>+B93</f>
        <v>04.03.02.09</v>
      </c>
      <c r="C32" s="28" t="s">
        <v>252</v>
      </c>
      <c r="D32" s="23"/>
      <c r="E32" s="23"/>
      <c r="F32" s="23"/>
      <c r="G32" s="23"/>
      <c r="H32" s="24"/>
      <c r="I32" s="25">
        <f t="shared" ca="1" si="2"/>
        <v>92</v>
      </c>
      <c r="J32" s="26" t="str">
        <f>VLOOKUP(B32,$B$67:$J$1126,9)</f>
        <v>ml</v>
      </c>
      <c r="K32">
        <v>126.99000000000001</v>
      </c>
      <c r="L32" s="52">
        <f t="shared" ca="1" si="0"/>
        <v>-34.990000000000009</v>
      </c>
      <c r="M32" s="1">
        <v>0</v>
      </c>
      <c r="N32">
        <v>126.99</v>
      </c>
      <c r="O32" s="52">
        <f t="shared" ca="1" si="1"/>
        <v>34.990000000000009</v>
      </c>
      <c r="Q32" s="52">
        <f ca="1">+I32</f>
        <v>92</v>
      </c>
      <c r="R32">
        <v>14</v>
      </c>
      <c r="S32">
        <f ca="1">+Q32*R32*$Q$29</f>
        <v>32.715199999999996</v>
      </c>
    </row>
    <row r="33" spans="2:34" x14ac:dyDescent="0.25">
      <c r="B33" s="43" t="str">
        <f>+B95</f>
        <v>04.03.02.10</v>
      </c>
      <c r="C33" s="43" t="s">
        <v>253</v>
      </c>
      <c r="D33" s="23"/>
      <c r="E33" s="23"/>
      <c r="F33" s="23"/>
      <c r="G33" s="23"/>
      <c r="H33" s="24"/>
      <c r="I33" s="25">
        <f t="shared" ca="1" si="2"/>
        <v>0</v>
      </c>
      <c r="J33" s="26" t="s">
        <v>13</v>
      </c>
      <c r="K33">
        <v>9</v>
      </c>
      <c r="L33" s="52">
        <f t="shared" ca="1" si="0"/>
        <v>-9</v>
      </c>
      <c r="M33" s="374">
        <v>1</v>
      </c>
      <c r="N33">
        <v>8</v>
      </c>
      <c r="O33" s="377">
        <f t="shared" ca="1" si="1"/>
        <v>8</v>
      </c>
      <c r="Q33" s="52"/>
    </row>
    <row r="34" spans="2:34" x14ac:dyDescent="0.25">
      <c r="B34" s="43" t="str">
        <f>+B103</f>
        <v>04.03.02.11</v>
      </c>
      <c r="C34" s="43" t="s">
        <v>254</v>
      </c>
      <c r="D34" s="23"/>
      <c r="E34" s="23"/>
      <c r="F34" s="23"/>
      <c r="G34" s="23"/>
      <c r="H34" s="24"/>
      <c r="I34" s="25">
        <f t="shared" ca="1" si="2"/>
        <v>0</v>
      </c>
      <c r="J34" s="26" t="s">
        <v>13</v>
      </c>
      <c r="K34">
        <v>10</v>
      </c>
      <c r="L34" s="52">
        <f t="shared" ca="1" si="0"/>
        <v>-10</v>
      </c>
      <c r="M34" s="374">
        <v>1</v>
      </c>
      <c r="N34">
        <v>9</v>
      </c>
      <c r="O34" s="377">
        <f t="shared" ca="1" si="1"/>
        <v>9</v>
      </c>
      <c r="Q34" s="52"/>
    </row>
    <row r="35" spans="2:34" x14ac:dyDescent="0.25">
      <c r="B35" s="25" t="e">
        <f>+#REF!</f>
        <v>#REF!</v>
      </c>
      <c r="C35" s="28" t="s">
        <v>255</v>
      </c>
      <c r="D35" s="23"/>
      <c r="E35" s="23"/>
      <c r="F35" s="23"/>
      <c r="G35" s="23"/>
      <c r="H35" s="24"/>
      <c r="I35" s="25">
        <f t="shared" ca="1" si="2"/>
        <v>0</v>
      </c>
      <c r="J35" s="26" t="s">
        <v>13</v>
      </c>
      <c r="K35">
        <v>1</v>
      </c>
      <c r="L35" s="52">
        <f t="shared" ca="1" si="0"/>
        <v>-1</v>
      </c>
      <c r="M35">
        <v>0</v>
      </c>
      <c r="N35">
        <v>1</v>
      </c>
      <c r="O35" s="52">
        <f t="shared" ca="1" si="1"/>
        <v>1</v>
      </c>
      <c r="S35">
        <f>+Q35*R35*$Q$29</f>
        <v>0</v>
      </c>
    </row>
    <row r="36" spans="2:34" x14ac:dyDescent="0.25">
      <c r="B36" s="107"/>
      <c r="C36" s="343"/>
      <c r="D36" s="23"/>
      <c r="E36" s="23"/>
      <c r="F36" s="23"/>
      <c r="G36" s="23"/>
      <c r="H36" s="24"/>
      <c r="I36" s="25"/>
      <c r="J36" s="26"/>
      <c r="L36" s="52"/>
      <c r="Z36">
        <v>1.4</v>
      </c>
      <c r="AA36">
        <v>1.45</v>
      </c>
    </row>
    <row r="37" spans="2:34" x14ac:dyDescent="0.25">
      <c r="B37" s="73" t="str">
        <f>+B107</f>
        <v>04.03.03</v>
      </c>
      <c r="C37" s="74" t="s">
        <v>223</v>
      </c>
      <c r="D37" s="23"/>
      <c r="E37" s="23"/>
      <c r="F37" s="23"/>
      <c r="G37" s="23"/>
      <c r="H37" s="24"/>
      <c r="I37" s="25"/>
      <c r="J37" s="26"/>
      <c r="L37" s="52"/>
      <c r="Z37">
        <v>2.36</v>
      </c>
      <c r="AA37">
        <v>2.1</v>
      </c>
    </row>
    <row r="38" spans="2:34" x14ac:dyDescent="0.25">
      <c r="B38" s="25" t="str">
        <f>+B108</f>
        <v>04.03.03.01</v>
      </c>
      <c r="C38" s="28" t="s">
        <v>265</v>
      </c>
      <c r="D38" s="23"/>
      <c r="E38" s="23"/>
      <c r="F38" s="23"/>
      <c r="G38" s="23"/>
      <c r="H38" s="24"/>
      <c r="I38" s="25">
        <f ca="1">SUMIF($B$67:$J$1126,B38,$I$67:$I$1126)</f>
        <v>49</v>
      </c>
      <c r="J38" s="26" t="s">
        <v>13</v>
      </c>
      <c r="K38">
        <v>47</v>
      </c>
      <c r="L38" s="52">
        <f ca="1">+I38-K38</f>
        <v>2</v>
      </c>
      <c r="M38" s="375">
        <v>0</v>
      </c>
      <c r="N38" s="375">
        <v>47</v>
      </c>
      <c r="O38" s="378">
        <f ca="1">+-L38-M38</f>
        <v>-2</v>
      </c>
      <c r="Z38">
        <v>2.83</v>
      </c>
      <c r="AA38">
        <v>3.66</v>
      </c>
    </row>
    <row r="39" spans="2:34" x14ac:dyDescent="0.25">
      <c r="B39" s="25" t="str">
        <f>+B111</f>
        <v>04.03.03.02</v>
      </c>
      <c r="C39" s="28" t="s">
        <v>266</v>
      </c>
      <c r="D39" s="29"/>
      <c r="E39" s="29"/>
      <c r="F39" s="29"/>
      <c r="G39" s="29"/>
      <c r="H39" s="30"/>
      <c r="I39" s="25">
        <f ca="1">SUMIF($B$67:$J$1126,B39,$I$67:$I$1126)</f>
        <v>648</v>
      </c>
      <c r="J39" s="26" t="str">
        <f>VLOOKUP(B39,$B$67:$J$1126,9)</f>
        <v>und</v>
      </c>
      <c r="K39">
        <v>664</v>
      </c>
      <c r="L39" s="52">
        <f ca="1">+I39-K39</f>
        <v>-16</v>
      </c>
      <c r="M39">
        <v>0</v>
      </c>
      <c r="N39">
        <v>664</v>
      </c>
      <c r="O39" s="52">
        <f ca="1">+-L39-M39</f>
        <v>16</v>
      </c>
      <c r="Z39">
        <v>0.4</v>
      </c>
      <c r="AA39">
        <v>0.47</v>
      </c>
      <c r="AC39">
        <v>1.32</v>
      </c>
      <c r="AD39">
        <f>+AC39+0.56</f>
        <v>1.8800000000000001</v>
      </c>
      <c r="AE39">
        <f>+AC39+0.4</f>
        <v>1.7200000000000002</v>
      </c>
    </row>
    <row r="40" spans="2:34" x14ac:dyDescent="0.25">
      <c r="B40" s="25" t="str">
        <f>+B113</f>
        <v>04.03.03.03</v>
      </c>
      <c r="C40" s="28" t="s">
        <v>357</v>
      </c>
      <c r="D40" s="29"/>
      <c r="E40" s="29"/>
      <c r="F40" s="29"/>
      <c r="G40" s="29"/>
      <c r="H40" s="30"/>
      <c r="I40" s="25">
        <f ca="1">SUMIF($B$67:$J$1126,B40,$I$67:$I$1126)+18</f>
        <v>43</v>
      </c>
      <c r="J40" s="26" t="str">
        <f>VLOOKUP(B40,$B$67:$J$1126,9)</f>
        <v>und</v>
      </c>
      <c r="K40">
        <v>46</v>
      </c>
      <c r="L40" s="52">
        <f ca="1">+I40-K40</f>
        <v>-3</v>
      </c>
      <c r="M40">
        <v>0</v>
      </c>
      <c r="N40">
        <v>46</v>
      </c>
      <c r="O40" s="52">
        <f ca="1">+-L40-M40</f>
        <v>3</v>
      </c>
      <c r="Z40">
        <v>0.95</v>
      </c>
      <c r="AA40">
        <v>0.95</v>
      </c>
      <c r="AC40">
        <v>2.87</v>
      </c>
      <c r="AD40">
        <f>+AC40+0.56</f>
        <v>3.43</v>
      </c>
      <c r="AE40">
        <f>+AC40+0.4</f>
        <v>3.27</v>
      </c>
    </row>
    <row r="41" spans="2:34" x14ac:dyDescent="0.25">
      <c r="B41" s="25" t="str">
        <f>+B115</f>
        <v>04.03.03.04</v>
      </c>
      <c r="C41" s="28" t="s">
        <v>263</v>
      </c>
      <c r="D41" s="29"/>
      <c r="E41" s="29"/>
      <c r="F41" s="29"/>
      <c r="G41" s="29"/>
      <c r="H41" s="30"/>
      <c r="I41" s="25">
        <f ca="1">SUMIF($B$67:$J$1126,B41,$I$67:$I$1126)</f>
        <v>1</v>
      </c>
      <c r="J41" s="26" t="s">
        <v>13</v>
      </c>
      <c r="K41">
        <v>9</v>
      </c>
      <c r="L41" s="52">
        <f ca="1">+I41-K41</f>
        <v>-8</v>
      </c>
      <c r="M41">
        <v>0</v>
      </c>
      <c r="N41">
        <v>9</v>
      </c>
      <c r="O41" s="52">
        <f ca="1">+-L41-M41</f>
        <v>8</v>
      </c>
      <c r="Z41" s="374">
        <f>SUM(Z36:Z40)</f>
        <v>7.94</v>
      </c>
      <c r="AA41" s="374">
        <f>SUM(AA36:AA40)</f>
        <v>8.629999999999999</v>
      </c>
      <c r="AB41" s="374"/>
      <c r="AC41" s="374">
        <f>SUM(AC36:AC40)</f>
        <v>4.1900000000000004</v>
      </c>
      <c r="AD41" s="374">
        <f>SUM(AD36:AD40)</f>
        <v>5.3100000000000005</v>
      </c>
      <c r="AE41" s="374">
        <f>SUM(AE36:AE40)</f>
        <v>4.99</v>
      </c>
    </row>
    <row r="42" spans="2:34" x14ac:dyDescent="0.25">
      <c r="B42" s="32" t="str">
        <f>+B117</f>
        <v>04.03.03.05</v>
      </c>
      <c r="C42" s="33" t="s">
        <v>264</v>
      </c>
      <c r="D42" s="431"/>
      <c r="E42" s="431"/>
      <c r="F42" s="431"/>
      <c r="G42" s="431"/>
      <c r="H42" s="432"/>
      <c r="I42" s="32">
        <f ca="1">SUMIF($B$67:$J$1126,B42,$I$67:$I$1126)</f>
        <v>1</v>
      </c>
      <c r="J42" s="36" t="s">
        <v>13</v>
      </c>
      <c r="K42">
        <v>4</v>
      </c>
      <c r="L42" s="52">
        <f ca="1">+I42-K42</f>
        <v>-3</v>
      </c>
      <c r="M42" s="1">
        <v>0</v>
      </c>
      <c r="N42">
        <v>4</v>
      </c>
      <c r="O42" s="52">
        <f ca="1">+-L42-M42</f>
        <v>3</v>
      </c>
      <c r="Z42">
        <v>10</v>
      </c>
      <c r="AA42">
        <v>10</v>
      </c>
      <c r="AC42">
        <v>12</v>
      </c>
      <c r="AD42">
        <v>14</v>
      </c>
      <c r="AE42">
        <v>7</v>
      </c>
      <c r="AF42" t="s">
        <v>345</v>
      </c>
      <c r="AG42" t="s">
        <v>682</v>
      </c>
      <c r="AH42" s="376" t="s">
        <v>806</v>
      </c>
    </row>
    <row r="43" spans="2:34" x14ac:dyDescent="0.25">
      <c r="D43" s="23"/>
      <c r="E43" s="23"/>
      <c r="F43" s="23"/>
      <c r="G43" s="23"/>
      <c r="H43" s="23"/>
      <c r="I43" s="23"/>
      <c r="J43" s="67"/>
      <c r="Y43">
        <v>1</v>
      </c>
      <c r="Z43">
        <v>0.96</v>
      </c>
      <c r="AA43">
        <v>1.3</v>
      </c>
      <c r="AB43">
        <v>0.3</v>
      </c>
      <c r="AC43">
        <f>+PRODUCT(Y43:AB43)</f>
        <v>0.37440000000000001</v>
      </c>
    </row>
    <row r="44" spans="2:34" x14ac:dyDescent="0.25">
      <c r="D44" s="23"/>
      <c r="E44" s="23"/>
      <c r="F44" s="23"/>
      <c r="G44" s="23"/>
      <c r="H44" s="23"/>
      <c r="I44" s="23"/>
      <c r="J44" s="67"/>
    </row>
    <row r="45" spans="2:34" x14ac:dyDescent="0.25">
      <c r="D45" s="23"/>
      <c r="E45" s="23"/>
      <c r="F45" s="23"/>
      <c r="G45" s="23"/>
      <c r="H45" s="23"/>
      <c r="I45" s="23"/>
      <c r="J45" s="67"/>
      <c r="W45" t="s">
        <v>805</v>
      </c>
      <c r="Y45">
        <v>1</v>
      </c>
      <c r="Z45">
        <f>1.3+0.2+2.8+1.55</f>
        <v>5.85</v>
      </c>
      <c r="AA45">
        <v>1.3</v>
      </c>
      <c r="AB45">
        <v>0.3</v>
      </c>
      <c r="AC45">
        <f>+PRODUCT(Y45:AB45)</f>
        <v>2.2814999999999999</v>
      </c>
    </row>
    <row r="46" spans="2:34" x14ac:dyDescent="0.25">
      <c r="D46" s="23"/>
      <c r="E46" s="23"/>
      <c r="F46" s="23"/>
      <c r="G46" s="23"/>
      <c r="H46" s="23"/>
      <c r="I46" s="23"/>
      <c r="J46" s="67"/>
      <c r="AC46" s="376">
        <f>+SUM(AC43:AC45)</f>
        <v>2.6558999999999999</v>
      </c>
      <c r="AD46" s="376" t="s">
        <v>804</v>
      </c>
      <c r="AE46" s="374">
        <f>+AC46*9.5</f>
        <v>25.23105</v>
      </c>
      <c r="AF46" s="374" t="s">
        <v>815</v>
      </c>
    </row>
    <row r="47" spans="2:34" s="1" customFormat="1" ht="12.75" x14ac:dyDescent="0.2">
      <c r="B47" s="37"/>
      <c r="C47" s="38"/>
      <c r="D47" s="38"/>
      <c r="E47" s="38"/>
      <c r="F47" s="38"/>
      <c r="G47" s="38"/>
      <c r="H47" s="38"/>
      <c r="I47" s="38"/>
      <c r="J47" s="38"/>
    </row>
    <row r="48" spans="2:34" s="1" customFormat="1" x14ac:dyDescent="0.25">
      <c r="B48" s="37"/>
      <c r="C48" s="38"/>
      <c r="D48" s="38"/>
      <c r="E48" s="38"/>
      <c r="F48" s="38"/>
      <c r="G48" s="38"/>
      <c r="H48" s="38"/>
      <c r="I48" s="38"/>
      <c r="J48" s="38"/>
      <c r="W48" s="1" t="s">
        <v>816</v>
      </c>
      <c r="Y48" s="1">
        <v>1</v>
      </c>
      <c r="Z48" s="1">
        <v>5.9</v>
      </c>
      <c r="AA48" s="1">
        <v>0.5</v>
      </c>
      <c r="AB48" s="1">
        <v>0.2</v>
      </c>
      <c r="AC48">
        <f>+PRODUCT(Y48:AB48)</f>
        <v>0.59000000000000008</v>
      </c>
    </row>
    <row r="49" spans="2:34" s="1" customFormat="1" x14ac:dyDescent="0.25">
      <c r="B49" s="37"/>
      <c r="C49" s="38"/>
      <c r="D49" s="38"/>
      <c r="E49" s="38"/>
      <c r="F49" s="38"/>
      <c r="G49" s="38"/>
      <c r="H49" s="38"/>
      <c r="I49" s="38"/>
      <c r="J49" s="38"/>
      <c r="AC49" s="1">
        <f>+SUM(AC46:AC48)</f>
        <v>3.2458999999999998</v>
      </c>
      <c r="AE49" s="374">
        <f>+AC49*9.5</f>
        <v>30.836049999999997</v>
      </c>
    </row>
    <row r="50" spans="2:34" s="1" customFormat="1" ht="12.75" x14ac:dyDescent="0.2">
      <c r="B50" s="37"/>
      <c r="C50" s="38"/>
      <c r="D50" s="38"/>
      <c r="E50" s="38"/>
      <c r="F50" s="38"/>
      <c r="G50" s="38"/>
      <c r="H50" s="38"/>
      <c r="I50" s="38"/>
      <c r="J50" s="38"/>
    </row>
    <row r="51" spans="2:34" s="1" customFormat="1" ht="12.75" x14ac:dyDescent="0.2">
      <c r="B51" s="37"/>
      <c r="C51" s="38"/>
      <c r="D51" s="38"/>
      <c r="E51" s="38"/>
      <c r="F51" s="38"/>
      <c r="G51" s="38"/>
      <c r="H51" s="38"/>
      <c r="I51" s="38"/>
      <c r="J51" s="38"/>
      <c r="Y51" s="1" t="s">
        <v>808</v>
      </c>
      <c r="Z51" s="1" t="s">
        <v>809</v>
      </c>
      <c r="AA51" s="1" t="s">
        <v>810</v>
      </c>
      <c r="AB51" s="1" t="s">
        <v>811</v>
      </c>
      <c r="AD51" s="1" t="s">
        <v>811</v>
      </c>
      <c r="AE51" s="1" t="s">
        <v>812</v>
      </c>
      <c r="AF51" s="1" t="s">
        <v>813</v>
      </c>
      <c r="AG51" s="1" t="s">
        <v>814</v>
      </c>
      <c r="AH51" s="1">
        <v>5.7</v>
      </c>
    </row>
    <row r="52" spans="2:34" s="1" customFormat="1" ht="12.75" x14ac:dyDescent="0.2">
      <c r="C52" s="499" t="s">
        <v>37</v>
      </c>
      <c r="D52" s="499"/>
      <c r="E52" s="499"/>
      <c r="F52" s="499"/>
      <c r="G52" s="499"/>
      <c r="H52" s="499"/>
      <c r="Y52" s="395">
        <f>0.3*1</f>
        <v>0.3</v>
      </c>
      <c r="Z52" s="1">
        <f>0.4*1</f>
        <v>0.4</v>
      </c>
      <c r="AA52" s="1">
        <f>0.7*1</f>
        <v>0.7</v>
      </c>
      <c r="AB52" s="1">
        <f>+AE52</f>
        <v>0.35</v>
      </c>
      <c r="AC52" s="1">
        <f>+AG52</f>
        <v>7.9799999999999995</v>
      </c>
      <c r="AD52" s="1">
        <f>0.3*0.3</f>
        <v>0.09</v>
      </c>
      <c r="AE52" s="1">
        <f>0.5*0.7</f>
        <v>0.35</v>
      </c>
      <c r="AF52" s="1">
        <f>0.7*1.1</f>
        <v>0.77</v>
      </c>
      <c r="AG52" s="1">
        <f>1.4*5.7</f>
        <v>7.9799999999999995</v>
      </c>
    </row>
    <row r="53" spans="2:34" s="1" customFormat="1" ht="12.75" x14ac:dyDescent="0.2">
      <c r="C53" s="499" t="s">
        <v>38</v>
      </c>
      <c r="D53" s="499"/>
      <c r="E53" s="499"/>
      <c r="F53" s="499"/>
      <c r="G53" s="499"/>
      <c r="H53" s="499"/>
    </row>
    <row r="54" spans="2:34" s="1" customFormat="1" x14ac:dyDescent="0.25">
      <c r="C54" s="499" t="s">
        <v>39</v>
      </c>
      <c r="D54" s="499"/>
      <c r="E54" s="499"/>
      <c r="F54" s="499"/>
      <c r="G54" s="499"/>
      <c r="H54" s="499"/>
      <c r="X54" s="1" t="s">
        <v>756</v>
      </c>
      <c r="Y54" s="1">
        <v>0.5</v>
      </c>
      <c r="Z54" s="1">
        <v>0.5</v>
      </c>
      <c r="AA54" s="1">
        <v>0.5</v>
      </c>
      <c r="AB54">
        <f>+(($AB$52-$Y$52)/($Z$52-$Y$52))*(Z54-Y54)+Y54</f>
        <v>0.5</v>
      </c>
      <c r="AC54">
        <f>+(($AC$52-$AA$52)/($AB$52-$AA$52))*(AB54-AA54)+AA54</f>
        <v>0.5</v>
      </c>
      <c r="AD54" s="1">
        <v>0.5</v>
      </c>
      <c r="AE54" s="1">
        <v>0.5</v>
      </c>
      <c r="AF54" s="1">
        <v>0.5</v>
      </c>
      <c r="AG54" s="1">
        <v>0.5</v>
      </c>
    </row>
    <row r="55" spans="2:34" s="1" customFormat="1" x14ac:dyDescent="0.25">
      <c r="C55" s="500" t="s">
        <v>40</v>
      </c>
      <c r="D55" s="500"/>
      <c r="E55" s="500"/>
      <c r="F55" s="500"/>
      <c r="G55" s="500"/>
      <c r="H55" s="500"/>
      <c r="X55" s="1" t="s">
        <v>757</v>
      </c>
      <c r="Y55" s="1">
        <v>10</v>
      </c>
      <c r="Z55" s="1">
        <v>14.67</v>
      </c>
      <c r="AA55" s="1">
        <v>25.67</v>
      </c>
      <c r="AB55">
        <f>+(($AB$52-$Y$52)/($Z$52-$Y$52))*(Z55-Y55)+Y55</f>
        <v>12.334999999999999</v>
      </c>
      <c r="AC55">
        <f>+(($AC$52-$Z$52)/($AA$52-$Z$52))*(AA55-Z55)+Z55</f>
        <v>292.60333333333341</v>
      </c>
      <c r="AD55" s="1">
        <v>0.19300000000000317</v>
      </c>
      <c r="AE55" s="1">
        <v>12.334999999999999</v>
      </c>
      <c r="AF55" s="1">
        <v>28.236666666666672</v>
      </c>
      <c r="AG55" s="1">
        <v>292.60333333333341</v>
      </c>
    </row>
    <row r="56" spans="2:34" s="1" customFormat="1" x14ac:dyDescent="0.25">
      <c r="C56" s="385"/>
      <c r="D56" s="385"/>
      <c r="E56" s="385"/>
      <c r="F56" s="385"/>
      <c r="G56" s="385"/>
      <c r="H56" s="385"/>
      <c r="X56" s="1" t="s">
        <v>807</v>
      </c>
      <c r="Y56" s="1">
        <v>2.1</v>
      </c>
      <c r="Z56" s="1">
        <v>2.1</v>
      </c>
      <c r="AA56" s="1">
        <v>2.1</v>
      </c>
      <c r="AB56">
        <f>+(($AB$52-$Y$52)/($Z$52-$Y$52))*(Z56-Y56)+Y56</f>
        <v>2.1</v>
      </c>
      <c r="AC56">
        <f>+(($AC$52-$AA$52)/($AB$52-$AA$52))*(AB56-AA56)+AA56</f>
        <v>2.1</v>
      </c>
      <c r="AD56" s="1">
        <v>2.1</v>
      </c>
      <c r="AE56" s="1">
        <v>2.1</v>
      </c>
      <c r="AF56" s="1">
        <v>2.1</v>
      </c>
      <c r="AG56" s="1">
        <v>2.1</v>
      </c>
    </row>
    <row r="57" spans="2:34" s="1" customFormat="1" ht="15.75" x14ac:dyDescent="0.2">
      <c r="B57" s="501" t="s">
        <v>65</v>
      </c>
      <c r="C57" s="502"/>
      <c r="D57" s="502"/>
      <c r="E57" s="502"/>
      <c r="F57" s="502"/>
      <c r="G57" s="502"/>
      <c r="H57" s="502"/>
      <c r="I57" s="502"/>
      <c r="J57" s="503"/>
    </row>
    <row r="58" spans="2:34" s="1" customFormat="1" ht="20.25" x14ac:dyDescent="0.2">
      <c r="B58" s="543" t="s">
        <v>179</v>
      </c>
      <c r="C58" s="544"/>
      <c r="D58" s="544"/>
      <c r="E58" s="544"/>
      <c r="F58" s="544"/>
      <c r="G58" s="544"/>
      <c r="H58" s="544"/>
      <c r="I58" s="544"/>
      <c r="J58" s="545"/>
    </row>
    <row r="59" spans="2:34" s="1" customFormat="1" ht="13.5" thickBot="1" x14ac:dyDescent="0.25">
      <c r="B59" s="389"/>
      <c r="C59" s="389"/>
      <c r="D59" s="389"/>
      <c r="E59" s="389"/>
      <c r="F59" s="389"/>
      <c r="G59" s="389"/>
      <c r="H59" s="389"/>
      <c r="I59" s="389"/>
      <c r="J59" s="389"/>
    </row>
    <row r="60" spans="2:34" s="1" customFormat="1" ht="24.75" customHeight="1" x14ac:dyDescent="0.2">
      <c r="B60" s="494" t="s">
        <v>27</v>
      </c>
      <c r="C60" s="495"/>
      <c r="D60" s="495"/>
      <c r="E60" s="495"/>
      <c r="F60" s="495"/>
      <c r="G60" s="495"/>
      <c r="H60" s="495"/>
      <c r="I60" s="495"/>
      <c r="J60" s="496"/>
    </row>
    <row r="61" spans="2:34" s="1" customFormat="1" ht="12.75" x14ac:dyDescent="0.2">
      <c r="B61" s="2" t="s">
        <v>35</v>
      </c>
      <c r="C61" s="3" t="s">
        <v>36</v>
      </c>
      <c r="D61" s="3"/>
      <c r="E61" s="4"/>
      <c r="F61" s="5"/>
      <c r="G61" s="6" t="s">
        <v>8</v>
      </c>
      <c r="H61" s="497">
        <v>42879</v>
      </c>
      <c r="I61" s="497"/>
      <c r="J61" s="7"/>
    </row>
    <row r="62" spans="2:34" s="1" customFormat="1" ht="12.75" x14ac:dyDescent="0.2">
      <c r="B62" s="2" t="s">
        <v>33</v>
      </c>
      <c r="C62" s="3" t="s">
        <v>29</v>
      </c>
      <c r="D62" s="8"/>
      <c r="E62" s="8"/>
      <c r="F62" s="3"/>
      <c r="G62" s="9" t="s">
        <v>32</v>
      </c>
      <c r="H62" s="4" t="s">
        <v>29</v>
      </c>
      <c r="I62" s="10"/>
      <c r="J62" s="11"/>
    </row>
    <row r="63" spans="2:34" s="1" customFormat="1" ht="12.75" x14ac:dyDescent="0.2">
      <c r="B63" s="2" t="s">
        <v>34</v>
      </c>
      <c r="C63" s="3" t="s">
        <v>29</v>
      </c>
      <c r="D63" s="8"/>
      <c r="E63" s="8"/>
      <c r="F63" s="3"/>
      <c r="G63" s="9" t="s">
        <v>30</v>
      </c>
      <c r="H63" s="4" t="s">
        <v>31</v>
      </c>
      <c r="I63" s="10"/>
      <c r="J63" s="11"/>
    </row>
    <row r="64" spans="2:34" s="1" customFormat="1" ht="13.5" thickBot="1" x14ac:dyDescent="0.25">
      <c r="B64" s="12" t="s">
        <v>43</v>
      </c>
      <c r="C64" s="13" t="s">
        <v>44</v>
      </c>
      <c r="D64" s="14"/>
      <c r="E64" s="14"/>
      <c r="F64" s="13"/>
      <c r="G64" s="15" t="s">
        <v>41</v>
      </c>
      <c r="H64" s="16" t="s">
        <v>42</v>
      </c>
      <c r="I64" s="17"/>
      <c r="J64" s="18"/>
    </row>
    <row r="65" spans="2:10" s="1" customFormat="1" ht="12.75" x14ac:dyDescent="0.2">
      <c r="B65" s="389"/>
      <c r="C65" s="389"/>
      <c r="D65" s="389"/>
      <c r="E65" s="389"/>
      <c r="F65" s="389"/>
      <c r="G65" s="389"/>
      <c r="H65" s="389"/>
      <c r="I65" s="389"/>
      <c r="J65" s="389"/>
    </row>
    <row r="66" spans="2:10" s="1" customFormat="1" ht="12.75" x14ac:dyDescent="0.2">
      <c r="B66" s="21" t="s">
        <v>5</v>
      </c>
      <c r="C66" s="22" t="s">
        <v>0</v>
      </c>
      <c r="D66" s="22" t="s">
        <v>9</v>
      </c>
      <c r="E66" s="22" t="s">
        <v>10</v>
      </c>
      <c r="F66" s="22" t="s">
        <v>1</v>
      </c>
      <c r="G66" s="22" t="s">
        <v>2</v>
      </c>
      <c r="H66" s="22" t="s">
        <v>11</v>
      </c>
      <c r="I66" s="22" t="s">
        <v>6</v>
      </c>
      <c r="J66" s="22" t="s">
        <v>7</v>
      </c>
    </row>
    <row r="67" spans="2:10" s="1" customFormat="1" ht="12.75" x14ac:dyDescent="0.2">
      <c r="B67" s="55">
        <v>4.03</v>
      </c>
      <c r="C67" s="56" t="s">
        <v>222</v>
      </c>
      <c r="D67" s="60"/>
      <c r="E67" s="40"/>
      <c r="F67" s="40"/>
      <c r="G67" s="40"/>
      <c r="H67" s="40"/>
      <c r="I67" s="40"/>
      <c r="J67" s="41"/>
    </row>
    <row r="68" spans="2:10" s="1" customFormat="1" ht="14.25" customHeight="1" x14ac:dyDescent="0.2">
      <c r="B68" s="57" t="s">
        <v>14</v>
      </c>
      <c r="C68" s="58" t="s">
        <v>225</v>
      </c>
      <c r="D68" s="60"/>
      <c r="E68" s="40"/>
      <c r="F68" s="40"/>
      <c r="G68" s="40"/>
      <c r="H68" s="40"/>
      <c r="I68" s="40"/>
      <c r="J68" s="41"/>
    </row>
    <row r="69" spans="2:10" s="1" customFormat="1" ht="12.75" x14ac:dyDescent="0.2">
      <c r="B69" s="43" t="s">
        <v>15</v>
      </c>
      <c r="C69" s="43" t="s">
        <v>269</v>
      </c>
      <c r="D69" s="60"/>
      <c r="E69" s="40"/>
      <c r="F69" s="40"/>
      <c r="G69" s="40"/>
      <c r="H69" s="40"/>
      <c r="I69" s="44">
        <f>SUM(H70:H70)</f>
        <v>0</v>
      </c>
      <c r="J69" s="45">
        <f>+J70</f>
        <v>0</v>
      </c>
    </row>
    <row r="70" spans="2:10" s="1" customFormat="1" ht="12.75" x14ac:dyDescent="0.2">
      <c r="B70" s="57"/>
      <c r="C70" s="39"/>
      <c r="D70" s="40"/>
      <c r="E70" s="40"/>
      <c r="F70" s="40"/>
      <c r="G70" s="40"/>
      <c r="H70" s="40"/>
      <c r="I70" s="40"/>
      <c r="J70" s="41"/>
    </row>
    <row r="71" spans="2:10" s="1" customFormat="1" ht="12.75" x14ac:dyDescent="0.2">
      <c r="B71" s="43" t="s">
        <v>232</v>
      </c>
      <c r="C71" s="43" t="s">
        <v>348</v>
      </c>
      <c r="D71" s="60"/>
      <c r="E71" s="40"/>
      <c r="F71" s="40"/>
      <c r="G71" s="40"/>
      <c r="H71" s="40"/>
      <c r="I71" s="44">
        <f>SUM(H72:H72)</f>
        <v>3</v>
      </c>
      <c r="J71" s="45" t="str">
        <f>+J72</f>
        <v>und</v>
      </c>
    </row>
    <row r="72" spans="2:10" s="1" customFormat="1" ht="12.75" x14ac:dyDescent="0.2">
      <c r="B72" s="57"/>
      <c r="C72" s="39" t="s">
        <v>349</v>
      </c>
      <c r="D72" s="40">
        <v>3</v>
      </c>
      <c r="E72" s="40"/>
      <c r="F72" s="40"/>
      <c r="G72" s="40"/>
      <c r="H72" s="40">
        <f>+D72</f>
        <v>3</v>
      </c>
      <c r="I72" s="40"/>
      <c r="J72" s="41" t="s">
        <v>13</v>
      </c>
    </row>
    <row r="73" spans="2:10" s="1" customFormat="1" ht="12.75" x14ac:dyDescent="0.2">
      <c r="B73" s="57" t="s">
        <v>16</v>
      </c>
      <c r="C73" s="58" t="s">
        <v>224</v>
      </c>
      <c r="D73" s="60"/>
      <c r="E73" s="40"/>
      <c r="F73" s="40"/>
      <c r="G73" s="40"/>
      <c r="H73" s="40"/>
      <c r="I73" s="40"/>
      <c r="J73" s="41"/>
    </row>
    <row r="74" spans="2:10" s="1" customFormat="1" ht="12.75" x14ac:dyDescent="0.2">
      <c r="B74" s="43" t="s">
        <v>17</v>
      </c>
      <c r="C74" s="43" t="s">
        <v>343</v>
      </c>
      <c r="D74" s="60"/>
      <c r="E74" s="40"/>
      <c r="F74" s="40"/>
      <c r="G74" s="40"/>
      <c r="H74" s="40"/>
      <c r="I74" s="44">
        <f>SUM(H75:H75)</f>
        <v>0</v>
      </c>
      <c r="J74" s="45" t="str">
        <f>+J75</f>
        <v>ml</v>
      </c>
    </row>
    <row r="75" spans="2:10" s="1" customFormat="1" ht="12.75" x14ac:dyDescent="0.2">
      <c r="B75" s="57"/>
      <c r="C75" s="39" t="s">
        <v>344</v>
      </c>
      <c r="D75" s="40"/>
      <c r="E75" s="40"/>
      <c r="F75" s="40"/>
      <c r="G75" s="40"/>
      <c r="H75" s="40">
        <f>IF(AND(F75=0,G75=0),D75*E75,IF(AND(E75=0,G75=0),D75*F75,IF(AND(E75=0,F75=0),D75*G75,IF(AND(E75=0),D75*F75*G75,IF(AND(F75=0),D75*E75*G75,IF(AND(G75=0),D75*E75*F75,D75*E75*F75*G75))))))</f>
        <v>0</v>
      </c>
      <c r="I75" s="40"/>
      <c r="J75" s="41" t="str">
        <f>IF(AND(E75=0,F75&lt;&gt;0,G75&lt;&gt;0),"m2",IF(AND(F75=0,E75&lt;&gt;0,G75&lt;&gt;0),"m2",IF(AND(G75=0,E75&lt;&gt;0,F75&lt;&gt;0),"m2",IF(AND(F75=0,G75=0),"ml",IF(AND(E75=0,G75=0),"ml",IF(AND(E75=0,F75=0),"ml",IF(AND(E75&lt;&gt;0,F75&lt;&gt;0,G75&lt;&gt;0),"m3",0)))))))</f>
        <v>ml</v>
      </c>
    </row>
    <row r="76" spans="2:10" s="1" customFormat="1" ht="12.75" x14ac:dyDescent="0.2">
      <c r="B76" s="43" t="s">
        <v>240</v>
      </c>
      <c r="C76" s="43" t="s">
        <v>237</v>
      </c>
      <c r="D76" s="60"/>
      <c r="E76" s="40"/>
      <c r="F76" s="40"/>
      <c r="G76" s="40"/>
      <c r="H76" s="40"/>
      <c r="I76" s="44">
        <f>SUM(H77:H77)</f>
        <v>0</v>
      </c>
      <c r="J76" s="45" t="s">
        <v>345</v>
      </c>
    </row>
    <row r="77" spans="2:10" s="1" customFormat="1" ht="12.75" x14ac:dyDescent="0.2">
      <c r="B77" s="57"/>
      <c r="C77" s="39"/>
      <c r="D77" s="40"/>
      <c r="E77" s="40"/>
      <c r="F77" s="40"/>
      <c r="G77" s="40"/>
      <c r="H77" s="40">
        <f>IF(AND(F77=0,G77=0),D77*E77,IF(AND(E77=0,G77=0),D77*F77,IF(AND(E77=0,F77=0),D77*G77,IF(AND(E77=0),D77*F77*G77,IF(AND(F77=0),D77*E77*G77,IF(AND(G77=0),D77*E77*F77,D77*E77*F77*G77))))))</f>
        <v>0</v>
      </c>
      <c r="I77" s="40"/>
      <c r="J77" s="41"/>
    </row>
    <row r="78" spans="2:10" s="1" customFormat="1" ht="12.75" x14ac:dyDescent="0.2">
      <c r="B78" s="43" t="s">
        <v>241</v>
      </c>
      <c r="C78" s="43" t="s">
        <v>242</v>
      </c>
      <c r="D78" s="60"/>
      <c r="E78" s="40"/>
      <c r="F78" s="40"/>
      <c r="G78" s="40"/>
      <c r="H78" s="40"/>
      <c r="I78" s="44">
        <f>SUM(H79:H79)</f>
        <v>0</v>
      </c>
      <c r="J78" s="45" t="str">
        <f>+J79</f>
        <v>ml</v>
      </c>
    </row>
    <row r="79" spans="2:10" s="1" customFormat="1" ht="12.75" x14ac:dyDescent="0.2">
      <c r="B79" s="57"/>
      <c r="C79" s="39"/>
      <c r="D79" s="40"/>
      <c r="E79" s="40"/>
      <c r="F79" s="40"/>
      <c r="G79" s="40"/>
      <c r="H79" s="40">
        <f>IF(AND(F79=0,G79=0),D79*E79,IF(AND(E79=0,G79=0),D79*F79,IF(AND(E79=0,F79=0),D79*G79,IF(AND(E79=0),D79*F79*G79,IF(AND(F79=0),D79*E79*G79,IF(AND(G79=0),D79*E79*F79,D79*E79*F79*G79))))))</f>
        <v>0</v>
      </c>
      <c r="I79" s="40"/>
      <c r="J79" s="41" t="str">
        <f>IF(AND(E79=0,F79&lt;&gt;0,G79&lt;&gt;0),"m2",IF(AND(F79=0,E79&lt;&gt;0,G79&lt;&gt;0),"m2",IF(AND(G79=0,E79&lt;&gt;0,F79&lt;&gt;0),"m2",IF(AND(F79=0,G79=0),"ml",IF(AND(E79=0,G79=0),"ml",IF(AND(E79=0,F79=0),"ml",IF(AND(E79&lt;&gt;0,F79&lt;&gt;0,G79&lt;&gt;0),"m3",0)))))))</f>
        <v>ml</v>
      </c>
    </row>
    <row r="80" spans="2:10" s="1" customFormat="1" ht="12.75" x14ac:dyDescent="0.2">
      <c r="B80" s="57"/>
      <c r="C80" s="85"/>
      <c r="D80" s="8"/>
      <c r="E80" s="86"/>
      <c r="F80" s="40"/>
      <c r="G80" s="40"/>
      <c r="H80" s="40"/>
      <c r="I80" s="40"/>
      <c r="J80" s="41"/>
    </row>
    <row r="81" spans="2:10" s="1" customFormat="1" ht="12.75" x14ac:dyDescent="0.2">
      <c r="B81" s="43" t="s">
        <v>243</v>
      </c>
      <c r="C81" s="43" t="s">
        <v>245</v>
      </c>
      <c r="D81" s="60"/>
      <c r="F81" s="40"/>
      <c r="G81" s="40"/>
      <c r="H81" s="40"/>
      <c r="I81" s="44">
        <f>SUM(H82:H82)</f>
        <v>0</v>
      </c>
      <c r="J81" s="45">
        <f>+J82</f>
        <v>0</v>
      </c>
    </row>
    <row r="82" spans="2:10" s="1" customFormat="1" ht="12.75" x14ac:dyDescent="0.2">
      <c r="B82" s="57"/>
      <c r="C82" s="39"/>
      <c r="D82" s="60"/>
      <c r="E82" s="40"/>
      <c r="F82" s="40"/>
      <c r="H82" s="40">
        <f>IF(AND(F82=0,G83=0),D82*E82,IF(AND(E82=0,G83=0),D82*F82,IF(AND(E82=0,F82=0),D82*G83,IF(AND(E82=0),D82*F82*G83,IF(AND(F82=0),D82*E82*G83,IF(AND(G83=0),D82*E82*F82,D82*E82*F82*G83))))))</f>
        <v>0</v>
      </c>
      <c r="I82" s="40"/>
      <c r="J82" s="41"/>
    </row>
    <row r="83" spans="2:10" s="1" customFormat="1" ht="12.75" x14ac:dyDescent="0.2">
      <c r="B83" s="43" t="s">
        <v>244</v>
      </c>
      <c r="C83" s="43" t="s">
        <v>247</v>
      </c>
      <c r="D83" s="60"/>
      <c r="E83" s="40"/>
      <c r="F83" s="40"/>
      <c r="G83" s="40"/>
      <c r="H83" s="40"/>
      <c r="I83" s="44">
        <f>SUM(H84:H84)</f>
        <v>0</v>
      </c>
      <c r="J83" s="45" t="str">
        <f>+J84</f>
        <v>ml</v>
      </c>
    </row>
    <row r="84" spans="2:10" s="1" customFormat="1" ht="12.75" x14ac:dyDescent="0.2">
      <c r="B84" s="57"/>
      <c r="C84" s="39"/>
      <c r="D84" s="40"/>
      <c r="E84" s="40"/>
      <c r="F84" s="40"/>
      <c r="G84" s="40"/>
      <c r="H84" s="40">
        <f>IF(AND(F84=0,G84=0),D84*E84,IF(AND(E84=0,G84=0),D84*F84,IF(AND(E84=0,F84=0),D84*G84,IF(AND(E84=0),D84*F84*G84,IF(AND(F84=0),D84*E84*G84,IF(AND(G84=0),D84*E84*F84,D84*E84*F84*G84))))))</f>
        <v>0</v>
      </c>
      <c r="I84" s="40"/>
      <c r="J84" s="41" t="str">
        <f>IF(AND(E84=0,F84&lt;&gt;0,G84&lt;&gt;0),"m2",IF(AND(F84=0,E84&lt;&gt;0,G84&lt;&gt;0),"m2",IF(AND(G84=0,E84&lt;&gt;0,F84&lt;&gt;0),"m2",IF(AND(F84=0,G84=0),"ml",IF(AND(E84=0,G84=0),"ml",IF(AND(E84=0,F84=0),"ml",IF(AND(E84&lt;&gt;0,F84&lt;&gt;0,G84&lt;&gt;0),"m3",0)))))))</f>
        <v>ml</v>
      </c>
    </row>
    <row r="85" spans="2:10" s="1" customFormat="1" ht="12.75" x14ac:dyDescent="0.2">
      <c r="B85" s="43" t="s">
        <v>248</v>
      </c>
      <c r="C85" s="43" t="s">
        <v>226</v>
      </c>
      <c r="D85" s="60"/>
      <c r="E85" s="40"/>
      <c r="F85" s="40"/>
      <c r="G85" s="40"/>
      <c r="H85" s="40"/>
      <c r="I85" s="44">
        <f>+SUM(H86:H87)</f>
        <v>1.4</v>
      </c>
      <c r="J85" s="45" t="s">
        <v>345</v>
      </c>
    </row>
    <row r="86" spans="2:10" s="1" customFormat="1" ht="12.75" x14ac:dyDescent="0.2">
      <c r="B86" s="57"/>
      <c r="C86" s="39" t="s">
        <v>447</v>
      </c>
      <c r="D86" s="40">
        <v>1</v>
      </c>
      <c r="E86" s="40">
        <v>0.7</v>
      </c>
      <c r="F86" s="40"/>
      <c r="G86" s="40"/>
      <c r="H86" s="40">
        <f>IF(AND(F86=0,G86=0),D86*E86,IF(AND(E86=0,G86=0),D86*F86,IF(AND(E86=0,F86=0),D86*G86,IF(AND(E86=0),D86*F86*G86,IF(AND(F86=0),D86*E86*G86,IF(AND(G86=0),D86*E86*F86,D86*E86*F86*G86))))))</f>
        <v>0.7</v>
      </c>
      <c r="I86" s="40"/>
      <c r="J86" s="41"/>
    </row>
    <row r="87" spans="2:10" x14ac:dyDescent="0.25">
      <c r="C87" s="39" t="s">
        <v>413</v>
      </c>
      <c r="D87" s="40">
        <v>1</v>
      </c>
      <c r="E87" s="40">
        <v>0.7</v>
      </c>
      <c r="F87" s="40"/>
      <c r="G87" s="40"/>
      <c r="H87" s="40">
        <f>IF(AND(F87=0,G87=0),D87*E87,IF(AND(E87=0,G87=0),D87*F87,IF(AND(E87=0,F87=0),D87*G87,IF(AND(E87=0),D87*F87*G87,IF(AND(F87=0),D87*E87*G87,IF(AND(G87=0),D87*E87*F87,D87*E87*F87*G87))))))</f>
        <v>0.7</v>
      </c>
    </row>
    <row r="88" spans="2:10" s="1" customFormat="1" ht="12.75" x14ac:dyDescent="0.2">
      <c r="B88" s="57"/>
      <c r="C88" s="39"/>
      <c r="D88" s="60"/>
      <c r="E88" s="40"/>
      <c r="F88" s="40"/>
      <c r="G88" s="40"/>
      <c r="H88" s="40"/>
      <c r="I88" s="40"/>
      <c r="J88" s="41"/>
    </row>
    <row r="89" spans="2:10" s="1" customFormat="1" ht="12.75" x14ac:dyDescent="0.2">
      <c r="B89" s="43" t="s">
        <v>249</v>
      </c>
      <c r="C89" s="43" t="s">
        <v>228</v>
      </c>
      <c r="D89" s="60"/>
      <c r="E89" s="40"/>
      <c r="F89" s="40"/>
      <c r="G89" s="40"/>
      <c r="H89" s="40"/>
      <c r="I89" s="44">
        <f>SUM(H90)</f>
        <v>0</v>
      </c>
      <c r="J89" s="45" t="s">
        <v>345</v>
      </c>
    </row>
    <row r="90" spans="2:10" s="1" customFormat="1" ht="12.75" x14ac:dyDescent="0.2">
      <c r="B90" s="43"/>
      <c r="C90" s="39"/>
      <c r="D90" s="60"/>
      <c r="E90" s="40"/>
      <c r="F90" s="40"/>
      <c r="G90" s="40"/>
      <c r="H90" s="40">
        <v>0</v>
      </c>
      <c r="I90" s="44"/>
      <c r="J90" s="45"/>
    </row>
    <row r="91" spans="2:10" s="1" customFormat="1" ht="12.75" x14ac:dyDescent="0.2">
      <c r="B91" s="43" t="s">
        <v>256</v>
      </c>
      <c r="C91" s="43" t="s">
        <v>250</v>
      </c>
      <c r="D91" s="60"/>
      <c r="E91" s="40"/>
      <c r="F91" s="40"/>
      <c r="G91" s="40"/>
      <c r="H91" s="40"/>
      <c r="I91" s="44">
        <f>SUM(H92:H92)</f>
        <v>0</v>
      </c>
      <c r="J91" s="45" t="str">
        <f>+J92</f>
        <v>ml</v>
      </c>
    </row>
    <row r="92" spans="2:10" s="1" customFormat="1" ht="12.75" x14ac:dyDescent="0.2">
      <c r="B92" s="57"/>
      <c r="C92" s="39"/>
      <c r="D92" s="40"/>
      <c r="F92" s="40"/>
      <c r="G92" s="40"/>
      <c r="H92" s="40">
        <f>IF(AND(F92=0,G92=0),D92*E93,IF(AND(E93=0,G92=0),D92*F92,IF(AND(E93=0,F92=0),D92*G92,IF(AND(E93=0),D92*F92*G92,IF(AND(F92=0),D92*E93*G92,IF(AND(G92=0),D92*E93*F92,D92*E93*F92*G92))))))</f>
        <v>0</v>
      </c>
      <c r="I92" s="40"/>
      <c r="J92" s="41" t="str">
        <f>IF(AND(E93=0,F92&lt;&gt;0,G92&lt;&gt;0),"m2",IF(AND(F92=0,E93&lt;&gt;0,G92&lt;&gt;0),"m2",IF(AND(G92=0,E93&lt;&gt;0,F92&lt;&gt;0),"m2",IF(AND(F92=0,G92=0),"ml",IF(AND(E93=0,G92=0),"ml",IF(AND(E93=0,F92=0),"ml",IF(AND(E93&lt;&gt;0,F92&lt;&gt;0,G92&lt;&gt;0),"m3",0)))))))</f>
        <v>ml</v>
      </c>
    </row>
    <row r="93" spans="2:10" s="1" customFormat="1" ht="12.75" x14ac:dyDescent="0.2">
      <c r="B93" s="43" t="s">
        <v>257</v>
      </c>
      <c r="C93" s="43" t="s">
        <v>252</v>
      </c>
      <c r="D93" s="60"/>
      <c r="E93" s="40"/>
      <c r="F93" s="40"/>
      <c r="G93" s="40"/>
      <c r="H93" s="40"/>
      <c r="I93" s="44">
        <f>SUM(H94:H94)</f>
        <v>0</v>
      </c>
      <c r="J93" s="45" t="str">
        <f>+J94</f>
        <v>ml</v>
      </c>
    </row>
    <row r="94" spans="2:10" s="1" customFormat="1" ht="12.75" x14ac:dyDescent="0.2">
      <c r="B94" s="57"/>
      <c r="C94" s="39"/>
      <c r="D94" s="40"/>
      <c r="E94" s="40"/>
      <c r="F94" s="40"/>
      <c r="G94" s="40"/>
      <c r="H94" s="40">
        <f>IF(AND(F94=0,G94=0),D94*E94,IF(AND(E94=0,G94=0),D94*F94,IF(AND(E94=0,F94=0),D94*G94,IF(AND(E94=0),D94*F94*G94,IF(AND(F94=0),D94*E94*G94,IF(AND(G94=0),D94*E94*F94,D94*E94*F94*G94))))))</f>
        <v>0</v>
      </c>
      <c r="I94" s="40"/>
      <c r="J94" s="41" t="str">
        <f>IF(AND(E94=0,F94&lt;&gt;0,G94&lt;&gt;0),"m2",IF(AND(F94=0,E94&lt;&gt;0,G94&lt;&gt;0),"m2",IF(AND(G94=0,E94&lt;&gt;0,F94&lt;&gt;0),"m2",IF(AND(F94=0,G94=0),"ml",IF(AND(E94=0,G94=0),"ml",IF(AND(E94=0,F94=0),"ml",IF(AND(E94&lt;&gt;0,F94&lt;&gt;0,G94&lt;&gt;0),"m3",0)))))))</f>
        <v>ml</v>
      </c>
    </row>
    <row r="95" spans="2:10" s="1" customFormat="1" ht="12.75" x14ac:dyDescent="0.2">
      <c r="B95" s="43" t="s">
        <v>258</v>
      </c>
      <c r="C95" s="43" t="s">
        <v>253</v>
      </c>
      <c r="D95" s="60"/>
      <c r="E95" s="40"/>
      <c r="F95" s="40"/>
      <c r="G95" s="40"/>
      <c r="H95" s="40"/>
      <c r="I95" s="44">
        <f>SUM(H96:H101)</f>
        <v>0</v>
      </c>
      <c r="J95" s="45" t="s">
        <v>13</v>
      </c>
    </row>
    <row r="96" spans="2:10" s="1" customFormat="1" ht="12.75" x14ac:dyDescent="0.2">
      <c r="B96" s="43"/>
      <c r="C96" s="39" t="s">
        <v>374</v>
      </c>
      <c r="D96" s="40"/>
      <c r="E96" s="40"/>
      <c r="F96" s="40"/>
      <c r="G96" s="40"/>
      <c r="H96" s="40">
        <f t="shared" ref="H96:H101" si="3">+D96</f>
        <v>0</v>
      </c>
      <c r="I96" s="40"/>
      <c r="J96" s="41" t="s">
        <v>13</v>
      </c>
    </row>
    <row r="97" spans="2:10" s="1" customFormat="1" ht="12.75" x14ac:dyDescent="0.2">
      <c r="B97" s="43"/>
      <c r="C97" s="39" t="s">
        <v>391</v>
      </c>
      <c r="D97" s="40"/>
      <c r="E97" s="40"/>
      <c r="F97" s="40"/>
      <c r="G97" s="40"/>
      <c r="H97" s="40">
        <f t="shared" si="3"/>
        <v>0</v>
      </c>
      <c r="I97" s="40"/>
      <c r="J97" s="41"/>
    </row>
    <row r="98" spans="2:10" s="1" customFormat="1" ht="12.75" x14ac:dyDescent="0.2">
      <c r="B98" s="43"/>
      <c r="C98" s="39" t="s">
        <v>393</v>
      </c>
      <c r="D98" s="40"/>
      <c r="E98" s="40"/>
      <c r="F98" s="40"/>
      <c r="G98" s="40"/>
      <c r="H98" s="40">
        <f t="shared" si="3"/>
        <v>0</v>
      </c>
      <c r="I98" s="40"/>
      <c r="J98" s="41"/>
    </row>
    <row r="99" spans="2:10" s="1" customFormat="1" ht="12.75" x14ac:dyDescent="0.2">
      <c r="B99" s="43"/>
      <c r="C99" s="39" t="s">
        <v>412</v>
      </c>
      <c r="D99" s="40"/>
      <c r="E99" s="40"/>
      <c r="F99" s="40"/>
      <c r="G99" s="40"/>
      <c r="H99" s="40">
        <f t="shared" si="3"/>
        <v>0</v>
      </c>
      <c r="I99" s="40"/>
      <c r="J99" s="41"/>
    </row>
    <row r="100" spans="2:10" s="1" customFormat="1" ht="12.75" x14ac:dyDescent="0.2">
      <c r="B100" s="43"/>
      <c r="C100" s="39" t="s">
        <v>381</v>
      </c>
      <c r="D100" s="60"/>
      <c r="E100" s="40"/>
      <c r="F100" s="40"/>
      <c r="G100" s="40"/>
      <c r="H100" s="40">
        <f t="shared" si="3"/>
        <v>0</v>
      </c>
      <c r="I100" s="40"/>
      <c r="J100" s="41"/>
    </row>
    <row r="101" spans="2:10" s="1" customFormat="1" ht="12.75" x14ac:dyDescent="0.2">
      <c r="B101" s="43"/>
      <c r="C101" s="39" t="s">
        <v>382</v>
      </c>
      <c r="D101" s="40"/>
      <c r="E101" s="40"/>
      <c r="F101" s="40"/>
      <c r="G101" s="40"/>
      <c r="H101" s="40">
        <f t="shared" si="3"/>
        <v>0</v>
      </c>
      <c r="I101" s="40"/>
      <c r="J101" s="41"/>
    </row>
    <row r="102" spans="2:10" s="1" customFormat="1" ht="12.75" x14ac:dyDescent="0.2">
      <c r="B102" s="43"/>
      <c r="C102" s="39"/>
      <c r="D102" s="60"/>
      <c r="E102" s="40"/>
      <c r="F102" s="40"/>
      <c r="G102" s="40"/>
      <c r="H102" s="40"/>
      <c r="I102" s="40"/>
      <c r="J102" s="41"/>
    </row>
    <row r="103" spans="2:10" s="1" customFormat="1" ht="12.75" x14ac:dyDescent="0.2">
      <c r="B103" s="43" t="s">
        <v>259</v>
      </c>
      <c r="C103" s="43" t="s">
        <v>254</v>
      </c>
      <c r="D103" s="60"/>
      <c r="E103" s="40"/>
      <c r="F103" s="40"/>
      <c r="G103" s="40"/>
      <c r="H103" s="40"/>
      <c r="I103" s="44">
        <f>SUM(H104:H105)</f>
        <v>0</v>
      </c>
      <c r="J103" s="45" t="str">
        <f>+J104</f>
        <v>und</v>
      </c>
    </row>
    <row r="104" spans="2:10" s="1" customFormat="1" ht="12.75" x14ac:dyDescent="0.2">
      <c r="B104" s="57"/>
      <c r="C104" s="39"/>
      <c r="D104" s="40"/>
      <c r="E104" s="40"/>
      <c r="F104" s="40"/>
      <c r="G104" s="40"/>
      <c r="H104" s="40">
        <f>+D104</f>
        <v>0</v>
      </c>
      <c r="I104" s="40"/>
      <c r="J104" s="41" t="s">
        <v>13</v>
      </c>
    </row>
    <row r="105" spans="2:10" s="1" customFormat="1" ht="12.75" x14ac:dyDescent="0.2">
      <c r="B105" s="57"/>
      <c r="C105" s="39"/>
      <c r="D105" s="40"/>
      <c r="E105" s="40"/>
      <c r="F105" s="40"/>
      <c r="G105" s="40"/>
      <c r="H105" s="40">
        <f>+D105</f>
        <v>0</v>
      </c>
      <c r="I105" s="40"/>
      <c r="J105" s="41"/>
    </row>
    <row r="106" spans="2:10" s="1" customFormat="1" ht="12.75" x14ac:dyDescent="0.2">
      <c r="B106" s="57"/>
      <c r="C106" s="39"/>
      <c r="D106" s="60"/>
      <c r="E106" s="40"/>
      <c r="F106" s="40"/>
      <c r="G106" s="40"/>
      <c r="H106" s="40"/>
      <c r="I106" s="40"/>
      <c r="J106" s="41"/>
    </row>
    <row r="107" spans="2:10" s="1" customFormat="1" ht="12.75" x14ac:dyDescent="0.2">
      <c r="B107" s="57" t="s">
        <v>18</v>
      </c>
      <c r="C107" s="58" t="s">
        <v>223</v>
      </c>
      <c r="D107" s="60"/>
      <c r="E107" s="40"/>
      <c r="F107" s="40"/>
      <c r="G107" s="40"/>
      <c r="H107" s="40"/>
      <c r="I107" s="40"/>
      <c r="J107" s="41"/>
    </row>
    <row r="108" spans="2:10" s="1" customFormat="1" ht="12.75" x14ac:dyDescent="0.2">
      <c r="B108" s="43" t="s">
        <v>19</v>
      </c>
      <c r="C108" s="43" t="s">
        <v>265</v>
      </c>
      <c r="D108" s="60"/>
      <c r="E108" s="40"/>
      <c r="F108" s="40"/>
      <c r="G108" s="40"/>
      <c r="H108" s="40"/>
      <c r="I108" s="44">
        <f>SUM(H109:H110)</f>
        <v>5</v>
      </c>
      <c r="J108" s="45" t="str">
        <f>+J109</f>
        <v>und</v>
      </c>
    </row>
    <row r="109" spans="2:10" s="1" customFormat="1" ht="12.75" x14ac:dyDescent="0.2">
      <c r="B109" s="46"/>
      <c r="C109" s="39" t="s">
        <v>231</v>
      </c>
      <c r="D109" s="40">
        <v>3</v>
      </c>
      <c r="E109" s="40"/>
      <c r="F109" s="40"/>
      <c r="G109" s="40"/>
      <c r="H109" s="40">
        <f>+D109</f>
        <v>3</v>
      </c>
      <c r="I109" s="40"/>
      <c r="J109" s="41" t="s">
        <v>13</v>
      </c>
    </row>
    <row r="110" spans="2:10" s="1" customFormat="1" ht="12.75" x14ac:dyDescent="0.2">
      <c r="B110" s="46"/>
      <c r="C110" s="39" t="s">
        <v>476</v>
      </c>
      <c r="D110" s="60">
        <v>2</v>
      </c>
      <c r="E110" s="40"/>
      <c r="F110" s="40"/>
      <c r="G110" s="40"/>
      <c r="H110" s="40">
        <f>+D110</f>
        <v>2</v>
      </c>
      <c r="I110" s="40"/>
      <c r="J110" s="41"/>
    </row>
    <row r="111" spans="2:10" s="1" customFormat="1" ht="12.75" x14ac:dyDescent="0.2">
      <c r="B111" s="43" t="s">
        <v>20</v>
      </c>
      <c r="C111" s="43" t="s">
        <v>266</v>
      </c>
      <c r="D111" s="60"/>
      <c r="E111" s="40"/>
      <c r="F111" s="40"/>
      <c r="G111" s="40"/>
      <c r="H111" s="40"/>
      <c r="I111" s="44">
        <f>SUM(H112:H112)</f>
        <v>0</v>
      </c>
      <c r="J111" s="45" t="s">
        <v>13</v>
      </c>
    </row>
    <row r="112" spans="2:10" s="1" customFormat="1" ht="12.75" x14ac:dyDescent="0.2">
      <c r="B112" s="43"/>
      <c r="C112" s="43"/>
      <c r="D112" s="60"/>
      <c r="E112" s="40"/>
      <c r="F112" s="40"/>
      <c r="G112" s="40"/>
      <c r="H112" s="40">
        <f>+D112</f>
        <v>0</v>
      </c>
      <c r="I112" s="44"/>
      <c r="J112" s="45"/>
    </row>
    <row r="113" spans="2:10" s="1" customFormat="1" ht="12.75" x14ac:dyDescent="0.2">
      <c r="B113" s="43" t="s">
        <v>21</v>
      </c>
      <c r="C113" s="43" t="s">
        <v>357</v>
      </c>
      <c r="D113" s="60"/>
      <c r="E113" s="40"/>
      <c r="F113" s="40"/>
      <c r="G113" s="40"/>
      <c r="H113" s="40"/>
      <c r="I113" s="44">
        <f>SUM(H114:H114)</f>
        <v>0</v>
      </c>
      <c r="J113" s="45">
        <f>+J114</f>
        <v>0</v>
      </c>
    </row>
    <row r="114" spans="2:10" s="1" customFormat="1" ht="12.75" x14ac:dyDescent="0.2">
      <c r="B114" s="43"/>
      <c r="C114" s="39"/>
      <c r="D114" s="40"/>
      <c r="E114" s="40"/>
      <c r="F114" s="40"/>
      <c r="G114" s="40"/>
      <c r="H114" s="40">
        <f>+D114</f>
        <v>0</v>
      </c>
      <c r="I114" s="40"/>
      <c r="J114" s="41"/>
    </row>
    <row r="115" spans="2:10" s="1" customFormat="1" ht="12.75" x14ac:dyDescent="0.2">
      <c r="B115" s="43" t="s">
        <v>273</v>
      </c>
      <c r="C115" s="43" t="s">
        <v>263</v>
      </c>
      <c r="D115" s="60"/>
      <c r="E115" s="40"/>
      <c r="F115" s="40"/>
      <c r="G115" s="40"/>
      <c r="H115" s="40"/>
      <c r="I115" s="44">
        <f>SUM(H116:H116)</f>
        <v>0</v>
      </c>
      <c r="J115" s="45" t="str">
        <f>+J116</f>
        <v>und</v>
      </c>
    </row>
    <row r="116" spans="2:10" s="1" customFormat="1" ht="12.75" x14ac:dyDescent="0.2">
      <c r="B116" s="46"/>
      <c r="C116" s="39"/>
      <c r="D116" s="40"/>
      <c r="E116" s="40"/>
      <c r="F116" s="40"/>
      <c r="G116" s="40"/>
      <c r="H116" s="40">
        <f>+D116</f>
        <v>0</v>
      </c>
      <c r="I116" s="40"/>
      <c r="J116" s="41" t="s">
        <v>13</v>
      </c>
    </row>
    <row r="117" spans="2:10" s="1" customFormat="1" ht="12.75" x14ac:dyDescent="0.2">
      <c r="B117" s="43" t="s">
        <v>274</v>
      </c>
      <c r="C117" s="43" t="s">
        <v>264</v>
      </c>
      <c r="D117" s="60"/>
      <c r="E117" s="40"/>
      <c r="F117" s="40"/>
      <c r="G117" s="40"/>
      <c r="H117" s="40"/>
      <c r="I117" s="44">
        <f>SUM(H118:H118)</f>
        <v>0</v>
      </c>
      <c r="J117" s="45">
        <f>+J118</f>
        <v>0</v>
      </c>
    </row>
    <row r="118" spans="2:10" s="1" customFormat="1" ht="12.75" x14ac:dyDescent="0.2">
      <c r="B118" s="46"/>
      <c r="C118" s="39"/>
      <c r="D118" s="40"/>
      <c r="E118" s="40"/>
      <c r="F118" s="40"/>
      <c r="G118" s="40"/>
      <c r="H118" s="40">
        <f>+D118</f>
        <v>0</v>
      </c>
      <c r="I118" s="40"/>
      <c r="J118" s="41"/>
    </row>
    <row r="119" spans="2:10" s="1" customFormat="1" ht="12.75" x14ac:dyDescent="0.2">
      <c r="B119" s="46"/>
      <c r="C119" s="59"/>
      <c r="D119" s="60"/>
      <c r="E119" s="40"/>
      <c r="F119" s="40"/>
      <c r="G119" s="40"/>
      <c r="H119" s="40"/>
      <c r="I119" s="40"/>
      <c r="J119" s="41"/>
    </row>
    <row r="120" spans="2:10" s="1" customFormat="1" ht="12.75" x14ac:dyDescent="0.2">
      <c r="B120" s="46"/>
      <c r="C120" s="59"/>
      <c r="D120" s="60"/>
      <c r="E120" s="40"/>
      <c r="F120" s="40"/>
      <c r="G120" s="40"/>
      <c r="H120" s="40"/>
      <c r="I120" s="40"/>
      <c r="J120" s="41"/>
    </row>
    <row r="121" spans="2:10" s="1" customFormat="1" ht="12.75" x14ac:dyDescent="0.2">
      <c r="B121" s="46"/>
      <c r="C121" s="59"/>
      <c r="D121" s="60"/>
      <c r="E121" s="40"/>
      <c r="F121" s="40"/>
      <c r="G121" s="40"/>
      <c r="H121" s="40"/>
      <c r="I121" s="40"/>
      <c r="J121" s="41"/>
    </row>
    <row r="122" spans="2:10" s="1" customFormat="1" ht="12.75" x14ac:dyDescent="0.2">
      <c r="B122" s="46"/>
      <c r="C122" s="59"/>
      <c r="D122" s="60"/>
      <c r="E122" s="40"/>
      <c r="F122" s="40"/>
      <c r="G122" s="40"/>
      <c r="H122" s="40"/>
      <c r="I122" s="40"/>
      <c r="J122" s="41"/>
    </row>
    <row r="123" spans="2:10" s="1" customFormat="1" ht="12.75" x14ac:dyDescent="0.2">
      <c r="B123" s="46"/>
      <c r="C123" s="59"/>
      <c r="D123" s="60"/>
      <c r="E123" s="40"/>
      <c r="F123" s="40"/>
      <c r="G123" s="40"/>
      <c r="H123" s="40"/>
      <c r="I123" s="40"/>
      <c r="J123" s="41"/>
    </row>
    <row r="124" spans="2:10" s="1" customFormat="1" ht="12.75" x14ac:dyDescent="0.2">
      <c r="B124" s="46"/>
      <c r="C124" s="59"/>
      <c r="D124" s="60"/>
      <c r="E124" s="40"/>
      <c r="F124" s="40"/>
      <c r="G124" s="40"/>
      <c r="H124" s="40"/>
      <c r="I124" s="40"/>
      <c r="J124" s="41"/>
    </row>
    <row r="125" spans="2:10" s="1" customFormat="1" ht="12.75" x14ac:dyDescent="0.2">
      <c r="B125" s="46"/>
      <c r="C125" s="59"/>
      <c r="D125" s="60"/>
      <c r="E125" s="40"/>
      <c r="F125" s="40"/>
      <c r="G125" s="40"/>
      <c r="H125" s="40"/>
      <c r="I125" s="40"/>
      <c r="J125" s="41"/>
    </row>
    <row r="126" spans="2:10" s="1" customFormat="1" ht="12.75" x14ac:dyDescent="0.2">
      <c r="B126" s="46"/>
      <c r="C126" s="59"/>
      <c r="D126" s="60"/>
      <c r="E126" s="40"/>
      <c r="F126" s="40"/>
      <c r="G126" s="40"/>
      <c r="H126" s="40"/>
      <c r="I126" s="40"/>
      <c r="J126" s="41"/>
    </row>
    <row r="127" spans="2:10" s="1" customFormat="1" ht="12.75" x14ac:dyDescent="0.2">
      <c r="B127" s="46"/>
      <c r="C127" s="59"/>
      <c r="D127" s="60"/>
      <c r="E127" s="40"/>
      <c r="F127" s="40"/>
      <c r="G127" s="40"/>
      <c r="H127" s="40"/>
      <c r="I127" s="40"/>
      <c r="J127" s="41"/>
    </row>
    <row r="128" spans="2:10" s="1" customFormat="1" ht="12.75" x14ac:dyDescent="0.2">
      <c r="B128" s="46"/>
      <c r="C128" s="59"/>
      <c r="D128" s="60"/>
      <c r="E128" s="40"/>
      <c r="F128" s="40"/>
      <c r="G128" s="40"/>
      <c r="H128" s="40"/>
      <c r="I128" s="40"/>
      <c r="J128" s="41"/>
    </row>
    <row r="129" spans="2:10" s="1" customFormat="1" ht="12.75" x14ac:dyDescent="0.2">
      <c r="B129" s="46"/>
      <c r="C129" s="59"/>
      <c r="D129" s="60"/>
      <c r="E129" s="40"/>
      <c r="F129" s="40"/>
      <c r="G129" s="40"/>
      <c r="H129" s="40"/>
      <c r="I129" s="40"/>
      <c r="J129" s="41"/>
    </row>
    <row r="130" spans="2:10" s="1" customFormat="1" ht="12.75" x14ac:dyDescent="0.2">
      <c r="B130" s="46"/>
      <c r="C130" s="59"/>
      <c r="D130" s="60"/>
      <c r="E130" s="40"/>
      <c r="F130" s="40"/>
      <c r="G130" s="40"/>
      <c r="H130" s="40"/>
      <c r="I130" s="40"/>
      <c r="J130" s="41"/>
    </row>
    <row r="131" spans="2:10" s="1" customFormat="1" ht="12.75" x14ac:dyDescent="0.2">
      <c r="B131" s="46"/>
      <c r="C131" s="59"/>
      <c r="D131" s="60"/>
      <c r="E131" s="40"/>
      <c r="F131" s="40"/>
      <c r="G131" s="40"/>
      <c r="H131" s="40"/>
      <c r="I131" s="40"/>
      <c r="J131" s="41"/>
    </row>
    <row r="132" spans="2:10" s="1" customFormat="1" ht="12.75" x14ac:dyDescent="0.2">
      <c r="B132" s="46"/>
      <c r="C132" s="59"/>
      <c r="D132" s="60"/>
      <c r="E132" s="40"/>
      <c r="F132" s="40"/>
      <c r="G132" s="40"/>
      <c r="H132" s="40"/>
      <c r="I132" s="40"/>
      <c r="J132" s="41"/>
    </row>
    <row r="133" spans="2:10" s="1" customFormat="1" ht="12.75" x14ac:dyDescent="0.2">
      <c r="B133" s="46"/>
      <c r="C133" s="59"/>
      <c r="D133" s="60"/>
      <c r="E133" s="40"/>
      <c r="F133" s="40"/>
      <c r="G133" s="40"/>
      <c r="H133" s="40"/>
      <c r="I133" s="40"/>
      <c r="J133" s="41"/>
    </row>
    <row r="134" spans="2:10" s="1" customFormat="1" ht="12.75" x14ac:dyDescent="0.2">
      <c r="B134" s="46"/>
      <c r="C134" s="59"/>
      <c r="D134" s="60"/>
      <c r="E134" s="40"/>
      <c r="F134" s="40"/>
      <c r="G134" s="40"/>
      <c r="H134" s="40"/>
      <c r="I134" s="40"/>
      <c r="J134" s="41"/>
    </row>
    <row r="135" spans="2:10" s="1" customFormat="1" ht="12.75" x14ac:dyDescent="0.2">
      <c r="B135" s="46"/>
      <c r="C135" s="59"/>
      <c r="D135" s="60"/>
      <c r="E135" s="40"/>
      <c r="F135" s="40"/>
      <c r="G135" s="40"/>
      <c r="H135" s="40"/>
      <c r="I135" s="40"/>
      <c r="J135" s="41"/>
    </row>
    <row r="136" spans="2:10" s="1" customFormat="1" ht="12.75" x14ac:dyDescent="0.2">
      <c r="B136" s="46"/>
      <c r="C136" s="59"/>
      <c r="D136" s="60"/>
      <c r="E136" s="40"/>
      <c r="F136" s="40"/>
      <c r="G136" s="40"/>
      <c r="H136" s="40"/>
      <c r="I136" s="40"/>
      <c r="J136" s="41"/>
    </row>
    <row r="137" spans="2:10" s="1" customFormat="1" ht="12.75" x14ac:dyDescent="0.2">
      <c r="B137" s="46"/>
      <c r="C137" s="59"/>
      <c r="D137" s="60"/>
      <c r="E137" s="40"/>
      <c r="F137" s="40"/>
      <c r="G137" s="40"/>
      <c r="H137" s="40"/>
      <c r="I137" s="40"/>
      <c r="J137" s="41"/>
    </row>
    <row r="138" spans="2:10" s="1" customFormat="1" ht="12.75" x14ac:dyDescent="0.2">
      <c r="B138" s="46"/>
      <c r="C138" s="59"/>
      <c r="D138" s="60"/>
      <c r="E138" s="40"/>
      <c r="F138" s="40"/>
      <c r="G138" s="40"/>
      <c r="H138" s="40"/>
      <c r="I138" s="40"/>
      <c r="J138" s="41"/>
    </row>
    <row r="139" spans="2:10" s="1" customFormat="1" ht="12.75" x14ac:dyDescent="0.2">
      <c r="B139" s="46"/>
      <c r="C139" s="59"/>
      <c r="D139" s="60"/>
      <c r="E139" s="40"/>
      <c r="F139" s="40"/>
      <c r="G139" s="40"/>
      <c r="H139" s="40"/>
      <c r="I139" s="40"/>
      <c r="J139" s="41"/>
    </row>
    <row r="140" spans="2:10" s="1" customFormat="1" ht="12.75" x14ac:dyDescent="0.2">
      <c r="B140" s="46"/>
      <c r="C140" s="59"/>
      <c r="D140" s="60"/>
      <c r="E140" s="40"/>
      <c r="F140" s="40"/>
      <c r="G140" s="40"/>
      <c r="H140" s="40"/>
      <c r="I140" s="40"/>
      <c r="J140" s="41"/>
    </row>
    <row r="141" spans="2:10" s="1" customFormat="1" ht="12.75" x14ac:dyDescent="0.2">
      <c r="B141" s="46"/>
      <c r="C141" s="59"/>
      <c r="D141" s="60"/>
      <c r="E141" s="40"/>
      <c r="F141" s="40"/>
      <c r="G141" s="40"/>
      <c r="H141" s="40"/>
      <c r="I141" s="40"/>
      <c r="J141" s="41"/>
    </row>
    <row r="142" spans="2:10" s="1" customFormat="1" ht="12.75" x14ac:dyDescent="0.2">
      <c r="B142" s="46"/>
      <c r="C142" s="59"/>
      <c r="D142" s="60"/>
      <c r="E142" s="40"/>
      <c r="F142" s="40"/>
      <c r="G142" s="40"/>
      <c r="H142" s="40"/>
      <c r="I142" s="40"/>
      <c r="J142" s="41"/>
    </row>
    <row r="143" spans="2:10" s="1" customFormat="1" ht="12.75" x14ac:dyDescent="0.2">
      <c r="B143" s="46"/>
      <c r="C143" s="59"/>
      <c r="D143" s="60"/>
      <c r="E143" s="40"/>
      <c r="F143" s="40"/>
      <c r="G143" s="40"/>
      <c r="H143" s="40"/>
      <c r="I143" s="40"/>
      <c r="J143" s="41"/>
    </row>
    <row r="144" spans="2:10" s="1" customFormat="1" ht="12.75" x14ac:dyDescent="0.2">
      <c r="B144" s="46"/>
      <c r="C144" s="59"/>
      <c r="D144" s="60"/>
      <c r="E144" s="40"/>
      <c r="F144" s="40"/>
      <c r="G144" s="40"/>
      <c r="H144" s="40"/>
      <c r="I144" s="40"/>
      <c r="J144" s="41"/>
    </row>
    <row r="145" spans="2:10" s="1" customFormat="1" ht="12.75" x14ac:dyDescent="0.2">
      <c r="B145" s="37"/>
      <c r="C145" s="38"/>
      <c r="D145" s="38"/>
      <c r="E145" s="38"/>
      <c r="F145" s="38"/>
      <c r="G145" s="38"/>
      <c r="H145" s="38"/>
      <c r="I145" s="38"/>
      <c r="J145" s="38"/>
    </row>
    <row r="146" spans="2:10" s="1" customFormat="1" ht="12.75" x14ac:dyDescent="0.2">
      <c r="C146" s="499" t="s">
        <v>37</v>
      </c>
      <c r="D146" s="499"/>
      <c r="E146" s="499"/>
      <c r="F146" s="499"/>
      <c r="G146" s="499"/>
      <c r="H146" s="499"/>
    </row>
    <row r="147" spans="2:10" s="1" customFormat="1" ht="12.75" x14ac:dyDescent="0.2">
      <c r="C147" s="499" t="s">
        <v>38</v>
      </c>
      <c r="D147" s="499"/>
      <c r="E147" s="499"/>
      <c r="F147" s="499"/>
      <c r="G147" s="499"/>
      <c r="H147" s="499"/>
    </row>
    <row r="148" spans="2:10" s="1" customFormat="1" ht="12.75" x14ac:dyDescent="0.2">
      <c r="C148" s="499" t="s">
        <v>39</v>
      </c>
      <c r="D148" s="499"/>
      <c r="E148" s="499"/>
      <c r="F148" s="499"/>
      <c r="G148" s="499"/>
      <c r="H148" s="499"/>
    </row>
    <row r="149" spans="2:10" s="1" customFormat="1" ht="12.75" x14ac:dyDescent="0.2">
      <c r="C149" s="500" t="s">
        <v>40</v>
      </c>
      <c r="D149" s="500"/>
      <c r="E149" s="500"/>
      <c r="F149" s="500"/>
      <c r="G149" s="500"/>
      <c r="H149" s="500"/>
    </row>
    <row r="150" spans="2:10" s="1" customFormat="1" ht="12.75" x14ac:dyDescent="0.2">
      <c r="C150" s="385"/>
      <c r="D150" s="385"/>
      <c r="E150" s="385"/>
      <c r="F150" s="385"/>
      <c r="G150" s="385"/>
      <c r="H150" s="385"/>
    </row>
    <row r="151" spans="2:10" s="1" customFormat="1" ht="27" customHeight="1" x14ac:dyDescent="0.2">
      <c r="B151" s="386" t="s">
        <v>65</v>
      </c>
      <c r="C151" s="387"/>
      <c r="D151" s="387"/>
      <c r="E151" s="387"/>
      <c r="F151" s="387"/>
      <c r="G151" s="387"/>
      <c r="H151" s="387"/>
      <c r="I151" s="387"/>
      <c r="J151" s="388"/>
    </row>
    <row r="152" spans="2:10" s="1" customFormat="1" ht="20.25" x14ac:dyDescent="0.2">
      <c r="B152" s="390" t="s">
        <v>360</v>
      </c>
      <c r="C152" s="391"/>
      <c r="D152" s="391"/>
      <c r="E152" s="391"/>
      <c r="F152" s="391"/>
      <c r="G152" s="391"/>
      <c r="H152" s="391"/>
      <c r="I152" s="391"/>
      <c r="J152" s="392"/>
    </row>
    <row r="153" spans="2:10" s="1" customFormat="1" ht="13.5" thickBot="1" x14ac:dyDescent="0.25">
      <c r="B153" s="389"/>
      <c r="C153" s="389"/>
      <c r="D153" s="389"/>
      <c r="E153" s="389"/>
      <c r="F153" s="389"/>
      <c r="G153" s="389"/>
      <c r="H153" s="389"/>
      <c r="I153" s="389"/>
      <c r="J153" s="389"/>
    </row>
    <row r="154" spans="2:10" s="1" customFormat="1" ht="24.75" customHeight="1" x14ac:dyDescent="0.2">
      <c r="B154" s="494" t="s">
        <v>27</v>
      </c>
      <c r="C154" s="495"/>
      <c r="D154" s="495"/>
      <c r="E154" s="495"/>
      <c r="F154" s="495"/>
      <c r="G154" s="495"/>
      <c r="H154" s="495"/>
      <c r="I154" s="495"/>
      <c r="J154" s="496"/>
    </row>
    <row r="155" spans="2:10" s="1" customFormat="1" ht="12.75" x14ac:dyDescent="0.2">
      <c r="B155" s="2" t="s">
        <v>35</v>
      </c>
      <c r="C155" s="3" t="s">
        <v>36</v>
      </c>
      <c r="D155" s="3"/>
      <c r="E155" s="4"/>
      <c r="F155" s="5"/>
      <c r="G155" s="6" t="s">
        <v>8</v>
      </c>
      <c r="H155" s="497">
        <v>42879</v>
      </c>
      <c r="I155" s="497"/>
      <c r="J155" s="7"/>
    </row>
    <row r="156" spans="2:10" s="1" customFormat="1" ht="12.75" x14ac:dyDescent="0.2">
      <c r="B156" s="2" t="s">
        <v>33</v>
      </c>
      <c r="C156" s="3" t="s">
        <v>29</v>
      </c>
      <c r="D156" s="8"/>
      <c r="E156" s="8"/>
      <c r="F156" s="3"/>
      <c r="G156" s="9" t="s">
        <v>32</v>
      </c>
      <c r="H156" s="4" t="s">
        <v>29</v>
      </c>
      <c r="I156" s="10"/>
      <c r="J156" s="11"/>
    </row>
    <row r="157" spans="2:10" s="1" customFormat="1" ht="12.75" x14ac:dyDescent="0.2">
      <c r="B157" s="2" t="s">
        <v>34</v>
      </c>
      <c r="C157" s="3" t="s">
        <v>29</v>
      </c>
      <c r="D157" s="8"/>
      <c r="E157" s="8"/>
      <c r="F157" s="3"/>
      <c r="G157" s="9" t="s">
        <v>30</v>
      </c>
      <c r="H157" s="4" t="s">
        <v>31</v>
      </c>
      <c r="I157" s="10"/>
      <c r="J157" s="11"/>
    </row>
    <row r="158" spans="2:10" s="1" customFormat="1" ht="13.5" thickBot="1" x14ac:dyDescent="0.25">
      <c r="B158" s="12" t="s">
        <v>43</v>
      </c>
      <c r="C158" s="13" t="s">
        <v>44</v>
      </c>
      <c r="D158" s="14"/>
      <c r="E158" s="14"/>
      <c r="F158" s="13"/>
      <c r="G158" s="15" t="s">
        <v>41</v>
      </c>
      <c r="H158" s="16" t="s">
        <v>42</v>
      </c>
      <c r="I158" s="17"/>
      <c r="J158" s="18"/>
    </row>
    <row r="159" spans="2:10" s="1" customFormat="1" ht="12.75" x14ac:dyDescent="0.2">
      <c r="B159" s="389"/>
      <c r="C159" s="389"/>
      <c r="D159" s="389"/>
      <c r="E159" s="389"/>
      <c r="F159" s="389"/>
      <c r="G159" s="389"/>
      <c r="H159" s="389"/>
      <c r="I159" s="389"/>
      <c r="J159" s="389"/>
    </row>
    <row r="160" spans="2:10" s="1" customFormat="1" ht="12.75" x14ac:dyDescent="0.2">
      <c r="B160" s="21" t="s">
        <v>5</v>
      </c>
      <c r="C160" s="22" t="s">
        <v>0</v>
      </c>
      <c r="D160" s="22" t="s">
        <v>9</v>
      </c>
      <c r="E160" s="22" t="s">
        <v>10</v>
      </c>
      <c r="F160" s="22" t="s">
        <v>1</v>
      </c>
      <c r="G160" s="22" t="s">
        <v>2</v>
      </c>
      <c r="H160" s="22" t="s">
        <v>11</v>
      </c>
      <c r="I160" s="22" t="s">
        <v>6</v>
      </c>
      <c r="J160" s="22" t="s">
        <v>7</v>
      </c>
    </row>
    <row r="161" spans="2:10" s="1" customFormat="1" ht="12.75" x14ac:dyDescent="0.2">
      <c r="B161" s="55">
        <v>4.03</v>
      </c>
      <c r="C161" s="56" t="s">
        <v>222</v>
      </c>
      <c r="D161" s="60"/>
      <c r="E161" s="40"/>
      <c r="F161" s="40"/>
      <c r="G161" s="40"/>
      <c r="H161" s="40"/>
      <c r="I161" s="40"/>
      <c r="J161" s="41"/>
    </row>
    <row r="162" spans="2:10" s="1" customFormat="1" ht="12.75" x14ac:dyDescent="0.2">
      <c r="B162" s="57" t="s">
        <v>14</v>
      </c>
      <c r="C162" s="58" t="s">
        <v>225</v>
      </c>
      <c r="D162" s="60"/>
      <c r="E162" s="40"/>
      <c r="F162" s="40"/>
      <c r="G162" s="40"/>
      <c r="H162" s="40"/>
      <c r="I162" s="40"/>
      <c r="J162" s="41"/>
    </row>
    <row r="163" spans="2:10" s="1" customFormat="1" ht="12.75" x14ac:dyDescent="0.2">
      <c r="B163" s="43" t="s">
        <v>15</v>
      </c>
      <c r="C163" s="43" t="s">
        <v>269</v>
      </c>
      <c r="D163" s="60"/>
      <c r="E163" s="40"/>
      <c r="F163" s="40"/>
      <c r="G163" s="40"/>
      <c r="H163" s="40"/>
      <c r="I163" s="44">
        <f>SUM(H164:H164)</f>
        <v>0</v>
      </c>
      <c r="J163" s="45" t="str">
        <f>+J164</f>
        <v>ml</v>
      </c>
    </row>
    <row r="164" spans="2:10" s="1" customFormat="1" ht="12.75" x14ac:dyDescent="0.2">
      <c r="B164" s="57"/>
      <c r="C164" s="39"/>
      <c r="D164" s="40"/>
      <c r="E164" s="40"/>
      <c r="F164" s="40"/>
      <c r="G164" s="40"/>
      <c r="H164" s="40">
        <f>IF(AND(F164=0,G164=0),D164*E164,IF(AND(E164=0,G164=0),D164*F164,IF(AND(E164=0,F164=0),D164*G164,IF(AND(E164=0),D164*F164*G164,IF(AND(F164=0),D164*E164*G164,IF(AND(G164=0),D164*E164*F164,D164*E164*F164*G164))))))</f>
        <v>0</v>
      </c>
      <c r="I164" s="40"/>
      <c r="J164" s="41" t="str">
        <f>IF(AND(E164=0,F164&lt;&gt;0,G164&lt;&gt;0),"m2",IF(AND(F164=0,E164&lt;&gt;0,G164&lt;&gt;0),"m2",IF(AND(G164=0,E164&lt;&gt;0,F164&lt;&gt;0),"m2",IF(AND(F164=0,G164=0),"ml",IF(AND(E164=0,G164=0),"ml",IF(AND(E164=0,F164=0),"ml",IF(AND(E164&lt;&gt;0,F164&lt;&gt;0,G164&lt;&gt;0),"m3",0)))))))</f>
        <v>ml</v>
      </c>
    </row>
    <row r="165" spans="2:10" s="1" customFormat="1" ht="12.75" x14ac:dyDescent="0.2">
      <c r="B165" s="43" t="s">
        <v>232</v>
      </c>
      <c r="C165" s="43" t="s">
        <v>348</v>
      </c>
      <c r="D165" s="60"/>
      <c r="E165" s="40"/>
      <c r="F165" s="40"/>
      <c r="G165" s="40"/>
      <c r="H165" s="40"/>
      <c r="I165" s="44">
        <f>SUM(H166:H166)</f>
        <v>0</v>
      </c>
      <c r="J165" s="45" t="str">
        <f>+J166</f>
        <v>und</v>
      </c>
    </row>
    <row r="166" spans="2:10" s="1" customFormat="1" ht="12.75" x14ac:dyDescent="0.2">
      <c r="B166" s="57"/>
      <c r="C166" s="39" t="s">
        <v>349</v>
      </c>
      <c r="D166" s="40">
        <v>0</v>
      </c>
      <c r="E166" s="40"/>
      <c r="F166" s="40"/>
      <c r="G166" s="40"/>
      <c r="H166" s="40">
        <f>+D166</f>
        <v>0</v>
      </c>
      <c r="I166" s="40"/>
      <c r="J166" s="41" t="s">
        <v>13</v>
      </c>
    </row>
    <row r="167" spans="2:10" s="1" customFormat="1" ht="12.75" x14ac:dyDescent="0.2">
      <c r="B167" s="57" t="s">
        <v>16</v>
      </c>
      <c r="C167" s="58" t="s">
        <v>224</v>
      </c>
      <c r="D167" s="60"/>
      <c r="E167" s="40"/>
      <c r="F167" s="40"/>
      <c r="G167" s="40"/>
      <c r="H167" s="40"/>
      <c r="I167" s="40"/>
      <c r="J167" s="41"/>
    </row>
    <row r="168" spans="2:10" s="1" customFormat="1" ht="12.75" x14ac:dyDescent="0.2">
      <c r="B168" s="43" t="s">
        <v>17</v>
      </c>
      <c r="C168" s="43" t="s">
        <v>343</v>
      </c>
      <c r="D168" s="60"/>
      <c r="E168" s="40"/>
      <c r="F168" s="40"/>
      <c r="G168" s="40"/>
      <c r="H168" s="40"/>
      <c r="I168" s="44">
        <f>SUM(H169:H169)</f>
        <v>30.5</v>
      </c>
      <c r="J168" s="45" t="str">
        <f>+J169</f>
        <v>ml</v>
      </c>
    </row>
    <row r="169" spans="2:10" s="1" customFormat="1" ht="12.75" x14ac:dyDescent="0.2">
      <c r="B169" s="57"/>
      <c r="C169" s="115" t="s">
        <v>344</v>
      </c>
      <c r="D169" s="113">
        <v>1</v>
      </c>
      <c r="E169" s="113">
        <v>30.5</v>
      </c>
      <c r="F169" s="113"/>
      <c r="G169" s="113"/>
      <c r="H169" s="113">
        <f>IF(AND(F169=0,G169=0),D169*E169,IF(AND(E169=0,G169=0),D169*F169,IF(AND(E169=0,F169=0),D169*G169,IF(AND(E169=0),D169*F169*G169,IF(AND(F169=0),D169*E169*G169,IF(AND(G169=0),D169*E169*F169,D169*E169*F169*G169))))))</f>
        <v>30.5</v>
      </c>
      <c r="I169" s="40"/>
      <c r="J169" s="41" t="str">
        <f>IF(AND(E169=0,F169&lt;&gt;0,G169&lt;&gt;0),"m2",IF(AND(F169=0,E169&lt;&gt;0,G169&lt;&gt;0),"m2",IF(AND(G169=0,E169&lt;&gt;0,F169&lt;&gt;0),"m2",IF(AND(F169=0,G169=0),"ml",IF(AND(E169=0,G169=0),"ml",IF(AND(E169=0,F169=0),"ml",IF(AND(E169&lt;&gt;0,F169&lt;&gt;0,G169&lt;&gt;0),"m3",0)))))))</f>
        <v>ml</v>
      </c>
    </row>
    <row r="170" spans="2:10" s="1" customFormat="1" ht="12.75" x14ac:dyDescent="0.2">
      <c r="B170" s="43" t="s">
        <v>240</v>
      </c>
      <c r="C170" s="43" t="s">
        <v>237</v>
      </c>
      <c r="D170" s="60"/>
      <c r="E170" s="40"/>
      <c r="F170" s="40"/>
      <c r="G170" s="40"/>
      <c r="H170" s="40"/>
      <c r="I170" s="44">
        <f>SUM(H171:H171)</f>
        <v>0</v>
      </c>
      <c r="J170" s="45" t="str">
        <f>+J171</f>
        <v>ml</v>
      </c>
    </row>
    <row r="171" spans="2:10" s="1" customFormat="1" ht="12.75" x14ac:dyDescent="0.2">
      <c r="B171" s="57"/>
      <c r="C171" s="39"/>
      <c r="D171" s="40"/>
      <c r="E171" s="40"/>
      <c r="F171" s="40"/>
      <c r="G171" s="40"/>
      <c r="H171" s="40">
        <f>IF(AND(F171=0,G171=0),D171*E171,IF(AND(E171=0,G171=0),D171*F171,IF(AND(E171=0,F171=0),D171*G171,IF(AND(E171=0),D171*F171*G171,IF(AND(F171=0),D171*E171*G171,IF(AND(G171=0),D171*E171*F171,D171*E171*F171*G171))))))</f>
        <v>0</v>
      </c>
      <c r="I171" s="40"/>
      <c r="J171" s="41" t="str">
        <f>IF(AND(E171=0,F171&lt;&gt;0,G171&lt;&gt;0),"m2",IF(AND(F171=0,E171&lt;&gt;0,G171&lt;&gt;0),"m2",IF(AND(G171=0,E171&lt;&gt;0,F171&lt;&gt;0),"m2",IF(AND(F171=0,G171=0),"ml",IF(AND(E171=0,G171=0),"ml",IF(AND(E171=0,F171=0),"ml",IF(AND(E171&lt;&gt;0,F171&lt;&gt;0,G171&lt;&gt;0),"m3",0)))))))</f>
        <v>ml</v>
      </c>
    </row>
    <row r="172" spans="2:10" s="1" customFormat="1" ht="12.75" x14ac:dyDescent="0.2">
      <c r="B172" s="43" t="s">
        <v>241</v>
      </c>
      <c r="C172" s="43" t="s">
        <v>242</v>
      </c>
      <c r="D172" s="60"/>
      <c r="E172" s="40"/>
      <c r="F172" s="40"/>
      <c r="G172" s="40"/>
      <c r="H172" s="40"/>
      <c r="I172" s="44">
        <f>SUM(H173:H173)</f>
        <v>0</v>
      </c>
      <c r="J172" s="45" t="str">
        <f>+J173</f>
        <v>ml</v>
      </c>
    </row>
    <row r="173" spans="2:10" s="1" customFormat="1" ht="12.75" x14ac:dyDescent="0.2">
      <c r="B173" s="57"/>
      <c r="C173" s="39"/>
      <c r="D173" s="40"/>
      <c r="E173" s="40"/>
      <c r="F173" s="40"/>
      <c r="G173" s="40"/>
      <c r="H173" s="40">
        <f>IF(AND(F173=0,G173=0),D173*E173,IF(AND(E173=0,G173=0),D173*F173,IF(AND(E173=0,F173=0),D173*G173,IF(AND(E173=0),D173*F173*G173,IF(AND(F173=0),D173*E173*G173,IF(AND(G173=0),D173*E173*F173,D173*E173*F173*G173))))))</f>
        <v>0</v>
      </c>
      <c r="I173" s="40"/>
      <c r="J173" s="41" t="str">
        <f>IF(AND(E173=0,F173&lt;&gt;0,G173&lt;&gt;0),"m2",IF(AND(F173=0,E173&lt;&gt;0,G173&lt;&gt;0),"m2",IF(AND(G173=0,E173&lt;&gt;0,F173&lt;&gt;0),"m2",IF(AND(F173=0,G173=0),"ml",IF(AND(E173=0,G173=0),"ml",IF(AND(E173=0,F173=0),"ml",IF(AND(E173&lt;&gt;0,F173&lt;&gt;0,G173&lt;&gt;0),"m3",0)))))))</f>
        <v>ml</v>
      </c>
    </row>
    <row r="174" spans="2:10" s="1" customFormat="1" ht="12.75" x14ac:dyDescent="0.2">
      <c r="B174" s="43" t="s">
        <v>243</v>
      </c>
      <c r="C174" s="43" t="s">
        <v>245</v>
      </c>
      <c r="D174" s="60"/>
      <c r="E174" s="40"/>
      <c r="F174" s="40"/>
      <c r="G174" s="40"/>
      <c r="H174" s="40"/>
      <c r="I174" s="44">
        <f>SUM(H175:H175)</f>
        <v>0</v>
      </c>
      <c r="J174" s="45" t="str">
        <f>+J175</f>
        <v>ml</v>
      </c>
    </row>
    <row r="175" spans="2:10" s="1" customFormat="1" ht="12.75" x14ac:dyDescent="0.2">
      <c r="B175" s="57"/>
      <c r="C175" s="39"/>
      <c r="D175" s="40"/>
      <c r="E175" s="40"/>
      <c r="F175" s="40"/>
      <c r="G175" s="40"/>
      <c r="H175" s="40">
        <f>IF(AND(F175=0,G175=0),D175*E175,IF(AND(E175=0,G175=0),D175*F175,IF(AND(E175=0,F175=0),D175*G175,IF(AND(E175=0),D175*F175*G175,IF(AND(F175=0),D175*E175*G175,IF(AND(G175=0),D175*E175*F175,D175*E175*F175*G175))))))</f>
        <v>0</v>
      </c>
      <c r="I175" s="40"/>
      <c r="J175" s="41" t="str">
        <f>IF(AND(E175=0,F175&lt;&gt;0,G175&lt;&gt;0),"m2",IF(AND(F175=0,E175&lt;&gt;0,G175&lt;&gt;0),"m2",IF(AND(G175=0,E175&lt;&gt;0,F175&lt;&gt;0),"m2",IF(AND(F175=0,G175=0),"ml",IF(AND(E175=0,G175=0),"ml",IF(AND(E175=0,F175=0),"ml",IF(AND(E175&lt;&gt;0,F175&lt;&gt;0,G175&lt;&gt;0),"m3",0)))))))</f>
        <v>ml</v>
      </c>
    </row>
    <row r="176" spans="2:10" s="1" customFormat="1" ht="12.75" x14ac:dyDescent="0.2">
      <c r="B176" s="43" t="s">
        <v>244</v>
      </c>
      <c r="C176" s="43" t="s">
        <v>247</v>
      </c>
      <c r="D176" s="60"/>
      <c r="E176" s="40"/>
      <c r="F176" s="40"/>
      <c r="G176" s="40"/>
      <c r="H176" s="40"/>
      <c r="I176" s="44">
        <f>SUM(H177:H180)</f>
        <v>0</v>
      </c>
      <c r="J176" s="45" t="str">
        <f>+J177</f>
        <v>ml</v>
      </c>
    </row>
    <row r="177" spans="2:10" s="1" customFormat="1" ht="12.75" x14ac:dyDescent="0.2">
      <c r="B177" s="57"/>
      <c r="C177" s="39" t="s">
        <v>450</v>
      </c>
      <c r="D177" s="40"/>
      <c r="E177" s="40"/>
      <c r="F177" s="40"/>
      <c r="G177" s="40"/>
      <c r="H177" s="40">
        <f>IF(AND(F177=0,G177=0),D177*E177,IF(AND(E177=0,G177=0),D177*F177,IF(AND(E177=0,F177=0),D177*G177,IF(AND(E177=0),D177*F177*G177,IF(AND(F177=0),D177*E177*G177,IF(AND(G177=0),D177*E177*F177,D177*E177*F177*G177))))))</f>
        <v>0</v>
      </c>
      <c r="I177" s="40"/>
      <c r="J177" s="41" t="str">
        <f>IF(AND(E177=0,F177&lt;&gt;0,G177&lt;&gt;0),"m2",IF(AND(F177=0,E177&lt;&gt;0,G177&lt;&gt;0),"m2",IF(AND(G177=0,E177&lt;&gt;0,F177&lt;&gt;0),"m2",IF(AND(F177=0,G177=0),"ml",IF(AND(E177=0,G177=0),"ml",IF(AND(E177=0,F177=0),"ml",IF(AND(E177&lt;&gt;0,F177&lt;&gt;0,G177&lt;&gt;0),"m3",0)))))))</f>
        <v>ml</v>
      </c>
    </row>
    <row r="178" spans="2:10" s="1" customFormat="1" ht="12.75" x14ac:dyDescent="0.2">
      <c r="B178" s="57"/>
      <c r="C178" s="39" t="s">
        <v>448</v>
      </c>
      <c r="D178" s="60"/>
      <c r="E178" s="40"/>
      <c r="F178" s="40"/>
      <c r="G178" s="40"/>
      <c r="H178" s="40">
        <f>IF(AND(F178=0,G178=0),D178*E178,IF(AND(E178=0,G178=0),D178*F178,IF(AND(E178=0,F178=0),D178*G178,IF(AND(E178=0),D178*F178*G178,IF(AND(F178=0),D178*E178*G178,IF(AND(G178=0),D178*E178*F178,D178*E178*F178*G178))))))</f>
        <v>0</v>
      </c>
      <c r="I178" s="40"/>
      <c r="J178" s="41"/>
    </row>
    <row r="179" spans="2:10" s="1" customFormat="1" ht="12.75" x14ac:dyDescent="0.2">
      <c r="B179" s="57"/>
      <c r="C179" s="39" t="s">
        <v>449</v>
      </c>
      <c r="D179" s="60"/>
      <c r="E179" s="40"/>
      <c r="F179" s="40"/>
      <c r="G179" s="40"/>
      <c r="H179" s="40">
        <f>IF(AND(F179=0,G179=0),D179*E179,IF(AND(E179=0,G179=0),D179*F179,IF(AND(E179=0,F179=0),D179*G179,IF(AND(E179=0),D179*F179*G179,IF(AND(F179=0),D179*E179*G179,IF(AND(G179=0),D179*E179*F179,D179*E179*F179*G179))))))</f>
        <v>0</v>
      </c>
      <c r="I179" s="40"/>
      <c r="J179" s="41"/>
    </row>
    <row r="180" spans="2:10" s="1" customFormat="1" ht="12.75" x14ac:dyDescent="0.2">
      <c r="B180" s="57"/>
      <c r="C180" s="39" t="s">
        <v>554</v>
      </c>
      <c r="D180" s="60"/>
      <c r="E180" s="40"/>
      <c r="F180" s="40"/>
      <c r="G180" s="40"/>
      <c r="H180" s="40">
        <f>IF(AND(F180=0,G180=0),D180*E180,IF(AND(E180=0,G180=0),D180*F180,IF(AND(E180=0,F180=0),D180*G180,IF(AND(E180=0),D180*F180*G180,IF(AND(F180=0),D180*E180*G180,IF(AND(G180=0),D180*E180*F180,D180*E180*F180*G180))))))</f>
        <v>0</v>
      </c>
      <c r="I180" s="40"/>
      <c r="J180" s="41"/>
    </row>
    <row r="181" spans="2:10" s="1" customFormat="1" ht="12.75" x14ac:dyDescent="0.2">
      <c r="B181" s="43" t="s">
        <v>248</v>
      </c>
      <c r="C181" s="43" t="s">
        <v>226</v>
      </c>
      <c r="D181" s="60"/>
      <c r="E181" s="40"/>
      <c r="F181" s="40"/>
      <c r="G181" s="40"/>
      <c r="H181" s="40"/>
      <c r="I181" s="44">
        <f>+SUM(H182)</f>
        <v>0.7</v>
      </c>
      <c r="J181" s="45" t="s">
        <v>13</v>
      </c>
    </row>
    <row r="182" spans="2:10" s="1" customFormat="1" ht="12.75" x14ac:dyDescent="0.2">
      <c r="B182" s="57"/>
      <c r="C182" s="39" t="s">
        <v>394</v>
      </c>
      <c r="D182" s="40">
        <v>1</v>
      </c>
      <c r="E182" s="40">
        <v>0.7</v>
      </c>
      <c r="F182" s="40"/>
      <c r="G182" s="40"/>
      <c r="H182" s="40">
        <f>IF(AND(F182=0,G182=0),D182*E182,IF(AND(E182=0,G182=0),D182*F182,IF(AND(E182=0,F182=0),D182*G182,IF(AND(E182=0),D182*F182*G182,IF(AND(F182=0),D182*E182*G182,IF(AND(G182=0),D182*E182*F182,D182*E182*F182*G182))))))</f>
        <v>0.7</v>
      </c>
      <c r="I182" s="40"/>
      <c r="J182" s="41"/>
    </row>
    <row r="183" spans="2:10" s="1" customFormat="1" ht="12.75" x14ac:dyDescent="0.2">
      <c r="B183" s="43" t="s">
        <v>249</v>
      </c>
      <c r="C183" s="43" t="s">
        <v>228</v>
      </c>
      <c r="D183" s="60"/>
      <c r="E183" s="40"/>
      <c r="F183" s="40"/>
      <c r="G183" s="40"/>
      <c r="H183" s="40"/>
      <c r="I183" s="44">
        <f>SUM(H184)</f>
        <v>0</v>
      </c>
      <c r="J183" s="45" t="e">
        <f>+#REF!</f>
        <v>#REF!</v>
      </c>
    </row>
    <row r="184" spans="2:10" s="1" customFormat="1" ht="12.75" x14ac:dyDescent="0.2">
      <c r="B184" s="43"/>
      <c r="C184" s="43"/>
      <c r="D184" s="60"/>
      <c r="E184" s="40"/>
      <c r="F184" s="40"/>
      <c r="G184" s="40"/>
      <c r="H184" s="40">
        <f>IF(AND(F184=0,G184=0),D184*E184,IF(AND(E184=0,G184=0),D184*F184,IF(AND(E184=0,F184=0),D184*G184,IF(AND(E184=0),D184*F184*G184,IF(AND(F184=0),D184*E184*G184,IF(AND(G184=0),D184*E184*F184,D184*E184*F184*G184))))))</f>
        <v>0</v>
      </c>
      <c r="I184" s="44"/>
      <c r="J184" s="45"/>
    </row>
    <row r="185" spans="2:10" s="1" customFormat="1" ht="12.75" x14ac:dyDescent="0.2">
      <c r="B185" s="43" t="s">
        <v>256</v>
      </c>
      <c r="C185" s="43" t="s">
        <v>250</v>
      </c>
      <c r="D185" s="60"/>
      <c r="E185" s="40"/>
      <c r="F185" s="40"/>
      <c r="G185" s="40"/>
      <c r="H185" s="40"/>
      <c r="I185" s="44">
        <f>SUM(H186:H186)</f>
        <v>0</v>
      </c>
      <c r="J185" s="45" t="str">
        <f>+J186</f>
        <v>ml</v>
      </c>
    </row>
    <row r="186" spans="2:10" s="1" customFormat="1" ht="12.75" x14ac:dyDescent="0.2">
      <c r="B186" s="57"/>
      <c r="C186" s="39"/>
      <c r="D186" s="40"/>
      <c r="E186" s="40"/>
      <c r="F186" s="40"/>
      <c r="G186" s="40"/>
      <c r="H186" s="40">
        <f>IF(AND(F186=0,G186=0),D186*E186,IF(AND(E186=0,G186=0),D186*F186,IF(AND(E186=0,F186=0),D186*G186,IF(AND(E186=0),D186*F186*G186,IF(AND(F186=0),D186*E186*G186,IF(AND(G186=0),D186*E186*F186,D186*E186*F186*G186))))))</f>
        <v>0</v>
      </c>
      <c r="I186" s="40"/>
      <c r="J186" s="41" t="str">
        <f>IF(AND(E186=0,F186&lt;&gt;0,G186&lt;&gt;0),"m2",IF(AND(F186=0,E186&lt;&gt;0,G186&lt;&gt;0),"m2",IF(AND(G186=0,E186&lt;&gt;0,F186&lt;&gt;0),"m2",IF(AND(F186=0,G186=0),"ml",IF(AND(E186=0,G186=0),"ml",IF(AND(E186=0,F186=0),"ml",IF(AND(E186&lt;&gt;0,F186&lt;&gt;0,G186&lt;&gt;0),"m3",0)))))))</f>
        <v>ml</v>
      </c>
    </row>
    <row r="187" spans="2:10" s="1" customFormat="1" ht="12.75" x14ac:dyDescent="0.2">
      <c r="B187" s="43" t="s">
        <v>257</v>
      </c>
      <c r="C187" s="43" t="s">
        <v>252</v>
      </c>
      <c r="D187" s="60"/>
      <c r="E187" s="40"/>
      <c r="F187" s="40"/>
      <c r="G187" s="40"/>
      <c r="H187" s="40"/>
      <c r="I187" s="44">
        <f>SUM(H188:H188)</f>
        <v>0</v>
      </c>
      <c r="J187" s="45" t="str">
        <f>+J188</f>
        <v>ml</v>
      </c>
    </row>
    <row r="188" spans="2:10" s="1" customFormat="1" ht="12.75" x14ac:dyDescent="0.2">
      <c r="B188" s="57"/>
      <c r="C188" s="39"/>
      <c r="D188" s="40"/>
      <c r="E188" s="40"/>
      <c r="F188" s="40"/>
      <c r="G188" s="40"/>
      <c r="H188" s="40">
        <f>IF(AND(F188=0,G188=0),D188*E188,IF(AND(E188=0,G188=0),D188*F188,IF(AND(E188=0,F188=0),D188*G188,IF(AND(E188=0),D188*F188*G188,IF(AND(F188=0),D188*E188*G188,IF(AND(G188=0),D188*E188*F188,D188*E188*F188*G188))))))</f>
        <v>0</v>
      </c>
      <c r="I188" s="40"/>
      <c r="J188" s="41" t="str">
        <f>IF(AND(E188=0,F188&lt;&gt;0,G188&lt;&gt;0),"m2",IF(AND(F188=0,E188&lt;&gt;0,G188&lt;&gt;0),"m2",IF(AND(G188=0,E188&lt;&gt;0,F188&lt;&gt;0),"m2",IF(AND(F188=0,G188=0),"ml",IF(AND(E188=0,G188=0),"ml",IF(AND(E188=0,F188=0),"ml",IF(AND(E188&lt;&gt;0,F188&lt;&gt;0,G188&lt;&gt;0),"m3",0)))))))</f>
        <v>ml</v>
      </c>
    </row>
    <row r="189" spans="2:10" s="1" customFormat="1" ht="12.75" x14ac:dyDescent="0.2">
      <c r="B189" s="57"/>
      <c r="C189" s="39"/>
      <c r="D189" s="60"/>
      <c r="E189" s="40"/>
      <c r="F189" s="40"/>
      <c r="G189" s="40"/>
      <c r="H189" s="40"/>
      <c r="I189" s="40"/>
      <c r="J189" s="41"/>
    </row>
    <row r="190" spans="2:10" s="1" customFormat="1" ht="12.75" x14ac:dyDescent="0.2">
      <c r="B190" s="43" t="s">
        <v>258</v>
      </c>
      <c r="C190" s="43" t="s">
        <v>253</v>
      </c>
      <c r="D190" s="60"/>
      <c r="E190" s="40"/>
      <c r="F190" s="40"/>
      <c r="G190" s="40"/>
      <c r="H190" s="40"/>
      <c r="I190" s="44">
        <f>SUM(H191:H191)</f>
        <v>0</v>
      </c>
      <c r="J190" s="45" t="s">
        <v>13</v>
      </c>
    </row>
    <row r="191" spans="2:10" s="1" customFormat="1" ht="12.75" x14ac:dyDescent="0.2">
      <c r="B191" s="43"/>
      <c r="C191" s="39"/>
      <c r="D191" s="40"/>
      <c r="E191" s="40"/>
      <c r="F191" s="40"/>
      <c r="G191" s="40"/>
      <c r="H191" s="40">
        <f>+D191</f>
        <v>0</v>
      </c>
      <c r="I191" s="40"/>
      <c r="J191" s="41" t="s">
        <v>13</v>
      </c>
    </row>
    <row r="192" spans="2:10" s="1" customFormat="1" ht="12.75" x14ac:dyDescent="0.2">
      <c r="B192" s="43" t="s">
        <v>259</v>
      </c>
      <c r="C192" s="43" t="s">
        <v>254</v>
      </c>
      <c r="D192" s="60"/>
      <c r="E192" s="40"/>
      <c r="F192" s="40"/>
      <c r="G192" s="40"/>
      <c r="H192" s="40"/>
      <c r="I192" s="44">
        <f>SUM(H193:H193)</f>
        <v>0</v>
      </c>
      <c r="J192" s="45" t="str">
        <f>+J193</f>
        <v>und</v>
      </c>
    </row>
    <row r="193" spans="2:10" s="1" customFormat="1" ht="12.75" x14ac:dyDescent="0.2">
      <c r="B193" s="57"/>
      <c r="C193" s="39"/>
      <c r="D193" s="40"/>
      <c r="E193" s="40"/>
      <c r="F193" s="40"/>
      <c r="G193" s="40"/>
      <c r="H193" s="40">
        <f>+D193</f>
        <v>0</v>
      </c>
      <c r="I193" s="40"/>
      <c r="J193" s="41" t="s">
        <v>13</v>
      </c>
    </row>
    <row r="194" spans="2:10" s="1" customFormat="1" ht="12.75" x14ac:dyDescent="0.2">
      <c r="B194" s="57"/>
      <c r="C194" s="39"/>
      <c r="D194" s="60"/>
      <c r="E194" s="40"/>
      <c r="F194" s="40"/>
      <c r="G194" s="40"/>
      <c r="H194" s="40"/>
      <c r="I194" s="40"/>
      <c r="J194" s="41"/>
    </row>
    <row r="195" spans="2:10" s="1" customFormat="1" ht="12.75" x14ac:dyDescent="0.2">
      <c r="B195" s="57" t="s">
        <v>18</v>
      </c>
      <c r="C195" s="58" t="s">
        <v>223</v>
      </c>
      <c r="D195" s="60"/>
      <c r="E195" s="40"/>
      <c r="F195" s="40"/>
      <c r="G195" s="40"/>
      <c r="H195" s="40"/>
      <c r="I195" s="40"/>
      <c r="J195" s="41"/>
    </row>
    <row r="196" spans="2:10" s="1" customFormat="1" ht="12.75" x14ac:dyDescent="0.2">
      <c r="B196" s="43" t="s">
        <v>19</v>
      </c>
      <c r="C196" s="43" t="s">
        <v>527</v>
      </c>
      <c r="D196" s="60"/>
      <c r="E196" s="40"/>
      <c r="F196" s="40"/>
      <c r="G196" s="40"/>
      <c r="H196" s="40"/>
      <c r="I196" s="44">
        <f>SUM(H197:H197)</f>
        <v>7</v>
      </c>
      <c r="J196" s="45" t="str">
        <f>+J197</f>
        <v>und</v>
      </c>
    </row>
    <row r="197" spans="2:10" s="1" customFormat="1" ht="12.75" x14ac:dyDescent="0.2">
      <c r="B197" s="46"/>
      <c r="C197" s="39" t="s">
        <v>231</v>
      </c>
      <c r="D197" s="40">
        <v>7</v>
      </c>
      <c r="E197" s="40"/>
      <c r="F197" s="40"/>
      <c r="G197" s="40"/>
      <c r="H197" s="40">
        <f>+D197</f>
        <v>7</v>
      </c>
      <c r="I197" s="40"/>
      <c r="J197" s="41" t="s">
        <v>13</v>
      </c>
    </row>
    <row r="198" spans="2:10" s="1" customFormat="1" ht="12.75" x14ac:dyDescent="0.2">
      <c r="B198" s="43" t="s">
        <v>20</v>
      </c>
      <c r="C198" s="43" t="s">
        <v>266</v>
      </c>
      <c r="D198" s="60"/>
      <c r="E198" s="40"/>
      <c r="F198" s="40"/>
      <c r="G198" s="40"/>
      <c r="H198" s="40"/>
      <c r="I198" s="44">
        <f>SUM(H199:H199)</f>
        <v>0</v>
      </c>
      <c r="J198" s="45" t="str">
        <f>+J199</f>
        <v>und</v>
      </c>
    </row>
    <row r="199" spans="2:10" s="1" customFormat="1" ht="12.75" x14ac:dyDescent="0.2">
      <c r="B199" s="43"/>
      <c r="C199" s="39"/>
      <c r="D199" s="40"/>
      <c r="E199" s="40"/>
      <c r="F199" s="40"/>
      <c r="G199" s="40"/>
      <c r="H199" s="40">
        <f>IF(AND(F199=0,G199=0),D199*E199,IF(AND(E199=0,G199=0),D199*F199,IF(AND(E199=0,F199=0),D199*G199,IF(AND(E199=0),D199*F199*G199,IF(AND(F199=0),D199*E199*G199,IF(AND(G199=0),D199*E199*F199,D199*E199*F199*G199))))))</f>
        <v>0</v>
      </c>
      <c r="I199" s="40"/>
      <c r="J199" s="41" t="s">
        <v>13</v>
      </c>
    </row>
    <row r="200" spans="2:10" s="1" customFormat="1" ht="12.75" x14ac:dyDescent="0.2">
      <c r="B200" s="43" t="s">
        <v>21</v>
      </c>
      <c r="C200" s="43" t="s">
        <v>357</v>
      </c>
      <c r="D200" s="60"/>
      <c r="E200" s="40"/>
      <c r="F200" s="40"/>
      <c r="G200" s="40"/>
      <c r="H200" s="40"/>
      <c r="I200" s="44">
        <f>SUM(H201:H201)</f>
        <v>0</v>
      </c>
      <c r="J200" s="45" t="str">
        <f>+J201</f>
        <v>und</v>
      </c>
    </row>
    <row r="201" spans="2:10" s="1" customFormat="1" ht="12.75" x14ac:dyDescent="0.2">
      <c r="B201" s="43"/>
      <c r="C201" s="39"/>
      <c r="D201" s="40"/>
      <c r="E201" s="40"/>
      <c r="F201" s="40"/>
      <c r="G201" s="40"/>
      <c r="H201" s="40">
        <f>IF(AND(F201=0,G201=0),D201*E201,IF(AND(E201=0,G201=0),D201*F201,IF(AND(E201=0,F201=0),D201*G201,IF(AND(E201=0),D201*F201*G201,IF(AND(F201=0),D201*E201*G201,IF(AND(G201=0),D201*E201*F201,D201*E201*F201*G201))))))</f>
        <v>0</v>
      </c>
      <c r="I201" s="40"/>
      <c r="J201" s="41" t="s">
        <v>13</v>
      </c>
    </row>
    <row r="202" spans="2:10" s="1" customFormat="1" ht="12.75" x14ac:dyDescent="0.2">
      <c r="B202" s="43" t="s">
        <v>273</v>
      </c>
      <c r="C202" s="43" t="s">
        <v>263</v>
      </c>
      <c r="D202" s="60"/>
      <c r="E202" s="40"/>
      <c r="F202" s="40"/>
      <c r="G202" s="40"/>
      <c r="H202" s="40"/>
      <c r="I202" s="44">
        <f>SUM(H203:H203)</f>
        <v>0</v>
      </c>
      <c r="J202" s="45" t="str">
        <f>+J203</f>
        <v>und</v>
      </c>
    </row>
    <row r="203" spans="2:10" s="1" customFormat="1" ht="12.75" x14ac:dyDescent="0.2">
      <c r="B203" s="46"/>
      <c r="C203" s="39"/>
      <c r="D203" s="40"/>
      <c r="E203" s="40"/>
      <c r="F203" s="40"/>
      <c r="G203" s="40"/>
      <c r="H203" s="40">
        <f>+D203</f>
        <v>0</v>
      </c>
      <c r="I203" s="40"/>
      <c r="J203" s="41" t="s">
        <v>13</v>
      </c>
    </row>
    <row r="204" spans="2:10" s="1" customFormat="1" ht="12.75" x14ac:dyDescent="0.2">
      <c r="B204" s="43" t="s">
        <v>274</v>
      </c>
      <c r="C204" s="43" t="s">
        <v>264</v>
      </c>
      <c r="D204" s="60"/>
      <c r="E204" s="40"/>
      <c r="F204" s="40"/>
      <c r="G204" s="40"/>
      <c r="H204" s="40"/>
      <c r="I204" s="44">
        <f>SUM(H205:H205)</f>
        <v>0</v>
      </c>
      <c r="J204" s="45" t="str">
        <f>+J205</f>
        <v>und</v>
      </c>
    </row>
    <row r="205" spans="2:10" s="1" customFormat="1" ht="12.75" x14ac:dyDescent="0.2">
      <c r="B205" s="46"/>
      <c r="C205" s="39"/>
      <c r="D205" s="40"/>
      <c r="E205" s="40"/>
      <c r="F205" s="40"/>
      <c r="G205" s="40"/>
      <c r="H205" s="40">
        <f>+D205</f>
        <v>0</v>
      </c>
      <c r="I205" s="40"/>
      <c r="J205" s="41" t="s">
        <v>13</v>
      </c>
    </row>
    <row r="206" spans="2:10" s="1" customFormat="1" ht="12.75" x14ac:dyDescent="0.2">
      <c r="B206" s="46"/>
      <c r="C206" s="59"/>
      <c r="D206" s="60"/>
      <c r="E206" s="40"/>
      <c r="F206" s="40"/>
      <c r="G206" s="40"/>
      <c r="H206" s="40"/>
      <c r="I206" s="40"/>
      <c r="J206" s="41"/>
    </row>
    <row r="207" spans="2:10" s="1" customFormat="1" ht="12.75" x14ac:dyDescent="0.2">
      <c r="B207" s="46"/>
      <c r="C207" s="59"/>
      <c r="D207" s="60"/>
      <c r="E207" s="40"/>
      <c r="F207" s="40"/>
      <c r="G207" s="40"/>
      <c r="H207" s="40"/>
      <c r="I207" s="40"/>
      <c r="J207" s="41"/>
    </row>
    <row r="208" spans="2:10" s="1" customFormat="1" ht="12.75" x14ac:dyDescent="0.2">
      <c r="B208" s="46"/>
      <c r="C208" s="59"/>
      <c r="D208" s="60"/>
      <c r="E208" s="40"/>
      <c r="F208" s="40"/>
      <c r="G208" s="40"/>
      <c r="H208" s="40"/>
      <c r="I208" s="40"/>
      <c r="J208" s="41"/>
    </row>
    <row r="209" spans="2:10" s="1" customFormat="1" ht="12.75" x14ac:dyDescent="0.2">
      <c r="B209" s="46"/>
      <c r="C209" s="59"/>
      <c r="D209" s="60"/>
      <c r="E209" s="40"/>
      <c r="F209" s="40"/>
      <c r="G209" s="40"/>
      <c r="H209" s="40"/>
      <c r="I209" s="40"/>
      <c r="J209" s="41"/>
    </row>
    <row r="210" spans="2:10" s="1" customFormat="1" ht="12.75" x14ac:dyDescent="0.2">
      <c r="B210" s="46"/>
      <c r="C210" s="59"/>
      <c r="D210" s="60"/>
      <c r="E210" s="40"/>
      <c r="F210" s="40"/>
      <c r="G210" s="40"/>
      <c r="H210" s="40"/>
      <c r="I210" s="40"/>
      <c r="J210" s="41"/>
    </row>
    <row r="211" spans="2:10" s="1" customFormat="1" ht="12.75" x14ac:dyDescent="0.2">
      <c r="B211" s="46"/>
      <c r="C211" s="59"/>
      <c r="D211" s="60"/>
      <c r="E211" s="40"/>
      <c r="F211" s="40"/>
      <c r="G211" s="40"/>
      <c r="H211" s="40"/>
      <c r="I211" s="40"/>
      <c r="J211" s="41"/>
    </row>
    <row r="212" spans="2:10" s="1" customFormat="1" ht="12.75" x14ac:dyDescent="0.2">
      <c r="B212" s="46"/>
      <c r="C212" s="59"/>
      <c r="D212" s="60"/>
      <c r="E212" s="40"/>
      <c r="F212" s="40"/>
      <c r="G212" s="40"/>
      <c r="H212" s="40"/>
      <c r="I212" s="40"/>
      <c r="J212" s="41"/>
    </row>
    <row r="213" spans="2:10" s="1" customFormat="1" ht="12.75" x14ac:dyDescent="0.2">
      <c r="B213" s="46"/>
      <c r="C213" s="59"/>
      <c r="D213" s="60"/>
      <c r="E213" s="40"/>
      <c r="F213" s="40"/>
      <c r="G213" s="40"/>
      <c r="H213" s="40"/>
      <c r="I213" s="40"/>
      <c r="J213" s="41"/>
    </row>
    <row r="214" spans="2:10" s="1" customFormat="1" ht="12.75" x14ac:dyDescent="0.2">
      <c r="B214" s="46"/>
      <c r="C214" s="59"/>
      <c r="D214" s="60"/>
      <c r="E214" s="40"/>
      <c r="F214" s="40"/>
      <c r="G214" s="40"/>
      <c r="H214" s="40"/>
      <c r="I214" s="40"/>
      <c r="J214" s="41"/>
    </row>
    <row r="215" spans="2:10" s="1" customFormat="1" ht="12.75" x14ac:dyDescent="0.2">
      <c r="B215" s="37"/>
      <c r="C215" s="38"/>
      <c r="D215" s="38"/>
      <c r="E215" s="38"/>
      <c r="F215" s="38"/>
      <c r="G215" s="38"/>
      <c r="H215" s="38"/>
      <c r="I215" s="38"/>
      <c r="J215" s="38"/>
    </row>
    <row r="216" spans="2:10" s="1" customFormat="1" ht="12.75" x14ac:dyDescent="0.2">
      <c r="C216" s="499" t="s">
        <v>37</v>
      </c>
      <c r="D216" s="499"/>
      <c r="E216" s="499"/>
      <c r="F216" s="499"/>
      <c r="G216" s="499"/>
      <c r="H216" s="499"/>
    </row>
    <row r="217" spans="2:10" s="1" customFormat="1" ht="12.75" x14ac:dyDescent="0.2">
      <c r="C217" s="499" t="s">
        <v>38</v>
      </c>
      <c r="D217" s="499"/>
      <c r="E217" s="499"/>
      <c r="F217" s="499"/>
      <c r="G217" s="499"/>
      <c r="H217" s="499"/>
    </row>
    <row r="218" spans="2:10" s="1" customFormat="1" ht="12.75" x14ac:dyDescent="0.2">
      <c r="C218" s="499" t="s">
        <v>39</v>
      </c>
      <c r="D218" s="499"/>
      <c r="E218" s="499"/>
      <c r="F218" s="499"/>
      <c r="G218" s="499"/>
      <c r="H218" s="499"/>
    </row>
    <row r="219" spans="2:10" s="1" customFormat="1" ht="12.75" x14ac:dyDescent="0.2">
      <c r="C219" s="500" t="s">
        <v>40</v>
      </c>
      <c r="D219" s="500"/>
      <c r="E219" s="500"/>
      <c r="F219" s="500"/>
      <c r="G219" s="500"/>
      <c r="H219" s="500"/>
    </row>
    <row r="220" spans="2:10" s="1" customFormat="1" ht="12.75" x14ac:dyDescent="0.2">
      <c r="C220" s="385"/>
      <c r="D220" s="385"/>
      <c r="E220" s="385"/>
      <c r="F220" s="385"/>
      <c r="G220" s="385"/>
      <c r="H220" s="385"/>
    </row>
    <row r="221" spans="2:10" s="1" customFormat="1" ht="33.75" customHeight="1" x14ac:dyDescent="0.2">
      <c r="B221" s="386" t="s">
        <v>65</v>
      </c>
      <c r="C221" s="387"/>
      <c r="D221" s="387"/>
      <c r="E221" s="387"/>
      <c r="F221" s="387"/>
      <c r="G221" s="387"/>
      <c r="H221" s="387"/>
      <c r="I221" s="387"/>
      <c r="J221" s="388"/>
    </row>
    <row r="222" spans="2:10" s="1" customFormat="1" ht="20.25" x14ac:dyDescent="0.2">
      <c r="B222" s="390" t="s">
        <v>362</v>
      </c>
      <c r="C222" s="391"/>
      <c r="D222" s="391"/>
      <c r="E222" s="391"/>
      <c r="F222" s="391"/>
      <c r="G222" s="391"/>
      <c r="H222" s="391"/>
      <c r="I222" s="391"/>
      <c r="J222" s="392"/>
    </row>
    <row r="223" spans="2:10" s="1" customFormat="1" ht="13.5" thickBot="1" x14ac:dyDescent="0.25">
      <c r="B223" s="389"/>
      <c r="C223" s="389"/>
      <c r="D223" s="389"/>
      <c r="E223" s="389"/>
      <c r="F223" s="389"/>
      <c r="G223" s="389"/>
      <c r="H223" s="389"/>
      <c r="I223" s="389"/>
      <c r="J223" s="389"/>
    </row>
    <row r="224" spans="2:10" s="1" customFormat="1" ht="24.75" customHeight="1" x14ac:dyDescent="0.2">
      <c r="B224" s="494" t="s">
        <v>27</v>
      </c>
      <c r="C224" s="495"/>
      <c r="D224" s="495"/>
      <c r="E224" s="495"/>
      <c r="F224" s="495"/>
      <c r="G224" s="495"/>
      <c r="H224" s="495"/>
      <c r="I224" s="495"/>
      <c r="J224" s="496"/>
    </row>
    <row r="225" spans="2:10" s="1" customFormat="1" ht="12.75" x14ac:dyDescent="0.2">
      <c r="B225" s="2" t="s">
        <v>35</v>
      </c>
      <c r="C225" s="3" t="s">
        <v>36</v>
      </c>
      <c r="D225" s="3"/>
      <c r="E225" s="4"/>
      <c r="F225" s="5"/>
      <c r="G225" s="6" t="s">
        <v>8</v>
      </c>
      <c r="H225" s="497">
        <v>42879</v>
      </c>
      <c r="I225" s="497"/>
      <c r="J225" s="7"/>
    </row>
    <row r="226" spans="2:10" s="1" customFormat="1" ht="12.75" x14ac:dyDescent="0.2">
      <c r="B226" s="2" t="s">
        <v>33</v>
      </c>
      <c r="C226" s="3" t="s">
        <v>29</v>
      </c>
      <c r="D226" s="8"/>
      <c r="E226" s="8"/>
      <c r="F226" s="3"/>
      <c r="G226" s="9" t="s">
        <v>32</v>
      </c>
      <c r="H226" s="4" t="s">
        <v>29</v>
      </c>
      <c r="I226" s="10"/>
      <c r="J226" s="11"/>
    </row>
    <row r="227" spans="2:10" s="1" customFormat="1" ht="12.75" x14ac:dyDescent="0.2">
      <c r="B227" s="2" t="s">
        <v>34</v>
      </c>
      <c r="C227" s="3" t="s">
        <v>29</v>
      </c>
      <c r="D227" s="8"/>
      <c r="E227" s="8"/>
      <c r="F227" s="3"/>
      <c r="G227" s="9" t="s">
        <v>30</v>
      </c>
      <c r="H227" s="4" t="s">
        <v>31</v>
      </c>
      <c r="I227" s="10"/>
      <c r="J227" s="11"/>
    </row>
    <row r="228" spans="2:10" s="1" customFormat="1" ht="13.5" thickBot="1" x14ac:dyDescent="0.25">
      <c r="B228" s="12" t="s">
        <v>43</v>
      </c>
      <c r="C228" s="13" t="s">
        <v>44</v>
      </c>
      <c r="D228" s="14"/>
      <c r="E228" s="14"/>
      <c r="F228" s="13"/>
      <c r="G228" s="15" t="s">
        <v>41</v>
      </c>
      <c r="H228" s="16" t="s">
        <v>42</v>
      </c>
      <c r="I228" s="17"/>
      <c r="J228" s="18"/>
    </row>
    <row r="229" spans="2:10" s="1" customFormat="1" ht="12.75" x14ac:dyDescent="0.2">
      <c r="B229" s="389"/>
      <c r="C229" s="389"/>
      <c r="D229" s="389"/>
      <c r="E229" s="389"/>
      <c r="F229" s="389"/>
      <c r="G229" s="389"/>
      <c r="H229" s="389"/>
      <c r="I229" s="389"/>
      <c r="J229" s="389"/>
    </row>
    <row r="230" spans="2:10" s="1" customFormat="1" ht="12.75" x14ac:dyDescent="0.2">
      <c r="B230" s="21" t="s">
        <v>5</v>
      </c>
      <c r="C230" s="22" t="s">
        <v>0</v>
      </c>
      <c r="D230" s="22" t="s">
        <v>9</v>
      </c>
      <c r="E230" s="22" t="s">
        <v>10</v>
      </c>
      <c r="F230" s="22" t="s">
        <v>1</v>
      </c>
      <c r="G230" s="22" t="s">
        <v>2</v>
      </c>
      <c r="H230" s="22" t="s">
        <v>11</v>
      </c>
      <c r="I230" s="22" t="s">
        <v>6</v>
      </c>
      <c r="J230" s="22" t="s">
        <v>7</v>
      </c>
    </row>
    <row r="231" spans="2:10" s="1" customFormat="1" ht="12.75" x14ac:dyDescent="0.2">
      <c r="B231" s="55">
        <v>4.03</v>
      </c>
      <c r="C231" s="56" t="s">
        <v>222</v>
      </c>
      <c r="D231" s="60"/>
      <c r="E231" s="40"/>
      <c r="F231" s="40"/>
      <c r="G231" s="40"/>
      <c r="H231" s="40"/>
      <c r="I231" s="40"/>
      <c r="J231" s="41"/>
    </row>
    <row r="232" spans="2:10" s="1" customFormat="1" ht="12.75" x14ac:dyDescent="0.2">
      <c r="B232" s="57" t="s">
        <v>14</v>
      </c>
      <c r="C232" s="58" t="s">
        <v>225</v>
      </c>
      <c r="D232" s="60"/>
      <c r="E232" s="40"/>
      <c r="F232" s="40"/>
      <c r="G232" s="40"/>
      <c r="H232" s="40"/>
      <c r="I232" s="40"/>
      <c r="J232" s="41"/>
    </row>
    <row r="233" spans="2:10" s="1" customFormat="1" ht="12.75" x14ac:dyDescent="0.2">
      <c r="B233" s="43" t="s">
        <v>15</v>
      </c>
      <c r="C233" s="43" t="s">
        <v>269</v>
      </c>
      <c r="D233" s="60"/>
      <c r="E233" s="40"/>
      <c r="F233" s="40"/>
      <c r="G233" s="40"/>
      <c r="H233" s="40"/>
      <c r="I233" s="44">
        <f>SUM(H234:H234)</f>
        <v>0</v>
      </c>
      <c r="J233" s="45" t="s">
        <v>345</v>
      </c>
    </row>
    <row r="234" spans="2:10" s="1" customFormat="1" ht="12.75" x14ac:dyDescent="0.2">
      <c r="B234" s="57"/>
      <c r="C234" s="39"/>
      <c r="D234" s="60"/>
      <c r="E234" s="40"/>
      <c r="F234" s="40"/>
      <c r="G234" s="40"/>
      <c r="H234" s="40">
        <f>IF(AND(F234=0,G234=0),D234*E234,IF(AND(E234=0,G234=0),D234*F234,IF(AND(E234=0,F234=0),D234*G234,IF(AND(E234=0),D234*F234*G234,IF(AND(F234=0),D234*E234*G234,IF(AND(G234=0),D234*E234*F234,D234*E234*F234*G234))))))</f>
        <v>0</v>
      </c>
      <c r="I234" s="40"/>
      <c r="J234" s="41"/>
    </row>
    <row r="235" spans="2:10" s="1" customFormat="1" ht="12.75" x14ac:dyDescent="0.2">
      <c r="B235" s="43" t="s">
        <v>232</v>
      </c>
      <c r="C235" s="43" t="s">
        <v>348</v>
      </c>
      <c r="D235" s="60"/>
      <c r="E235" s="40"/>
      <c r="F235" s="40"/>
      <c r="H235" s="40"/>
      <c r="I235" s="44">
        <f>SUM(H236:H237)</f>
        <v>2</v>
      </c>
      <c r="J235" s="45" t="str">
        <f>+J236</f>
        <v>und</v>
      </c>
    </row>
    <row r="236" spans="2:10" s="1" customFormat="1" ht="12.75" x14ac:dyDescent="0.2">
      <c r="B236" s="57"/>
      <c r="C236" s="39" t="s">
        <v>349</v>
      </c>
      <c r="D236" s="40">
        <v>1</v>
      </c>
      <c r="E236" s="40"/>
      <c r="F236" s="40"/>
      <c r="G236" s="40"/>
      <c r="H236" s="40">
        <f>+D236</f>
        <v>1</v>
      </c>
      <c r="I236" s="40"/>
      <c r="J236" s="41" t="s">
        <v>13</v>
      </c>
    </row>
    <row r="237" spans="2:10" s="1" customFormat="1" ht="12.75" x14ac:dyDescent="0.2">
      <c r="B237" s="57"/>
      <c r="C237" s="39" t="s">
        <v>640</v>
      </c>
      <c r="D237" s="60">
        <v>1</v>
      </c>
      <c r="E237" s="40"/>
      <c r="F237" s="40"/>
      <c r="G237" s="40"/>
      <c r="H237" s="40">
        <f>+D237</f>
        <v>1</v>
      </c>
      <c r="I237" s="40"/>
      <c r="J237" s="41"/>
    </row>
    <row r="238" spans="2:10" s="1" customFormat="1" ht="12.75" x14ac:dyDescent="0.2">
      <c r="B238" s="57" t="s">
        <v>16</v>
      </c>
      <c r="C238" s="58" t="s">
        <v>224</v>
      </c>
      <c r="D238" s="60"/>
      <c r="E238" s="40"/>
      <c r="F238" s="40"/>
      <c r="G238" s="40"/>
      <c r="H238" s="40"/>
      <c r="I238" s="40"/>
      <c r="J238" s="41"/>
    </row>
    <row r="239" spans="2:10" s="1" customFormat="1" ht="12.75" x14ac:dyDescent="0.2">
      <c r="B239" s="43" t="s">
        <v>17</v>
      </c>
      <c r="C239" s="43" t="s">
        <v>343</v>
      </c>
      <c r="D239" s="60"/>
      <c r="E239" s="40"/>
      <c r="F239" s="40"/>
      <c r="G239" s="40"/>
      <c r="H239" s="40"/>
      <c r="I239" s="44">
        <f>SUM(H240:H240)</f>
        <v>0</v>
      </c>
      <c r="J239" s="45" t="str">
        <f>+J240</f>
        <v>ml</v>
      </c>
    </row>
    <row r="240" spans="2:10" s="1" customFormat="1" ht="12.75" x14ac:dyDescent="0.2">
      <c r="B240" s="57"/>
      <c r="C240" s="39" t="s">
        <v>344</v>
      </c>
      <c r="D240" s="40"/>
      <c r="E240" s="40"/>
      <c r="F240" s="40"/>
      <c r="G240" s="40"/>
      <c r="H240" s="40">
        <f>IF(AND(F240=0,G240=0),D240*E240,IF(AND(E240=0,G240=0),D240*F240,IF(AND(E240=0,F240=0),D240*G240,IF(AND(E240=0),D240*F240*G240,IF(AND(F240=0),D240*E240*G240,IF(AND(G240=0),D240*E240*F240,D240*E240*F240*G240))))))</f>
        <v>0</v>
      </c>
      <c r="I240" s="40"/>
      <c r="J240" s="41" t="str">
        <f>IF(AND(E240=0,F240&lt;&gt;0,G240&lt;&gt;0),"m2",IF(AND(F240=0,E240&lt;&gt;0,G240&lt;&gt;0),"m2",IF(AND(G240=0,E240&lt;&gt;0,F240&lt;&gt;0),"m2",IF(AND(F240=0,G240=0),"ml",IF(AND(E240=0,G240=0),"ml",IF(AND(E240=0,F240=0),"ml",IF(AND(E240&lt;&gt;0,F240&lt;&gt;0,G240&lt;&gt;0),"m3",0)))))))</f>
        <v>ml</v>
      </c>
    </row>
    <row r="241" spans="2:10" s="1" customFormat="1" ht="12.75" x14ac:dyDescent="0.2">
      <c r="B241" s="43" t="s">
        <v>240</v>
      </c>
      <c r="C241" s="43" t="s">
        <v>237</v>
      </c>
      <c r="D241" s="60"/>
      <c r="E241" s="40"/>
      <c r="F241" s="40"/>
      <c r="G241" s="40"/>
      <c r="H241" s="40"/>
      <c r="I241" s="44">
        <f>SUM(H242:H243)</f>
        <v>0</v>
      </c>
      <c r="J241" s="45" t="str">
        <f>+J242</f>
        <v>ml</v>
      </c>
    </row>
    <row r="242" spans="2:10" s="1" customFormat="1" ht="12.75" x14ac:dyDescent="0.2">
      <c r="B242" s="57"/>
      <c r="C242" s="39" t="s">
        <v>371</v>
      </c>
      <c r="D242" s="40"/>
      <c r="E242" s="40"/>
      <c r="F242" s="40"/>
      <c r="G242" s="40"/>
      <c r="H242" s="40">
        <f>IF(AND(F242=0,G242=0),D242*E242,IF(AND(E242=0,G242=0),D242*F242,IF(AND(E242=0,F242=0),D242*G242,IF(AND(E242=0),D242*F242*G242,IF(AND(F242=0),D242*E242*G242,IF(AND(G242=0),D242*E242*F242,D242*E242*F242*G242))))))</f>
        <v>0</v>
      </c>
      <c r="I242" s="40"/>
      <c r="J242" s="41" t="str">
        <f>IF(AND(E242=0,F242&lt;&gt;0,G242&lt;&gt;0),"m2",IF(AND(F242=0,E242&lt;&gt;0,G242&lt;&gt;0),"m2",IF(AND(G242=0,E242&lt;&gt;0,F242&lt;&gt;0),"m2",IF(AND(F242=0,G242=0),"ml",IF(AND(E242=0,G242=0),"ml",IF(AND(E242=0,F242=0),"ml",IF(AND(E242&lt;&gt;0,F242&lt;&gt;0,G242&lt;&gt;0),"m3",0)))))))</f>
        <v>ml</v>
      </c>
    </row>
    <row r="243" spans="2:10" s="1" customFormat="1" ht="12.75" x14ac:dyDescent="0.2">
      <c r="B243" s="57"/>
      <c r="C243" s="39" t="s">
        <v>371</v>
      </c>
      <c r="D243" s="40"/>
      <c r="E243" s="40"/>
      <c r="F243" s="40"/>
      <c r="G243" s="40"/>
      <c r="H243" s="40">
        <f>IF(AND(F243=0,G243=0),D243*E243,IF(AND(E243=0,G243=0),D243*F243,IF(AND(E243=0,F243=0),D243*G243,IF(AND(E243=0),D243*F243*G243,IF(AND(F243=0),D243*E243*G243,IF(AND(G243=0),D243*E243*F243,D243*E243*F243*G243))))))</f>
        <v>0</v>
      </c>
      <c r="I243" s="40"/>
      <c r="J243" s="41" t="str">
        <f>IF(AND(E243=0,F243&lt;&gt;0,G243&lt;&gt;0),"m2",IF(AND(F243=0,E243&lt;&gt;0,G243&lt;&gt;0),"m2",IF(AND(G243=0,E243&lt;&gt;0,F243&lt;&gt;0),"m2",IF(AND(F243=0,G243=0),"ml",IF(AND(E243=0,G243=0),"ml",IF(AND(E243=0,F243=0),"ml",IF(AND(E243&lt;&gt;0,F243&lt;&gt;0,G243&lt;&gt;0),"m3",0)))))))</f>
        <v>ml</v>
      </c>
    </row>
    <row r="244" spans="2:10" s="1" customFormat="1" ht="12.75" x14ac:dyDescent="0.2">
      <c r="B244" s="43" t="s">
        <v>241</v>
      </c>
      <c r="C244" s="43" t="s">
        <v>242</v>
      </c>
      <c r="D244" s="60"/>
      <c r="E244" s="40"/>
      <c r="F244" s="40"/>
      <c r="G244" s="40"/>
      <c r="H244" s="40"/>
      <c r="I244" s="44">
        <f>SUM(H245:H245)</f>
        <v>0</v>
      </c>
      <c r="J244" s="45" t="str">
        <f>+J245</f>
        <v>ml</v>
      </c>
    </row>
    <row r="245" spans="2:10" s="1" customFormat="1" ht="12.75" x14ac:dyDescent="0.2">
      <c r="B245" s="57"/>
      <c r="C245" s="39" t="s">
        <v>238</v>
      </c>
      <c r="D245" s="40"/>
      <c r="E245" s="40"/>
      <c r="F245" s="40"/>
      <c r="G245" s="40"/>
      <c r="H245" s="40">
        <f>IF(AND(F245=0,G245=0),D245*E245,IF(AND(E245=0,G245=0),D245*F245,IF(AND(E245=0,F245=0),D245*G245,IF(AND(E245=0),D245*F245*G245,IF(AND(F245=0),D245*E245*G245,IF(AND(G245=0),D245*E245*F245,D245*E245*F245*G245))))))</f>
        <v>0</v>
      </c>
      <c r="I245" s="40"/>
      <c r="J245" s="41" t="str">
        <f>IF(AND(E245=0,F245&lt;&gt;0,G245&lt;&gt;0),"m2",IF(AND(F245=0,E245&lt;&gt;0,G245&lt;&gt;0),"m2",IF(AND(G245=0,E245&lt;&gt;0,F245&lt;&gt;0),"m2",IF(AND(F245=0,G245=0),"ml",IF(AND(E245=0,G245=0),"ml",IF(AND(E245=0,F245=0),"ml",IF(AND(E245&lt;&gt;0,F245&lt;&gt;0,G245&lt;&gt;0),"m3",0)))))))</f>
        <v>ml</v>
      </c>
    </row>
    <row r="246" spans="2:10" s="1" customFormat="1" ht="12.75" x14ac:dyDescent="0.2">
      <c r="B246" s="43" t="s">
        <v>243</v>
      </c>
      <c r="C246" s="43" t="s">
        <v>245</v>
      </c>
      <c r="D246" s="60"/>
      <c r="E246" s="40"/>
      <c r="F246" s="40"/>
      <c r="G246" s="40"/>
      <c r="H246" s="40"/>
      <c r="I246" s="44">
        <f>SUM(H247:H247)</f>
        <v>0</v>
      </c>
      <c r="J246" s="45" t="str">
        <f>+J247</f>
        <v>ml</v>
      </c>
    </row>
    <row r="247" spans="2:10" s="1" customFormat="1" ht="12.75" x14ac:dyDescent="0.2">
      <c r="B247" s="57"/>
      <c r="C247" s="39" t="s">
        <v>238</v>
      </c>
      <c r="D247" s="40"/>
      <c r="E247" s="40"/>
      <c r="F247" s="40"/>
      <c r="G247" s="40"/>
      <c r="H247" s="40">
        <f>IF(AND(F247=0,G247=0),D247*E247,IF(AND(E247=0,G247=0),D247*F247,IF(AND(E247=0,F247=0),D247*G247,IF(AND(E247=0),D247*F247*G247,IF(AND(F247=0),D247*E247*G247,IF(AND(G247=0),D247*E247*F247,D247*E247*F247*G247))))))</f>
        <v>0</v>
      </c>
      <c r="I247" s="40"/>
      <c r="J247" s="41" t="str">
        <f>IF(AND(E247=0,F247&lt;&gt;0,G247&lt;&gt;0),"m2",IF(AND(F247=0,E247&lt;&gt;0,G247&lt;&gt;0),"m2",IF(AND(G247=0,E247&lt;&gt;0,F247&lt;&gt;0),"m2",IF(AND(F247=0,G247=0),"ml",IF(AND(E247=0,G247=0),"ml",IF(AND(E247=0,F247=0),"ml",IF(AND(E247&lt;&gt;0,F247&lt;&gt;0,G247&lt;&gt;0),"m3",0)))))))</f>
        <v>ml</v>
      </c>
    </row>
    <row r="248" spans="2:10" s="1" customFormat="1" ht="12.75" x14ac:dyDescent="0.2">
      <c r="B248" s="43" t="s">
        <v>244</v>
      </c>
      <c r="C248" s="43" t="s">
        <v>247</v>
      </c>
      <c r="D248" s="60"/>
      <c r="E248" s="40"/>
      <c r="F248" s="40"/>
      <c r="G248" s="40"/>
      <c r="H248" s="40"/>
      <c r="I248" s="44">
        <f>SUM(H249:H249)</f>
        <v>0</v>
      </c>
      <c r="J248" s="45" t="str">
        <f>+J249</f>
        <v>ml</v>
      </c>
    </row>
    <row r="249" spans="2:10" s="1" customFormat="1" ht="12.75" x14ac:dyDescent="0.2">
      <c r="B249" s="57"/>
      <c r="C249" s="39" t="s">
        <v>238</v>
      </c>
      <c r="D249" s="40"/>
      <c r="E249" s="40"/>
      <c r="F249" s="40"/>
      <c r="G249" s="40"/>
      <c r="H249" s="40">
        <f>IF(AND(F249=0,G249=0),D249*E249,IF(AND(E249=0,G249=0),D249*F249,IF(AND(E249=0,F249=0),D249*G249,IF(AND(E249=0),D249*F249*G249,IF(AND(F249=0),D249*E249*G249,IF(AND(G249=0),D249*E249*F249,D249*E249*F249*G249))))))</f>
        <v>0</v>
      </c>
      <c r="I249" s="40"/>
      <c r="J249" s="41" t="str">
        <f>IF(AND(E249=0,F249&lt;&gt;0,G249&lt;&gt;0),"m2",IF(AND(F249=0,E249&lt;&gt;0,G249&lt;&gt;0),"m2",IF(AND(G249=0,E249&lt;&gt;0,F249&lt;&gt;0),"m2",IF(AND(F249=0,G249=0),"ml",IF(AND(E249=0,G249=0),"ml",IF(AND(E249=0,F249=0),"ml",IF(AND(E249&lt;&gt;0,F249&lt;&gt;0,G249&lt;&gt;0),"m3",0)))))))</f>
        <v>ml</v>
      </c>
    </row>
    <row r="250" spans="2:10" s="1" customFormat="1" ht="12.75" x14ac:dyDescent="0.2">
      <c r="B250" s="43" t="s">
        <v>248</v>
      </c>
      <c r="C250" s="43" t="s">
        <v>226</v>
      </c>
      <c r="D250" s="60"/>
      <c r="E250" s="40"/>
      <c r="F250" s="40"/>
      <c r="G250" s="40"/>
      <c r="H250" s="40"/>
      <c r="I250" s="44">
        <f>SUM(H251:H252)</f>
        <v>0</v>
      </c>
      <c r="J250" s="45" t="str">
        <f>+J252</f>
        <v>ml</v>
      </c>
    </row>
    <row r="251" spans="2:10" s="1" customFormat="1" ht="12.75" x14ac:dyDescent="0.2">
      <c r="B251" s="43"/>
      <c r="C251" s="39" t="s">
        <v>371</v>
      </c>
      <c r="D251" s="40"/>
      <c r="E251" s="40"/>
      <c r="F251" s="40"/>
      <c r="G251" s="40"/>
      <c r="H251" s="40">
        <f>IF(AND(F251=0,G251=0),D251*E251,IF(AND(E251=0,G251=0),D251*F251,IF(AND(E251=0,F251=0),D251*G251,IF(AND(E251=0),D251*F251*G251,IF(AND(F251=0),D251*E251*G251,IF(AND(G251=0),D251*E251*F251,D251*E251*F251*G251))))))</f>
        <v>0</v>
      </c>
      <c r="I251" s="40"/>
      <c r="J251" s="41" t="str">
        <f>IF(AND(E251=0,F251&lt;&gt;0,G251&lt;&gt;0),"m2",IF(AND(F251=0,E251&lt;&gt;0,G251&lt;&gt;0),"m2",IF(AND(G251=0,E251&lt;&gt;0,F251&lt;&gt;0),"m2",IF(AND(F251=0,G251=0),"ml",IF(AND(E251=0,G251=0),"ml",IF(AND(E251=0,F251=0),"ml",IF(AND(E251&lt;&gt;0,F251&lt;&gt;0,G251&lt;&gt;0),"m3",0)))))))</f>
        <v>ml</v>
      </c>
    </row>
    <row r="252" spans="2:10" s="1" customFormat="1" ht="12.75" x14ac:dyDescent="0.2">
      <c r="B252" s="57"/>
      <c r="C252" s="39" t="s">
        <v>371</v>
      </c>
      <c r="D252" s="40"/>
      <c r="E252" s="40"/>
      <c r="F252" s="40"/>
      <c r="G252" s="40"/>
      <c r="H252" s="40">
        <f>IF(AND(F252=0,G252=0),D252*E252,IF(AND(E252=0,G252=0),D252*F252,IF(AND(E252=0,F252=0),D252*G252,IF(AND(E252=0),D252*F252*G252,IF(AND(F252=0),D252*E252*G252,IF(AND(G252=0),D252*E252*F252,D252*E252*F252*G252))))))</f>
        <v>0</v>
      </c>
      <c r="I252" s="40"/>
      <c r="J252" s="41" t="str">
        <f>IF(AND(E252=0,F252&lt;&gt;0,G252&lt;&gt;0),"m2",IF(AND(F252=0,E252&lt;&gt;0,G252&lt;&gt;0),"m2",IF(AND(G252=0,E252&lt;&gt;0,F252&lt;&gt;0),"m2",IF(AND(F252=0,G252=0),"ml",IF(AND(E252=0,G252=0),"ml",IF(AND(E252=0,F252=0),"ml",IF(AND(E252&lt;&gt;0,F252&lt;&gt;0,G252&lt;&gt;0),"m3",0)))))))</f>
        <v>ml</v>
      </c>
    </row>
    <row r="253" spans="2:10" s="1" customFormat="1" ht="12.75" x14ac:dyDescent="0.2">
      <c r="B253" s="43" t="s">
        <v>249</v>
      </c>
      <c r="C253" s="43" t="s">
        <v>228</v>
      </c>
      <c r="D253" s="60"/>
      <c r="E253" s="40"/>
      <c r="F253" s="40"/>
      <c r="G253" s="40"/>
      <c r="H253" s="40"/>
      <c r="I253" s="44">
        <f>SUM(H254:H254)</f>
        <v>7.35</v>
      </c>
      <c r="J253" s="45" t="str">
        <f>+J254</f>
        <v>ml</v>
      </c>
    </row>
    <row r="254" spans="2:10" s="1" customFormat="1" ht="12.75" x14ac:dyDescent="0.2">
      <c r="B254" s="57"/>
      <c r="C254" s="39" t="s">
        <v>484</v>
      </c>
      <c r="D254" s="40">
        <v>1</v>
      </c>
      <c r="E254" s="40">
        <v>7.35</v>
      </c>
      <c r="F254" s="40"/>
      <c r="G254" s="40"/>
      <c r="H254" s="40">
        <f>IF(AND(F254=0,G254=0),D254*E254,IF(AND(E254=0,G254=0),D254*F254,IF(AND(E254=0,F254=0),D254*G254,IF(AND(E254=0),D254*F254*G254,IF(AND(F254=0),D254*E254*G254,IF(AND(G254=0),D254*E254*F254,D254*E254*F254*G254))))))</f>
        <v>7.35</v>
      </c>
      <c r="I254" s="40"/>
      <c r="J254" s="41" t="str">
        <f>IF(AND(E254=0,F254&lt;&gt;0,G254&lt;&gt;0),"m2",IF(AND(F254=0,E254&lt;&gt;0,G254&lt;&gt;0),"m2",IF(AND(G254=0,E254&lt;&gt;0,F254&lt;&gt;0),"m2",IF(AND(F254=0,G254=0),"ml",IF(AND(E254=0,G254=0),"ml",IF(AND(E254=0,F254=0),"ml",IF(AND(E254&lt;&gt;0,F254&lt;&gt;0,G254&lt;&gt;0),"m3",0)))))))</f>
        <v>ml</v>
      </c>
    </row>
    <row r="255" spans="2:10" s="1" customFormat="1" ht="12.75" x14ac:dyDescent="0.2">
      <c r="B255" s="57"/>
      <c r="C255" s="39"/>
      <c r="D255" s="60"/>
      <c r="E255" s="40"/>
      <c r="F255" s="40"/>
      <c r="G255" s="40"/>
      <c r="H255" s="40"/>
      <c r="I255" s="40"/>
      <c r="J255" s="41"/>
    </row>
    <row r="256" spans="2:10" s="1" customFormat="1" ht="12.75" x14ac:dyDescent="0.2">
      <c r="B256" s="43" t="s">
        <v>256</v>
      </c>
      <c r="C256" s="43" t="s">
        <v>250</v>
      </c>
      <c r="D256" s="60"/>
      <c r="E256" s="40"/>
      <c r="F256" s="40"/>
      <c r="G256" s="40"/>
      <c r="H256" s="40"/>
      <c r="I256" s="44">
        <f>SUM(H257:H257)</f>
        <v>0</v>
      </c>
      <c r="J256" s="45" t="str">
        <f>+J257</f>
        <v>ml</v>
      </c>
    </row>
    <row r="257" spans="2:10" s="1" customFormat="1" ht="12.75" x14ac:dyDescent="0.2">
      <c r="B257" s="57"/>
      <c r="C257" s="39" t="s">
        <v>386</v>
      </c>
      <c r="D257" s="40"/>
      <c r="E257" s="40"/>
      <c r="F257" s="40"/>
      <c r="G257" s="40"/>
      <c r="H257" s="40">
        <f>IF(AND(F257=0,G257=0),D257*E257,IF(AND(E257=0,G257=0),D257*F257,IF(AND(E257=0,F257=0),D257*G257,IF(AND(E257=0),D257*F257*G257,IF(AND(F257=0),D257*E257*G257,IF(AND(G257=0),D257*E257*F257,D257*E257*F257*G257))))))</f>
        <v>0</v>
      </c>
      <c r="I257" s="40"/>
      <c r="J257" s="41" t="str">
        <f>IF(AND(E257=0,F257&lt;&gt;0,G257&lt;&gt;0),"m2",IF(AND(F257=0,E257&lt;&gt;0,G257&lt;&gt;0),"m2",IF(AND(G257=0,E257&lt;&gt;0,F257&lt;&gt;0),"m2",IF(AND(F257=0,G257=0),"ml",IF(AND(E257=0,G257=0),"ml",IF(AND(E257=0,F257=0),"ml",IF(AND(E257&lt;&gt;0,F257&lt;&gt;0,G257&lt;&gt;0),"m3",0)))))))</f>
        <v>ml</v>
      </c>
    </row>
    <row r="258" spans="2:10" s="1" customFormat="1" ht="12.75" x14ac:dyDescent="0.2">
      <c r="B258" s="43" t="s">
        <v>257</v>
      </c>
      <c r="C258" s="43" t="s">
        <v>252</v>
      </c>
      <c r="D258" s="60"/>
      <c r="E258" s="40"/>
      <c r="F258" s="40"/>
      <c r="G258" s="40"/>
      <c r="H258" s="40"/>
      <c r="I258" s="44">
        <f>SUM(H259:H259)</f>
        <v>0</v>
      </c>
      <c r="J258" s="45" t="str">
        <f>+J259</f>
        <v>ml</v>
      </c>
    </row>
    <row r="259" spans="2:10" s="1" customFormat="1" ht="12.75" x14ac:dyDescent="0.2">
      <c r="B259" s="57"/>
      <c r="C259" s="39" t="s">
        <v>238</v>
      </c>
      <c r="D259" s="40"/>
      <c r="E259" s="40"/>
      <c r="F259" s="40"/>
      <c r="G259" s="40"/>
      <c r="H259" s="40">
        <f>IF(AND(F259=0,G259=0),D259*E259,IF(AND(E259=0,G259=0),D259*F259,IF(AND(E259=0,F259=0),D259*G259,IF(AND(E259=0),D259*F259*G259,IF(AND(F259=0),D259*E259*G259,IF(AND(G259=0),D259*E259*F259,D259*E259*F259*G259))))))</f>
        <v>0</v>
      </c>
      <c r="I259" s="40"/>
      <c r="J259" s="41" t="str">
        <f>IF(AND(E259=0,F259&lt;&gt;0,G259&lt;&gt;0),"m2",IF(AND(F259=0,E259&lt;&gt;0,G259&lt;&gt;0),"m2",IF(AND(G259=0,E259&lt;&gt;0,F259&lt;&gt;0),"m2",IF(AND(F259=0,G259=0),"ml",IF(AND(E259=0,G259=0),"ml",IF(AND(E259=0,F259=0),"ml",IF(AND(E259&lt;&gt;0,F259&lt;&gt;0,G259&lt;&gt;0),"m3",0)))))))</f>
        <v>ml</v>
      </c>
    </row>
    <row r="260" spans="2:10" s="1" customFormat="1" ht="12.75" x14ac:dyDescent="0.2">
      <c r="B260" s="43" t="s">
        <v>258</v>
      </c>
      <c r="C260" s="43" t="s">
        <v>253</v>
      </c>
      <c r="D260" s="60"/>
      <c r="E260" s="40"/>
      <c r="F260" s="40"/>
      <c r="G260" s="40"/>
      <c r="H260" s="40"/>
      <c r="I260" s="44">
        <f>SUM(H261:H263)</f>
        <v>0</v>
      </c>
      <c r="J260" s="45" t="str">
        <f>+J263</f>
        <v>und</v>
      </c>
    </row>
    <row r="261" spans="2:10" s="1" customFormat="1" ht="12.75" x14ac:dyDescent="0.2">
      <c r="B261" s="43"/>
      <c r="C261" s="39" t="s">
        <v>383</v>
      </c>
      <c r="D261" s="40"/>
      <c r="E261" s="40"/>
      <c r="F261" s="40"/>
      <c r="G261" s="40"/>
      <c r="H261" s="40">
        <f>+D261</f>
        <v>0</v>
      </c>
      <c r="I261" s="40"/>
      <c r="J261" s="41" t="s">
        <v>13</v>
      </c>
    </row>
    <row r="262" spans="2:10" s="1" customFormat="1" ht="12.75" x14ac:dyDescent="0.2">
      <c r="B262" s="43"/>
      <c r="C262" s="39" t="s">
        <v>381</v>
      </c>
      <c r="D262" s="40"/>
      <c r="E262" s="40"/>
      <c r="F262" s="40"/>
      <c r="G262" s="40"/>
      <c r="H262" s="40">
        <f>+D262</f>
        <v>0</v>
      </c>
      <c r="I262" s="40"/>
      <c r="J262" s="41" t="s">
        <v>13</v>
      </c>
    </row>
    <row r="263" spans="2:10" s="1" customFormat="1" ht="12.75" x14ac:dyDescent="0.2">
      <c r="B263" s="57"/>
      <c r="C263" s="39" t="s">
        <v>382</v>
      </c>
      <c r="D263" s="40"/>
      <c r="E263" s="40"/>
      <c r="F263" s="40"/>
      <c r="G263" s="40"/>
      <c r="H263" s="40">
        <f>+D263</f>
        <v>0</v>
      </c>
      <c r="I263" s="40"/>
      <c r="J263" s="41" t="s">
        <v>13</v>
      </c>
    </row>
    <row r="264" spans="2:10" s="1" customFormat="1" ht="12.75" x14ac:dyDescent="0.2">
      <c r="B264" s="43" t="s">
        <v>259</v>
      </c>
      <c r="C264" s="43" t="s">
        <v>254</v>
      </c>
      <c r="D264" s="60"/>
      <c r="E264" s="40"/>
      <c r="F264" s="40"/>
      <c r="G264" s="40"/>
      <c r="H264" s="40"/>
      <c r="I264" s="44">
        <f>SUM(H265:H265)</f>
        <v>0</v>
      </c>
      <c r="J264" s="45" t="str">
        <f>+J265</f>
        <v>und</v>
      </c>
    </row>
    <row r="265" spans="2:10" s="1" customFormat="1" ht="12.75" x14ac:dyDescent="0.2">
      <c r="B265" s="57"/>
      <c r="C265" s="39" t="s">
        <v>238</v>
      </c>
      <c r="D265" s="40"/>
      <c r="E265" s="40"/>
      <c r="F265" s="40"/>
      <c r="G265" s="40"/>
      <c r="H265" s="40">
        <f>+D265</f>
        <v>0</v>
      </c>
      <c r="I265" s="40"/>
      <c r="J265" s="41" t="s">
        <v>13</v>
      </c>
    </row>
    <row r="266" spans="2:10" s="1" customFormat="1" ht="12.75" x14ac:dyDescent="0.2">
      <c r="B266" s="57"/>
      <c r="C266" s="39"/>
      <c r="D266" s="60"/>
      <c r="E266" s="40"/>
      <c r="F266" s="40"/>
      <c r="G266" s="40"/>
      <c r="H266" s="40"/>
      <c r="I266" s="40"/>
      <c r="J266" s="41"/>
    </row>
    <row r="267" spans="2:10" s="1" customFormat="1" ht="12.75" x14ac:dyDescent="0.2">
      <c r="B267" s="57" t="s">
        <v>18</v>
      </c>
      <c r="C267" s="58" t="s">
        <v>223</v>
      </c>
      <c r="D267" s="60"/>
      <c r="E267" s="40"/>
      <c r="F267" s="40"/>
      <c r="G267" s="40"/>
      <c r="H267" s="40"/>
      <c r="I267" s="40"/>
      <c r="J267" s="41"/>
    </row>
    <row r="268" spans="2:10" s="1" customFormat="1" ht="12.75" x14ac:dyDescent="0.2">
      <c r="B268" s="43" t="s">
        <v>19</v>
      </c>
      <c r="C268" s="43" t="s">
        <v>265</v>
      </c>
      <c r="D268" s="60"/>
      <c r="E268" s="40"/>
      <c r="F268" s="40"/>
      <c r="G268" s="40"/>
      <c r="H268" s="40"/>
      <c r="I268" s="44">
        <f>SUM(H269:H269)</f>
        <v>1</v>
      </c>
      <c r="J268" s="45" t="str">
        <f>+J269</f>
        <v>und</v>
      </c>
    </row>
    <row r="269" spans="2:10" s="1" customFormat="1" ht="12.75" x14ac:dyDescent="0.2">
      <c r="B269" s="46"/>
      <c r="C269" s="39" t="s">
        <v>231</v>
      </c>
      <c r="D269" s="40">
        <v>1</v>
      </c>
      <c r="E269" s="40"/>
      <c r="F269" s="40"/>
      <c r="G269" s="40"/>
      <c r="H269" s="40">
        <f>+D269</f>
        <v>1</v>
      </c>
      <c r="I269" s="40"/>
      <c r="J269" s="41" t="s">
        <v>13</v>
      </c>
    </row>
    <row r="270" spans="2:10" s="1" customFormat="1" ht="12.75" x14ac:dyDescent="0.2">
      <c r="B270" s="43" t="s">
        <v>20</v>
      </c>
      <c r="C270" s="43" t="s">
        <v>266</v>
      </c>
      <c r="D270" s="60"/>
      <c r="E270" s="40"/>
      <c r="F270" s="40"/>
      <c r="G270" s="40"/>
      <c r="H270" s="40"/>
      <c r="I270" s="44">
        <f>SUM(H271:H271)</f>
        <v>0</v>
      </c>
      <c r="J270" s="45" t="str">
        <f>+J271</f>
        <v>und</v>
      </c>
    </row>
    <row r="271" spans="2:10" s="1" customFormat="1" ht="12.75" x14ac:dyDescent="0.2">
      <c r="B271" s="43"/>
      <c r="C271" s="39"/>
      <c r="D271" s="40"/>
      <c r="E271" s="40"/>
      <c r="F271" s="40"/>
      <c r="G271" s="40"/>
      <c r="H271" s="40">
        <f>+D271</f>
        <v>0</v>
      </c>
      <c r="I271" s="40"/>
      <c r="J271" s="41" t="s">
        <v>13</v>
      </c>
    </row>
    <row r="272" spans="2:10" s="1" customFormat="1" ht="12.75" x14ac:dyDescent="0.2">
      <c r="B272" s="43" t="s">
        <v>21</v>
      </c>
      <c r="C272" s="43" t="s">
        <v>357</v>
      </c>
      <c r="D272" s="60"/>
      <c r="E272" s="40"/>
      <c r="F272" s="40"/>
      <c r="G272" s="40"/>
      <c r="H272" s="40"/>
      <c r="I272" s="44">
        <f>SUM(H273:H273)</f>
        <v>1</v>
      </c>
      <c r="J272" s="45" t="str">
        <f>+J273</f>
        <v>und</v>
      </c>
    </row>
    <row r="273" spans="2:10" s="1" customFormat="1" ht="12.75" x14ac:dyDescent="0.2">
      <c r="B273" s="43"/>
      <c r="C273" s="39" t="s">
        <v>375</v>
      </c>
      <c r="D273" s="40">
        <v>1</v>
      </c>
      <c r="E273" s="40"/>
      <c r="F273" s="40"/>
      <c r="G273" s="40"/>
      <c r="H273" s="40">
        <f>+D273</f>
        <v>1</v>
      </c>
      <c r="I273" s="40"/>
      <c r="J273" s="41" t="s">
        <v>13</v>
      </c>
    </row>
    <row r="274" spans="2:10" s="1" customFormat="1" ht="12.75" x14ac:dyDescent="0.2">
      <c r="B274" s="43" t="s">
        <v>273</v>
      </c>
      <c r="C274" s="43" t="s">
        <v>263</v>
      </c>
      <c r="D274" s="60"/>
      <c r="E274" s="40"/>
      <c r="F274" s="40"/>
      <c r="G274" s="40"/>
      <c r="H274" s="40"/>
      <c r="I274" s="44">
        <f>SUM(H275:H275)</f>
        <v>0</v>
      </c>
      <c r="J274" s="45" t="str">
        <f>+J275</f>
        <v>und</v>
      </c>
    </row>
    <row r="275" spans="2:10" s="1" customFormat="1" ht="12.75" x14ac:dyDescent="0.2">
      <c r="B275" s="46"/>
      <c r="C275" s="39" t="s">
        <v>385</v>
      </c>
      <c r="D275" s="40"/>
      <c r="E275" s="40"/>
      <c r="F275" s="40"/>
      <c r="G275" s="40"/>
      <c r="H275" s="40">
        <f>+D275</f>
        <v>0</v>
      </c>
      <c r="I275" s="40"/>
      <c r="J275" s="41" t="s">
        <v>13</v>
      </c>
    </row>
    <row r="276" spans="2:10" s="1" customFormat="1" ht="12.75" x14ac:dyDescent="0.2">
      <c r="B276" s="43" t="s">
        <v>274</v>
      </c>
      <c r="C276" s="43" t="s">
        <v>264</v>
      </c>
      <c r="D276" s="60"/>
      <c r="E276" s="40"/>
      <c r="F276" s="40"/>
      <c r="G276" s="40"/>
      <c r="H276" s="40"/>
      <c r="I276" s="44">
        <f>SUM(H277:H277)</f>
        <v>0</v>
      </c>
      <c r="J276" s="45" t="str">
        <f>+J277</f>
        <v>und</v>
      </c>
    </row>
    <row r="277" spans="2:10" s="1" customFormat="1" ht="12.75" x14ac:dyDescent="0.2">
      <c r="B277" s="46"/>
      <c r="C277" s="39" t="s">
        <v>384</v>
      </c>
      <c r="D277" s="40"/>
      <c r="E277" s="40"/>
      <c r="F277" s="40"/>
      <c r="G277" s="40"/>
      <c r="H277" s="40">
        <f>+D277</f>
        <v>0</v>
      </c>
      <c r="I277" s="40"/>
      <c r="J277" s="41" t="s">
        <v>13</v>
      </c>
    </row>
    <row r="278" spans="2:10" s="1" customFormat="1" ht="12.75" x14ac:dyDescent="0.2">
      <c r="B278" s="46"/>
      <c r="C278" s="59"/>
      <c r="D278" s="60"/>
      <c r="E278" s="40"/>
      <c r="F278" s="40"/>
      <c r="G278" s="40"/>
      <c r="H278" s="40"/>
      <c r="I278" s="40"/>
      <c r="J278" s="41"/>
    </row>
    <row r="279" spans="2:10" s="1" customFormat="1" ht="12.75" x14ac:dyDescent="0.2">
      <c r="B279" s="46"/>
      <c r="C279" s="59"/>
      <c r="D279" s="60"/>
      <c r="E279" s="40"/>
      <c r="F279" s="40"/>
      <c r="G279" s="40"/>
      <c r="H279" s="40"/>
      <c r="I279" s="40"/>
      <c r="J279" s="41"/>
    </row>
    <row r="280" spans="2:10" s="1" customFormat="1" ht="12.75" x14ac:dyDescent="0.2">
      <c r="B280" s="46"/>
      <c r="C280" s="59"/>
      <c r="D280" s="60"/>
      <c r="E280" s="40"/>
      <c r="F280" s="40"/>
      <c r="G280" s="40"/>
      <c r="H280" s="40"/>
      <c r="I280" s="40"/>
      <c r="J280" s="41"/>
    </row>
    <row r="281" spans="2:10" s="1" customFormat="1" ht="12.75" x14ac:dyDescent="0.2">
      <c r="B281" s="46"/>
      <c r="C281" s="59"/>
      <c r="D281" s="60"/>
      <c r="E281" s="40"/>
      <c r="F281" s="40"/>
      <c r="G281" s="40"/>
      <c r="H281" s="40"/>
      <c r="I281" s="40"/>
      <c r="J281" s="41"/>
    </row>
    <row r="282" spans="2:10" s="1" customFormat="1" ht="12.75" x14ac:dyDescent="0.2">
      <c r="B282" s="46"/>
      <c r="C282" s="59"/>
      <c r="D282" s="60"/>
      <c r="E282" s="40"/>
      <c r="F282" s="40"/>
      <c r="G282" s="40"/>
      <c r="H282" s="40"/>
      <c r="I282" s="40"/>
      <c r="J282" s="41"/>
    </row>
    <row r="283" spans="2:10" s="1" customFormat="1" ht="12.75" x14ac:dyDescent="0.2">
      <c r="B283" s="46"/>
      <c r="C283" s="59"/>
      <c r="D283" s="60"/>
      <c r="E283" s="40"/>
      <c r="F283" s="40"/>
      <c r="G283" s="40"/>
      <c r="H283" s="40"/>
      <c r="I283" s="40"/>
      <c r="J283" s="41"/>
    </row>
    <row r="284" spans="2:10" s="1" customFormat="1" ht="12.75" x14ac:dyDescent="0.2">
      <c r="B284" s="46"/>
      <c r="C284" s="59"/>
      <c r="D284" s="60"/>
      <c r="E284" s="40"/>
      <c r="F284" s="40"/>
      <c r="G284" s="40"/>
      <c r="H284" s="40"/>
      <c r="I284" s="40"/>
      <c r="J284" s="41"/>
    </row>
    <row r="285" spans="2:10" s="1" customFormat="1" ht="12.75" x14ac:dyDescent="0.2">
      <c r="B285" s="46"/>
      <c r="C285" s="59"/>
      <c r="D285" s="60"/>
      <c r="E285" s="40"/>
      <c r="F285" s="40"/>
      <c r="G285" s="40"/>
      <c r="H285" s="40"/>
      <c r="I285" s="40"/>
      <c r="J285" s="41"/>
    </row>
    <row r="286" spans="2:10" s="1" customFormat="1" ht="12.75" x14ac:dyDescent="0.2">
      <c r="B286" s="46"/>
      <c r="C286" s="59"/>
      <c r="D286" s="60"/>
      <c r="E286" s="40"/>
      <c r="F286" s="40"/>
      <c r="G286" s="40"/>
      <c r="H286" s="40"/>
      <c r="I286" s="40"/>
      <c r="J286" s="41"/>
    </row>
    <row r="287" spans="2:10" s="1" customFormat="1" ht="12.75" x14ac:dyDescent="0.2">
      <c r="B287" s="46"/>
      <c r="C287" s="59"/>
      <c r="D287" s="60"/>
      <c r="E287" s="40"/>
      <c r="F287" s="40"/>
      <c r="G287" s="40"/>
      <c r="H287" s="40"/>
      <c r="I287" s="40"/>
      <c r="J287" s="41"/>
    </row>
    <row r="288" spans="2:10" s="1" customFormat="1" ht="12.75" x14ac:dyDescent="0.2">
      <c r="B288" s="46"/>
      <c r="C288" s="59"/>
      <c r="D288" s="60"/>
      <c r="E288" s="40"/>
      <c r="F288" s="40"/>
      <c r="G288" s="40"/>
      <c r="H288" s="40"/>
      <c r="I288" s="40"/>
      <c r="J288" s="41"/>
    </row>
    <row r="289" spans="2:10" s="1" customFormat="1" ht="12.75" x14ac:dyDescent="0.2">
      <c r="B289" s="46"/>
      <c r="C289" s="59"/>
      <c r="D289" s="60"/>
      <c r="E289" s="40"/>
      <c r="F289" s="40"/>
      <c r="G289" s="40"/>
      <c r="H289" s="40"/>
      <c r="I289" s="40"/>
      <c r="J289" s="41"/>
    </row>
    <row r="290" spans="2:10" s="1" customFormat="1" ht="12.75" x14ac:dyDescent="0.2">
      <c r="B290" s="46"/>
      <c r="C290" s="59"/>
      <c r="D290" s="60"/>
      <c r="E290" s="40"/>
      <c r="F290" s="40"/>
      <c r="G290" s="40"/>
      <c r="H290" s="40"/>
      <c r="I290" s="40"/>
      <c r="J290" s="41"/>
    </row>
    <row r="291" spans="2:10" s="1" customFormat="1" ht="12.75" x14ac:dyDescent="0.2">
      <c r="B291" s="46"/>
      <c r="C291" s="59"/>
      <c r="D291" s="60"/>
      <c r="E291" s="40"/>
      <c r="F291" s="40"/>
      <c r="G291" s="40"/>
      <c r="H291" s="40"/>
      <c r="I291" s="40"/>
      <c r="J291" s="41"/>
    </row>
    <row r="292" spans="2:10" s="1" customFormat="1" ht="12.75" x14ac:dyDescent="0.2">
      <c r="B292" s="46"/>
      <c r="C292" s="59"/>
      <c r="D292" s="60"/>
      <c r="E292" s="40"/>
      <c r="F292" s="40"/>
      <c r="G292" s="40"/>
      <c r="H292" s="40"/>
      <c r="I292" s="40"/>
      <c r="J292" s="41"/>
    </row>
    <row r="293" spans="2:10" s="1" customFormat="1" ht="12.75" x14ac:dyDescent="0.2">
      <c r="B293" s="46"/>
      <c r="C293" s="59"/>
      <c r="D293" s="60"/>
      <c r="E293" s="40"/>
      <c r="F293" s="40"/>
      <c r="G293" s="40"/>
      <c r="H293" s="40"/>
      <c r="I293" s="40"/>
      <c r="J293" s="41"/>
    </row>
    <row r="294" spans="2:10" s="1" customFormat="1" ht="12.75" x14ac:dyDescent="0.2">
      <c r="B294" s="46"/>
      <c r="C294" s="59"/>
      <c r="D294" s="60"/>
      <c r="E294" s="40"/>
      <c r="F294" s="40"/>
      <c r="G294" s="40"/>
      <c r="H294" s="40"/>
      <c r="I294" s="40"/>
      <c r="J294" s="41"/>
    </row>
    <row r="295" spans="2:10" s="1" customFormat="1" ht="12.75" x14ac:dyDescent="0.2">
      <c r="B295" s="46"/>
      <c r="C295" s="59"/>
      <c r="D295" s="60"/>
      <c r="E295" s="40"/>
      <c r="F295" s="40"/>
      <c r="G295" s="40"/>
      <c r="H295" s="40"/>
      <c r="I295" s="40"/>
      <c r="J295" s="41"/>
    </row>
    <row r="296" spans="2:10" s="1" customFormat="1" ht="12.75" x14ac:dyDescent="0.2">
      <c r="B296" s="46"/>
      <c r="C296" s="59"/>
      <c r="D296" s="60"/>
      <c r="E296" s="40"/>
      <c r="F296" s="40"/>
      <c r="G296" s="40"/>
      <c r="H296" s="40"/>
      <c r="I296" s="40"/>
      <c r="J296" s="41"/>
    </row>
    <row r="297" spans="2:10" s="1" customFormat="1" ht="12.75" x14ac:dyDescent="0.2">
      <c r="B297" s="46"/>
      <c r="C297" s="59"/>
      <c r="D297" s="60"/>
      <c r="E297" s="40"/>
      <c r="F297" s="40"/>
      <c r="G297" s="40"/>
      <c r="H297" s="40"/>
      <c r="I297" s="40"/>
      <c r="J297" s="41"/>
    </row>
    <row r="298" spans="2:10" s="1" customFormat="1" ht="12.75" x14ac:dyDescent="0.2">
      <c r="B298" s="46"/>
      <c r="C298" s="59"/>
      <c r="D298" s="60"/>
      <c r="E298" s="40"/>
      <c r="F298" s="40"/>
      <c r="G298" s="40"/>
      <c r="H298" s="40"/>
      <c r="I298" s="40"/>
      <c r="J298" s="41"/>
    </row>
    <row r="299" spans="2:10" s="1" customFormat="1" ht="12.75" x14ac:dyDescent="0.2">
      <c r="C299" s="542" t="s">
        <v>37</v>
      </c>
      <c r="D299" s="542"/>
      <c r="E299" s="542"/>
      <c r="F299" s="542"/>
      <c r="G299" s="542"/>
      <c r="H299" s="542"/>
    </row>
    <row r="300" spans="2:10" s="1" customFormat="1" ht="12.75" x14ac:dyDescent="0.2">
      <c r="C300" s="499" t="s">
        <v>38</v>
      </c>
      <c r="D300" s="499"/>
      <c r="E300" s="499"/>
      <c r="F300" s="499"/>
      <c r="G300" s="499"/>
      <c r="H300" s="499"/>
    </row>
    <row r="301" spans="2:10" s="1" customFormat="1" ht="12.75" x14ac:dyDescent="0.2">
      <c r="C301" s="499" t="s">
        <v>39</v>
      </c>
      <c r="D301" s="499"/>
      <c r="E301" s="499"/>
      <c r="F301" s="499"/>
      <c r="G301" s="499"/>
      <c r="H301" s="499"/>
    </row>
    <row r="302" spans="2:10" s="1" customFormat="1" ht="12.75" x14ac:dyDescent="0.2">
      <c r="C302" s="500" t="s">
        <v>40</v>
      </c>
      <c r="D302" s="500"/>
      <c r="E302" s="500"/>
      <c r="F302" s="500"/>
      <c r="G302" s="500"/>
      <c r="H302" s="500"/>
    </row>
    <row r="303" spans="2:10" s="1" customFormat="1" ht="12.75" x14ac:dyDescent="0.2">
      <c r="C303" s="385"/>
      <c r="D303" s="385"/>
      <c r="E303" s="385"/>
      <c r="F303" s="385"/>
      <c r="G303" s="385"/>
      <c r="H303" s="385"/>
    </row>
    <row r="304" spans="2:10" s="1" customFormat="1" ht="26.25" customHeight="1" x14ac:dyDescent="0.2">
      <c r="B304" s="386" t="s">
        <v>65</v>
      </c>
      <c r="C304" s="387"/>
      <c r="D304" s="387"/>
      <c r="E304" s="387"/>
      <c r="F304" s="387"/>
      <c r="G304" s="387"/>
      <c r="H304" s="387"/>
      <c r="I304" s="387"/>
      <c r="J304" s="388"/>
    </row>
    <row r="305" spans="2:10" s="1" customFormat="1" ht="20.25" x14ac:dyDescent="0.2">
      <c r="B305" s="390" t="s">
        <v>363</v>
      </c>
      <c r="C305" s="391"/>
      <c r="D305" s="391"/>
      <c r="E305" s="391"/>
      <c r="F305" s="391"/>
      <c r="G305" s="391"/>
      <c r="H305" s="391"/>
      <c r="I305" s="391"/>
      <c r="J305" s="392"/>
    </row>
    <row r="306" spans="2:10" s="1" customFormat="1" ht="13.5" thickBot="1" x14ac:dyDescent="0.25">
      <c r="B306" s="389"/>
      <c r="C306" s="389"/>
      <c r="D306" s="389"/>
      <c r="E306" s="389"/>
      <c r="F306" s="389"/>
      <c r="G306" s="389"/>
      <c r="H306" s="389"/>
      <c r="I306" s="389"/>
      <c r="J306" s="389"/>
    </row>
    <row r="307" spans="2:10" s="1" customFormat="1" ht="24.75" customHeight="1" x14ac:dyDescent="0.2">
      <c r="B307" s="494" t="s">
        <v>27</v>
      </c>
      <c r="C307" s="495"/>
      <c r="D307" s="495"/>
      <c r="E307" s="495"/>
      <c r="F307" s="495"/>
      <c r="G307" s="495"/>
      <c r="H307" s="495"/>
      <c r="I307" s="495"/>
      <c r="J307" s="496"/>
    </row>
    <row r="308" spans="2:10" s="1" customFormat="1" ht="12.75" x14ac:dyDescent="0.2">
      <c r="B308" s="2" t="s">
        <v>35</v>
      </c>
      <c r="C308" s="3" t="s">
        <v>36</v>
      </c>
      <c r="D308" s="3"/>
      <c r="E308" s="4"/>
      <c r="F308" s="5"/>
      <c r="G308" s="6" t="s">
        <v>8</v>
      </c>
      <c r="H308" s="497">
        <v>42879</v>
      </c>
      <c r="I308" s="497"/>
      <c r="J308" s="7"/>
    </row>
    <row r="309" spans="2:10" s="1" customFormat="1" ht="12.75" x14ac:dyDescent="0.2">
      <c r="B309" s="2" t="s">
        <v>33</v>
      </c>
      <c r="C309" s="3" t="s">
        <v>29</v>
      </c>
      <c r="D309" s="8"/>
      <c r="E309" s="8"/>
      <c r="F309" s="3"/>
      <c r="G309" s="9" t="s">
        <v>32</v>
      </c>
      <c r="H309" s="4" t="s">
        <v>29</v>
      </c>
      <c r="I309" s="10"/>
      <c r="J309" s="11"/>
    </row>
    <row r="310" spans="2:10" s="1" customFormat="1" ht="12.75" x14ac:dyDescent="0.2">
      <c r="B310" s="2" t="s">
        <v>34</v>
      </c>
      <c r="C310" s="3" t="s">
        <v>29</v>
      </c>
      <c r="D310" s="8"/>
      <c r="E310" s="8"/>
      <c r="F310" s="3"/>
      <c r="G310" s="9" t="s">
        <v>30</v>
      </c>
      <c r="H310" s="4" t="s">
        <v>31</v>
      </c>
      <c r="I310" s="10"/>
      <c r="J310" s="11"/>
    </row>
    <row r="311" spans="2:10" s="1" customFormat="1" ht="13.5" thickBot="1" x14ac:dyDescent="0.25">
      <c r="B311" s="12" t="s">
        <v>43</v>
      </c>
      <c r="C311" s="13" t="s">
        <v>44</v>
      </c>
      <c r="D311" s="14"/>
      <c r="E311" s="14"/>
      <c r="F311" s="13"/>
      <c r="G311" s="15" t="s">
        <v>41</v>
      </c>
      <c r="H311" s="16" t="s">
        <v>42</v>
      </c>
      <c r="I311" s="17"/>
      <c r="J311" s="18"/>
    </row>
    <row r="312" spans="2:10" s="1" customFormat="1" ht="12.75" x14ac:dyDescent="0.2">
      <c r="B312" s="389"/>
      <c r="C312" s="389"/>
      <c r="D312" s="389"/>
      <c r="E312" s="389"/>
      <c r="F312" s="389"/>
      <c r="G312" s="389"/>
      <c r="H312" s="389"/>
      <c r="I312" s="389"/>
      <c r="J312" s="389"/>
    </row>
    <row r="313" spans="2:10" s="1" customFormat="1" ht="12.75" x14ac:dyDescent="0.2">
      <c r="B313" s="21" t="s">
        <v>5</v>
      </c>
      <c r="C313" s="22" t="s">
        <v>0</v>
      </c>
      <c r="D313" s="22" t="s">
        <v>9</v>
      </c>
      <c r="E313" s="22" t="s">
        <v>10</v>
      </c>
      <c r="F313" s="22" t="s">
        <v>1</v>
      </c>
      <c r="G313" s="22" t="s">
        <v>2</v>
      </c>
      <c r="H313" s="22" t="s">
        <v>11</v>
      </c>
      <c r="I313" s="22" t="s">
        <v>6</v>
      </c>
      <c r="J313" s="22" t="s">
        <v>7</v>
      </c>
    </row>
    <row r="314" spans="2:10" s="1" customFormat="1" ht="12.75" x14ac:dyDescent="0.2">
      <c r="B314" s="55">
        <v>4.03</v>
      </c>
      <c r="C314" s="56" t="s">
        <v>222</v>
      </c>
      <c r="D314" s="60"/>
      <c r="E314" s="40"/>
      <c r="F314" s="40"/>
      <c r="G314" s="40"/>
      <c r="H314" s="40"/>
      <c r="I314" s="40"/>
      <c r="J314" s="41"/>
    </row>
    <row r="315" spans="2:10" s="1" customFormat="1" ht="12.75" x14ac:dyDescent="0.2">
      <c r="B315" s="57" t="s">
        <v>14</v>
      </c>
      <c r="C315" s="58" t="s">
        <v>225</v>
      </c>
      <c r="D315" s="60"/>
      <c r="E315" s="40"/>
      <c r="F315" s="40"/>
      <c r="G315" s="40"/>
      <c r="H315" s="40"/>
      <c r="I315" s="40"/>
      <c r="J315" s="41"/>
    </row>
    <row r="316" spans="2:10" s="1" customFormat="1" ht="12.75" x14ac:dyDescent="0.2">
      <c r="B316" s="43" t="s">
        <v>15</v>
      </c>
      <c r="C316" s="43" t="s">
        <v>269</v>
      </c>
      <c r="D316" s="60"/>
      <c r="E316" s="40"/>
      <c r="F316" s="40"/>
      <c r="G316" s="40"/>
      <c r="H316" s="40"/>
      <c r="I316" s="44">
        <f>SUM(H317:H317)</f>
        <v>0</v>
      </c>
      <c r="J316" s="45" t="str">
        <f>+J317</f>
        <v>ml</v>
      </c>
    </row>
    <row r="317" spans="2:10" s="1" customFormat="1" ht="12.75" x14ac:dyDescent="0.2">
      <c r="B317" s="43"/>
      <c r="C317" s="77"/>
      <c r="D317" s="40"/>
      <c r="E317" s="40"/>
      <c r="F317" s="40"/>
      <c r="G317" s="40"/>
      <c r="H317" s="40">
        <f>IF(AND(F317=0,G317=0),D317*E317,IF(AND(E317=0,G317=0),D317*F317,IF(AND(E317=0,F317=0),D317*G317,IF(AND(E317=0),D317*F317*G317,IF(AND(F317=0),D317*E317*G317,IF(AND(G317=0),D317*E317*F317,D317*E317*F317*G317))))))</f>
        <v>0</v>
      </c>
      <c r="I317" s="40"/>
      <c r="J317" s="41" t="str">
        <f>IF(AND(E317=0,F317&lt;&gt;0,G317&lt;&gt;0),"m2",IF(AND(F317=0,E317&lt;&gt;0,G317&lt;&gt;0),"m2",IF(AND(G317=0,E317&lt;&gt;0,F317&lt;&gt;0),"m2",IF(AND(F317=0,G317=0),"ml",IF(AND(E317=0,G317=0),"ml",IF(AND(E317=0,F317=0),"ml",IF(AND(E317&lt;&gt;0,F317&lt;&gt;0,G317&lt;&gt;0),"m3",0)))))))</f>
        <v>ml</v>
      </c>
    </row>
    <row r="318" spans="2:10" s="1" customFormat="1" ht="12.75" x14ac:dyDescent="0.2">
      <c r="B318" s="43" t="s">
        <v>232</v>
      </c>
      <c r="C318" s="43" t="s">
        <v>348</v>
      </c>
      <c r="D318" s="60"/>
      <c r="E318" s="40"/>
      <c r="F318" s="40"/>
      <c r="G318" s="40"/>
      <c r="H318" s="40"/>
      <c r="I318" s="44">
        <f>SUM(H319:H320)</f>
        <v>7</v>
      </c>
      <c r="J318" s="45" t="str">
        <f>+J319</f>
        <v>und</v>
      </c>
    </row>
    <row r="319" spans="2:10" s="1" customFormat="1" ht="12.75" x14ac:dyDescent="0.2">
      <c r="B319" s="57"/>
      <c r="C319" s="39" t="s">
        <v>349</v>
      </c>
      <c r="D319" s="40">
        <v>6</v>
      </c>
      <c r="E319" s="40"/>
      <c r="F319" s="40"/>
      <c r="G319" s="40"/>
      <c r="H319" s="40">
        <f>+D319</f>
        <v>6</v>
      </c>
      <c r="I319" s="40"/>
      <c r="J319" s="41" t="s">
        <v>13</v>
      </c>
    </row>
    <row r="320" spans="2:10" s="1" customFormat="1" ht="12.75" x14ac:dyDescent="0.2">
      <c r="B320" s="57"/>
      <c r="C320" s="39" t="s">
        <v>641</v>
      </c>
      <c r="D320" s="60">
        <v>1</v>
      </c>
      <c r="E320" s="40"/>
      <c r="F320" s="40"/>
      <c r="G320" s="40"/>
      <c r="H320" s="40">
        <v>1</v>
      </c>
      <c r="I320" s="40"/>
      <c r="J320" s="41"/>
    </row>
    <row r="321" spans="2:10" s="1" customFormat="1" ht="12.75" x14ac:dyDescent="0.2">
      <c r="B321" s="57" t="s">
        <v>16</v>
      </c>
      <c r="C321" s="58" t="s">
        <v>224</v>
      </c>
      <c r="D321" s="60"/>
      <c r="E321" s="40"/>
      <c r="F321" s="40"/>
      <c r="G321" s="40"/>
      <c r="H321" s="40"/>
      <c r="I321" s="40"/>
      <c r="J321" s="41"/>
    </row>
    <row r="322" spans="2:10" s="1" customFormat="1" ht="12.75" x14ac:dyDescent="0.2">
      <c r="B322" s="43" t="s">
        <v>17</v>
      </c>
      <c r="C322" s="43" t="s">
        <v>343</v>
      </c>
      <c r="D322" s="60"/>
      <c r="E322" s="40"/>
      <c r="F322" s="40"/>
      <c r="G322" s="40"/>
      <c r="H322" s="40"/>
      <c r="I322" s="44">
        <f>SUM(H323:H323)</f>
        <v>0</v>
      </c>
      <c r="J322" s="45" t="str">
        <f>+J323</f>
        <v>ml</v>
      </c>
    </row>
    <row r="323" spans="2:10" s="1" customFormat="1" ht="12.75" x14ac:dyDescent="0.2">
      <c r="B323" s="57"/>
      <c r="C323" s="39" t="s">
        <v>344</v>
      </c>
      <c r="D323" s="40"/>
      <c r="E323" s="40"/>
      <c r="F323" s="40"/>
      <c r="G323" s="40"/>
      <c r="H323" s="40">
        <f>IF(AND(F323=0,G323=0),D323*E323,IF(AND(E323=0,G323=0),D323*F323,IF(AND(E323=0,F323=0),D323*G323,IF(AND(E323=0),D323*F323*G323,IF(AND(F323=0),D323*E323*G323,IF(AND(G323=0),D323*E323*F323,D323*E323*F323*G323))))))</f>
        <v>0</v>
      </c>
      <c r="I323" s="40"/>
      <c r="J323" s="41" t="str">
        <f>IF(AND(E323=0,F323&lt;&gt;0,G323&lt;&gt;0),"m2",IF(AND(F323=0,E323&lt;&gt;0,G323&lt;&gt;0),"m2",IF(AND(G323=0,E323&lt;&gt;0,F323&lt;&gt;0),"m2",IF(AND(F323=0,G323=0),"ml",IF(AND(E323=0,G323=0),"ml",IF(AND(E323=0,F323=0),"ml",IF(AND(E323&lt;&gt;0,F323&lt;&gt;0,G323&lt;&gt;0),"m3",0)))))))</f>
        <v>ml</v>
      </c>
    </row>
    <row r="324" spans="2:10" s="1" customFormat="1" ht="12.75" x14ac:dyDescent="0.2">
      <c r="B324" s="43" t="s">
        <v>240</v>
      </c>
      <c r="C324" s="43" t="s">
        <v>237</v>
      </c>
      <c r="D324" s="60"/>
      <c r="E324" s="40"/>
      <c r="F324" s="40"/>
      <c r="G324" s="40"/>
      <c r="H324" s="40"/>
      <c r="I324" s="44">
        <f>SUM(H325:H326)</f>
        <v>0</v>
      </c>
      <c r="J324" s="45" t="str">
        <f>+J325</f>
        <v>ml</v>
      </c>
    </row>
    <row r="325" spans="2:10" s="1" customFormat="1" ht="12.75" x14ac:dyDescent="0.2">
      <c r="B325" s="57"/>
      <c r="C325" s="39" t="s">
        <v>371</v>
      </c>
      <c r="D325" s="40"/>
      <c r="E325" s="40"/>
      <c r="F325" s="40"/>
      <c r="G325" s="40"/>
      <c r="H325" s="40">
        <f>IF(AND(F325=0,G325=0),D325*E325,IF(AND(E325=0,G325=0),D325*F325,IF(AND(E325=0,F325=0),D325*G325,IF(AND(E325=0),D325*F325*G325,IF(AND(F325=0),D325*E325*G325,IF(AND(G325=0),D325*E325*F325,D325*E325*F325*G325))))))</f>
        <v>0</v>
      </c>
      <c r="I325" s="40"/>
      <c r="J325" s="41" t="str">
        <f>IF(AND(E325=0,F325&lt;&gt;0,G325&lt;&gt;0),"m2",IF(AND(F325=0,E325&lt;&gt;0,G325&lt;&gt;0),"m2",IF(AND(G325=0,E325&lt;&gt;0,F325&lt;&gt;0),"m2",IF(AND(F325=0,G325=0),"ml",IF(AND(E325=0,G325=0),"ml",IF(AND(E325=0,F325=0),"ml",IF(AND(E325&lt;&gt;0,F325&lt;&gt;0,G325&lt;&gt;0),"m3",0)))))))</f>
        <v>ml</v>
      </c>
    </row>
    <row r="326" spans="2:10" s="1" customFormat="1" ht="12.75" x14ac:dyDescent="0.2">
      <c r="B326" s="57"/>
      <c r="C326" s="39" t="s">
        <v>371</v>
      </c>
      <c r="D326" s="40"/>
      <c r="E326" s="40"/>
      <c r="F326" s="40"/>
      <c r="G326" s="40"/>
      <c r="H326" s="40">
        <f>IF(AND(F326=0,G326=0),D326*E326,IF(AND(E326=0,G326=0),D326*F326,IF(AND(E326=0,F326=0),D326*G326,IF(AND(E326=0),D326*F326*G326,IF(AND(F326=0),D326*E326*G326,IF(AND(G326=0),D326*E326*F326,D326*E326*F326*G326))))))</f>
        <v>0</v>
      </c>
      <c r="I326" s="40"/>
      <c r="J326" s="41" t="str">
        <f>IF(AND(E326=0,F326&lt;&gt;0,G326&lt;&gt;0),"m2",IF(AND(F326=0,E326&lt;&gt;0,G326&lt;&gt;0),"m2",IF(AND(G326=0,E326&lt;&gt;0,F326&lt;&gt;0),"m2",IF(AND(F326=0,G326=0),"ml",IF(AND(E326=0,G326=0),"ml",IF(AND(E326=0,F326=0),"ml",IF(AND(E326&lt;&gt;0,F326&lt;&gt;0,G326&lt;&gt;0),"m3",0)))))))</f>
        <v>ml</v>
      </c>
    </row>
    <row r="327" spans="2:10" s="1" customFormat="1" ht="12.75" x14ac:dyDescent="0.2">
      <c r="B327" s="43" t="s">
        <v>241</v>
      </c>
      <c r="C327" s="43" t="s">
        <v>242</v>
      </c>
      <c r="D327" s="60"/>
      <c r="E327" s="40"/>
      <c r="F327" s="40"/>
      <c r="G327" s="40"/>
      <c r="H327" s="40"/>
      <c r="I327" s="44">
        <f>SUM(H328:H328)</f>
        <v>0</v>
      </c>
      <c r="J327" s="45" t="str">
        <f>+J328</f>
        <v>ml</v>
      </c>
    </row>
    <row r="328" spans="2:10" s="1" customFormat="1" ht="12.75" x14ac:dyDescent="0.2">
      <c r="B328" s="57"/>
      <c r="C328" s="39" t="s">
        <v>396</v>
      </c>
      <c r="D328" s="40"/>
      <c r="E328" s="40"/>
      <c r="F328" s="40"/>
      <c r="G328" s="40"/>
      <c r="H328" s="40">
        <f>IF(AND(F328=0,G328=0),D328*E328,IF(AND(E328=0,G328=0),D328*F328,IF(AND(E328=0,F328=0),D328*G328,IF(AND(E328=0),D328*F328*G328,IF(AND(F328=0),D328*E328*G328,IF(AND(G328=0),D328*E328*F328,D328*E328*F328*G328))))))</f>
        <v>0</v>
      </c>
      <c r="I328" s="40"/>
      <c r="J328" s="41" t="str">
        <f>IF(AND(E328=0,F328&lt;&gt;0,G328&lt;&gt;0),"m2",IF(AND(F328=0,E328&lt;&gt;0,G328&lt;&gt;0),"m2",IF(AND(G328=0,E328&lt;&gt;0,F328&lt;&gt;0),"m2",IF(AND(F328=0,G328=0),"ml",IF(AND(E328=0,G328=0),"ml",IF(AND(E328=0,F328=0),"ml",IF(AND(E328&lt;&gt;0,F328&lt;&gt;0,G328&lt;&gt;0),"m3",0)))))))</f>
        <v>ml</v>
      </c>
    </row>
    <row r="329" spans="2:10" s="1" customFormat="1" ht="12.75" x14ac:dyDescent="0.2">
      <c r="B329" s="43" t="s">
        <v>243</v>
      </c>
      <c r="C329" s="43" t="s">
        <v>245</v>
      </c>
      <c r="D329" s="60"/>
      <c r="E329" s="40"/>
      <c r="F329" s="40"/>
      <c r="G329" s="40"/>
      <c r="H329" s="40"/>
      <c r="I329" s="44">
        <f>SUM(H330:H330)</f>
        <v>0</v>
      </c>
      <c r="J329" s="45" t="str">
        <f>+J330</f>
        <v>ml</v>
      </c>
    </row>
    <row r="330" spans="2:10" s="1" customFormat="1" ht="12.75" x14ac:dyDescent="0.2">
      <c r="B330" s="57"/>
      <c r="C330" s="39" t="s">
        <v>238</v>
      </c>
      <c r="D330" s="40"/>
      <c r="E330" s="40"/>
      <c r="F330" s="40"/>
      <c r="G330" s="40"/>
      <c r="H330" s="40">
        <f>IF(AND(F330=0,G330=0),D330*E330,IF(AND(E330=0,G330=0),D330*F330,IF(AND(E330=0,F330=0),D330*G330,IF(AND(E330=0),D330*F330*G330,IF(AND(F330=0),D330*E330*G330,IF(AND(G330=0),D330*E330*F330,D330*E330*F330*G330))))))</f>
        <v>0</v>
      </c>
      <c r="I330" s="40"/>
      <c r="J330" s="41" t="str">
        <f>IF(AND(E330=0,F330&lt;&gt;0,G330&lt;&gt;0),"m2",IF(AND(F330=0,E330&lt;&gt;0,G330&lt;&gt;0),"m2",IF(AND(G330=0,E330&lt;&gt;0,F330&lt;&gt;0),"m2",IF(AND(F330=0,G330=0),"ml",IF(AND(E330=0,G330=0),"ml",IF(AND(E330=0,F330=0),"ml",IF(AND(E330&lt;&gt;0,F330&lt;&gt;0,G330&lt;&gt;0),"m3",0)))))))</f>
        <v>ml</v>
      </c>
    </row>
    <row r="331" spans="2:10" s="1" customFormat="1" ht="12.75" x14ac:dyDescent="0.2">
      <c r="B331" s="43" t="s">
        <v>244</v>
      </c>
      <c r="C331" s="43" t="s">
        <v>247</v>
      </c>
      <c r="D331" s="60"/>
      <c r="E331" s="40"/>
      <c r="F331" s="40"/>
      <c r="G331" s="40"/>
      <c r="H331" s="40"/>
      <c r="I331" s="44">
        <f>SUM(H332:H332)</f>
        <v>0</v>
      </c>
      <c r="J331" s="45" t="str">
        <f>+J332</f>
        <v>ml</v>
      </c>
    </row>
    <row r="332" spans="2:10" s="1" customFormat="1" ht="12.75" x14ac:dyDescent="0.2">
      <c r="B332" s="57"/>
      <c r="C332" s="39" t="s">
        <v>396</v>
      </c>
      <c r="D332" s="40"/>
      <c r="E332" s="40"/>
      <c r="F332" s="40"/>
      <c r="G332" s="40"/>
      <c r="H332" s="40">
        <f>IF(AND(F332=0,G332=0),D332*E332,IF(AND(E332=0,G332=0),D332*F332,IF(AND(E332=0,F332=0),D332*G332,IF(AND(E332=0),D332*F332*G332,IF(AND(F332=0),D332*E332*G332,IF(AND(G332=0),D332*E332*F332,D332*E332*F332*G332))))))</f>
        <v>0</v>
      </c>
      <c r="I332" s="40"/>
      <c r="J332" s="41" t="str">
        <f>IF(AND(E332=0,F332&lt;&gt;0,G332&lt;&gt;0),"m2",IF(AND(F332=0,E332&lt;&gt;0,G332&lt;&gt;0),"m2",IF(AND(G332=0,E332&lt;&gt;0,F332&lt;&gt;0),"m2",IF(AND(F332=0,G332=0),"ml",IF(AND(E332=0,G332=0),"ml",IF(AND(E332=0,F332=0),"ml",IF(AND(E332&lt;&gt;0,F332&lt;&gt;0,G332&lt;&gt;0),"m3",0)))))))</f>
        <v>ml</v>
      </c>
    </row>
    <row r="333" spans="2:10" s="1" customFormat="1" ht="12.75" x14ac:dyDescent="0.2">
      <c r="B333" s="43" t="s">
        <v>248</v>
      </c>
      <c r="C333" s="43" t="s">
        <v>226</v>
      </c>
      <c r="D333" s="60"/>
      <c r="E333" s="40"/>
      <c r="F333" s="40"/>
      <c r="G333" s="40"/>
      <c r="H333" s="40"/>
      <c r="I333" s="44">
        <f>SUM(H334:H335)</f>
        <v>0</v>
      </c>
      <c r="J333" s="45" t="str">
        <f>+J335</f>
        <v>ml</v>
      </c>
    </row>
    <row r="334" spans="2:10" s="1" customFormat="1" ht="12.75" x14ac:dyDescent="0.2">
      <c r="B334" s="43"/>
      <c r="C334" s="39" t="s">
        <v>371</v>
      </c>
      <c r="D334" s="40"/>
      <c r="E334" s="40"/>
      <c r="F334" s="40"/>
      <c r="G334" s="40"/>
      <c r="H334" s="40">
        <f>IF(AND(F334=0,G334=0),D334*E334,IF(AND(E334=0,G334=0),D334*F334,IF(AND(E334=0,F334=0),D334*G334,IF(AND(E334=0),D334*F334*G334,IF(AND(F334=0),D334*E334*G334,IF(AND(G334=0),D334*E334*F334,D334*E334*F334*G334))))))</f>
        <v>0</v>
      </c>
      <c r="I334" s="40"/>
      <c r="J334" s="41" t="str">
        <f>IF(AND(E334=0,F334&lt;&gt;0,G334&lt;&gt;0),"m2",IF(AND(F334=0,E334&lt;&gt;0,G334&lt;&gt;0),"m2",IF(AND(G334=0,E334&lt;&gt;0,F334&lt;&gt;0),"m2",IF(AND(F334=0,G334=0),"ml",IF(AND(E334=0,G334=0),"ml",IF(AND(E334=0,F334=0),"ml",IF(AND(E334&lt;&gt;0,F334&lt;&gt;0,G334&lt;&gt;0),"m3",0)))))))</f>
        <v>ml</v>
      </c>
    </row>
    <row r="335" spans="2:10" s="1" customFormat="1" ht="12.75" x14ac:dyDescent="0.2">
      <c r="B335" s="57"/>
      <c r="C335" s="39" t="s">
        <v>371</v>
      </c>
      <c r="D335" s="40"/>
      <c r="E335" s="40"/>
      <c r="F335" s="40"/>
      <c r="G335" s="40"/>
      <c r="H335" s="40">
        <f>IF(AND(F335=0,G335=0),D335*E335,IF(AND(E335=0,G335=0),D335*F335,IF(AND(E335=0,F335=0),D335*G335,IF(AND(E335=0),D335*F335*G335,IF(AND(F335=0),D335*E335*G335,IF(AND(G335=0),D335*E335*F335,D335*E335*F335*G335))))))</f>
        <v>0</v>
      </c>
      <c r="I335" s="40"/>
      <c r="J335" s="41" t="str">
        <f>IF(AND(E335=0,F335&lt;&gt;0,G335&lt;&gt;0),"m2",IF(AND(F335=0,E335&lt;&gt;0,G335&lt;&gt;0),"m2",IF(AND(G335=0,E335&lt;&gt;0,F335&lt;&gt;0),"m2",IF(AND(F335=0,G335=0),"ml",IF(AND(E335=0,G335=0),"ml",IF(AND(E335=0,F335=0),"ml",IF(AND(E335&lt;&gt;0,F335&lt;&gt;0,G335&lt;&gt;0),"m3",0)))))))</f>
        <v>ml</v>
      </c>
    </row>
    <row r="336" spans="2:10" s="1" customFormat="1" ht="12.75" x14ac:dyDescent="0.2">
      <c r="B336" s="43" t="s">
        <v>249</v>
      </c>
      <c r="C336" s="43" t="s">
        <v>228</v>
      </c>
      <c r="D336" s="60"/>
      <c r="E336" s="40"/>
      <c r="F336" s="40"/>
      <c r="G336" s="40"/>
      <c r="H336" s="40"/>
      <c r="I336" s="44">
        <f>SUM(H337:H337)</f>
        <v>0</v>
      </c>
      <c r="J336" s="45" t="str">
        <f>+J337</f>
        <v>ml</v>
      </c>
    </row>
    <row r="337" spans="2:10" s="1" customFormat="1" ht="12.75" x14ac:dyDescent="0.2">
      <c r="B337" s="57"/>
      <c r="C337" s="39"/>
      <c r="D337" s="40"/>
      <c r="E337" s="40"/>
      <c r="F337" s="40"/>
      <c r="G337" s="40"/>
      <c r="H337" s="40">
        <f>IF(AND(F337=0,G337=0),D337*E337,IF(AND(E337=0,G337=0),D337*F337,IF(AND(E337=0,F337=0),D337*G337,IF(AND(E337=0),D337*F337*G337,IF(AND(F337=0),D337*E337*G337,IF(AND(G337=0),D337*E337*F337,D337*E337*F337*G337))))))</f>
        <v>0</v>
      </c>
      <c r="I337" s="40"/>
      <c r="J337" s="41" t="str">
        <f>IF(AND(E337=0,F337&lt;&gt;0,G337&lt;&gt;0),"m2",IF(AND(F337=0,E337&lt;&gt;0,G337&lt;&gt;0),"m2",IF(AND(G337=0,E337&lt;&gt;0,F337&lt;&gt;0),"m2",IF(AND(F337=0,G337=0),"ml",IF(AND(E337=0,G337=0),"ml",IF(AND(E337=0,F337=0),"ml",IF(AND(E337&lt;&gt;0,F337&lt;&gt;0,G337&lt;&gt;0),"m3",0)))))))</f>
        <v>ml</v>
      </c>
    </row>
    <row r="338" spans="2:10" s="1" customFormat="1" ht="12.75" x14ac:dyDescent="0.2">
      <c r="B338" s="43" t="s">
        <v>256</v>
      </c>
      <c r="C338" s="43" t="s">
        <v>250</v>
      </c>
      <c r="D338" s="60"/>
      <c r="E338" s="40"/>
      <c r="F338" s="40"/>
      <c r="G338" s="40"/>
      <c r="H338" s="40"/>
      <c r="I338" s="44">
        <f>SUM(H339:H339)</f>
        <v>0</v>
      </c>
      <c r="J338" s="45" t="str">
        <f>+J339</f>
        <v>ml</v>
      </c>
    </row>
    <row r="339" spans="2:10" s="1" customFormat="1" ht="12.75" x14ac:dyDescent="0.2">
      <c r="B339" s="57"/>
      <c r="C339" s="39"/>
      <c r="D339" s="40"/>
      <c r="E339" s="40"/>
      <c r="F339" s="40"/>
      <c r="G339" s="40"/>
      <c r="H339" s="40">
        <f>IF(AND(F339=0,G339=0),D339*E339,IF(AND(E339=0,G339=0),D339*F339,IF(AND(E339=0,F339=0),D339*G339,IF(AND(E339=0),D339*F339*G339,IF(AND(F339=0),D339*E339*G339,IF(AND(G339=0),D339*E339*F339,D339*E339*F339*G339))))))</f>
        <v>0</v>
      </c>
      <c r="I339" s="40"/>
      <c r="J339" s="41" t="str">
        <f>IF(AND(E339=0,F339&lt;&gt;0,G339&lt;&gt;0),"m2",IF(AND(F339=0,E339&lt;&gt;0,G339&lt;&gt;0),"m2",IF(AND(G339=0,E339&lt;&gt;0,F339&lt;&gt;0),"m2",IF(AND(F339=0,G339=0),"ml",IF(AND(E339=0,G339=0),"ml",IF(AND(E339=0,F339=0),"ml",IF(AND(E339&lt;&gt;0,F339&lt;&gt;0,G339&lt;&gt;0),"m3",0)))))))</f>
        <v>ml</v>
      </c>
    </row>
    <row r="340" spans="2:10" s="1" customFormat="1" ht="12.75" x14ac:dyDescent="0.2">
      <c r="B340" s="43" t="s">
        <v>257</v>
      </c>
      <c r="C340" s="43" t="s">
        <v>252</v>
      </c>
      <c r="D340" s="60"/>
      <c r="E340" s="40"/>
      <c r="F340" s="40"/>
      <c r="G340" s="40"/>
      <c r="H340" s="40"/>
      <c r="I340" s="44">
        <f>SUM(H341:H342)</f>
        <v>12</v>
      </c>
      <c r="J340" s="45" t="str">
        <f>+J341</f>
        <v>ml</v>
      </c>
    </row>
    <row r="341" spans="2:10" s="1" customFormat="1" ht="12.75" x14ac:dyDescent="0.2">
      <c r="B341" s="57"/>
      <c r="C341" s="39" t="s">
        <v>488</v>
      </c>
      <c r="D341" s="40">
        <v>1</v>
      </c>
      <c r="E341" s="40">
        <v>4</v>
      </c>
      <c r="F341" s="40"/>
      <c r="G341" s="40"/>
      <c r="H341" s="40">
        <f>IF(AND(F341=0,G341=0),D341*E341,IF(AND(E341=0,G341=0),D341*F341,IF(AND(E341=0,F341=0),D341*G341,IF(AND(E341=0),D341*F341*G341,IF(AND(F341=0),D341*E341*G341,IF(AND(G341=0),D341*E341*F341,D341*E341*F341*G341))))))</f>
        <v>4</v>
      </c>
      <c r="I341" s="40"/>
      <c r="J341" s="41" t="str">
        <f>IF(AND(E341=0,F341&lt;&gt;0,G341&lt;&gt;0),"m2",IF(AND(F341=0,E341&lt;&gt;0,G341&lt;&gt;0),"m2",IF(AND(G341=0,E341&lt;&gt;0,F341&lt;&gt;0),"m2",IF(AND(F341=0,G341=0),"ml",IF(AND(E341=0,G341=0),"ml",IF(AND(E341=0,F341=0),"ml",IF(AND(E341&lt;&gt;0,F341&lt;&gt;0,G341&lt;&gt;0),"m3",0)))))))</f>
        <v>ml</v>
      </c>
    </row>
    <row r="342" spans="2:10" s="1" customFormat="1" ht="12.75" x14ac:dyDescent="0.2">
      <c r="B342" s="57"/>
      <c r="C342" s="39" t="s">
        <v>489</v>
      </c>
      <c r="D342" s="60">
        <v>1</v>
      </c>
      <c r="E342" s="40">
        <v>8</v>
      </c>
      <c r="F342" s="40"/>
      <c r="G342" s="40"/>
      <c r="H342" s="40">
        <f>IF(AND(F342=0,G342=0),D342*E342,IF(AND(E342=0,G342=0),D342*F342,IF(AND(E342=0,F342=0),D342*G342,IF(AND(E342=0),D342*F342*G342,IF(AND(F342=0),D342*E342*G342,IF(AND(G342=0),D342*E342*F342,D342*E342*F342*G342))))))</f>
        <v>8</v>
      </c>
      <c r="I342" s="40"/>
      <c r="J342" s="41"/>
    </row>
    <row r="343" spans="2:10" s="1" customFormat="1" ht="12.75" x14ac:dyDescent="0.2">
      <c r="B343" s="57"/>
      <c r="C343" s="39"/>
      <c r="D343" s="60"/>
      <c r="E343" s="40"/>
      <c r="F343" s="40"/>
      <c r="G343" s="40"/>
      <c r="H343" s="40"/>
      <c r="I343" s="40"/>
      <c r="J343" s="41"/>
    </row>
    <row r="344" spans="2:10" s="1" customFormat="1" ht="12.75" x14ac:dyDescent="0.2">
      <c r="B344" s="43" t="s">
        <v>258</v>
      </c>
      <c r="C344" s="43" t="s">
        <v>253</v>
      </c>
      <c r="D344" s="60"/>
      <c r="E344" s="40"/>
      <c r="F344" s="40"/>
      <c r="G344" s="40"/>
      <c r="H344" s="40"/>
      <c r="I344" s="44">
        <f>SUM(H345:H345)</f>
        <v>0</v>
      </c>
      <c r="J344" s="45" t="str">
        <f>+J345</f>
        <v>und</v>
      </c>
    </row>
    <row r="345" spans="2:10" s="1" customFormat="1" ht="12.75" x14ac:dyDescent="0.2">
      <c r="B345" s="43"/>
      <c r="C345" s="39"/>
      <c r="D345" s="40"/>
      <c r="E345" s="40"/>
      <c r="F345" s="40"/>
      <c r="G345" s="40"/>
      <c r="H345" s="40">
        <f>+D345</f>
        <v>0</v>
      </c>
      <c r="I345" s="40"/>
      <c r="J345" s="41" t="s">
        <v>13</v>
      </c>
    </row>
    <row r="346" spans="2:10" s="1" customFormat="1" ht="12.75" x14ac:dyDescent="0.2">
      <c r="B346" s="43" t="s">
        <v>259</v>
      </c>
      <c r="C346" s="43" t="s">
        <v>254</v>
      </c>
      <c r="D346" s="60"/>
      <c r="E346" s="40"/>
      <c r="F346" s="40"/>
      <c r="G346" s="40"/>
      <c r="H346" s="40"/>
      <c r="I346" s="44">
        <f>SUM(H347:H347)</f>
        <v>0</v>
      </c>
      <c r="J346" s="45" t="str">
        <f>+J347</f>
        <v>und</v>
      </c>
    </row>
    <row r="347" spans="2:10" s="1" customFormat="1" ht="12.75" x14ac:dyDescent="0.2">
      <c r="B347" s="57"/>
      <c r="C347" s="39"/>
      <c r="D347" s="40"/>
      <c r="E347" s="40"/>
      <c r="F347" s="40"/>
      <c r="G347" s="40"/>
      <c r="H347" s="40">
        <f>+D347</f>
        <v>0</v>
      </c>
      <c r="I347" s="40"/>
      <c r="J347" s="41" t="s">
        <v>13</v>
      </c>
    </row>
    <row r="348" spans="2:10" s="1" customFormat="1" ht="12.75" x14ac:dyDescent="0.2">
      <c r="B348" s="57"/>
      <c r="C348" s="39"/>
      <c r="D348" s="60"/>
      <c r="E348" s="40"/>
      <c r="F348" s="40"/>
      <c r="G348" s="40"/>
      <c r="H348" s="40"/>
      <c r="I348" s="40"/>
      <c r="J348" s="41"/>
    </row>
    <row r="349" spans="2:10" s="1" customFormat="1" ht="12.75" x14ac:dyDescent="0.2">
      <c r="B349" s="57" t="s">
        <v>18</v>
      </c>
      <c r="C349" s="58" t="s">
        <v>223</v>
      </c>
      <c r="D349" s="60"/>
      <c r="E349" s="40"/>
      <c r="F349" s="40"/>
      <c r="G349" s="40"/>
      <c r="H349" s="40"/>
      <c r="I349" s="40"/>
      <c r="J349" s="41"/>
    </row>
    <row r="350" spans="2:10" s="1" customFormat="1" ht="12.75" x14ac:dyDescent="0.2">
      <c r="B350" s="43" t="s">
        <v>19</v>
      </c>
      <c r="C350" s="43" t="s">
        <v>265</v>
      </c>
      <c r="D350" s="60"/>
      <c r="E350" s="40"/>
      <c r="F350" s="40"/>
      <c r="G350" s="40"/>
      <c r="H350" s="40"/>
      <c r="I350" s="44">
        <f>SUM(H351:H352)</f>
        <v>7</v>
      </c>
      <c r="J350" s="45" t="s">
        <v>13</v>
      </c>
    </row>
    <row r="351" spans="2:10" s="1" customFormat="1" ht="12.75" x14ac:dyDescent="0.2">
      <c r="B351" s="46"/>
      <c r="C351" s="39" t="s">
        <v>231</v>
      </c>
      <c r="D351" s="40">
        <v>6</v>
      </c>
      <c r="E351" s="40"/>
      <c r="F351" s="40"/>
      <c r="G351" s="40"/>
      <c r="H351" s="40">
        <f>+D351</f>
        <v>6</v>
      </c>
      <c r="I351" s="40"/>
      <c r="J351" s="41" t="s">
        <v>13</v>
      </c>
    </row>
    <row r="352" spans="2:10" s="1" customFormat="1" ht="12.75" x14ac:dyDescent="0.2">
      <c r="B352" s="46"/>
      <c r="C352" s="39" t="s">
        <v>530</v>
      </c>
      <c r="D352" s="60">
        <v>1</v>
      </c>
      <c r="E352" s="40"/>
      <c r="F352" s="40"/>
      <c r="G352" s="40"/>
      <c r="H352" s="40">
        <f>+D352</f>
        <v>1</v>
      </c>
      <c r="I352" s="40"/>
      <c r="J352" s="41"/>
    </row>
    <row r="353" spans="2:10" s="1" customFormat="1" ht="12.75" x14ac:dyDescent="0.2">
      <c r="B353" s="43" t="s">
        <v>20</v>
      </c>
      <c r="C353" s="43" t="s">
        <v>266</v>
      </c>
      <c r="D353" s="60"/>
      <c r="E353" s="40"/>
      <c r="F353" s="40"/>
      <c r="G353" s="40"/>
      <c r="H353" s="40"/>
      <c r="I353" s="44">
        <f>SUM(H354:H354)</f>
        <v>0</v>
      </c>
      <c r="J353" s="45" t="str">
        <f>+J354</f>
        <v>und</v>
      </c>
    </row>
    <row r="354" spans="2:10" s="1" customFormat="1" ht="12.75" x14ac:dyDescent="0.2">
      <c r="B354" s="43"/>
      <c r="C354" s="39"/>
      <c r="D354" s="40"/>
      <c r="E354" s="40"/>
      <c r="F354" s="40"/>
      <c r="G354" s="40"/>
      <c r="H354" s="40">
        <f>IF(AND(F354=0,G354=0),D354*E354,IF(AND(E354=0,G354=0),D354*F354,IF(AND(E354=0,F354=0),D354*G354,IF(AND(E354=0),D354*F354*G354,IF(AND(F354=0),D354*E354*G354,IF(AND(G354=0),D354*E354*F354,D354*E354*F354*G354))))))</f>
        <v>0</v>
      </c>
      <c r="I354" s="40"/>
      <c r="J354" s="41" t="s">
        <v>13</v>
      </c>
    </row>
    <row r="355" spans="2:10" s="1" customFormat="1" ht="12.75" x14ac:dyDescent="0.2">
      <c r="B355" s="43" t="s">
        <v>21</v>
      </c>
      <c r="C355" s="43" t="s">
        <v>357</v>
      </c>
      <c r="D355" s="60"/>
      <c r="E355" s="40"/>
      <c r="F355" s="40"/>
      <c r="G355" s="40"/>
      <c r="H355" s="40"/>
      <c r="I355" s="44">
        <f>SUM(H356:H356)</f>
        <v>1</v>
      </c>
      <c r="J355" s="45" t="str">
        <f>+J356</f>
        <v>und</v>
      </c>
    </row>
    <row r="356" spans="2:10" s="1" customFormat="1" ht="12.75" x14ac:dyDescent="0.2">
      <c r="B356" s="43"/>
      <c r="C356" s="39" t="s">
        <v>375</v>
      </c>
      <c r="D356" s="40">
        <v>1</v>
      </c>
      <c r="E356" s="40">
        <v>1</v>
      </c>
      <c r="F356" s="40"/>
      <c r="G356" s="40"/>
      <c r="H356" s="40">
        <f>+D356</f>
        <v>1</v>
      </c>
      <c r="I356" s="40"/>
      <c r="J356" s="41" t="s">
        <v>13</v>
      </c>
    </row>
    <row r="357" spans="2:10" s="1" customFormat="1" ht="12.75" x14ac:dyDescent="0.2">
      <c r="B357" s="43" t="s">
        <v>273</v>
      </c>
      <c r="C357" s="43" t="s">
        <v>263</v>
      </c>
      <c r="D357" s="60"/>
      <c r="E357" s="40"/>
      <c r="F357" s="40"/>
      <c r="G357" s="40"/>
      <c r="H357" s="40"/>
      <c r="I357" s="44">
        <f>SUM(H358:H358)</f>
        <v>0</v>
      </c>
      <c r="J357" s="45" t="str">
        <f>+J358</f>
        <v>und</v>
      </c>
    </row>
    <row r="358" spans="2:10" s="1" customFormat="1" ht="12.75" x14ac:dyDescent="0.2">
      <c r="B358" s="46"/>
      <c r="C358" s="39" t="s">
        <v>385</v>
      </c>
      <c r="D358" s="40"/>
      <c r="E358" s="40"/>
      <c r="F358" s="40"/>
      <c r="G358" s="40"/>
      <c r="H358" s="40">
        <f>+D358</f>
        <v>0</v>
      </c>
      <c r="I358" s="40"/>
      <c r="J358" s="41" t="s">
        <v>13</v>
      </c>
    </row>
    <row r="359" spans="2:10" s="1" customFormat="1" ht="11.25" customHeight="1" x14ac:dyDescent="0.2">
      <c r="B359" s="43" t="s">
        <v>274</v>
      </c>
      <c r="C359" s="43" t="s">
        <v>264</v>
      </c>
      <c r="D359" s="60"/>
      <c r="E359" s="40"/>
      <c r="F359" s="40"/>
      <c r="G359" s="40"/>
      <c r="H359" s="40"/>
      <c r="I359" s="44">
        <f>SUM(H360:H360)</f>
        <v>0</v>
      </c>
      <c r="J359" s="45" t="str">
        <f>+J360</f>
        <v>und</v>
      </c>
    </row>
    <row r="360" spans="2:10" s="1" customFormat="1" ht="12.75" x14ac:dyDescent="0.2">
      <c r="B360" s="46"/>
      <c r="C360" s="39" t="s">
        <v>384</v>
      </c>
      <c r="D360" s="40"/>
      <c r="E360" s="40"/>
      <c r="F360" s="40"/>
      <c r="G360" s="40"/>
      <c r="H360" s="40">
        <f>+D360</f>
        <v>0</v>
      </c>
      <c r="I360" s="40"/>
      <c r="J360" s="41" t="s">
        <v>13</v>
      </c>
    </row>
    <row r="361" spans="2:10" s="1" customFormat="1" ht="12.75" x14ac:dyDescent="0.2">
      <c r="B361" s="46"/>
      <c r="C361" s="59"/>
      <c r="D361" s="60"/>
      <c r="E361" s="40"/>
      <c r="F361" s="40"/>
      <c r="G361" s="40"/>
      <c r="H361" s="40"/>
      <c r="I361" s="40"/>
      <c r="J361" s="41"/>
    </row>
    <row r="362" spans="2:10" s="1" customFormat="1" ht="12.75" x14ac:dyDescent="0.2">
      <c r="B362" s="46"/>
      <c r="C362" s="59"/>
      <c r="D362" s="60"/>
      <c r="E362" s="40"/>
      <c r="F362" s="40"/>
      <c r="G362" s="40"/>
      <c r="H362" s="40"/>
      <c r="I362" s="40"/>
      <c r="J362" s="41"/>
    </row>
    <row r="363" spans="2:10" s="1" customFormat="1" ht="12.75" x14ac:dyDescent="0.2">
      <c r="B363" s="46"/>
      <c r="C363" s="59"/>
      <c r="D363" s="60"/>
      <c r="E363" s="40"/>
      <c r="F363" s="40"/>
      <c r="G363" s="40"/>
      <c r="H363" s="40"/>
      <c r="I363" s="40"/>
      <c r="J363" s="41"/>
    </row>
    <row r="364" spans="2:10" s="1" customFormat="1" ht="12.75" x14ac:dyDescent="0.2">
      <c r="B364" s="46"/>
      <c r="C364" s="59"/>
      <c r="D364" s="60"/>
      <c r="E364" s="40"/>
      <c r="F364" s="40"/>
      <c r="G364" s="40"/>
      <c r="H364" s="40"/>
      <c r="I364" s="40"/>
      <c r="J364" s="41"/>
    </row>
    <row r="365" spans="2:10" s="1" customFormat="1" ht="12.75" x14ac:dyDescent="0.2">
      <c r="B365" s="46"/>
      <c r="C365" s="59"/>
      <c r="D365" s="60"/>
      <c r="E365" s="40"/>
      <c r="F365" s="40"/>
      <c r="G365" s="40"/>
      <c r="H365" s="40"/>
      <c r="I365" s="40"/>
      <c r="J365" s="41"/>
    </row>
    <row r="366" spans="2:10" s="1" customFormat="1" ht="12.75" x14ac:dyDescent="0.2">
      <c r="B366" s="46"/>
      <c r="C366" s="59"/>
      <c r="D366" s="60"/>
      <c r="E366" s="40"/>
      <c r="F366" s="40"/>
      <c r="G366" s="40"/>
      <c r="H366" s="40"/>
      <c r="I366" s="40"/>
      <c r="J366" s="41"/>
    </row>
    <row r="367" spans="2:10" s="1" customFormat="1" ht="12.75" x14ac:dyDescent="0.2">
      <c r="B367" s="46"/>
      <c r="C367" s="59"/>
      <c r="D367" s="60"/>
      <c r="E367" s="40"/>
      <c r="F367" s="40"/>
      <c r="G367" s="40"/>
      <c r="H367" s="40"/>
      <c r="I367" s="40"/>
      <c r="J367" s="41"/>
    </row>
    <row r="368" spans="2:10" s="1" customFormat="1" ht="12.75" x14ac:dyDescent="0.2">
      <c r="B368" s="46"/>
      <c r="C368" s="59"/>
      <c r="D368" s="60"/>
      <c r="E368" s="40"/>
      <c r="F368" s="40"/>
      <c r="G368" s="40"/>
      <c r="H368" s="40"/>
      <c r="I368" s="40"/>
      <c r="J368" s="41"/>
    </row>
    <row r="369" spans="2:10" s="1" customFormat="1" ht="12.75" x14ac:dyDescent="0.2">
      <c r="B369" s="46"/>
      <c r="C369" s="59"/>
      <c r="D369" s="60"/>
      <c r="E369" s="40"/>
      <c r="F369" s="40"/>
      <c r="G369" s="40"/>
      <c r="H369" s="40"/>
      <c r="I369" s="40"/>
      <c r="J369" s="41"/>
    </row>
    <row r="370" spans="2:10" s="1" customFormat="1" ht="12.75" x14ac:dyDescent="0.2">
      <c r="B370" s="46"/>
      <c r="C370" s="59"/>
      <c r="D370" s="60"/>
      <c r="E370" s="40"/>
      <c r="F370" s="40"/>
      <c r="G370" s="40"/>
      <c r="H370" s="40"/>
      <c r="I370" s="40"/>
      <c r="J370" s="41"/>
    </row>
    <row r="371" spans="2:10" s="1" customFormat="1" ht="12.75" x14ac:dyDescent="0.2">
      <c r="B371" s="46"/>
      <c r="C371" s="59"/>
      <c r="D371" s="60"/>
      <c r="E371" s="40"/>
      <c r="F371" s="40"/>
      <c r="G371" s="40"/>
      <c r="H371" s="40"/>
      <c r="I371" s="40"/>
      <c r="J371" s="41"/>
    </row>
    <row r="372" spans="2:10" s="1" customFormat="1" ht="12.75" x14ac:dyDescent="0.2">
      <c r="B372" s="46"/>
      <c r="C372" s="59"/>
      <c r="D372" s="60"/>
      <c r="E372" s="40"/>
      <c r="F372" s="40"/>
      <c r="G372" s="40"/>
      <c r="H372" s="40"/>
      <c r="I372" s="40"/>
      <c r="J372" s="41"/>
    </row>
    <row r="373" spans="2:10" s="1" customFormat="1" ht="12.75" x14ac:dyDescent="0.2">
      <c r="B373" s="46"/>
      <c r="C373" s="59"/>
      <c r="D373" s="60"/>
      <c r="E373" s="40"/>
      <c r="F373" s="40"/>
      <c r="G373" s="40"/>
      <c r="H373" s="40"/>
      <c r="I373" s="40"/>
      <c r="J373" s="41"/>
    </row>
    <row r="374" spans="2:10" s="1" customFormat="1" ht="12.75" x14ac:dyDescent="0.2">
      <c r="B374" s="46"/>
      <c r="C374" s="59"/>
      <c r="D374" s="60"/>
      <c r="E374" s="40"/>
      <c r="F374" s="40"/>
      <c r="G374" s="40"/>
      <c r="H374" s="40"/>
      <c r="I374" s="40"/>
      <c r="J374" s="41"/>
    </row>
    <row r="375" spans="2:10" s="1" customFormat="1" ht="12.75" x14ac:dyDescent="0.2">
      <c r="B375" s="46"/>
      <c r="C375" s="59"/>
      <c r="D375" s="60"/>
      <c r="E375" s="40"/>
      <c r="F375" s="40"/>
      <c r="G375" s="40"/>
      <c r="H375" s="40"/>
      <c r="I375" s="40"/>
      <c r="J375" s="41"/>
    </row>
    <row r="376" spans="2:10" s="1" customFormat="1" ht="12.75" x14ac:dyDescent="0.2">
      <c r="B376" s="46"/>
      <c r="C376" s="59"/>
      <c r="D376" s="60"/>
      <c r="E376" s="40"/>
      <c r="F376" s="40"/>
      <c r="G376" s="40"/>
      <c r="H376" s="40"/>
      <c r="I376" s="40"/>
      <c r="J376" s="41"/>
    </row>
    <row r="377" spans="2:10" s="1" customFormat="1" ht="12.75" x14ac:dyDescent="0.2">
      <c r="B377" s="46"/>
      <c r="C377" s="59"/>
      <c r="D377" s="60"/>
      <c r="E377" s="40"/>
      <c r="F377" s="40"/>
      <c r="G377" s="40"/>
      <c r="H377" s="40"/>
      <c r="I377" s="40"/>
      <c r="J377" s="41"/>
    </row>
    <row r="378" spans="2:10" s="1" customFormat="1" ht="14.25" customHeight="1" x14ac:dyDescent="0.2">
      <c r="B378" s="46"/>
      <c r="C378" s="59"/>
      <c r="D378" s="60"/>
      <c r="E378" s="40"/>
      <c r="F378" s="40"/>
      <c r="G378" s="40"/>
      <c r="H378" s="40"/>
      <c r="I378" s="40"/>
      <c r="J378" s="41"/>
    </row>
    <row r="379" spans="2:10" s="1" customFormat="1" ht="14.25" customHeight="1" x14ac:dyDescent="0.2">
      <c r="B379" s="46"/>
      <c r="C379" s="59"/>
      <c r="D379" s="60"/>
      <c r="E379" s="40"/>
      <c r="F379" s="40"/>
      <c r="G379" s="40"/>
      <c r="H379" s="40"/>
      <c r="I379" s="40"/>
      <c r="J379" s="41"/>
    </row>
    <row r="380" spans="2:10" s="1" customFormat="1" ht="14.25" customHeight="1" x14ac:dyDescent="0.2">
      <c r="B380" s="46"/>
      <c r="C380" s="59"/>
      <c r="D380" s="60"/>
      <c r="E380" s="40"/>
      <c r="F380" s="40"/>
      <c r="G380" s="40"/>
      <c r="H380" s="40"/>
      <c r="I380" s="40"/>
      <c r="J380" s="41"/>
    </row>
    <row r="381" spans="2:10" s="1" customFormat="1" ht="12.75" x14ac:dyDescent="0.2">
      <c r="C381" s="542" t="s">
        <v>37</v>
      </c>
      <c r="D381" s="542"/>
      <c r="E381" s="542"/>
      <c r="F381" s="542"/>
      <c r="G381" s="542"/>
      <c r="H381" s="542"/>
    </row>
    <row r="382" spans="2:10" s="1" customFormat="1" ht="12.75" x14ac:dyDescent="0.2">
      <c r="C382" s="499" t="s">
        <v>38</v>
      </c>
      <c r="D382" s="499"/>
      <c r="E382" s="499"/>
      <c r="F382" s="499"/>
      <c r="G382" s="499"/>
      <c r="H382" s="499"/>
    </row>
    <row r="383" spans="2:10" s="1" customFormat="1" ht="12.75" x14ac:dyDescent="0.2">
      <c r="C383" s="499" t="s">
        <v>39</v>
      </c>
      <c r="D383" s="499"/>
      <c r="E383" s="499"/>
      <c r="F383" s="499"/>
      <c r="G383" s="499"/>
      <c r="H383" s="499"/>
    </row>
    <row r="384" spans="2:10" s="1" customFormat="1" ht="12.75" x14ac:dyDescent="0.2">
      <c r="C384" s="500" t="s">
        <v>40</v>
      </c>
      <c r="D384" s="500"/>
      <c r="E384" s="500"/>
      <c r="F384" s="500"/>
      <c r="G384" s="500"/>
      <c r="H384" s="500"/>
    </row>
    <row r="385" spans="2:10" s="1" customFormat="1" ht="12.75" x14ac:dyDescent="0.2">
      <c r="C385" s="385"/>
      <c r="D385" s="385"/>
      <c r="E385" s="385"/>
      <c r="F385" s="385"/>
      <c r="G385" s="385"/>
      <c r="H385" s="385"/>
    </row>
    <row r="386" spans="2:10" s="1" customFormat="1" ht="32.25" customHeight="1" x14ac:dyDescent="0.2">
      <c r="B386" s="386" t="s">
        <v>65</v>
      </c>
      <c r="C386" s="387"/>
      <c r="D386" s="387"/>
      <c r="E386" s="387"/>
      <c r="F386" s="387"/>
      <c r="G386" s="387"/>
      <c r="H386" s="387"/>
      <c r="I386" s="387"/>
      <c r="J386" s="388"/>
    </row>
    <row r="387" spans="2:10" s="1" customFormat="1" ht="20.25" x14ac:dyDescent="0.2">
      <c r="B387" s="390" t="s">
        <v>364</v>
      </c>
      <c r="C387" s="391"/>
      <c r="D387" s="391"/>
      <c r="E387" s="391"/>
      <c r="F387" s="391"/>
      <c r="G387" s="391"/>
      <c r="H387" s="391"/>
      <c r="I387" s="391"/>
      <c r="J387" s="392"/>
    </row>
    <row r="388" spans="2:10" s="1" customFormat="1" ht="13.5" thickBot="1" x14ac:dyDescent="0.25">
      <c r="B388" s="389"/>
      <c r="C388" s="389"/>
      <c r="D388" s="389"/>
      <c r="E388" s="389"/>
      <c r="F388" s="389"/>
      <c r="G388" s="389"/>
      <c r="H388" s="389"/>
      <c r="I388" s="389"/>
      <c r="J388" s="389"/>
    </row>
    <row r="389" spans="2:10" s="1" customFormat="1" ht="24.75" customHeight="1" x14ac:dyDescent="0.2">
      <c r="B389" s="494" t="s">
        <v>27</v>
      </c>
      <c r="C389" s="495"/>
      <c r="D389" s="495"/>
      <c r="E389" s="495"/>
      <c r="F389" s="495"/>
      <c r="G389" s="495"/>
      <c r="H389" s="495"/>
      <c r="I389" s="495"/>
      <c r="J389" s="496"/>
    </row>
    <row r="390" spans="2:10" s="1" customFormat="1" ht="12.75" x14ac:dyDescent="0.2">
      <c r="B390" s="2" t="s">
        <v>35</v>
      </c>
      <c r="C390" s="3" t="s">
        <v>36</v>
      </c>
      <c r="D390" s="3"/>
      <c r="E390" s="4"/>
      <c r="F390" s="5"/>
      <c r="G390" s="6" t="s">
        <v>8</v>
      </c>
      <c r="H390" s="497">
        <v>42879</v>
      </c>
      <c r="I390" s="497"/>
      <c r="J390" s="7"/>
    </row>
    <row r="391" spans="2:10" s="1" customFormat="1" ht="12.75" x14ac:dyDescent="0.2">
      <c r="B391" s="2" t="s">
        <v>33</v>
      </c>
      <c r="C391" s="3" t="s">
        <v>29</v>
      </c>
      <c r="D391" s="8"/>
      <c r="E391" s="8"/>
      <c r="F391" s="3"/>
      <c r="G391" s="9" t="s">
        <v>32</v>
      </c>
      <c r="H391" s="4" t="s">
        <v>29</v>
      </c>
      <c r="I391" s="10"/>
      <c r="J391" s="11"/>
    </row>
    <row r="392" spans="2:10" s="1" customFormat="1" ht="12.75" x14ac:dyDescent="0.2">
      <c r="B392" s="2" t="s">
        <v>34</v>
      </c>
      <c r="C392" s="3" t="s">
        <v>29</v>
      </c>
      <c r="D392" s="8"/>
      <c r="E392" s="8"/>
      <c r="F392" s="3"/>
      <c r="G392" s="9" t="s">
        <v>30</v>
      </c>
      <c r="H392" s="4" t="s">
        <v>31</v>
      </c>
      <c r="I392" s="10"/>
      <c r="J392" s="11"/>
    </row>
    <row r="393" spans="2:10" s="1" customFormat="1" ht="13.5" thickBot="1" x14ac:dyDescent="0.25">
      <c r="B393" s="12" t="s">
        <v>43</v>
      </c>
      <c r="C393" s="13" t="s">
        <v>44</v>
      </c>
      <c r="D393" s="14"/>
      <c r="E393" s="14"/>
      <c r="F393" s="13"/>
      <c r="G393" s="15" t="s">
        <v>41</v>
      </c>
      <c r="H393" s="16" t="s">
        <v>42</v>
      </c>
      <c r="I393" s="17"/>
      <c r="J393" s="18"/>
    </row>
    <row r="394" spans="2:10" s="1" customFormat="1" ht="12.75" x14ac:dyDescent="0.2">
      <c r="B394" s="389"/>
      <c r="C394" s="389"/>
      <c r="D394" s="389"/>
      <c r="E394" s="389"/>
      <c r="F394" s="389"/>
      <c r="G394" s="389"/>
      <c r="H394" s="389"/>
      <c r="I394" s="389"/>
      <c r="J394" s="389"/>
    </row>
    <row r="395" spans="2:10" s="1" customFormat="1" ht="12.75" x14ac:dyDescent="0.2">
      <c r="B395" s="21" t="s">
        <v>5</v>
      </c>
      <c r="C395" s="22" t="s">
        <v>0</v>
      </c>
      <c r="D395" s="22" t="s">
        <v>9</v>
      </c>
      <c r="E395" s="22" t="s">
        <v>10</v>
      </c>
      <c r="F395" s="22" t="s">
        <v>1</v>
      </c>
      <c r="G395" s="22" t="s">
        <v>2</v>
      </c>
      <c r="H395" s="22" t="s">
        <v>11</v>
      </c>
      <c r="I395" s="22" t="s">
        <v>6</v>
      </c>
      <c r="J395" s="22" t="s">
        <v>7</v>
      </c>
    </row>
    <row r="396" spans="2:10" s="1" customFormat="1" ht="12.75" x14ac:dyDescent="0.2">
      <c r="B396" s="55">
        <v>4.03</v>
      </c>
      <c r="C396" s="56" t="s">
        <v>222</v>
      </c>
      <c r="D396" s="60"/>
      <c r="E396" s="40"/>
      <c r="F396" s="40"/>
      <c r="G396" s="40"/>
      <c r="H396" s="40"/>
      <c r="I396" s="40"/>
      <c r="J396" s="41"/>
    </row>
    <row r="397" spans="2:10" s="1" customFormat="1" ht="12.75" x14ac:dyDescent="0.2">
      <c r="B397" s="57" t="s">
        <v>14</v>
      </c>
      <c r="C397" s="58" t="s">
        <v>225</v>
      </c>
      <c r="D397" s="60"/>
      <c r="E397" s="40"/>
      <c r="F397" s="40"/>
      <c r="G397" s="40"/>
      <c r="H397" s="40"/>
      <c r="I397" s="40"/>
      <c r="J397" s="41"/>
    </row>
    <row r="398" spans="2:10" s="1" customFormat="1" ht="12.75" x14ac:dyDescent="0.2">
      <c r="B398" s="43" t="s">
        <v>15</v>
      </c>
      <c r="C398" s="43" t="s">
        <v>269</v>
      </c>
      <c r="D398" s="60"/>
      <c r="E398" s="40"/>
      <c r="F398" s="40"/>
      <c r="G398" s="40"/>
      <c r="H398" s="40"/>
      <c r="I398" s="44">
        <f>SUM(H399:H399)</f>
        <v>0</v>
      </c>
      <c r="J398" s="45"/>
    </row>
    <row r="399" spans="2:10" s="1" customFormat="1" ht="12.75" x14ac:dyDescent="0.2">
      <c r="B399" s="43"/>
      <c r="C399" s="77"/>
      <c r="D399" s="40"/>
      <c r="E399" s="40"/>
      <c r="F399" s="40"/>
      <c r="G399" s="40"/>
      <c r="H399" s="40">
        <f>IF(AND(F399=0,G399=0),D399*E399,IF(AND(E399=0,G399=0),D399*F399,IF(AND(E399=0,F399=0),D399*G399,IF(AND(E399=0),D399*F399*G399,IF(AND(F399=0),D399*E399*G399,IF(AND(G399=0),D399*E399*F399,D399*E399*F399*G399))))))</f>
        <v>0</v>
      </c>
      <c r="I399" s="40"/>
      <c r="J399" s="41" t="str">
        <f>IF(AND(E399=0,F399&lt;&gt;0,G399&lt;&gt;0),"m2",IF(AND(F399=0,E399&lt;&gt;0,G399&lt;&gt;0),"m2",IF(AND(G399=0,E399&lt;&gt;0,F399&lt;&gt;0),"m2",IF(AND(F399=0,G399=0),"ml",IF(AND(E399=0,G399=0),"ml",IF(AND(E399=0,F399=0),"ml",IF(AND(E399&lt;&gt;0,F399&lt;&gt;0,G399&lt;&gt;0),"m3",0)))))))</f>
        <v>ml</v>
      </c>
    </row>
    <row r="400" spans="2:10" s="1" customFormat="1" ht="12.75" x14ac:dyDescent="0.2">
      <c r="B400" s="43" t="s">
        <v>232</v>
      </c>
      <c r="C400" s="43" t="s">
        <v>348</v>
      </c>
      <c r="D400" s="60"/>
      <c r="E400" s="40"/>
      <c r="F400" s="40"/>
      <c r="G400" s="40"/>
      <c r="H400" s="40"/>
      <c r="I400" s="44">
        <f>SUM(H401:H402)</f>
        <v>5</v>
      </c>
      <c r="J400" s="45" t="str">
        <f>+J401</f>
        <v>und</v>
      </c>
    </row>
    <row r="401" spans="1:10" s="1" customFormat="1" ht="12.75" x14ac:dyDescent="0.2">
      <c r="B401" s="57"/>
      <c r="C401" s="39" t="s">
        <v>349</v>
      </c>
      <c r="D401" s="40">
        <v>4</v>
      </c>
      <c r="E401" s="40"/>
      <c r="F401" s="40"/>
      <c r="G401" s="40"/>
      <c r="H401" s="40">
        <f>+D401</f>
        <v>4</v>
      </c>
      <c r="I401" s="40"/>
      <c r="J401" s="41" t="s">
        <v>13</v>
      </c>
    </row>
    <row r="402" spans="1:10" s="1" customFormat="1" ht="12.75" x14ac:dyDescent="0.2">
      <c r="B402" s="57"/>
      <c r="C402" s="39" t="s">
        <v>642</v>
      </c>
      <c r="D402" s="60">
        <v>1</v>
      </c>
      <c r="E402" s="40"/>
      <c r="F402" s="40"/>
      <c r="G402" s="40"/>
      <c r="H402" s="40">
        <v>1</v>
      </c>
      <c r="I402" s="40"/>
      <c r="J402" s="41"/>
    </row>
    <row r="403" spans="1:10" s="1" customFormat="1" ht="12.75" x14ac:dyDescent="0.2">
      <c r="B403" s="57" t="s">
        <v>16</v>
      </c>
      <c r="C403" s="58" t="s">
        <v>224</v>
      </c>
      <c r="D403" s="60"/>
      <c r="E403" s="40"/>
      <c r="F403" s="40"/>
      <c r="G403" s="40"/>
      <c r="H403" s="40"/>
      <c r="I403" s="40"/>
      <c r="J403" s="41"/>
    </row>
    <row r="404" spans="1:10" s="1" customFormat="1" ht="12.75" x14ac:dyDescent="0.2">
      <c r="B404" s="43" t="s">
        <v>17</v>
      </c>
      <c r="C404" s="43" t="s">
        <v>343</v>
      </c>
      <c r="D404" s="60"/>
      <c r="E404" s="40"/>
      <c r="F404" s="40"/>
      <c r="G404" s="40"/>
      <c r="H404" s="40"/>
      <c r="I404" s="44">
        <f>SUM(H405:H405)</f>
        <v>0</v>
      </c>
      <c r="J404" s="45" t="str">
        <f>+J405</f>
        <v>ml</v>
      </c>
    </row>
    <row r="405" spans="1:10" s="1" customFormat="1" ht="12.75" x14ac:dyDescent="0.2">
      <c r="A405" s="111"/>
      <c r="B405" s="57"/>
      <c r="C405" s="39" t="s">
        <v>344</v>
      </c>
      <c r="D405" s="40"/>
      <c r="E405" s="40"/>
      <c r="F405" s="40"/>
      <c r="G405" s="40"/>
      <c r="H405" s="40">
        <f>IF(AND(F405=0,G405=0),D405*E405,IF(AND(E405=0,G405=0),D405*F405,IF(AND(E405=0,F405=0),D405*G405,IF(AND(E405=0),D405*F405*G405,IF(AND(F405=0),D405*E405*G405,IF(AND(G405=0),D405*E405*F405,D405*E405*F405*G405))))))</f>
        <v>0</v>
      </c>
      <c r="I405" s="40"/>
      <c r="J405" s="41" t="str">
        <f>IF(AND(E405=0,F405&lt;&gt;0,G405&lt;&gt;0),"m2",IF(AND(F405=0,E405&lt;&gt;0,G405&lt;&gt;0),"m2",IF(AND(G405=0,E405&lt;&gt;0,F405&lt;&gt;0),"m2",IF(AND(F405=0,G405=0),"ml",IF(AND(E405=0,G405=0),"ml",IF(AND(E405=0,F405=0),"ml",IF(AND(E405&lt;&gt;0,F405&lt;&gt;0,G405&lt;&gt;0),"m3",0)))))))</f>
        <v>ml</v>
      </c>
    </row>
    <row r="406" spans="1:10" s="1" customFormat="1" ht="12.75" x14ac:dyDescent="0.2">
      <c r="A406" s="111"/>
      <c r="B406" s="43" t="s">
        <v>240</v>
      </c>
      <c r="C406" s="43" t="s">
        <v>237</v>
      </c>
      <c r="D406" s="60"/>
      <c r="E406" s="40"/>
      <c r="F406" s="40"/>
      <c r="G406" s="40"/>
      <c r="H406" s="40"/>
      <c r="I406" s="44">
        <f>SUM(H407:H408)</f>
        <v>26.4</v>
      </c>
      <c r="J406" s="45" t="e">
        <f>+#REF!</f>
        <v>#REF!</v>
      </c>
    </row>
    <row r="407" spans="1:10" s="1" customFormat="1" ht="12.75" x14ac:dyDescent="0.2">
      <c r="B407" s="57"/>
      <c r="C407" s="39" t="s">
        <v>686</v>
      </c>
      <c r="D407" s="60">
        <v>1</v>
      </c>
      <c r="E407" s="40">
        <v>9</v>
      </c>
      <c r="F407" s="40"/>
      <c r="G407" s="40"/>
      <c r="H407" s="40">
        <f>IF(AND(F407=0,G407=0),D407*E407,IF(AND(E407=0,G407=0),D407*F407,IF(AND(E407=0,F407=0),D407*G407,IF(AND(E407=0),D407*F407*G407,IF(AND(F407=0),D407*E407*G407,IF(AND(G407=0),D407*E407*F407,D407*E407*F407*G407))))))</f>
        <v>9</v>
      </c>
      <c r="I407" s="40"/>
      <c r="J407" s="41" t="str">
        <f>IF(AND(E407=0,F407&lt;&gt;0,G407&lt;&gt;0),"m2",IF(AND(F407=0,E407&lt;&gt;0,G407&lt;&gt;0),"m2",IF(AND(G407=0,E407&lt;&gt;0,F407&lt;&gt;0),"m2",IF(AND(F407=0,G407=0),"ml",IF(AND(E407=0,G407=0),"ml",IF(AND(E407=0,F407=0),"ml",IF(AND(E407&lt;&gt;0,F407&lt;&gt;0,G407&lt;&gt;0),"m3",0)))))))</f>
        <v>ml</v>
      </c>
    </row>
    <row r="408" spans="1:10" s="1" customFormat="1" ht="12.75" x14ac:dyDescent="0.2">
      <c r="B408" s="60"/>
      <c r="C408" s="39" t="s">
        <v>687</v>
      </c>
      <c r="D408" s="60">
        <v>1</v>
      </c>
      <c r="E408" s="40">
        <v>17.399999999999999</v>
      </c>
      <c r="F408" s="40"/>
      <c r="G408" s="40"/>
      <c r="H408" s="40">
        <f>IF(AND(F408=0,G408=0),D408*E408,IF(AND(E408=0,G408=0),D408*F408,IF(AND(E408=0,F408=0),D408*G408,IF(AND(E408=0),D408*F408*G408,IF(AND(F408=0),D408*E408*G408,IF(AND(G408=0),D408*E408*F408,D408*E408*F408*G408))))))</f>
        <v>17.399999999999999</v>
      </c>
      <c r="I408" s="44"/>
      <c r="J408" s="45"/>
    </row>
    <row r="409" spans="1:10" s="1" customFormat="1" ht="12.75" x14ac:dyDescent="0.2">
      <c r="B409" s="43" t="s">
        <v>241</v>
      </c>
      <c r="C409" s="43" t="s">
        <v>242</v>
      </c>
      <c r="D409" s="40"/>
      <c r="E409" s="40"/>
      <c r="F409" s="40"/>
      <c r="G409" s="40"/>
      <c r="H409" s="40"/>
      <c r="I409" s="40"/>
      <c r="J409" s="41" t="str">
        <f>IF(AND(E409=0,F409&lt;&gt;0,G409&lt;&gt;0),"m2",IF(AND(F409=0,E409&lt;&gt;0,G409&lt;&gt;0),"m2",IF(AND(G409=0,E409&lt;&gt;0,F409&lt;&gt;0),"m2",IF(AND(F409=0,G409=0),"ml",IF(AND(E409=0,G409=0),"ml",IF(AND(E409=0,F409=0),"ml",IF(AND(E409&lt;&gt;0,F409&lt;&gt;0,G409&lt;&gt;0),"m3",0)))))))</f>
        <v>ml</v>
      </c>
    </row>
    <row r="410" spans="1:10" s="1" customFormat="1" ht="12.75" x14ac:dyDescent="0.2">
      <c r="B410" s="57"/>
      <c r="C410" s="39" t="s">
        <v>401</v>
      </c>
      <c r="D410" s="60"/>
      <c r="E410" s="40"/>
      <c r="F410" s="40"/>
      <c r="G410" s="40"/>
      <c r="H410" s="40"/>
      <c r="J410" s="45" t="str">
        <f>+J411</f>
        <v>ml</v>
      </c>
    </row>
    <row r="411" spans="1:10" s="1" customFormat="1" ht="12.75" x14ac:dyDescent="0.2">
      <c r="B411" s="43" t="s">
        <v>243</v>
      </c>
      <c r="C411" s="43" t="s">
        <v>245</v>
      </c>
      <c r="D411" s="60"/>
      <c r="E411" s="40"/>
      <c r="F411" s="40"/>
      <c r="G411" s="40"/>
      <c r="H411" s="40"/>
      <c r="I411" s="44">
        <f>SUM(H412:H413)</f>
        <v>26.4</v>
      </c>
      <c r="J411" s="41" t="str">
        <f>IF(AND(E411=0,F411&lt;&gt;0,G411&lt;&gt;0),"m2",IF(AND(F411=0,E411&lt;&gt;0,G411&lt;&gt;0),"m2",IF(AND(G411=0,E411&lt;&gt;0,F411&lt;&gt;0),"m2",IF(AND(F411=0,G411=0),"ml",IF(AND(E411=0,G411=0),"ml",IF(AND(E411=0,F411=0),"ml",IF(AND(E411&lt;&gt;0,F411&lt;&gt;0,G411&lt;&gt;0),"m3",0)))))))</f>
        <v>ml</v>
      </c>
    </row>
    <row r="412" spans="1:10" s="1" customFormat="1" ht="12.75" x14ac:dyDescent="0.2">
      <c r="B412" s="57"/>
      <c r="C412" s="39" t="s">
        <v>686</v>
      </c>
      <c r="D412" s="60">
        <v>1</v>
      </c>
      <c r="E412" s="40">
        <v>9</v>
      </c>
      <c r="F412" s="40"/>
      <c r="G412" s="40"/>
      <c r="H412" s="40">
        <f>IF(AND(F412=0,G412=0),D412*E412,IF(AND(E412=0,G412=0),D412*F412,IF(AND(E412=0,F412=0),D412*G412,IF(AND(E412=0),D412*F412*G412,IF(AND(F412=0),D412*E412*G412,IF(AND(G412=0),D412*E412*F412,D412*E412*F412*G412))))))</f>
        <v>9</v>
      </c>
      <c r="I412" s="40"/>
      <c r="J412" s="41"/>
    </row>
    <row r="413" spans="1:10" s="1" customFormat="1" ht="12.75" x14ac:dyDescent="0.2">
      <c r="B413" s="57"/>
      <c r="C413" s="39" t="s">
        <v>687</v>
      </c>
      <c r="D413" s="60">
        <v>1</v>
      </c>
      <c r="E413" s="40">
        <v>17.399999999999999</v>
      </c>
      <c r="F413" s="40"/>
      <c r="G413" s="40"/>
      <c r="H413" s="40">
        <f>IF(AND(F413=0,G413=0),D413*E413,IF(AND(E413=0,G413=0),D413*F413,IF(AND(E413=0,F413=0),D413*G413,IF(AND(E413=0),D413*F413*G413,IF(AND(F413=0),D413*E413*G413,IF(AND(G413=0),D413*E413*F413,D413*E413*F413*G413))))))</f>
        <v>17.399999999999999</v>
      </c>
    </row>
    <row r="414" spans="1:10" s="1" customFormat="1" ht="12.75" x14ac:dyDescent="0.2">
      <c r="B414" s="43" t="s">
        <v>244</v>
      </c>
      <c r="C414" s="43" t="s">
        <v>247</v>
      </c>
      <c r="D414" s="40"/>
      <c r="E414" s="40"/>
      <c r="F414" s="40"/>
      <c r="G414" s="40"/>
      <c r="H414" s="40">
        <f>IF(AND(F414=0,G414=0),D414*E414,IF(AND(E414=0,G414=0),D414*F414,IF(AND(E414=0,F414=0),D414*G414,IF(AND(E414=0),D414*F414*G414,IF(AND(F414=0),D414*E414*G414,IF(AND(G414=0),D414*E414*F414,D414*E414*F414*G414))))))</f>
        <v>0</v>
      </c>
      <c r="I414" s="40"/>
      <c r="J414" s="41" t="str">
        <f>IF(AND(E414=0,F414&lt;&gt;0,G414&lt;&gt;0),"m2",IF(AND(F414=0,E414&lt;&gt;0,G414&lt;&gt;0),"m2",IF(AND(G414=0,E414&lt;&gt;0,F414&lt;&gt;0),"m2",IF(AND(F414=0,G414=0),"ml",IF(AND(E414=0,G414=0),"ml",IF(AND(E414=0,F414=0),"ml",IF(AND(E414&lt;&gt;0,F414&lt;&gt;0,G414&lt;&gt;0),"m3",0)))))))</f>
        <v>ml</v>
      </c>
    </row>
    <row r="415" spans="1:10" s="1" customFormat="1" ht="12.75" x14ac:dyDescent="0.2">
      <c r="B415" s="57"/>
      <c r="C415" s="39" t="s">
        <v>396</v>
      </c>
      <c r="D415" s="60"/>
      <c r="E415" s="40"/>
      <c r="F415" s="40"/>
      <c r="G415" s="40"/>
      <c r="H415" s="40"/>
      <c r="I415" s="44">
        <f>SUM(H416:H417)</f>
        <v>0</v>
      </c>
      <c r="J415" s="45" t="str">
        <f>+J417</f>
        <v>ml</v>
      </c>
    </row>
    <row r="416" spans="1:10" s="1" customFormat="1" ht="12.75" x14ac:dyDescent="0.2">
      <c r="B416" s="43" t="s">
        <v>248</v>
      </c>
      <c r="C416" s="43" t="s">
        <v>226</v>
      </c>
      <c r="D416" s="40"/>
      <c r="E416" s="40"/>
      <c r="F416" s="40"/>
      <c r="G416" s="40"/>
      <c r="H416" s="40">
        <f>IF(AND(F416=0,G416=0),D416*E416,IF(AND(E416=0,G416=0),D416*F416,IF(AND(E416=0,F416=0),D416*G416,IF(AND(E416=0),D416*F416*G416,IF(AND(F416=0),D416*E416*G416,IF(AND(G416=0),D416*E416*F416,D416*E416*F416*G416))))))</f>
        <v>0</v>
      </c>
      <c r="I416" s="40"/>
      <c r="J416" s="41" t="str">
        <f>IF(AND(E416=0,F416&lt;&gt;0,G416&lt;&gt;0),"m2",IF(AND(F416=0,E416&lt;&gt;0,G416&lt;&gt;0),"m2",IF(AND(G416=0,E416&lt;&gt;0,F416&lt;&gt;0),"m2",IF(AND(F416=0,G416=0),"ml",IF(AND(E416=0,G416=0),"ml",IF(AND(E416=0,F416=0),"ml",IF(AND(E416&lt;&gt;0,F416&lt;&gt;0,G416&lt;&gt;0),"m3",0)))))))</f>
        <v>ml</v>
      </c>
    </row>
    <row r="417" spans="2:10" s="1" customFormat="1" ht="12.75" x14ac:dyDescent="0.2">
      <c r="B417" s="43"/>
      <c r="C417" s="39" t="s">
        <v>371</v>
      </c>
      <c r="D417" s="40"/>
      <c r="E417" s="40"/>
      <c r="F417" s="40"/>
      <c r="G417" s="40"/>
      <c r="H417" s="40">
        <f>IF(AND(F417=0,G417=0),D417*E417,IF(AND(E417=0,G417=0),D417*F417,IF(AND(E417=0,F417=0),D417*G417,IF(AND(E417=0),D417*F417*G417,IF(AND(F417=0),D417*E417*G417,IF(AND(G417=0),D417*E417*F417,D417*E417*F417*G417))))))</f>
        <v>0</v>
      </c>
      <c r="I417" s="40"/>
      <c r="J417" s="41" t="str">
        <f>IF(AND(E417=0,F417&lt;&gt;0,G417&lt;&gt;0),"m2",IF(AND(F417=0,E417&lt;&gt;0,G417&lt;&gt;0),"m2",IF(AND(G417=0,E417&lt;&gt;0,F417&lt;&gt;0),"m2",IF(AND(F417=0,G417=0),"ml",IF(AND(E417=0,G417=0),"ml",IF(AND(E417=0,F417=0),"ml",IF(AND(E417&lt;&gt;0,F417&lt;&gt;0,G417&lt;&gt;0),"m3",0)))))))</f>
        <v>ml</v>
      </c>
    </row>
    <row r="418" spans="2:10" s="1" customFormat="1" ht="12.75" x14ac:dyDescent="0.2">
      <c r="B418" s="57"/>
      <c r="C418" s="39" t="s">
        <v>371</v>
      </c>
    </row>
    <row r="419" spans="2:10" s="1" customFormat="1" ht="12.75" x14ac:dyDescent="0.2">
      <c r="B419" s="43" t="s">
        <v>249</v>
      </c>
      <c r="C419" s="43" t="s">
        <v>228</v>
      </c>
      <c r="D419" s="60"/>
      <c r="E419" s="40"/>
      <c r="F419" s="40"/>
      <c r="G419" s="40"/>
      <c r="H419" s="40"/>
      <c r="I419" s="44">
        <f>SUM(H420:H420)</f>
        <v>0</v>
      </c>
      <c r="J419" s="45" t="str">
        <f>+J420</f>
        <v>ml</v>
      </c>
    </row>
    <row r="420" spans="2:10" s="1" customFormat="1" ht="12.75" x14ac:dyDescent="0.2">
      <c r="B420" s="57"/>
      <c r="C420" s="39" t="s">
        <v>399</v>
      </c>
      <c r="D420" s="40"/>
      <c r="E420" s="40"/>
      <c r="F420" s="40"/>
      <c r="G420" s="40"/>
      <c r="H420" s="40">
        <f>IF(AND(F420=0,G420=0),D420*E420,IF(AND(E420=0,G420=0),D420*F420,IF(AND(E420=0,F420=0),D420*G420,IF(AND(E420=0),D420*F420*G420,IF(AND(F420=0),D420*E420*G420,IF(AND(G420=0),D420*E420*F420,D420*E420*F420*G420))))))</f>
        <v>0</v>
      </c>
      <c r="I420" s="40"/>
      <c r="J420" s="41" t="str">
        <f>IF(AND(E420=0,F420&lt;&gt;0,G420&lt;&gt;0),"m2",IF(AND(F420=0,E420&lt;&gt;0,G420&lt;&gt;0),"m2",IF(AND(G420=0,E420&lt;&gt;0,F420&lt;&gt;0),"m2",IF(AND(F420=0,G420=0),"ml",IF(AND(E420=0,G420=0),"ml",IF(AND(E420=0,F420=0),"ml",IF(AND(E420&lt;&gt;0,F420&lt;&gt;0,G420&lt;&gt;0),"m3",0)))))))</f>
        <v>ml</v>
      </c>
    </row>
    <row r="421" spans="2:10" s="1" customFormat="1" ht="12.75" x14ac:dyDescent="0.2">
      <c r="B421" s="43" t="s">
        <v>256</v>
      </c>
      <c r="C421" s="43" t="s">
        <v>250</v>
      </c>
      <c r="D421" s="60"/>
      <c r="E421" s="40"/>
      <c r="F421" s="40"/>
      <c r="G421" s="40"/>
      <c r="H421" s="40"/>
      <c r="I421" s="44">
        <f>SUM(H422:H422)</f>
        <v>25</v>
      </c>
      <c r="J421" s="45" t="str">
        <f>+J422</f>
        <v>ml</v>
      </c>
    </row>
    <row r="422" spans="2:10" s="1" customFormat="1" ht="12.75" x14ac:dyDescent="0.2">
      <c r="B422" s="57"/>
      <c r="C422" s="39" t="s">
        <v>496</v>
      </c>
      <c r="D422" s="40">
        <v>1</v>
      </c>
      <c r="E422" s="40">
        <v>25</v>
      </c>
      <c r="F422" s="40"/>
      <c r="G422" s="40"/>
      <c r="H422" s="40">
        <f>IF(AND(F422=0,G422=0),D422*E422,IF(AND(E422=0,G422=0),D422*F422,IF(AND(E422=0,F422=0),D422*G422,IF(AND(E422=0),D422*F422*G422,IF(AND(F422=0),D422*E422*G422,IF(AND(G422=0),D422*E422*F422,D422*E422*F422*G422))))))</f>
        <v>25</v>
      </c>
      <c r="I422" s="40"/>
      <c r="J422" s="41" t="str">
        <f>IF(AND(E422=0,F422&lt;&gt;0,G422&lt;&gt;0),"m2",IF(AND(F422=0,E422&lt;&gt;0,G422&lt;&gt;0),"m2",IF(AND(G422=0,E422&lt;&gt;0,F422&lt;&gt;0),"m2",IF(AND(F422=0,G422=0),"ml",IF(AND(E422=0,G422=0),"ml",IF(AND(E422=0,F422=0),"ml",IF(AND(E422&lt;&gt;0,F422&lt;&gt;0,G422&lt;&gt;0),"m3",0)))))))</f>
        <v>ml</v>
      </c>
    </row>
    <row r="423" spans="2:10" s="1" customFormat="1" ht="12.75" x14ac:dyDescent="0.2">
      <c r="B423" s="57"/>
      <c r="C423" s="39"/>
      <c r="D423" s="60"/>
      <c r="E423" s="40"/>
      <c r="F423" s="40"/>
      <c r="G423" s="40"/>
      <c r="H423" s="40"/>
      <c r="I423" s="40"/>
      <c r="J423" s="41"/>
    </row>
    <row r="424" spans="2:10" s="1" customFormat="1" ht="12.75" x14ac:dyDescent="0.2">
      <c r="B424" s="43" t="s">
        <v>257</v>
      </c>
      <c r="C424" s="43" t="s">
        <v>252</v>
      </c>
      <c r="D424" s="60"/>
      <c r="E424" s="40"/>
      <c r="F424" s="40"/>
      <c r="G424" s="40"/>
      <c r="H424" s="40"/>
      <c r="I424" s="44">
        <f>SUM(H425:H425)</f>
        <v>0</v>
      </c>
      <c r="J424" s="45" t="str">
        <f>+J425</f>
        <v>ml</v>
      </c>
    </row>
    <row r="425" spans="2:10" s="1" customFormat="1" ht="12.75" x14ac:dyDescent="0.2">
      <c r="B425" s="57"/>
      <c r="C425" s="39" t="s">
        <v>397</v>
      </c>
      <c r="D425" s="40"/>
      <c r="E425" s="40"/>
      <c r="F425" s="40"/>
      <c r="G425" s="40"/>
      <c r="H425" s="40">
        <f>IF(AND(F425=0,G425=0),D425*E425,IF(AND(E425=0,G425=0),D425*F425,IF(AND(E425=0,F425=0),D425*G425,IF(AND(E425=0),D425*F425*G425,IF(AND(F425=0),D425*E425*G425,IF(AND(G425=0),D425*E425*F425,D425*E425*F425*G425))))))</f>
        <v>0</v>
      </c>
      <c r="I425" s="40"/>
      <c r="J425" s="41" t="str">
        <f>IF(AND(E425=0,F425&lt;&gt;0,G425&lt;&gt;0),"m2",IF(AND(F425=0,E425&lt;&gt;0,G425&lt;&gt;0),"m2",IF(AND(G425=0,E425&lt;&gt;0,F425&lt;&gt;0),"m2",IF(AND(F425=0,G425=0),"ml",IF(AND(E425=0,G425=0),"ml",IF(AND(E425=0,F425=0),"ml",IF(AND(E425&lt;&gt;0,F425&lt;&gt;0,G425&lt;&gt;0),"m3",0)))))))</f>
        <v>ml</v>
      </c>
    </row>
    <row r="426" spans="2:10" s="1" customFormat="1" ht="12.75" x14ac:dyDescent="0.2">
      <c r="B426" s="43" t="s">
        <v>258</v>
      </c>
      <c r="C426" s="43" t="s">
        <v>253</v>
      </c>
      <c r="D426" s="60"/>
      <c r="E426" s="40"/>
      <c r="F426" s="40"/>
      <c r="G426" s="40"/>
      <c r="H426" s="40"/>
      <c r="I426" s="44">
        <f>SUM(H427:H427)</f>
        <v>0</v>
      </c>
      <c r="J426" s="45" t="str">
        <f>+J427</f>
        <v>und</v>
      </c>
    </row>
    <row r="427" spans="2:10" s="1" customFormat="1" ht="12.75" x14ac:dyDescent="0.2">
      <c r="B427" s="43"/>
      <c r="C427" s="39" t="s">
        <v>402</v>
      </c>
      <c r="D427" s="40"/>
      <c r="E427" s="40"/>
      <c r="F427" s="40"/>
      <c r="G427" s="40"/>
      <c r="H427" s="40">
        <f>+D427</f>
        <v>0</v>
      </c>
      <c r="I427" s="40"/>
      <c r="J427" s="41" t="s">
        <v>13</v>
      </c>
    </row>
    <row r="428" spans="2:10" s="1" customFormat="1" ht="12.75" x14ac:dyDescent="0.2">
      <c r="B428" s="43" t="s">
        <v>259</v>
      </c>
      <c r="C428" s="43" t="s">
        <v>254</v>
      </c>
      <c r="D428" s="60"/>
      <c r="E428" s="40"/>
      <c r="F428" s="40"/>
      <c r="G428" s="40"/>
      <c r="H428" s="40"/>
      <c r="I428" s="44">
        <f>SUM(H429:H429)</f>
        <v>0</v>
      </c>
      <c r="J428" s="45" t="str">
        <f>+J429</f>
        <v>und</v>
      </c>
    </row>
    <row r="429" spans="2:10" s="1" customFormat="1" ht="12.75" x14ac:dyDescent="0.2">
      <c r="B429" s="57"/>
      <c r="C429" s="39" t="s">
        <v>238</v>
      </c>
      <c r="D429" s="40"/>
      <c r="E429" s="40"/>
      <c r="F429" s="40"/>
      <c r="G429" s="40"/>
      <c r="H429" s="40">
        <f>+D429</f>
        <v>0</v>
      </c>
      <c r="I429" s="40"/>
      <c r="J429" s="41" t="s">
        <v>13</v>
      </c>
    </row>
    <row r="430" spans="2:10" s="1" customFormat="1" ht="12.75" x14ac:dyDescent="0.2">
      <c r="B430" s="57"/>
      <c r="C430" s="39"/>
      <c r="D430" s="60"/>
      <c r="E430" s="40"/>
      <c r="F430" s="40"/>
      <c r="G430" s="40"/>
      <c r="H430" s="40"/>
      <c r="I430" s="40"/>
      <c r="J430" s="41"/>
    </row>
    <row r="431" spans="2:10" s="1" customFormat="1" ht="12.75" x14ac:dyDescent="0.2">
      <c r="B431" s="57" t="s">
        <v>18</v>
      </c>
      <c r="C431" s="58" t="s">
        <v>223</v>
      </c>
      <c r="D431" s="60"/>
      <c r="E431" s="40"/>
      <c r="F431" s="40"/>
      <c r="G431" s="40"/>
      <c r="H431" s="40"/>
      <c r="I431" s="40"/>
      <c r="J431" s="41"/>
    </row>
    <row r="432" spans="2:10" s="1" customFormat="1" ht="12.75" x14ac:dyDescent="0.2">
      <c r="B432" s="43" t="s">
        <v>19</v>
      </c>
      <c r="C432" s="43" t="s">
        <v>265</v>
      </c>
      <c r="D432" s="60"/>
      <c r="E432" s="40"/>
      <c r="F432" s="40"/>
      <c r="G432" s="40"/>
      <c r="H432" s="40"/>
      <c r="I432" s="44">
        <f>SUM(H433:H433)</f>
        <v>4</v>
      </c>
      <c r="J432" s="45" t="s">
        <v>13</v>
      </c>
    </row>
    <row r="433" spans="2:10" s="1" customFormat="1" ht="12.75" x14ac:dyDescent="0.2">
      <c r="B433" s="46"/>
      <c r="C433" s="39" t="s">
        <v>231</v>
      </c>
      <c r="D433" s="40">
        <v>4</v>
      </c>
      <c r="E433" s="40"/>
      <c r="F433" s="40"/>
      <c r="G433" s="40"/>
      <c r="H433" s="40">
        <f>+D433</f>
        <v>4</v>
      </c>
      <c r="I433" s="40"/>
      <c r="J433" s="41" t="s">
        <v>13</v>
      </c>
    </row>
    <row r="434" spans="2:10" s="1" customFormat="1" ht="12.75" x14ac:dyDescent="0.2">
      <c r="B434" s="43" t="s">
        <v>20</v>
      </c>
      <c r="C434" s="43" t="s">
        <v>266</v>
      </c>
      <c r="D434" s="60"/>
      <c r="E434" s="40"/>
      <c r="F434" s="40"/>
      <c r="G434" s="40"/>
      <c r="H434" s="40"/>
      <c r="I434" s="44">
        <f>SUM(H435:H435)</f>
        <v>0</v>
      </c>
      <c r="J434" s="45" t="str">
        <f>+J435</f>
        <v>und</v>
      </c>
    </row>
    <row r="435" spans="2:10" s="1" customFormat="1" ht="12.75" x14ac:dyDescent="0.2">
      <c r="B435" s="43"/>
      <c r="C435" s="39" t="s">
        <v>71</v>
      </c>
      <c r="D435" s="40"/>
      <c r="E435" s="40"/>
      <c r="F435" s="40"/>
      <c r="G435" s="40"/>
      <c r="H435" s="40">
        <f>+D435</f>
        <v>0</v>
      </c>
      <c r="I435" s="40"/>
      <c r="J435" s="41" t="s">
        <v>13</v>
      </c>
    </row>
    <row r="436" spans="2:10" s="1" customFormat="1" ht="12.75" x14ac:dyDescent="0.2">
      <c r="B436" s="43" t="s">
        <v>21</v>
      </c>
      <c r="C436" s="43" t="s">
        <v>357</v>
      </c>
      <c r="D436" s="60"/>
      <c r="E436" s="40"/>
      <c r="F436" s="40"/>
      <c r="G436" s="40"/>
      <c r="H436" s="40"/>
      <c r="I436" s="44">
        <f>SUM(H437:H437)</f>
        <v>1</v>
      </c>
      <c r="J436" s="45" t="str">
        <f>+J437</f>
        <v>und</v>
      </c>
    </row>
    <row r="437" spans="2:10" s="1" customFormat="1" ht="12.75" x14ac:dyDescent="0.2">
      <c r="B437" s="43"/>
      <c r="C437" s="39" t="s">
        <v>375</v>
      </c>
      <c r="D437" s="40">
        <v>1</v>
      </c>
      <c r="E437" s="40">
        <v>1</v>
      </c>
      <c r="F437" s="40"/>
      <c r="G437" s="40"/>
      <c r="H437" s="40">
        <f>+D437</f>
        <v>1</v>
      </c>
      <c r="I437" s="40"/>
      <c r="J437" s="41" t="s">
        <v>13</v>
      </c>
    </row>
    <row r="438" spans="2:10" s="1" customFormat="1" ht="12.75" x14ac:dyDescent="0.2">
      <c r="B438" s="43" t="s">
        <v>273</v>
      </c>
      <c r="C438" s="43" t="s">
        <v>263</v>
      </c>
      <c r="D438" s="60"/>
      <c r="E438" s="40"/>
      <c r="F438" s="40"/>
      <c r="G438" s="40"/>
      <c r="H438" s="40"/>
      <c r="I438" s="44">
        <f>SUM(H439:H439)</f>
        <v>0</v>
      </c>
      <c r="J438" s="45" t="str">
        <f>+J439</f>
        <v>und</v>
      </c>
    </row>
    <row r="439" spans="2:10" s="1" customFormat="1" ht="12.75" x14ac:dyDescent="0.2">
      <c r="B439" s="46"/>
      <c r="C439" s="39" t="s">
        <v>420</v>
      </c>
      <c r="D439" s="40"/>
      <c r="E439" s="40"/>
      <c r="F439" s="40"/>
      <c r="G439" s="40"/>
      <c r="H439" s="40">
        <f>+D439</f>
        <v>0</v>
      </c>
      <c r="I439" s="40"/>
      <c r="J439" s="41" t="s">
        <v>13</v>
      </c>
    </row>
    <row r="440" spans="2:10" s="1" customFormat="1" ht="12.75" x14ac:dyDescent="0.2">
      <c r="B440" s="43" t="s">
        <v>274</v>
      </c>
      <c r="C440" s="43" t="s">
        <v>264</v>
      </c>
      <c r="D440" s="60"/>
      <c r="E440" s="40"/>
      <c r="F440" s="40"/>
      <c r="G440" s="40"/>
      <c r="H440" s="40"/>
      <c r="I440" s="44">
        <f>SUM(H441:H441)</f>
        <v>0</v>
      </c>
      <c r="J440" s="45" t="str">
        <f>+J441</f>
        <v>und</v>
      </c>
    </row>
    <row r="441" spans="2:10" s="1" customFormat="1" ht="12.75" x14ac:dyDescent="0.2">
      <c r="B441" s="46"/>
      <c r="C441" s="39" t="s">
        <v>420</v>
      </c>
      <c r="D441" s="40"/>
      <c r="E441" s="40"/>
      <c r="F441" s="40"/>
      <c r="G441" s="40"/>
      <c r="H441" s="40">
        <f>+D441</f>
        <v>0</v>
      </c>
      <c r="I441" s="40"/>
      <c r="J441" s="41" t="s">
        <v>13</v>
      </c>
    </row>
    <row r="442" spans="2:10" s="1" customFormat="1" ht="12.75" x14ac:dyDescent="0.2">
      <c r="B442" s="46"/>
      <c r="C442" s="39" t="s">
        <v>391</v>
      </c>
      <c r="D442" s="40">
        <v>2</v>
      </c>
      <c r="E442" s="40">
        <v>1.2</v>
      </c>
      <c r="F442" s="40">
        <v>0.15</v>
      </c>
      <c r="G442" s="40">
        <v>0.72</v>
      </c>
      <c r="H442" s="40">
        <f>IF(AND(F442=0,G442=0),D442*E442,IF(AND(E442=0,G442=0),D442*F442,IF(AND(E442=0,F442=0),D442*G442,IF(AND(E442=0),D442*F442*G442,IF(AND(F442=0),D442*E442*G442,IF(AND(G442=0),D442*E442*F442,D442*E442*F442*G442))))))</f>
        <v>0.25919999999999999</v>
      </c>
      <c r="I442" s="40"/>
      <c r="J442" s="41"/>
    </row>
    <row r="443" spans="2:10" s="1" customFormat="1" ht="12.75" x14ac:dyDescent="0.2">
      <c r="B443" s="46"/>
      <c r="C443" s="39"/>
      <c r="D443" s="40">
        <v>2</v>
      </c>
      <c r="E443" s="40">
        <v>0.6</v>
      </c>
      <c r="F443" s="40">
        <v>0.15</v>
      </c>
      <c r="G443" s="40">
        <v>0.72</v>
      </c>
      <c r="H443" s="40">
        <f>IF(AND(F443=0,G443=0),D443*E443,IF(AND(E443=0,G443=0),D443*F443,IF(AND(E443=0,F443=0),D443*G443,IF(AND(E443=0),D443*F443*G443,IF(AND(F443=0),D443*E443*G443,IF(AND(G443=0),D443*E443*F443,D443*E443*F443*G443))))))</f>
        <v>0.12959999999999999</v>
      </c>
      <c r="I443" s="40"/>
      <c r="J443" s="41"/>
    </row>
    <row r="444" spans="2:10" s="1" customFormat="1" ht="12.75" x14ac:dyDescent="0.2">
      <c r="B444" s="46"/>
      <c r="C444" s="39" t="s">
        <v>382</v>
      </c>
      <c r="D444" s="40">
        <v>2</v>
      </c>
      <c r="E444" s="40">
        <v>1.2</v>
      </c>
      <c r="F444" s="40">
        <v>0.15</v>
      </c>
      <c r="G444" s="40">
        <v>0.75</v>
      </c>
      <c r="H444" s="40">
        <f>IF(AND(F444=0,G444=0),D444*E444,IF(AND(E444=0,G444=0),D444*F444,IF(AND(E444=0,F444=0),D444*G444,IF(AND(E444=0),D444*F444*G444,IF(AND(F444=0),D444*E444*G444,IF(AND(G444=0),D444*E444*F444,D444*E444*F444*G444))))))</f>
        <v>0.27</v>
      </c>
      <c r="I444" s="40"/>
      <c r="J444" s="41"/>
    </row>
    <row r="445" spans="2:10" s="1" customFormat="1" ht="12.75" x14ac:dyDescent="0.2">
      <c r="B445" s="46"/>
      <c r="C445" s="59"/>
      <c r="D445" s="40">
        <v>2</v>
      </c>
      <c r="E445" s="40">
        <v>0.6</v>
      </c>
      <c r="F445" s="40">
        <v>0.15</v>
      </c>
      <c r="G445" s="40">
        <v>0.75</v>
      </c>
      <c r="H445" s="40">
        <f>IF(AND(F445=0,G445=0),D445*E445,IF(AND(E445=0,G445=0),D445*F445,IF(AND(E445=0,F445=0),D445*G445,IF(AND(E445=0),D445*F445*G445,IF(AND(F445=0),D445*E445*G445,IF(AND(G445=0),D445*E445*F445,D445*E445*F445*G445))))))</f>
        <v>0.13500000000000001</v>
      </c>
      <c r="I445" s="40"/>
      <c r="J445" s="41"/>
    </row>
    <row r="446" spans="2:10" s="1" customFormat="1" ht="12.75" x14ac:dyDescent="0.2">
      <c r="B446" s="46"/>
      <c r="C446" s="59"/>
      <c r="D446" s="23"/>
      <c r="E446" s="24"/>
      <c r="F446" s="40"/>
      <c r="G446" s="40"/>
      <c r="H446" s="40"/>
      <c r="I446" s="40"/>
      <c r="J446" s="41"/>
    </row>
    <row r="447" spans="2:10" s="1" customFormat="1" ht="12.75" x14ac:dyDescent="0.2">
      <c r="B447" s="46"/>
      <c r="F447" s="40"/>
      <c r="G447" s="40"/>
      <c r="I447" s="40"/>
      <c r="J447" s="41"/>
    </row>
    <row r="448" spans="2:10" s="1" customFormat="1" ht="12.75" x14ac:dyDescent="0.2">
      <c r="B448" s="46"/>
      <c r="C448" s="39"/>
      <c r="D448" s="60"/>
      <c r="E448" s="40"/>
      <c r="F448" s="40"/>
      <c r="G448" s="40"/>
      <c r="H448" s="40"/>
      <c r="I448" s="40"/>
      <c r="J448" s="41"/>
    </row>
    <row r="449" spans="2:10" s="1" customFormat="1" ht="12.75" x14ac:dyDescent="0.2">
      <c r="B449" s="46"/>
      <c r="C449" s="59"/>
      <c r="D449" s="60"/>
      <c r="E449" s="40"/>
      <c r="F449" s="40"/>
      <c r="G449" s="40"/>
      <c r="H449" s="40"/>
      <c r="I449" s="40"/>
      <c r="J449" s="41"/>
    </row>
    <row r="450" spans="2:10" s="1" customFormat="1" ht="12.75" x14ac:dyDescent="0.2">
      <c r="B450" s="46"/>
      <c r="C450" s="39"/>
      <c r="D450" s="8"/>
      <c r="E450" s="86"/>
      <c r="F450" s="40"/>
      <c r="G450" s="40"/>
      <c r="H450" s="40"/>
      <c r="I450" s="40"/>
      <c r="J450" s="41"/>
    </row>
    <row r="451" spans="2:10" s="1" customFormat="1" ht="12.75" x14ac:dyDescent="0.2">
      <c r="B451" s="107"/>
      <c r="C451" s="343"/>
      <c r="D451" s="60"/>
      <c r="E451" s="40"/>
      <c r="F451" s="40"/>
      <c r="G451" s="40"/>
      <c r="H451" s="40"/>
      <c r="I451" s="40"/>
      <c r="J451" s="41"/>
    </row>
    <row r="452" spans="2:10" s="1" customFormat="1" ht="12.75" x14ac:dyDescent="0.2">
      <c r="B452" s="46"/>
      <c r="C452" s="39"/>
      <c r="D452" s="8"/>
      <c r="E452" s="86"/>
      <c r="F452" s="40"/>
      <c r="G452" s="40"/>
      <c r="H452" s="40"/>
      <c r="I452" s="40"/>
      <c r="J452" s="41"/>
    </row>
    <row r="453" spans="2:10" s="1" customFormat="1" ht="12.75" x14ac:dyDescent="0.2">
      <c r="B453" s="46"/>
      <c r="C453" s="39"/>
      <c r="D453" s="8"/>
      <c r="E453" s="86"/>
      <c r="F453" s="40"/>
      <c r="G453" s="40"/>
      <c r="H453" s="40"/>
      <c r="I453" s="40"/>
      <c r="J453" s="41"/>
    </row>
    <row r="454" spans="2:10" s="1" customFormat="1" ht="12.75" x14ac:dyDescent="0.2">
      <c r="B454" s="46"/>
      <c r="C454" s="39"/>
      <c r="D454" s="8"/>
      <c r="E454" s="86"/>
      <c r="F454" s="40"/>
      <c r="G454" s="40"/>
      <c r="H454" s="40"/>
      <c r="I454" s="40"/>
      <c r="J454" s="41"/>
    </row>
    <row r="455" spans="2:10" s="1" customFormat="1" ht="12.75" x14ac:dyDescent="0.2">
      <c r="B455" s="46"/>
      <c r="C455" s="39"/>
      <c r="D455" s="8"/>
      <c r="E455" s="86"/>
      <c r="F455" s="40"/>
      <c r="G455" s="40"/>
      <c r="H455" s="40"/>
      <c r="I455" s="40"/>
      <c r="J455" s="41"/>
    </row>
    <row r="456" spans="2:10" s="1" customFormat="1" ht="12.75" x14ac:dyDescent="0.2">
      <c r="B456" s="46"/>
      <c r="C456" s="39"/>
      <c r="D456" s="8"/>
      <c r="E456" s="86"/>
      <c r="F456" s="40"/>
      <c r="G456" s="40"/>
      <c r="H456" s="40"/>
      <c r="I456" s="40"/>
      <c r="J456" s="41"/>
    </row>
    <row r="457" spans="2:10" s="1" customFormat="1" ht="12.75" x14ac:dyDescent="0.2">
      <c r="B457" s="46"/>
      <c r="C457" s="39"/>
      <c r="D457" s="40"/>
      <c r="E457" s="40"/>
      <c r="F457" s="40"/>
      <c r="G457" s="40"/>
      <c r="H457" s="40"/>
      <c r="I457" s="40"/>
      <c r="J457" s="41"/>
    </row>
    <row r="458" spans="2:10" s="1" customFormat="1" ht="12.75" x14ac:dyDescent="0.2">
      <c r="B458" s="46"/>
      <c r="C458" s="39"/>
      <c r="D458" s="8"/>
      <c r="E458" s="86"/>
      <c r="F458" s="40"/>
      <c r="G458" s="40"/>
      <c r="H458" s="40"/>
      <c r="I458" s="40"/>
      <c r="J458" s="41"/>
    </row>
    <row r="459" spans="2:10" s="1" customFormat="1" ht="12.75" x14ac:dyDescent="0.2">
      <c r="B459" s="46"/>
      <c r="C459" s="39"/>
      <c r="D459" s="40"/>
      <c r="E459" s="40"/>
      <c r="F459" s="40"/>
      <c r="G459" s="40"/>
      <c r="H459" s="40"/>
      <c r="I459" s="40"/>
      <c r="J459" s="41"/>
    </row>
    <row r="460" spans="2:10" s="1" customFormat="1" ht="12.75" x14ac:dyDescent="0.2">
      <c r="C460" s="384" t="s">
        <v>37</v>
      </c>
      <c r="D460" s="384"/>
      <c r="E460" s="384"/>
      <c r="F460" s="384"/>
      <c r="G460" s="384"/>
      <c r="H460" s="384"/>
    </row>
    <row r="461" spans="2:10" s="1" customFormat="1" ht="12.75" x14ac:dyDescent="0.2">
      <c r="C461" s="384" t="s">
        <v>38</v>
      </c>
      <c r="D461" s="384"/>
      <c r="E461" s="384"/>
      <c r="F461" s="384"/>
      <c r="G461" s="384"/>
      <c r="H461" s="384"/>
    </row>
    <row r="462" spans="2:10" s="1" customFormat="1" ht="12.75" x14ac:dyDescent="0.2">
      <c r="C462" s="384" t="s">
        <v>39</v>
      </c>
      <c r="D462" s="385"/>
      <c r="E462" s="385"/>
      <c r="F462" s="385"/>
      <c r="G462" s="385"/>
      <c r="H462" s="385"/>
    </row>
    <row r="463" spans="2:10" s="1" customFormat="1" ht="12.75" x14ac:dyDescent="0.2">
      <c r="C463" s="385" t="s">
        <v>40</v>
      </c>
      <c r="D463" s="385"/>
      <c r="E463" s="385"/>
      <c r="F463" s="385"/>
      <c r="G463" s="385"/>
      <c r="H463" s="385"/>
    </row>
    <row r="464" spans="2:10" s="1" customFormat="1" ht="24.75" customHeight="1" x14ac:dyDescent="0.2">
      <c r="C464" s="385"/>
      <c r="D464" s="387"/>
      <c r="E464" s="387"/>
      <c r="F464" s="387"/>
      <c r="G464" s="387"/>
      <c r="H464" s="387"/>
      <c r="I464" s="387"/>
      <c r="J464" s="388"/>
    </row>
    <row r="465" spans="2:10" s="1" customFormat="1" ht="24.75" customHeight="1" x14ac:dyDescent="0.2">
      <c r="B465" s="386" t="s">
        <v>65</v>
      </c>
      <c r="C465" s="387"/>
      <c r="D465" s="387"/>
      <c r="E465" s="387"/>
      <c r="F465" s="387"/>
      <c r="G465" s="387"/>
      <c r="H465" s="387"/>
      <c r="I465" s="387"/>
      <c r="J465" s="388"/>
    </row>
    <row r="466" spans="2:10" s="1" customFormat="1" ht="21" thickBot="1" x14ac:dyDescent="0.25">
      <c r="B466" s="363" t="s">
        <v>421</v>
      </c>
      <c r="C466" s="364"/>
      <c r="D466" s="364"/>
      <c r="E466" s="364"/>
      <c r="F466" s="364"/>
      <c r="G466" s="364"/>
      <c r="H466" s="364"/>
      <c r="I466" s="364"/>
      <c r="J466" s="365"/>
    </row>
    <row r="467" spans="2:10" s="1" customFormat="1" ht="13.5" thickBot="1" x14ac:dyDescent="0.25">
      <c r="B467" s="360"/>
      <c r="C467" s="361"/>
      <c r="D467" s="361"/>
      <c r="E467" s="361"/>
      <c r="F467" s="361"/>
      <c r="G467" s="361"/>
      <c r="H467" s="361"/>
      <c r="I467" s="361"/>
      <c r="J467" s="362"/>
    </row>
    <row r="468" spans="2:10" s="1" customFormat="1" ht="24.75" customHeight="1" x14ac:dyDescent="0.2">
      <c r="B468" s="494" t="s">
        <v>27</v>
      </c>
      <c r="C468" s="495"/>
      <c r="D468" s="495"/>
      <c r="E468" s="495"/>
      <c r="F468" s="495"/>
      <c r="G468" s="495" t="s">
        <v>8</v>
      </c>
      <c r="H468" s="495">
        <v>42879</v>
      </c>
      <c r="I468" s="495"/>
      <c r="J468" s="496"/>
    </row>
    <row r="469" spans="2:10" s="1" customFormat="1" ht="12.75" x14ac:dyDescent="0.2">
      <c r="B469" s="2" t="s">
        <v>35</v>
      </c>
      <c r="C469" s="3" t="s">
        <v>36</v>
      </c>
      <c r="D469" s="3"/>
      <c r="E469" s="4"/>
      <c r="F469" s="5"/>
      <c r="G469" s="6" t="s">
        <v>32</v>
      </c>
      <c r="H469" s="497" t="s">
        <v>29</v>
      </c>
      <c r="I469" s="497"/>
      <c r="J469" s="7"/>
    </row>
    <row r="470" spans="2:10" s="1" customFormat="1" ht="12.75" x14ac:dyDescent="0.2">
      <c r="B470" s="2" t="s">
        <v>33</v>
      </c>
      <c r="C470" s="3" t="s">
        <v>29</v>
      </c>
      <c r="D470" s="8"/>
      <c r="E470" s="8"/>
      <c r="F470" s="3"/>
      <c r="G470" s="9" t="s">
        <v>30</v>
      </c>
      <c r="H470" s="4" t="s">
        <v>31</v>
      </c>
      <c r="I470" s="10"/>
      <c r="J470" s="11"/>
    </row>
    <row r="471" spans="2:10" s="1" customFormat="1" ht="12.75" x14ac:dyDescent="0.2">
      <c r="B471" s="2" t="s">
        <v>34</v>
      </c>
      <c r="C471" s="3" t="s">
        <v>29</v>
      </c>
      <c r="D471" s="8"/>
      <c r="E471" s="8"/>
      <c r="F471" s="3"/>
      <c r="G471" s="9"/>
      <c r="H471" s="4"/>
      <c r="I471" s="10"/>
      <c r="J471" s="11"/>
    </row>
    <row r="472" spans="2:10" s="1" customFormat="1" ht="13.5" thickBot="1" x14ac:dyDescent="0.25">
      <c r="B472" s="12" t="s">
        <v>43</v>
      </c>
      <c r="C472" s="13" t="s">
        <v>44</v>
      </c>
      <c r="D472" s="14"/>
      <c r="E472" s="14"/>
      <c r="F472" s="13"/>
      <c r="G472" s="15"/>
      <c r="H472" s="16"/>
      <c r="I472" s="17"/>
      <c r="J472" s="18"/>
    </row>
    <row r="473" spans="2:10" s="1" customFormat="1" ht="12.75" x14ac:dyDescent="0.2">
      <c r="B473" s="389"/>
      <c r="C473" s="389"/>
      <c r="D473" s="389"/>
      <c r="E473" s="389"/>
      <c r="F473" s="389"/>
      <c r="G473" s="389"/>
      <c r="H473" s="389"/>
      <c r="I473" s="389"/>
      <c r="J473" s="389"/>
    </row>
    <row r="474" spans="2:10" s="1" customFormat="1" ht="12.75" x14ac:dyDescent="0.2">
      <c r="B474" s="21" t="s">
        <v>5</v>
      </c>
      <c r="C474" s="22" t="s">
        <v>0</v>
      </c>
      <c r="D474" s="22" t="s">
        <v>9</v>
      </c>
      <c r="E474" s="22" t="s">
        <v>10</v>
      </c>
      <c r="F474" s="22" t="s">
        <v>1</v>
      </c>
      <c r="G474" s="22" t="s">
        <v>2</v>
      </c>
      <c r="H474" s="22" t="s">
        <v>11</v>
      </c>
      <c r="I474" s="22" t="s">
        <v>6</v>
      </c>
      <c r="J474" s="22" t="s">
        <v>7</v>
      </c>
    </row>
    <row r="475" spans="2:10" s="1" customFormat="1" ht="12.75" x14ac:dyDescent="0.2">
      <c r="B475" s="55">
        <v>4.03</v>
      </c>
      <c r="C475" s="56" t="s">
        <v>222</v>
      </c>
      <c r="D475" s="60"/>
      <c r="E475" s="40"/>
      <c r="F475" s="40"/>
      <c r="G475" s="40"/>
      <c r="H475" s="40"/>
      <c r="I475" s="40"/>
      <c r="J475" s="41"/>
    </row>
    <row r="476" spans="2:10" s="1" customFormat="1" ht="12.75" x14ac:dyDescent="0.2">
      <c r="B476" s="57" t="s">
        <v>14</v>
      </c>
      <c r="C476" s="58" t="s">
        <v>225</v>
      </c>
      <c r="D476" s="60"/>
      <c r="E476" s="40"/>
      <c r="F476" s="40"/>
      <c r="G476" s="40"/>
      <c r="H476" s="40"/>
      <c r="I476" s="40"/>
      <c r="J476" s="41"/>
    </row>
    <row r="477" spans="2:10" s="1" customFormat="1" ht="12.75" x14ac:dyDescent="0.2">
      <c r="B477" s="43" t="s">
        <v>15</v>
      </c>
      <c r="C477" s="43" t="s">
        <v>269</v>
      </c>
      <c r="D477" s="60"/>
      <c r="E477" s="40"/>
      <c r="F477" s="40"/>
      <c r="G477" s="40"/>
      <c r="H477" s="40"/>
      <c r="I477" s="44">
        <f>SUM(H478:H484)</f>
        <v>0</v>
      </c>
      <c r="J477" s="45" t="str">
        <f>+J478</f>
        <v>ml</v>
      </c>
    </row>
    <row r="478" spans="2:10" s="1" customFormat="1" ht="12.75" x14ac:dyDescent="0.2">
      <c r="B478" s="43"/>
      <c r="C478" s="77" t="s">
        <v>71</v>
      </c>
      <c r="D478" s="40"/>
      <c r="E478" s="40"/>
      <c r="F478" s="40"/>
      <c r="G478" s="40"/>
      <c r="H478" s="40">
        <f t="shared" ref="H478:H484" si="4">IF(AND(F478=0,G478=0),D478*E478,IF(AND(E478=0,G478=0),D478*F478,IF(AND(E478=0,F478=0),D478*G478,IF(AND(E478=0),D478*F478*G478,IF(AND(F478=0),D478*E478*G478,IF(AND(G478=0),D478*E478*F478,D478*E478*F478*G478))))))</f>
        <v>0</v>
      </c>
      <c r="I478" s="40"/>
      <c r="J478" s="41" t="str">
        <f t="shared" ref="J478:J484" si="5">IF(AND(E478=0,F478&lt;&gt;0,G478&lt;&gt;0),"m2",IF(AND(F478=0,E478&lt;&gt;0,G478&lt;&gt;0),"m2",IF(AND(G478=0,E478&lt;&gt;0,F478&lt;&gt;0),"m2",IF(AND(F478=0,G478=0),"ml",IF(AND(E478=0,G478=0),"ml",IF(AND(E478=0,F478=0),"ml",IF(AND(E478&lt;&gt;0,F478&lt;&gt;0,G478&lt;&gt;0),"m3",0)))))))</f>
        <v>ml</v>
      </c>
    </row>
    <row r="479" spans="2:10" s="1" customFormat="1" ht="12.75" x14ac:dyDescent="0.2">
      <c r="B479" s="43"/>
      <c r="C479" s="39" t="s">
        <v>349</v>
      </c>
      <c r="D479" s="40"/>
      <c r="E479" s="40"/>
      <c r="F479" s="40"/>
      <c r="G479" s="40"/>
      <c r="H479" s="40">
        <f t="shared" si="4"/>
        <v>0</v>
      </c>
      <c r="I479" s="40"/>
      <c r="J479" s="41" t="str">
        <f t="shared" si="5"/>
        <v>ml</v>
      </c>
    </row>
    <row r="480" spans="2:10" s="1" customFormat="1" ht="12.75" x14ac:dyDescent="0.2">
      <c r="B480" s="43"/>
      <c r="C480" s="39" t="s">
        <v>369</v>
      </c>
      <c r="D480" s="40"/>
      <c r="E480" s="40"/>
      <c r="F480" s="40"/>
      <c r="G480" s="40"/>
      <c r="H480" s="40">
        <f t="shared" si="4"/>
        <v>0</v>
      </c>
      <c r="I480" s="40"/>
      <c r="J480" s="41" t="str">
        <f t="shared" si="5"/>
        <v>ml</v>
      </c>
    </row>
    <row r="481" spans="2:10" s="1" customFormat="1" ht="12.75" x14ac:dyDescent="0.2">
      <c r="B481" s="43"/>
      <c r="C481" s="77" t="s">
        <v>72</v>
      </c>
      <c r="D481" s="40"/>
      <c r="E481" s="40"/>
      <c r="F481" s="40"/>
      <c r="G481" s="40"/>
      <c r="H481" s="40">
        <f t="shared" si="4"/>
        <v>0</v>
      </c>
      <c r="I481" s="40"/>
      <c r="J481" s="41" t="str">
        <f t="shared" si="5"/>
        <v>ml</v>
      </c>
    </row>
    <row r="482" spans="2:10" s="1" customFormat="1" ht="12.75" x14ac:dyDescent="0.2">
      <c r="B482" s="43"/>
      <c r="C482" s="39" t="s">
        <v>349</v>
      </c>
      <c r="D482" s="40"/>
      <c r="E482" s="40"/>
      <c r="F482" s="40"/>
      <c r="G482" s="40"/>
      <c r="H482" s="40">
        <f t="shared" si="4"/>
        <v>0</v>
      </c>
      <c r="I482" s="40"/>
      <c r="J482" s="41" t="str">
        <f t="shared" si="5"/>
        <v>ml</v>
      </c>
    </row>
    <row r="483" spans="2:10" s="1" customFormat="1" ht="12.75" x14ac:dyDescent="0.2">
      <c r="B483" s="43"/>
      <c r="C483" s="77" t="s">
        <v>73</v>
      </c>
      <c r="D483" s="40"/>
      <c r="E483" s="40"/>
      <c r="F483" s="40"/>
      <c r="G483" s="40"/>
      <c r="H483" s="40">
        <f t="shared" si="4"/>
        <v>0</v>
      </c>
      <c r="I483" s="40"/>
      <c r="J483" s="41" t="str">
        <f t="shared" si="5"/>
        <v>ml</v>
      </c>
    </row>
    <row r="484" spans="2:10" s="1" customFormat="1" ht="12.75" x14ac:dyDescent="0.2">
      <c r="B484" s="43"/>
      <c r="C484" s="39" t="s">
        <v>349</v>
      </c>
      <c r="D484" s="40"/>
      <c r="E484" s="40"/>
      <c r="F484" s="40"/>
      <c r="G484" s="40"/>
      <c r="H484" s="40">
        <f t="shared" si="4"/>
        <v>0</v>
      </c>
      <c r="I484" s="40"/>
      <c r="J484" s="41" t="str">
        <f t="shared" si="5"/>
        <v>ml</v>
      </c>
    </row>
    <row r="485" spans="2:10" s="1" customFormat="1" ht="12.75" x14ac:dyDescent="0.2">
      <c r="B485" s="43" t="s">
        <v>232</v>
      </c>
      <c r="C485" s="43" t="s">
        <v>348</v>
      </c>
      <c r="D485" s="60"/>
      <c r="E485" s="40"/>
      <c r="F485" s="40"/>
      <c r="G485" s="40"/>
      <c r="H485" s="40"/>
      <c r="I485" s="44">
        <f>SUM(H486:H487)</f>
        <v>2</v>
      </c>
      <c r="J485" s="45" t="str">
        <f>+J486</f>
        <v>und</v>
      </c>
    </row>
    <row r="486" spans="2:10" s="1" customFormat="1" ht="12.75" x14ac:dyDescent="0.2">
      <c r="B486" s="57"/>
      <c r="C486" s="39" t="s">
        <v>349</v>
      </c>
      <c r="D486" s="40">
        <v>0</v>
      </c>
      <c r="E486" s="40"/>
      <c r="F486" s="40"/>
      <c r="G486" s="40"/>
      <c r="H486" s="40">
        <f>+D486</f>
        <v>0</v>
      </c>
      <c r="I486" s="40"/>
      <c r="J486" s="41" t="s">
        <v>13</v>
      </c>
    </row>
    <row r="487" spans="2:10" s="1" customFormat="1" ht="12.75" x14ac:dyDescent="0.2">
      <c r="B487" s="57"/>
      <c r="C487" s="39" t="s">
        <v>643</v>
      </c>
      <c r="D487" s="60">
        <v>2</v>
      </c>
      <c r="E487" s="40"/>
      <c r="F487" s="40"/>
      <c r="G487" s="40"/>
      <c r="H487" s="40">
        <f>+D487</f>
        <v>2</v>
      </c>
      <c r="I487" s="40"/>
      <c r="J487" s="41"/>
    </row>
    <row r="488" spans="2:10" s="1" customFormat="1" ht="12.75" x14ac:dyDescent="0.2">
      <c r="B488" s="57" t="s">
        <v>16</v>
      </c>
      <c r="C488" s="58" t="s">
        <v>224</v>
      </c>
      <c r="D488" s="60"/>
      <c r="E488" s="40"/>
      <c r="F488" s="40"/>
      <c r="G488" s="40"/>
      <c r="H488" s="40"/>
      <c r="I488" s="40"/>
      <c r="J488" s="41"/>
    </row>
    <row r="489" spans="2:10" s="1" customFormat="1" ht="12.75" x14ac:dyDescent="0.2">
      <c r="B489" s="43" t="s">
        <v>17</v>
      </c>
      <c r="C489" s="43" t="s">
        <v>343</v>
      </c>
      <c r="D489" s="60"/>
      <c r="E489" s="40"/>
      <c r="F489" s="40"/>
      <c r="G489" s="40"/>
      <c r="H489" s="40"/>
      <c r="I489" s="44">
        <f>SUM(H490:H490)</f>
        <v>0</v>
      </c>
      <c r="J489" s="45" t="str">
        <f>+J490</f>
        <v>ml</v>
      </c>
    </row>
    <row r="490" spans="2:10" s="1" customFormat="1" ht="12.75" x14ac:dyDescent="0.2">
      <c r="B490" s="57"/>
      <c r="C490" s="39" t="s">
        <v>344</v>
      </c>
      <c r="D490" s="40"/>
      <c r="E490" s="40"/>
      <c r="F490" s="40"/>
      <c r="G490" s="40"/>
      <c r="H490" s="40">
        <f>IF(AND(F490=0,G490=0),D490*E490,IF(AND(E490=0,G490=0),D490*F490,IF(AND(E490=0,F490=0),D490*G490,IF(AND(E490=0),D490*F490*G490,IF(AND(F490=0),D490*E490*G490,IF(AND(G490=0),D490*E490*F490,D490*E490*F490*G490))))))</f>
        <v>0</v>
      </c>
      <c r="I490" s="40"/>
      <c r="J490" s="41" t="str">
        <f>IF(AND(E490=0,F490&lt;&gt;0,G490&lt;&gt;0),"m2",IF(AND(F490=0,E490&lt;&gt;0,G490&lt;&gt;0),"m2",IF(AND(G490=0,E490&lt;&gt;0,F490&lt;&gt;0),"m2",IF(AND(F490=0,G490=0),"ml",IF(AND(E490=0,G490=0),"ml",IF(AND(E490=0,F490=0),"ml",IF(AND(E490&lt;&gt;0,F490&lt;&gt;0,G490&lt;&gt;0),"m3",0)))))))</f>
        <v>ml</v>
      </c>
    </row>
    <row r="491" spans="2:10" s="1" customFormat="1" ht="12.75" x14ac:dyDescent="0.2">
      <c r="B491" s="57"/>
      <c r="C491" s="39"/>
      <c r="D491" s="23"/>
      <c r="E491" s="23"/>
      <c r="F491" s="40"/>
      <c r="G491" s="40"/>
      <c r="H491" s="40"/>
      <c r="I491" s="40"/>
      <c r="J491" s="41"/>
    </row>
    <row r="492" spans="2:10" s="1" customFormat="1" ht="12.75" x14ac:dyDescent="0.2">
      <c r="B492" s="43" t="s">
        <v>240</v>
      </c>
      <c r="C492" s="43" t="s">
        <v>237</v>
      </c>
      <c r="F492" s="40"/>
      <c r="G492" s="40"/>
      <c r="H492" s="40"/>
      <c r="I492" s="44">
        <f>SUM(H493)</f>
        <v>0</v>
      </c>
      <c r="J492" s="45" t="e">
        <f>+#REF!</f>
        <v>#REF!</v>
      </c>
    </row>
    <row r="493" spans="2:10" s="1" customFormat="1" ht="12.75" x14ac:dyDescent="0.2">
      <c r="B493" s="57"/>
      <c r="C493" s="39"/>
      <c r="D493" s="40"/>
      <c r="E493" s="40"/>
      <c r="F493" s="40"/>
      <c r="G493" s="40"/>
      <c r="H493" s="40"/>
      <c r="I493" s="40"/>
      <c r="J493" s="41" t="str">
        <f>IF(AND(E493=0,F493&lt;&gt;0,G493&lt;&gt;0),"m2",IF(AND(F493=0,E493&lt;&gt;0,G493&lt;&gt;0),"m2",IF(AND(G493=0,E493&lt;&gt;0,F493&lt;&gt;0),"m2",IF(AND(F493=0,G493=0),"ml",IF(AND(E493=0,G493=0),"ml",IF(AND(E493=0,F493=0),"ml",IF(AND(E493&lt;&gt;0,F493&lt;&gt;0,G493&lt;&gt;0),"m3",0)))))))</f>
        <v>ml</v>
      </c>
    </row>
    <row r="494" spans="2:10" s="1" customFormat="1" ht="12.75" x14ac:dyDescent="0.2">
      <c r="B494" s="43" t="s">
        <v>241</v>
      </c>
      <c r="C494" s="43" t="s">
        <v>242</v>
      </c>
      <c r="D494" s="60"/>
      <c r="E494" s="40"/>
      <c r="F494" s="40"/>
      <c r="G494" s="40"/>
      <c r="H494" s="40"/>
      <c r="I494" s="44">
        <f>SUM(H495:H495)</f>
        <v>0</v>
      </c>
      <c r="J494" s="45" t="str">
        <f>+J495</f>
        <v>ml</v>
      </c>
    </row>
    <row r="495" spans="2:10" s="1" customFormat="1" ht="12.75" x14ac:dyDescent="0.2">
      <c r="B495" s="57"/>
      <c r="C495" s="39" t="s">
        <v>401</v>
      </c>
      <c r="D495" s="40"/>
      <c r="E495" s="40"/>
      <c r="F495" s="40"/>
      <c r="G495" s="40"/>
      <c r="H495" s="40">
        <f>IF(AND(F495=0,G495=0),D495*E495,IF(AND(E495=0,G495=0),D495*F495,IF(AND(E495=0,F495=0),D495*G495,IF(AND(E495=0),D495*F495*G495,IF(AND(F495=0),D495*E495*G495,IF(AND(G495=0),D495*E495*F495,D495*E495*F495*G495))))))</f>
        <v>0</v>
      </c>
      <c r="I495" s="40"/>
      <c r="J495" s="41" t="str">
        <f>IF(AND(E495=0,F495&lt;&gt;0,G495&lt;&gt;0),"m2",IF(AND(F495=0,E495&lt;&gt;0,G495&lt;&gt;0),"m2",IF(AND(G495=0,E495&lt;&gt;0,F495&lt;&gt;0),"m2",IF(AND(F495=0,G495=0),"ml",IF(AND(E495=0,G495=0),"ml",IF(AND(E495=0,F495=0),"ml",IF(AND(E495&lt;&gt;0,F495&lt;&gt;0,G495&lt;&gt;0),"m3",0)))))))</f>
        <v>ml</v>
      </c>
    </row>
    <row r="496" spans="2:10" s="1" customFormat="1" ht="12.75" x14ac:dyDescent="0.2">
      <c r="B496" s="43" t="s">
        <v>243</v>
      </c>
      <c r="C496" s="43" t="s">
        <v>245</v>
      </c>
      <c r="D496" s="60"/>
      <c r="E496" s="40"/>
      <c r="F496" s="40"/>
      <c r="G496" s="40"/>
      <c r="H496" s="40"/>
      <c r="I496" s="44">
        <f>SUM(H497:H498)</f>
        <v>0</v>
      </c>
      <c r="J496" s="45" t="e">
        <f>+J497</f>
        <v>#REF!</v>
      </c>
    </row>
    <row r="497" spans="2:10" s="1" customFormat="1" ht="12.75" x14ac:dyDescent="0.2">
      <c r="B497" s="57"/>
      <c r="F497" s="40"/>
      <c r="G497" s="40"/>
      <c r="H497" s="40"/>
      <c r="I497" s="40"/>
      <c r="J497" s="41" t="e">
        <f>IF(AND(#REF!=0,F497&lt;&gt;0,G497&lt;&gt;0),"m2",IF(AND(F497=0,#REF!&lt;&gt;0,G497&lt;&gt;0),"m2",IF(AND(G497=0,#REF!&lt;&gt;0,F497&lt;&gt;0),"m2",IF(AND(F497=0,G497=0),"ml",IF(AND(#REF!=0,G497=0),"ml",IF(AND(#REF!=0,F497=0),"ml",IF(AND(#REF!&lt;&gt;0,F497&lt;&gt;0,G497&lt;&gt;0),"m3",0)))))))</f>
        <v>#REF!</v>
      </c>
    </row>
    <row r="498" spans="2:10" s="1" customFormat="1" ht="12.75" x14ac:dyDescent="0.2">
      <c r="B498" s="57"/>
      <c r="C498" s="39"/>
      <c r="F498" s="40"/>
      <c r="G498" s="40"/>
      <c r="H498" s="40"/>
      <c r="I498" s="40"/>
      <c r="J498" s="41" t="e">
        <f>IF(AND(#REF!=0,F498&lt;&gt;0,G498&lt;&gt;0),"m2",IF(AND(F498=0,#REF!&lt;&gt;0,G498&lt;&gt;0),"m2",IF(AND(G498=0,#REF!&lt;&gt;0,F498&lt;&gt;0),"m2",IF(AND(F498=0,G498=0),"ml",IF(AND(#REF!=0,G498=0),"ml",IF(AND(#REF!=0,F498=0),"ml",IF(AND(#REF!&lt;&gt;0,F498&lt;&gt;0,G498&lt;&gt;0),"m3",0)))))))</f>
        <v>#REF!</v>
      </c>
    </row>
    <row r="499" spans="2:10" s="1" customFormat="1" ht="12.75" x14ac:dyDescent="0.2">
      <c r="B499" s="43" t="s">
        <v>244</v>
      </c>
      <c r="C499" s="43" t="s">
        <v>247</v>
      </c>
      <c r="D499" s="60"/>
      <c r="E499" s="40"/>
      <c r="F499" s="40"/>
      <c r="G499" s="40"/>
      <c r="H499" s="40"/>
      <c r="I499" s="44">
        <f>SUM(H500:H500)</f>
        <v>0</v>
      </c>
      <c r="J499" s="45" t="str">
        <f>+J500</f>
        <v>ml</v>
      </c>
    </row>
    <row r="500" spans="2:10" s="1" customFormat="1" ht="12.75" x14ac:dyDescent="0.2">
      <c r="B500" s="57"/>
      <c r="C500" s="39" t="s">
        <v>396</v>
      </c>
      <c r="D500" s="40"/>
      <c r="E500" s="40"/>
      <c r="F500" s="40"/>
      <c r="G500" s="40"/>
      <c r="H500" s="40">
        <f>IF(AND(F500=0,G500=0),D500*E500,IF(AND(E500=0,G500=0),D500*F500,IF(AND(E500=0,F500=0),D500*G500,IF(AND(E500=0),D500*F500*G500,IF(AND(F500=0),D500*E500*G500,IF(AND(G500=0),D500*E500*F500,D500*E500*F500*G500))))))</f>
        <v>0</v>
      </c>
      <c r="I500" s="40"/>
      <c r="J500" s="41" t="str">
        <f>IF(AND(E500=0,F500&lt;&gt;0,G500&lt;&gt;0),"m2",IF(AND(F500=0,E500&lt;&gt;0,G500&lt;&gt;0),"m2",IF(AND(G500=0,E500&lt;&gt;0,F500&lt;&gt;0),"m2",IF(AND(F500=0,G500=0),"ml",IF(AND(E500=0,G500=0),"ml",IF(AND(E500=0,F500=0),"ml",IF(AND(E500&lt;&gt;0,F500&lt;&gt;0,G500&lt;&gt;0),"m3",0)))))))</f>
        <v>ml</v>
      </c>
    </row>
    <row r="501" spans="2:10" s="1" customFormat="1" ht="12.75" x14ac:dyDescent="0.2">
      <c r="B501" s="43" t="s">
        <v>248</v>
      </c>
      <c r="C501" s="43" t="s">
        <v>226</v>
      </c>
      <c r="D501" s="60"/>
      <c r="E501" s="40"/>
      <c r="F501" s="40"/>
      <c r="G501" s="40"/>
      <c r="H501" s="40"/>
      <c r="I501" s="44">
        <f>SUM(H502:H502)</f>
        <v>0.7</v>
      </c>
      <c r="J501" s="45" t="e">
        <f>+#REF!</f>
        <v>#REF!</v>
      </c>
    </row>
    <row r="502" spans="2:10" s="1" customFormat="1" ht="12.75" x14ac:dyDescent="0.2">
      <c r="B502" s="57"/>
      <c r="C502" s="39" t="s">
        <v>390</v>
      </c>
      <c r="D502" s="40">
        <v>1</v>
      </c>
      <c r="E502" s="40">
        <v>0.7</v>
      </c>
      <c r="F502" s="40"/>
      <c r="G502" s="40"/>
      <c r="H502" s="40">
        <f>IF(AND(F502=0,G502=0),D502*E502,IF(AND(E502=0,G502=0),D502*F502,IF(AND(E502=0,F502=0),D502*G502,IF(AND(E502=0),D502*F502*G502,IF(AND(F502=0),D502*E502*G502,IF(AND(G502=0),D502*E502*F502,D502*E502*F502*G502))))))</f>
        <v>0.7</v>
      </c>
      <c r="I502" s="40"/>
      <c r="J502" s="41"/>
    </row>
    <row r="503" spans="2:10" s="1" customFormat="1" ht="12.75" x14ac:dyDescent="0.2">
      <c r="B503" s="43" t="s">
        <v>249</v>
      </c>
      <c r="C503" s="43" t="s">
        <v>228</v>
      </c>
      <c r="D503" s="60"/>
      <c r="E503" s="40"/>
      <c r="F503" s="40"/>
      <c r="G503" s="40"/>
      <c r="H503" s="40"/>
      <c r="I503" s="44">
        <f>SUM(H504:H504)</f>
        <v>0</v>
      </c>
      <c r="J503" s="45" t="str">
        <f>+J504</f>
        <v>ml</v>
      </c>
    </row>
    <row r="504" spans="2:10" s="1" customFormat="1" ht="12.75" x14ac:dyDescent="0.2">
      <c r="B504" s="57"/>
      <c r="C504" s="39" t="s">
        <v>399</v>
      </c>
      <c r="D504" s="40"/>
      <c r="E504" s="40"/>
      <c r="F504" s="40"/>
      <c r="G504" s="40"/>
      <c r="H504" s="40">
        <f>IF(AND(F504=0,G504=0),D504*E504,IF(AND(E504=0,G504=0),D504*F504,IF(AND(E504=0,F504=0),D504*G504,IF(AND(E504=0),D504*F504*G504,IF(AND(F504=0),D504*E504*G504,IF(AND(G504=0),D504*E504*F504,D504*E504*F504*G504))))))</f>
        <v>0</v>
      </c>
      <c r="I504" s="40"/>
      <c r="J504" s="41" t="str">
        <f>IF(AND(E504=0,F504&lt;&gt;0,G504&lt;&gt;0),"m2",IF(AND(F504=0,E504&lt;&gt;0,G504&lt;&gt;0),"m2",IF(AND(G504=0,E504&lt;&gt;0,F504&lt;&gt;0),"m2",IF(AND(F504=0,G504=0),"ml",IF(AND(E504=0,G504=0),"ml",IF(AND(E504=0,F504=0),"ml",IF(AND(E504&lt;&gt;0,F504&lt;&gt;0,G504&lt;&gt;0),"m3",0)))))))</f>
        <v>ml</v>
      </c>
    </row>
    <row r="505" spans="2:10" s="1" customFormat="1" ht="12.75" x14ac:dyDescent="0.2">
      <c r="B505" s="43" t="s">
        <v>256</v>
      </c>
      <c r="C505" s="43" t="s">
        <v>250</v>
      </c>
      <c r="D505" s="60"/>
      <c r="E505" s="40"/>
      <c r="F505" s="40"/>
      <c r="G505" s="40"/>
      <c r="H505" s="40"/>
      <c r="I505" s="44">
        <f>SUM(H506:H508)</f>
        <v>31.03</v>
      </c>
      <c r="J505" s="45" t="s">
        <v>345</v>
      </c>
    </row>
    <row r="506" spans="2:10" s="1" customFormat="1" ht="12.75" x14ac:dyDescent="0.2">
      <c r="B506" s="57"/>
      <c r="C506" s="39" t="s">
        <v>498</v>
      </c>
      <c r="D506" s="1">
        <v>1</v>
      </c>
      <c r="E506" s="40">
        <f>1.1+22.93</f>
        <v>24.03</v>
      </c>
      <c r="F506" s="40"/>
      <c r="G506" s="40"/>
      <c r="H506" s="40">
        <f>IF(AND(F506=0,G506=0),D506*E506,IF(AND(E506=0,G506=0),D506*F506,IF(AND(E506=0,F506=0),D506*G506,IF(AND(E506=0),D506*F506*G506,IF(AND(F506=0),D506*E506*G506,IF(AND(G506=0),D506*E506*F506,D506*E506*F506*G506))))))</f>
        <v>24.03</v>
      </c>
      <c r="I506" s="40"/>
      <c r="J506" s="41"/>
    </row>
    <row r="507" spans="2:10" s="1" customFormat="1" ht="12.75" x14ac:dyDescent="0.2">
      <c r="B507" s="57"/>
      <c r="C507" s="39" t="s">
        <v>676</v>
      </c>
      <c r="D507" s="60">
        <v>1</v>
      </c>
      <c r="E507" s="40">
        <v>3.7</v>
      </c>
      <c r="F507" s="40"/>
      <c r="G507" s="40"/>
      <c r="H507" s="40">
        <f>IF(AND(F507=0,G507=0),D507*E507,IF(AND(E507=0,G507=0),D507*F507,IF(AND(E507=0,F507=0),D507*G507,IF(AND(E507=0),D507*F507*G507,IF(AND(F507=0),D507*E507*G507,IF(AND(G507=0),D507*E507*F507,D507*E507*F507*G507))))))</f>
        <v>3.7</v>
      </c>
      <c r="I507" s="40"/>
      <c r="J507" s="41"/>
    </row>
    <row r="508" spans="2:10" s="1" customFormat="1" ht="12.75" x14ac:dyDescent="0.2">
      <c r="B508" s="57"/>
      <c r="C508" s="39" t="s">
        <v>677</v>
      </c>
      <c r="D508" s="60">
        <v>1</v>
      </c>
      <c r="E508" s="40">
        <v>3.3</v>
      </c>
      <c r="F508" s="40"/>
      <c r="G508" s="40"/>
      <c r="H508" s="40">
        <f>IF(AND(F508=0,G508=0),D508*E508,IF(AND(E508=0,G508=0),D508*F508,IF(AND(E508=0,F508=0),D508*G508,IF(AND(E508=0),D508*F508*G508,IF(AND(F508=0),D508*E508*G508,IF(AND(G508=0),D508*E508*F508,D508*E508*F508*G508))))))</f>
        <v>3.3</v>
      </c>
      <c r="I508" s="40"/>
      <c r="J508" s="41"/>
    </row>
    <row r="509" spans="2:10" s="1" customFormat="1" ht="12.75" x14ac:dyDescent="0.2">
      <c r="B509" s="57"/>
      <c r="C509" s="39"/>
      <c r="D509" s="60"/>
      <c r="E509" s="40"/>
      <c r="F509" s="40"/>
      <c r="G509" s="40"/>
      <c r="H509" s="40"/>
      <c r="I509" s="40"/>
      <c r="J509" s="41"/>
    </row>
    <row r="510" spans="2:10" s="1" customFormat="1" ht="12.75" x14ac:dyDescent="0.2">
      <c r="B510" s="43" t="s">
        <v>257</v>
      </c>
      <c r="C510" s="43" t="s">
        <v>252</v>
      </c>
      <c r="D510" s="60"/>
      <c r="E510" s="40"/>
      <c r="F510" s="40"/>
      <c r="G510" s="40"/>
      <c r="H510" s="40"/>
      <c r="I510" s="44">
        <f>SUM(H511:H511)</f>
        <v>80</v>
      </c>
      <c r="J510" s="45" t="str">
        <f>+J511</f>
        <v>ml</v>
      </c>
    </row>
    <row r="511" spans="2:10" s="1" customFormat="1" ht="12.75" x14ac:dyDescent="0.2">
      <c r="B511" s="57"/>
      <c r="C511" s="39" t="s">
        <v>678</v>
      </c>
      <c r="D511" s="40">
        <v>1</v>
      </c>
      <c r="E511" s="40">
        <v>80</v>
      </c>
      <c r="F511" s="40"/>
      <c r="G511" s="40"/>
      <c r="H511" s="40">
        <f>IF(AND(F511=0,G511=0),D511*E511,IF(AND(E511=0,G511=0),D511*F511,IF(AND(E511=0,F511=0),D511*G511,IF(AND(E511=0),D511*F511*G511,IF(AND(F511=0),D511*E511*G511,IF(AND(G511=0),D511*E511*F511,D511*E511*F511*G511))))))</f>
        <v>80</v>
      </c>
      <c r="I511" s="40"/>
      <c r="J511" s="41" t="str">
        <f>IF(AND(E511=0,F511&lt;&gt;0,G511&lt;&gt;0),"m2",IF(AND(F511=0,E511&lt;&gt;0,G511&lt;&gt;0),"m2",IF(AND(G511=0,E511&lt;&gt;0,F511&lt;&gt;0),"m2",IF(AND(F511=0,G511=0),"ml",IF(AND(E511=0,G511=0),"ml",IF(AND(E511=0,F511=0),"ml",IF(AND(E511&lt;&gt;0,F511&lt;&gt;0,G511&lt;&gt;0),"m3",0)))))))</f>
        <v>ml</v>
      </c>
    </row>
    <row r="512" spans="2:10" s="1" customFormat="1" ht="12.75" x14ac:dyDescent="0.2">
      <c r="B512" s="57"/>
      <c r="C512" s="39"/>
      <c r="D512" s="60"/>
      <c r="E512" s="40"/>
      <c r="F512" s="40"/>
      <c r="G512" s="40"/>
      <c r="H512" s="40"/>
      <c r="I512" s="40"/>
      <c r="J512" s="41"/>
    </row>
    <row r="513" spans="2:10" s="1" customFormat="1" ht="12.75" x14ac:dyDescent="0.2">
      <c r="B513" s="43" t="s">
        <v>258</v>
      </c>
      <c r="C513" s="43" t="s">
        <v>253</v>
      </c>
      <c r="D513" s="60"/>
      <c r="E513" s="40"/>
      <c r="F513" s="40"/>
      <c r="G513" s="40"/>
      <c r="H513" s="40"/>
      <c r="I513" s="44">
        <f>SUM(H514:H514)</f>
        <v>0</v>
      </c>
      <c r="J513" s="45" t="str">
        <f>+J514</f>
        <v>und</v>
      </c>
    </row>
    <row r="514" spans="2:10" s="1" customFormat="1" ht="12.75" x14ac:dyDescent="0.2">
      <c r="B514" s="43"/>
      <c r="C514" s="39" t="s">
        <v>402</v>
      </c>
      <c r="D514" s="40"/>
      <c r="E514" s="40"/>
      <c r="F514" s="40"/>
      <c r="G514" s="40"/>
      <c r="H514" s="40">
        <f>+D514</f>
        <v>0</v>
      </c>
      <c r="I514" s="40"/>
      <c r="J514" s="41" t="s">
        <v>13</v>
      </c>
    </row>
    <row r="515" spans="2:10" s="1" customFormat="1" ht="12.75" x14ac:dyDescent="0.2">
      <c r="B515" s="43" t="s">
        <v>259</v>
      </c>
      <c r="C515" s="43" t="s">
        <v>254</v>
      </c>
      <c r="D515" s="60"/>
      <c r="E515" s="40"/>
      <c r="F515" s="40"/>
      <c r="G515" s="40"/>
      <c r="H515" s="40"/>
      <c r="I515" s="44">
        <f>SUM(H516:H516)</f>
        <v>0</v>
      </c>
      <c r="J515" s="45" t="str">
        <f>+J516</f>
        <v>und</v>
      </c>
    </row>
    <row r="516" spans="2:10" s="1" customFormat="1" ht="12.75" x14ac:dyDescent="0.2">
      <c r="B516" s="57"/>
      <c r="C516" s="39" t="s">
        <v>238</v>
      </c>
      <c r="D516" s="40"/>
      <c r="E516" s="40"/>
      <c r="F516" s="40"/>
      <c r="G516" s="40"/>
      <c r="H516" s="40">
        <f>+D516</f>
        <v>0</v>
      </c>
      <c r="I516" s="40"/>
      <c r="J516" s="41" t="s">
        <v>13</v>
      </c>
    </row>
    <row r="517" spans="2:10" s="1" customFormat="1" ht="12.75" x14ac:dyDescent="0.2">
      <c r="B517" s="46"/>
      <c r="C517" s="59"/>
      <c r="D517" s="60"/>
      <c r="E517" s="40"/>
      <c r="F517" s="40"/>
      <c r="G517" s="40"/>
      <c r="H517" s="40"/>
      <c r="I517" s="40"/>
      <c r="J517" s="41"/>
    </row>
    <row r="518" spans="2:10" s="1" customFormat="1" ht="12.75" x14ac:dyDescent="0.2">
      <c r="B518" s="57" t="s">
        <v>18</v>
      </c>
      <c r="C518" s="58" t="s">
        <v>223</v>
      </c>
      <c r="D518" s="60"/>
      <c r="E518" s="40"/>
      <c r="F518" s="40"/>
      <c r="G518" s="40"/>
      <c r="H518" s="40"/>
      <c r="I518" s="40"/>
      <c r="J518" s="41"/>
    </row>
    <row r="519" spans="2:10" s="1" customFormat="1" ht="12.75" x14ac:dyDescent="0.2">
      <c r="B519" s="43" t="s">
        <v>19</v>
      </c>
      <c r="C519" s="43" t="s">
        <v>265</v>
      </c>
      <c r="D519" s="60"/>
      <c r="E519" s="40"/>
      <c r="F519" s="40"/>
      <c r="G519" s="40"/>
      <c r="H519" s="40"/>
      <c r="I519" s="44">
        <f>SUM(H520:H520)</f>
        <v>5</v>
      </c>
      <c r="J519" s="45" t="s">
        <v>13</v>
      </c>
    </row>
    <row r="520" spans="2:10" s="1" customFormat="1" ht="12.75" x14ac:dyDescent="0.2">
      <c r="B520" s="46"/>
      <c r="C520" s="39" t="s">
        <v>231</v>
      </c>
      <c r="D520" s="40">
        <v>5</v>
      </c>
      <c r="E520" s="40"/>
      <c r="F520" s="40"/>
      <c r="G520" s="40"/>
      <c r="H520" s="40">
        <f>+D520</f>
        <v>5</v>
      </c>
      <c r="I520" s="40"/>
      <c r="J520" s="41" t="s">
        <v>13</v>
      </c>
    </row>
    <row r="521" spans="2:10" s="1" customFormat="1" ht="12.75" x14ac:dyDescent="0.2">
      <c r="B521" s="43" t="s">
        <v>20</v>
      </c>
      <c r="C521" s="43" t="s">
        <v>266</v>
      </c>
      <c r="D521" s="60"/>
      <c r="E521" s="40"/>
      <c r="F521" s="40"/>
      <c r="G521" s="40"/>
      <c r="H521" s="40"/>
      <c r="I521" s="44">
        <f>SUM(H522:H524)</f>
        <v>0</v>
      </c>
      <c r="J521" s="45" t="str">
        <f>+J522</f>
        <v>und</v>
      </c>
    </row>
    <row r="522" spans="2:10" s="1" customFormat="1" ht="12.75" x14ac:dyDescent="0.2">
      <c r="B522" s="43"/>
      <c r="C522" s="39" t="s">
        <v>71</v>
      </c>
      <c r="D522" s="40"/>
      <c r="E522" s="40"/>
      <c r="F522" s="40"/>
      <c r="G522" s="40"/>
      <c r="H522" s="40">
        <f>+D522</f>
        <v>0</v>
      </c>
      <c r="I522" s="40"/>
      <c r="J522" s="41" t="s">
        <v>13</v>
      </c>
    </row>
    <row r="523" spans="2:10" s="1" customFormat="1" ht="12.75" x14ac:dyDescent="0.2">
      <c r="B523" s="43"/>
      <c r="C523" s="39" t="s">
        <v>72</v>
      </c>
      <c r="D523" s="40"/>
      <c r="E523" s="40"/>
      <c r="F523" s="40"/>
      <c r="G523" s="40"/>
      <c r="H523" s="40">
        <f>+D523</f>
        <v>0</v>
      </c>
      <c r="I523" s="40"/>
      <c r="J523" s="41" t="s">
        <v>13</v>
      </c>
    </row>
    <row r="524" spans="2:10" s="1" customFormat="1" ht="12.75" x14ac:dyDescent="0.2">
      <c r="B524" s="43"/>
      <c r="C524" s="39" t="s">
        <v>73</v>
      </c>
      <c r="D524" s="40"/>
      <c r="E524" s="40"/>
      <c r="F524" s="40"/>
      <c r="G524" s="40"/>
      <c r="H524" s="40">
        <f>+D524</f>
        <v>0</v>
      </c>
      <c r="I524" s="40"/>
      <c r="J524" s="41" t="s">
        <v>13</v>
      </c>
    </row>
    <row r="525" spans="2:10" s="1" customFormat="1" ht="12.75" x14ac:dyDescent="0.2">
      <c r="B525" s="43" t="s">
        <v>21</v>
      </c>
      <c r="C525" s="43" t="s">
        <v>357</v>
      </c>
      <c r="D525" s="60"/>
      <c r="E525" s="40"/>
      <c r="F525" s="40"/>
      <c r="G525" s="40"/>
      <c r="H525" s="40"/>
      <c r="I525" s="44">
        <f>SUM(H526:H526)</f>
        <v>2</v>
      </c>
      <c r="J525" s="45" t="str">
        <f>+J526</f>
        <v>und</v>
      </c>
    </row>
    <row r="526" spans="2:10" s="1" customFormat="1" ht="12.75" x14ac:dyDescent="0.2">
      <c r="B526" s="43"/>
      <c r="C526" s="39" t="s">
        <v>375</v>
      </c>
      <c r="D526" s="40">
        <v>2</v>
      </c>
      <c r="E526" s="40">
        <v>1</v>
      </c>
      <c r="F526" s="40"/>
      <c r="G526" s="40"/>
      <c r="H526" s="40">
        <f>+D526</f>
        <v>2</v>
      </c>
      <c r="I526" s="40"/>
      <c r="J526" s="41" t="s">
        <v>13</v>
      </c>
    </row>
    <row r="527" spans="2:10" s="1" customFormat="1" ht="12.75" x14ac:dyDescent="0.2">
      <c r="B527" s="43" t="s">
        <v>273</v>
      </c>
      <c r="C527" s="43" t="s">
        <v>263</v>
      </c>
      <c r="D527" s="60"/>
      <c r="E527" s="40"/>
      <c r="F527" s="40"/>
      <c r="G527" s="40"/>
      <c r="H527" s="40"/>
      <c r="I527" s="44">
        <f>SUM(H528:H528)</f>
        <v>0</v>
      </c>
      <c r="J527" s="45" t="str">
        <f>+J528</f>
        <v>und</v>
      </c>
    </row>
    <row r="528" spans="2:10" s="1" customFormat="1" ht="14.25" customHeight="1" x14ac:dyDescent="0.2">
      <c r="B528" s="46"/>
      <c r="C528" s="39" t="s">
        <v>420</v>
      </c>
      <c r="D528" s="40"/>
      <c r="E528" s="40"/>
      <c r="F528" s="40"/>
      <c r="G528" s="40"/>
      <c r="H528" s="40">
        <f>+D528</f>
        <v>0</v>
      </c>
      <c r="I528" s="40"/>
      <c r="J528" s="41" t="s">
        <v>13</v>
      </c>
    </row>
    <row r="529" spans="2:10" s="1" customFormat="1" ht="12.75" x14ac:dyDescent="0.2">
      <c r="B529" s="43" t="s">
        <v>274</v>
      </c>
      <c r="C529" s="43" t="s">
        <v>264</v>
      </c>
      <c r="D529" s="60"/>
      <c r="E529" s="40"/>
      <c r="F529" s="40"/>
      <c r="G529" s="40"/>
      <c r="H529" s="40"/>
      <c r="I529" s="44">
        <f>SUM(H530:H530)</f>
        <v>1</v>
      </c>
      <c r="J529" s="45" t="str">
        <f>+J530</f>
        <v>und</v>
      </c>
    </row>
    <row r="530" spans="2:10" s="1" customFormat="1" ht="12.75" x14ac:dyDescent="0.2">
      <c r="B530" s="46"/>
      <c r="C530" s="39" t="s">
        <v>501</v>
      </c>
      <c r="D530" s="40">
        <v>1</v>
      </c>
      <c r="E530" s="40">
        <v>1</v>
      </c>
      <c r="F530" s="40"/>
      <c r="G530" s="40"/>
      <c r="H530" s="40">
        <f>+D530</f>
        <v>1</v>
      </c>
      <c r="I530" s="40"/>
      <c r="J530" s="41" t="s">
        <v>13</v>
      </c>
    </row>
    <row r="531" spans="2:10" s="1" customFormat="1" ht="12.75" x14ac:dyDescent="0.2">
      <c r="B531" s="46"/>
      <c r="C531" s="39"/>
      <c r="D531" s="8"/>
      <c r="E531" s="86"/>
      <c r="F531" s="40"/>
      <c r="G531" s="40"/>
      <c r="H531" s="40"/>
      <c r="I531" s="40"/>
      <c r="J531" s="41"/>
    </row>
    <row r="532" spans="2:10" s="1" customFormat="1" ht="12.75" x14ac:dyDescent="0.2">
      <c r="B532" s="107"/>
      <c r="C532" s="343"/>
      <c r="D532" s="60"/>
      <c r="E532" s="40"/>
      <c r="F532" s="40"/>
      <c r="G532" s="40"/>
      <c r="H532" s="40"/>
      <c r="I532" s="40"/>
      <c r="J532" s="41"/>
    </row>
    <row r="533" spans="2:10" s="1" customFormat="1" ht="12.75" x14ac:dyDescent="0.2">
      <c r="B533" s="46"/>
      <c r="C533" s="39"/>
      <c r="D533" s="8"/>
      <c r="E533" s="86"/>
      <c r="F533" s="40"/>
      <c r="G533" s="40"/>
      <c r="H533" s="40"/>
      <c r="I533" s="40"/>
      <c r="J533" s="41"/>
    </row>
    <row r="534" spans="2:10" s="1" customFormat="1" ht="12.75" x14ac:dyDescent="0.2">
      <c r="B534" s="46"/>
      <c r="C534" s="39"/>
      <c r="D534" s="8"/>
      <c r="E534" s="86"/>
      <c r="F534" s="40"/>
      <c r="G534" s="40"/>
      <c r="H534" s="40"/>
      <c r="I534" s="40"/>
      <c r="J534" s="41"/>
    </row>
    <row r="535" spans="2:10" s="1" customFormat="1" ht="12.75" x14ac:dyDescent="0.2">
      <c r="B535" s="46"/>
      <c r="C535" s="59"/>
    </row>
    <row r="536" spans="2:10" s="1" customFormat="1" ht="12.75" x14ac:dyDescent="0.2">
      <c r="B536" s="46"/>
      <c r="C536" s="59"/>
      <c r="D536" s="60"/>
      <c r="E536" s="40"/>
      <c r="F536" s="40"/>
      <c r="G536" s="40"/>
      <c r="H536" s="40"/>
      <c r="I536" s="40"/>
      <c r="J536" s="41"/>
    </row>
    <row r="537" spans="2:10" s="1" customFormat="1" ht="12.75" x14ac:dyDescent="0.2">
      <c r="B537" s="46"/>
      <c r="C537" s="59"/>
      <c r="D537" s="60"/>
      <c r="E537" s="40"/>
      <c r="F537" s="40"/>
      <c r="G537" s="40"/>
      <c r="H537" s="40"/>
      <c r="I537" s="40"/>
      <c r="J537" s="41"/>
    </row>
    <row r="538" spans="2:10" s="1" customFormat="1" ht="12.75" x14ac:dyDescent="0.2">
      <c r="B538" s="46"/>
      <c r="C538" s="59"/>
      <c r="D538" s="60"/>
      <c r="E538" s="40"/>
      <c r="F538" s="40"/>
      <c r="G538" s="40"/>
      <c r="H538" s="40"/>
      <c r="I538" s="40"/>
      <c r="J538" s="41"/>
    </row>
    <row r="539" spans="2:10" s="1" customFormat="1" ht="12.75" x14ac:dyDescent="0.2">
      <c r="B539" s="46"/>
      <c r="C539" s="59"/>
      <c r="D539" s="60"/>
      <c r="E539" s="40"/>
      <c r="F539" s="40"/>
      <c r="G539" s="40"/>
      <c r="H539" s="40"/>
      <c r="I539" s="40"/>
      <c r="J539" s="41"/>
    </row>
    <row r="540" spans="2:10" s="1" customFormat="1" ht="12.75" x14ac:dyDescent="0.2">
      <c r="B540" s="46"/>
      <c r="C540" s="59"/>
      <c r="D540" s="60"/>
      <c r="E540" s="40"/>
      <c r="F540" s="40"/>
      <c r="G540" s="40"/>
      <c r="H540" s="40"/>
      <c r="I540" s="40"/>
      <c r="J540" s="41"/>
    </row>
    <row r="541" spans="2:10" s="1" customFormat="1" ht="12.75" x14ac:dyDescent="0.2">
      <c r="B541" s="46"/>
      <c r="C541" s="59"/>
      <c r="D541" s="60"/>
      <c r="E541" s="40"/>
      <c r="F541" s="40"/>
      <c r="G541" s="40"/>
      <c r="H541" s="40"/>
      <c r="I541" s="40"/>
      <c r="J541" s="41"/>
    </row>
    <row r="542" spans="2:10" s="1" customFormat="1" ht="12.75" x14ac:dyDescent="0.2">
      <c r="B542" s="46"/>
      <c r="C542" s="59"/>
      <c r="D542" s="60"/>
      <c r="E542" s="40"/>
      <c r="F542" s="40"/>
      <c r="G542" s="40"/>
      <c r="H542" s="40"/>
      <c r="I542" s="40"/>
      <c r="J542" s="41"/>
    </row>
    <row r="543" spans="2:10" s="1" customFormat="1" ht="12.75" x14ac:dyDescent="0.2">
      <c r="B543" s="46"/>
      <c r="C543" s="59"/>
      <c r="D543" s="60"/>
      <c r="E543" s="40"/>
      <c r="F543" s="40"/>
      <c r="G543" s="40"/>
      <c r="H543" s="40"/>
      <c r="I543" s="40"/>
      <c r="J543" s="41"/>
    </row>
    <row r="544" spans="2:10" s="1" customFormat="1" ht="12.75" x14ac:dyDescent="0.2">
      <c r="C544" s="384" t="s">
        <v>37</v>
      </c>
      <c r="D544" s="384"/>
      <c r="E544" s="384"/>
      <c r="F544" s="384"/>
      <c r="G544" s="384"/>
      <c r="H544" s="384"/>
    </row>
    <row r="545" spans="2:10" s="1" customFormat="1" ht="12.75" x14ac:dyDescent="0.2">
      <c r="C545" s="384" t="s">
        <v>38</v>
      </c>
      <c r="D545" s="384"/>
      <c r="E545" s="384"/>
      <c r="F545" s="384"/>
      <c r="G545" s="384"/>
      <c r="H545" s="384"/>
    </row>
    <row r="546" spans="2:10" s="1" customFormat="1" ht="12.75" x14ac:dyDescent="0.2">
      <c r="C546" s="384" t="s">
        <v>39</v>
      </c>
      <c r="D546" s="384"/>
      <c r="E546" s="384"/>
      <c r="F546" s="384"/>
      <c r="G546" s="384"/>
      <c r="H546" s="384"/>
    </row>
    <row r="547" spans="2:10" s="1" customFormat="1" ht="12.75" x14ac:dyDescent="0.2">
      <c r="C547" s="385" t="s">
        <v>40</v>
      </c>
      <c r="D547" s="385"/>
      <c r="E547" s="385"/>
      <c r="F547" s="385"/>
      <c r="G547" s="385"/>
      <c r="H547" s="385"/>
    </row>
    <row r="548" spans="2:10" s="1" customFormat="1" ht="12.75" customHeight="1" x14ac:dyDescent="0.2">
      <c r="C548" s="385"/>
      <c r="D548" s="385"/>
      <c r="E548" s="385"/>
      <c r="F548" s="385"/>
      <c r="G548" s="385"/>
      <c r="H548" s="385"/>
    </row>
    <row r="549" spans="2:10" s="1" customFormat="1" ht="45.75" customHeight="1" x14ac:dyDescent="0.2">
      <c r="B549" s="386" t="s">
        <v>65</v>
      </c>
      <c r="C549" s="387"/>
      <c r="D549" s="387"/>
      <c r="E549" s="387"/>
      <c r="F549" s="387"/>
      <c r="G549" s="387"/>
      <c r="H549" s="387"/>
      <c r="I549" s="387"/>
      <c r="J549" s="388"/>
    </row>
    <row r="550" spans="2:10" s="1" customFormat="1" ht="20.25" x14ac:dyDescent="0.2">
      <c r="B550" s="390" t="s">
        <v>365</v>
      </c>
      <c r="C550" s="391"/>
      <c r="D550" s="391"/>
      <c r="E550" s="391"/>
      <c r="F550" s="391"/>
      <c r="G550" s="391"/>
      <c r="H550" s="391"/>
      <c r="I550" s="391"/>
      <c r="J550" s="392"/>
    </row>
    <row r="551" spans="2:10" s="1" customFormat="1" ht="13.5" thickBot="1" x14ac:dyDescent="0.25">
      <c r="B551" s="389"/>
      <c r="C551" s="389"/>
      <c r="D551" s="389"/>
      <c r="E551" s="389"/>
      <c r="F551" s="389"/>
      <c r="G551" s="389"/>
      <c r="H551" s="389"/>
      <c r="I551" s="389"/>
      <c r="J551" s="389"/>
    </row>
    <row r="552" spans="2:10" s="1" customFormat="1" ht="24.75" customHeight="1" x14ac:dyDescent="0.2">
      <c r="B552" s="494" t="s">
        <v>27</v>
      </c>
      <c r="C552" s="495"/>
      <c r="D552" s="495"/>
      <c r="E552" s="495"/>
      <c r="F552" s="495"/>
      <c r="G552" s="495"/>
      <c r="H552" s="495"/>
      <c r="I552" s="495"/>
      <c r="J552" s="496"/>
    </row>
    <row r="553" spans="2:10" s="1" customFormat="1" ht="12.75" x14ac:dyDescent="0.2">
      <c r="B553" s="2" t="s">
        <v>35</v>
      </c>
      <c r="C553" s="3" t="s">
        <v>36</v>
      </c>
      <c r="D553" s="3"/>
      <c r="E553" s="4"/>
      <c r="F553" s="5"/>
      <c r="G553" s="6" t="s">
        <v>8</v>
      </c>
      <c r="H553" s="497">
        <v>42879</v>
      </c>
      <c r="I553" s="497"/>
      <c r="J553" s="7"/>
    </row>
    <row r="554" spans="2:10" s="1" customFormat="1" ht="12.75" x14ac:dyDescent="0.2">
      <c r="B554" s="2" t="s">
        <v>33</v>
      </c>
      <c r="C554" s="3" t="s">
        <v>29</v>
      </c>
      <c r="D554" s="8"/>
      <c r="E554" s="8"/>
      <c r="F554" s="3"/>
      <c r="G554" s="9" t="s">
        <v>32</v>
      </c>
      <c r="H554" s="4" t="s">
        <v>29</v>
      </c>
      <c r="I554" s="10"/>
      <c r="J554" s="11"/>
    </row>
    <row r="555" spans="2:10" s="1" customFormat="1" ht="12.75" x14ac:dyDescent="0.2">
      <c r="B555" s="2" t="s">
        <v>34</v>
      </c>
      <c r="C555" s="3" t="s">
        <v>29</v>
      </c>
      <c r="D555" s="8"/>
      <c r="E555" s="8"/>
      <c r="F555" s="3"/>
      <c r="G555" s="9" t="s">
        <v>30</v>
      </c>
      <c r="H555" s="4" t="s">
        <v>31</v>
      </c>
      <c r="I555" s="10"/>
      <c r="J555" s="11"/>
    </row>
    <row r="556" spans="2:10" s="1" customFormat="1" ht="13.5" thickBot="1" x14ac:dyDescent="0.25">
      <c r="B556" s="12" t="s">
        <v>43</v>
      </c>
      <c r="C556" s="13" t="s">
        <v>44</v>
      </c>
      <c r="D556" s="14"/>
      <c r="E556" s="14"/>
      <c r="F556" s="13"/>
      <c r="G556" s="15" t="s">
        <v>41</v>
      </c>
      <c r="H556" s="16" t="s">
        <v>42</v>
      </c>
      <c r="I556" s="17"/>
      <c r="J556" s="18"/>
    </row>
    <row r="557" spans="2:10" s="1" customFormat="1" ht="12.75" x14ac:dyDescent="0.2">
      <c r="B557" s="389"/>
      <c r="C557" s="389"/>
      <c r="D557" s="389"/>
      <c r="E557" s="389"/>
      <c r="F557" s="389"/>
      <c r="G557" s="389"/>
      <c r="H557" s="389"/>
      <c r="I557" s="389"/>
      <c r="J557" s="389"/>
    </row>
    <row r="558" spans="2:10" s="1" customFormat="1" ht="12.75" x14ac:dyDescent="0.2">
      <c r="B558" s="21" t="s">
        <v>5</v>
      </c>
      <c r="C558" s="22" t="s">
        <v>0</v>
      </c>
      <c r="D558" s="22" t="s">
        <v>9</v>
      </c>
      <c r="E558" s="22" t="s">
        <v>10</v>
      </c>
      <c r="F558" s="22" t="s">
        <v>1</v>
      </c>
      <c r="G558" s="22" t="s">
        <v>2</v>
      </c>
      <c r="H558" s="22" t="s">
        <v>11</v>
      </c>
      <c r="I558" s="22" t="s">
        <v>6</v>
      </c>
      <c r="J558" s="22" t="s">
        <v>7</v>
      </c>
    </row>
    <row r="559" spans="2:10" s="1" customFormat="1" ht="12.75" x14ac:dyDescent="0.2">
      <c r="B559" s="55">
        <v>4.03</v>
      </c>
      <c r="C559" s="56" t="s">
        <v>222</v>
      </c>
      <c r="D559" s="60"/>
      <c r="E559" s="40"/>
      <c r="F559" s="40"/>
      <c r="G559" s="40"/>
      <c r="H559" s="40"/>
      <c r="I559" s="40"/>
      <c r="J559" s="41"/>
    </row>
    <row r="560" spans="2:10" s="1" customFormat="1" ht="12.75" x14ac:dyDescent="0.2">
      <c r="B560" s="57" t="s">
        <v>14</v>
      </c>
      <c r="C560" s="58" t="s">
        <v>225</v>
      </c>
      <c r="D560" s="60"/>
      <c r="E560" s="40"/>
      <c r="F560" s="40"/>
      <c r="G560" s="40"/>
      <c r="H560" s="40"/>
      <c r="I560" s="40"/>
      <c r="J560" s="41"/>
    </row>
    <row r="561" spans="2:10" s="1" customFormat="1" ht="12.75" x14ac:dyDescent="0.2">
      <c r="B561" s="43" t="s">
        <v>15</v>
      </c>
      <c r="C561" s="43" t="s">
        <v>269</v>
      </c>
      <c r="D561" s="60"/>
      <c r="E561" s="40"/>
      <c r="F561" s="40"/>
      <c r="G561" s="40"/>
      <c r="H561" s="40"/>
      <c r="I561" s="44">
        <f>SUM(H562:H564)</f>
        <v>0</v>
      </c>
      <c r="J561" s="45" t="str">
        <f>+J562</f>
        <v>ml</v>
      </c>
    </row>
    <row r="562" spans="2:10" s="1" customFormat="1" ht="12.75" x14ac:dyDescent="0.2">
      <c r="B562" s="57"/>
      <c r="C562" s="39" t="s">
        <v>71</v>
      </c>
      <c r="D562" s="40"/>
      <c r="E562" s="40"/>
      <c r="F562" s="40"/>
      <c r="G562" s="40"/>
      <c r="H562" s="40">
        <f>IF(AND(F562=0,G562=0),D562*E562,IF(AND(E562=0,G562=0),D562*F562,IF(AND(E562=0,F562=0),D562*G562,IF(AND(E562=0),D562*F562*G562,IF(AND(F562=0),D562*E562*G562,IF(AND(G562=0),D562*E562*F562,D562*E562*F562*G562))))))</f>
        <v>0</v>
      </c>
      <c r="I562" s="40"/>
      <c r="J562" s="41" t="str">
        <f>IF(AND(E562=0,F562&lt;&gt;0,G562&lt;&gt;0),"m2",IF(AND(F562=0,E562&lt;&gt;0,G562&lt;&gt;0),"m2",IF(AND(G562=0,E562&lt;&gt;0,F562&lt;&gt;0),"m2",IF(AND(F562=0,G562=0),"ml",IF(AND(E562=0,G562=0),"ml",IF(AND(E562=0,F562=0),"ml",IF(AND(E562&lt;&gt;0,F562&lt;&gt;0,G562&lt;&gt;0),"m3",0)))))))</f>
        <v>ml</v>
      </c>
    </row>
    <row r="563" spans="2:10" s="1" customFormat="1" ht="12.75" x14ac:dyDescent="0.2">
      <c r="B563" s="57"/>
      <c r="C563" s="39" t="s">
        <v>72</v>
      </c>
      <c r="D563" s="40"/>
      <c r="E563" s="40"/>
      <c r="F563" s="40"/>
      <c r="G563" s="40"/>
      <c r="H563" s="40">
        <f>IF(AND(F563=0,G563=0),D563*E563,IF(AND(E563=0,G563=0),D563*F563,IF(AND(E563=0,F563=0),D563*G563,IF(AND(E563=0),D563*F563*G563,IF(AND(F563=0),D563*E563*G563,IF(AND(G563=0),D563*E563*F563,D563*E563*F563*G563))))))</f>
        <v>0</v>
      </c>
      <c r="I563" s="40"/>
      <c r="J563" s="41" t="str">
        <f>IF(AND(E563=0,F563&lt;&gt;0,G563&lt;&gt;0),"m2",IF(AND(F563=0,E563&lt;&gt;0,G563&lt;&gt;0),"m2",IF(AND(G563=0,E563&lt;&gt;0,F563&lt;&gt;0),"m2",IF(AND(F563=0,G563=0),"ml",IF(AND(E563=0,G563=0),"ml",IF(AND(E563=0,F563=0),"ml",IF(AND(E563&lt;&gt;0,F563&lt;&gt;0,G563&lt;&gt;0),"m3",0)))))))</f>
        <v>ml</v>
      </c>
    </row>
    <row r="564" spans="2:10" s="1" customFormat="1" ht="12.75" x14ac:dyDescent="0.2">
      <c r="B564" s="57"/>
      <c r="C564" s="39" t="s">
        <v>73</v>
      </c>
      <c r="D564" s="40"/>
      <c r="E564" s="40"/>
      <c r="F564" s="40"/>
      <c r="G564" s="40"/>
      <c r="H564" s="40">
        <f>IF(AND(F564=0,G564=0),D564*E564,IF(AND(E564=0,G564=0),D564*F564,IF(AND(E564=0,F564=0),D564*G564,IF(AND(E564=0),D564*F564*G564,IF(AND(F564=0),D564*E564*G564,IF(AND(G564=0),D564*E564*F564,D564*E564*F564*G564))))))</f>
        <v>0</v>
      </c>
      <c r="I564" s="40"/>
      <c r="J564" s="41" t="str">
        <f>IF(AND(E564=0,F564&lt;&gt;0,G564&lt;&gt;0),"m2",IF(AND(F564=0,E564&lt;&gt;0,G564&lt;&gt;0),"m2",IF(AND(G564=0,E564&lt;&gt;0,F564&lt;&gt;0),"m2",IF(AND(F564=0,G564=0),"ml",IF(AND(E564=0,G564=0),"ml",IF(AND(E564=0,F564=0),"ml",IF(AND(E564&lt;&gt;0,F564&lt;&gt;0,G564&lt;&gt;0),"m3",0)))))))</f>
        <v>ml</v>
      </c>
    </row>
    <row r="565" spans="2:10" s="1" customFormat="1" ht="12.75" x14ac:dyDescent="0.2">
      <c r="B565" s="43" t="s">
        <v>232</v>
      </c>
      <c r="C565" s="43" t="s">
        <v>348</v>
      </c>
      <c r="D565" s="60"/>
      <c r="E565" s="40"/>
      <c r="F565" s="40"/>
      <c r="G565" s="40"/>
      <c r="H565" s="40"/>
      <c r="I565" s="44">
        <f>SUM(H566:H567)</f>
        <v>2</v>
      </c>
      <c r="J565" s="45" t="str">
        <f>+J566</f>
        <v>und</v>
      </c>
    </row>
    <row r="566" spans="2:10" s="1" customFormat="1" ht="12.75" x14ac:dyDescent="0.2">
      <c r="B566" s="57"/>
      <c r="C566" s="39" t="s">
        <v>349</v>
      </c>
      <c r="D566" s="40">
        <v>1</v>
      </c>
      <c r="E566" s="40"/>
      <c r="F566" s="40"/>
      <c r="G566" s="40"/>
      <c r="H566" s="40">
        <f>+D566</f>
        <v>1</v>
      </c>
      <c r="I566" s="40"/>
      <c r="J566" s="41" t="s">
        <v>13</v>
      </c>
    </row>
    <row r="567" spans="2:10" s="1" customFormat="1" ht="12.75" x14ac:dyDescent="0.2">
      <c r="B567" s="57"/>
      <c r="C567" s="39" t="s">
        <v>644</v>
      </c>
      <c r="D567" s="60">
        <v>1</v>
      </c>
      <c r="E567" s="40"/>
      <c r="F567" s="40"/>
      <c r="G567" s="40"/>
      <c r="H567" s="40">
        <v>1</v>
      </c>
      <c r="I567" s="40"/>
      <c r="J567" s="41"/>
    </row>
    <row r="568" spans="2:10" s="1" customFormat="1" ht="12.75" x14ac:dyDescent="0.2">
      <c r="B568" s="57" t="s">
        <v>16</v>
      </c>
      <c r="C568" s="58" t="s">
        <v>224</v>
      </c>
      <c r="D568" s="60"/>
      <c r="E568" s="40"/>
      <c r="F568" s="40"/>
      <c r="G568" s="40"/>
      <c r="H568" s="40"/>
      <c r="I568" s="40"/>
      <c r="J568" s="41"/>
    </row>
    <row r="569" spans="2:10" s="1" customFormat="1" ht="12.75" x14ac:dyDescent="0.2">
      <c r="B569" s="43" t="s">
        <v>17</v>
      </c>
      <c r="C569" s="43" t="s">
        <v>343</v>
      </c>
      <c r="D569" s="60"/>
      <c r="E569" s="40"/>
      <c r="F569" s="40"/>
      <c r="G569" s="40"/>
      <c r="H569" s="40"/>
      <c r="I569" s="44">
        <f>SUM(H570:H570)</f>
        <v>0</v>
      </c>
      <c r="J569" s="45" t="str">
        <f>+J570</f>
        <v>ml</v>
      </c>
    </row>
    <row r="570" spans="2:10" s="1" customFormat="1" ht="12.75" x14ac:dyDescent="0.2">
      <c r="B570" s="57"/>
      <c r="C570" s="39" t="s">
        <v>344</v>
      </c>
      <c r="D570" s="40"/>
      <c r="E570" s="40"/>
      <c r="F570" s="40"/>
      <c r="G570" s="40"/>
      <c r="H570" s="40">
        <f>IF(AND(F570=0,G570=0),D570*E570,IF(AND(E570=0,G570=0),D570*F570,IF(AND(E570=0,F570=0),D570*G570,IF(AND(E570=0),D570*F570*G570,IF(AND(F570=0),D570*E570*G570,IF(AND(G570=0),D570*E570*F570,D570*E570*F570*G570))))))</f>
        <v>0</v>
      </c>
      <c r="I570" s="40"/>
      <c r="J570" s="41" t="str">
        <f>IF(AND(E570=0,F570&lt;&gt;0,G570&lt;&gt;0),"m2",IF(AND(F570=0,E570&lt;&gt;0,G570&lt;&gt;0),"m2",IF(AND(G570=0,E570&lt;&gt;0,F570&lt;&gt;0),"m2",IF(AND(F570=0,G570=0),"ml",IF(AND(E570=0,G570=0),"ml",IF(AND(E570=0,F570=0),"ml",IF(AND(E570&lt;&gt;0,F570&lt;&gt;0,G570&lt;&gt;0),"m3",0)))))))</f>
        <v>ml</v>
      </c>
    </row>
    <row r="571" spans="2:10" s="1" customFormat="1" ht="12.75" x14ac:dyDescent="0.2">
      <c r="B571" s="43" t="s">
        <v>240</v>
      </c>
      <c r="C571" s="43" t="s">
        <v>237</v>
      </c>
      <c r="D571" s="60"/>
      <c r="E571" s="40"/>
      <c r="F571" s="40"/>
      <c r="G571" s="40"/>
      <c r="H571" s="40"/>
      <c r="I571" s="44">
        <f>SUM(H572:H573)</f>
        <v>0</v>
      </c>
      <c r="J571" s="45" t="str">
        <f>+J572</f>
        <v>ml</v>
      </c>
    </row>
    <row r="572" spans="2:10" s="1" customFormat="1" ht="12.75" x14ac:dyDescent="0.2">
      <c r="B572" s="57"/>
      <c r="C572" s="39" t="s">
        <v>371</v>
      </c>
      <c r="D572" s="40"/>
      <c r="E572" s="40"/>
      <c r="F572" s="40"/>
      <c r="G572" s="40"/>
      <c r="H572" s="40">
        <f>IF(AND(F572=0,G572=0),D572*E572,IF(AND(E572=0,G572=0),D572*F572,IF(AND(E572=0,F572=0),D572*G572,IF(AND(E572=0),D572*F572*G572,IF(AND(F572=0),D572*E572*G572,IF(AND(G572=0),D572*E572*F572,D572*E572*F572*G572))))))</f>
        <v>0</v>
      </c>
      <c r="I572" s="40"/>
      <c r="J572" s="41" t="str">
        <f>IF(AND(E572=0,F572&lt;&gt;0,G572&lt;&gt;0),"m2",IF(AND(F572=0,E572&lt;&gt;0,G572&lt;&gt;0),"m2",IF(AND(G572=0,E572&lt;&gt;0,F572&lt;&gt;0),"m2",IF(AND(F572=0,G572=0),"ml",IF(AND(E572=0,G572=0),"ml",IF(AND(E572=0,F572=0),"ml",IF(AND(E572&lt;&gt;0,F572&lt;&gt;0,G572&lt;&gt;0),"m3",0)))))))</f>
        <v>ml</v>
      </c>
    </row>
    <row r="573" spans="2:10" s="1" customFormat="1" ht="12.75" x14ac:dyDescent="0.2">
      <c r="B573" s="57"/>
      <c r="C573" s="39" t="s">
        <v>371</v>
      </c>
      <c r="D573" s="40"/>
      <c r="E573" s="40"/>
      <c r="F573" s="40"/>
      <c r="G573" s="40"/>
      <c r="H573" s="40">
        <f>IF(AND(F573=0,G573=0),D573*E573,IF(AND(E573=0,G573=0),D573*F573,IF(AND(E573=0,F573=0),D573*G573,IF(AND(E573=0),D573*F573*G573,IF(AND(F573=0),D573*E573*G573,IF(AND(G573=0),D573*E573*F573,D573*E573*F573*G573))))))</f>
        <v>0</v>
      </c>
      <c r="I573" s="40"/>
      <c r="J573" s="41" t="str">
        <f>IF(AND(E573=0,F573&lt;&gt;0,G573&lt;&gt;0),"m2",IF(AND(F573=0,E573&lt;&gt;0,G573&lt;&gt;0),"m2",IF(AND(G573=0,E573&lt;&gt;0,F573&lt;&gt;0),"m2",IF(AND(F573=0,G573=0),"ml",IF(AND(E573=0,G573=0),"ml",IF(AND(E573=0,F573=0),"ml",IF(AND(E573&lt;&gt;0,F573&lt;&gt;0,G573&lt;&gt;0),"m3",0)))))))</f>
        <v>ml</v>
      </c>
    </row>
    <row r="574" spans="2:10" s="1" customFormat="1" ht="12.75" x14ac:dyDescent="0.2">
      <c r="B574" s="43" t="s">
        <v>241</v>
      </c>
      <c r="C574" s="43" t="s">
        <v>242</v>
      </c>
      <c r="D574" s="60"/>
      <c r="E574" s="40"/>
      <c r="F574" s="40"/>
      <c r="G574" s="40"/>
      <c r="H574" s="40"/>
      <c r="I574" s="44">
        <f>SUM(H575:H575)</f>
        <v>0</v>
      </c>
      <c r="J574" s="45" t="str">
        <f>+J575</f>
        <v>ml</v>
      </c>
    </row>
    <row r="575" spans="2:10" s="1" customFormat="1" ht="12.75" x14ac:dyDescent="0.2">
      <c r="B575" s="57"/>
      <c r="C575" s="39" t="s">
        <v>238</v>
      </c>
      <c r="D575" s="40"/>
      <c r="E575" s="40"/>
      <c r="F575" s="40"/>
      <c r="G575" s="40"/>
      <c r="H575" s="40">
        <f>IF(AND(F575=0,G575=0),D575*E575,IF(AND(E575=0,G575=0),D575*F575,IF(AND(E575=0,F575=0),D575*G575,IF(AND(E575=0),D575*F575*G575,IF(AND(F575=0),D575*E575*G575,IF(AND(G575=0),D575*E575*F575,D575*E575*F575*G575))))))</f>
        <v>0</v>
      </c>
      <c r="I575" s="40"/>
      <c r="J575" s="41" t="str">
        <f>IF(AND(E575=0,F575&lt;&gt;0,G575&lt;&gt;0),"m2",IF(AND(F575=0,E575&lt;&gt;0,G575&lt;&gt;0),"m2",IF(AND(G575=0,E575&lt;&gt;0,F575&lt;&gt;0),"m2",IF(AND(F575=0,G575=0),"ml",IF(AND(E575=0,G575=0),"ml",IF(AND(E575=0,F575=0),"ml",IF(AND(E575&lt;&gt;0,F575&lt;&gt;0,G575&lt;&gt;0),"m3",0)))))))</f>
        <v>ml</v>
      </c>
    </row>
    <row r="576" spans="2:10" s="1" customFormat="1" ht="12.75" x14ac:dyDescent="0.2">
      <c r="B576" s="43" t="s">
        <v>243</v>
      </c>
      <c r="C576" s="43" t="s">
        <v>245</v>
      </c>
      <c r="D576" s="60"/>
      <c r="E576" s="40"/>
      <c r="F576" s="40"/>
      <c r="G576" s="40"/>
      <c r="H576" s="40"/>
      <c r="I576" s="44">
        <f>SUM(H577:H577)</f>
        <v>0</v>
      </c>
      <c r="J576" s="45" t="str">
        <f>+J577</f>
        <v>ml</v>
      </c>
    </row>
    <row r="577" spans="2:10" s="1" customFormat="1" ht="12.75" x14ac:dyDescent="0.2">
      <c r="B577" s="57"/>
      <c r="C577" s="39" t="s">
        <v>238</v>
      </c>
      <c r="D577" s="40"/>
      <c r="E577" s="40"/>
      <c r="F577" s="40"/>
      <c r="G577" s="40"/>
      <c r="H577" s="40">
        <f>IF(AND(F577=0,G577=0),D577*E577,IF(AND(E577=0,G577=0),D577*F577,IF(AND(E577=0,F577=0),D577*G577,IF(AND(E577=0),D577*F577*G577,IF(AND(F577=0),D577*E577*G577,IF(AND(G577=0),D577*E577*F577,D577*E577*F577*G577))))))</f>
        <v>0</v>
      </c>
      <c r="I577" s="40"/>
      <c r="J577" s="41" t="str">
        <f>IF(AND(E577=0,F577&lt;&gt;0,G577&lt;&gt;0),"m2",IF(AND(F577=0,E577&lt;&gt;0,G577&lt;&gt;0),"m2",IF(AND(G577=0,E577&lt;&gt;0,F577&lt;&gt;0),"m2",IF(AND(F577=0,G577=0),"ml",IF(AND(E577=0,G577=0),"ml",IF(AND(E577=0,F577=0),"ml",IF(AND(E577&lt;&gt;0,F577&lt;&gt;0,G577&lt;&gt;0),"m3",0)))))))</f>
        <v>ml</v>
      </c>
    </row>
    <row r="578" spans="2:10" s="1" customFormat="1" ht="12.75" x14ac:dyDescent="0.2">
      <c r="B578" s="43" t="s">
        <v>244</v>
      </c>
      <c r="C578" s="43" t="s">
        <v>247</v>
      </c>
      <c r="D578" s="60"/>
      <c r="E578" s="40"/>
      <c r="F578" s="40"/>
      <c r="G578" s="40"/>
      <c r="H578" s="40"/>
      <c r="I578" s="44">
        <f>SUM(H579:H579)</f>
        <v>0</v>
      </c>
      <c r="J578" s="45" t="str">
        <f>+J579</f>
        <v>ml</v>
      </c>
    </row>
    <row r="579" spans="2:10" s="1" customFormat="1" ht="12.75" x14ac:dyDescent="0.2">
      <c r="B579" s="57"/>
      <c r="C579" s="39" t="s">
        <v>238</v>
      </c>
      <c r="D579" s="40"/>
      <c r="E579" s="40"/>
      <c r="F579" s="40"/>
      <c r="G579" s="40"/>
      <c r="H579" s="40">
        <f>IF(AND(F579=0,G579=0),D579*E579,IF(AND(E579=0,G579=0),D579*F579,IF(AND(E579=0,F579=0),D579*G579,IF(AND(E579=0),D579*F579*G579,IF(AND(F579=0),D579*E579*G579,IF(AND(G579=0),D579*E579*F579,D579*E579*F579*G579))))))</f>
        <v>0</v>
      </c>
      <c r="I579" s="40"/>
      <c r="J579" s="41" t="str">
        <f>IF(AND(E579=0,F579&lt;&gt;0,G579&lt;&gt;0),"m2",IF(AND(F579=0,E579&lt;&gt;0,G579&lt;&gt;0),"m2",IF(AND(G579=0,E579&lt;&gt;0,F579&lt;&gt;0),"m2",IF(AND(F579=0,G579=0),"ml",IF(AND(E579=0,G579=0),"ml",IF(AND(E579=0,F579=0),"ml",IF(AND(E579&lt;&gt;0,F579&lt;&gt;0,G579&lt;&gt;0),"m3",0)))))))</f>
        <v>ml</v>
      </c>
    </row>
    <row r="580" spans="2:10" s="1" customFormat="1" ht="12.75" x14ac:dyDescent="0.2">
      <c r="B580" s="43" t="s">
        <v>248</v>
      </c>
      <c r="C580" s="43" t="s">
        <v>226</v>
      </c>
      <c r="D580" s="60"/>
      <c r="E580" s="40"/>
      <c r="F580" s="40"/>
      <c r="G580" s="40"/>
      <c r="H580" s="40"/>
      <c r="I580" s="44">
        <f>SUM(H581:H582)</f>
        <v>0</v>
      </c>
      <c r="J580" s="45" t="str">
        <f>+J582</f>
        <v>ml</v>
      </c>
    </row>
    <row r="581" spans="2:10" s="1" customFormat="1" ht="12.75" x14ac:dyDescent="0.2">
      <c r="B581" s="43"/>
      <c r="C581" s="39" t="s">
        <v>371</v>
      </c>
      <c r="D581" s="40"/>
      <c r="E581" s="40"/>
      <c r="F581" s="40"/>
      <c r="G581" s="40"/>
      <c r="H581" s="40">
        <f>IF(AND(F581=0,G581=0),D581*E581,IF(AND(E581=0,G581=0),D581*F581,IF(AND(E581=0,F581=0),D581*G581,IF(AND(E581=0),D581*F581*G581,IF(AND(F581=0),D581*E581*G581,IF(AND(G581=0),D581*E581*F581,D581*E581*F581*G581))))))</f>
        <v>0</v>
      </c>
      <c r="I581" s="40"/>
      <c r="J581" s="41" t="str">
        <f>IF(AND(E581=0,F581&lt;&gt;0,G581&lt;&gt;0),"m2",IF(AND(F581=0,E581&lt;&gt;0,G581&lt;&gt;0),"m2",IF(AND(G581=0,E581&lt;&gt;0,F581&lt;&gt;0),"m2",IF(AND(F581=0,G581=0),"ml",IF(AND(E581=0,G581=0),"ml",IF(AND(E581=0,F581=0),"ml",IF(AND(E581&lt;&gt;0,F581&lt;&gt;0,G581&lt;&gt;0),"m3",0)))))))</f>
        <v>ml</v>
      </c>
    </row>
    <row r="582" spans="2:10" s="1" customFormat="1" ht="12.75" x14ac:dyDescent="0.2">
      <c r="B582" s="57"/>
      <c r="C582" s="39" t="s">
        <v>371</v>
      </c>
      <c r="D582" s="40"/>
      <c r="E582" s="40"/>
      <c r="F582" s="40"/>
      <c r="G582" s="40"/>
      <c r="H582" s="40">
        <f>IF(AND(F582=0,G582=0),D582*E582,IF(AND(E582=0,G582=0),D582*F582,IF(AND(E582=0,F582=0),D582*G582,IF(AND(E582=0),D582*F582*G582,IF(AND(F582=0),D582*E582*G582,IF(AND(G582=0),D582*E582*F582,D582*E582*F582*G582))))))</f>
        <v>0</v>
      </c>
      <c r="I582" s="40"/>
      <c r="J582" s="41" t="str">
        <f>IF(AND(E582=0,F582&lt;&gt;0,G582&lt;&gt;0),"m2",IF(AND(F582=0,E582&lt;&gt;0,G582&lt;&gt;0),"m2",IF(AND(G582=0,E582&lt;&gt;0,F582&lt;&gt;0),"m2",IF(AND(F582=0,G582=0),"ml",IF(AND(E582=0,G582=0),"ml",IF(AND(E582=0,F582=0),"ml",IF(AND(E582&lt;&gt;0,F582&lt;&gt;0,G582&lt;&gt;0),"m3",0)))))))</f>
        <v>ml</v>
      </c>
    </row>
    <row r="583" spans="2:10" s="1" customFormat="1" ht="12.75" x14ac:dyDescent="0.2">
      <c r="B583" s="43" t="s">
        <v>249</v>
      </c>
      <c r="C583" s="43" t="s">
        <v>228</v>
      </c>
      <c r="D583" s="60"/>
      <c r="E583" s="40"/>
      <c r="F583" s="40"/>
      <c r="G583" s="40"/>
      <c r="H583" s="40"/>
      <c r="I583" s="44">
        <f>SUM(H584:H584)</f>
        <v>13.4</v>
      </c>
      <c r="J583" s="45">
        <f>+J584</f>
        <v>0</v>
      </c>
    </row>
    <row r="584" spans="2:10" s="1" customFormat="1" ht="12.75" x14ac:dyDescent="0.2">
      <c r="B584" s="57"/>
      <c r="C584" s="39" t="s">
        <v>504</v>
      </c>
      <c r="D584" s="40">
        <v>1</v>
      </c>
      <c r="E584" s="40">
        <v>13.4</v>
      </c>
      <c r="F584" s="40"/>
      <c r="G584" s="40"/>
      <c r="H584" s="40">
        <f>IF(AND(F584=0,G584=0),D584*E584,IF(AND(E584=0,G584=0),D584*F584,IF(AND(E584=0,F584=0),D584*G584,IF(AND(E584=0),D584*F584*G584,IF(AND(F584=0),D584*E584*G584,IF(AND(G584=0),D584*E584*F584,D584*E584*F584*G584))))))</f>
        <v>13.4</v>
      </c>
      <c r="I584" s="40"/>
      <c r="J584" s="41"/>
    </row>
    <row r="585" spans="2:10" s="1" customFormat="1" ht="12.75" x14ac:dyDescent="0.2">
      <c r="B585" s="57"/>
      <c r="C585" s="39"/>
      <c r="D585" s="60"/>
      <c r="E585" s="40"/>
      <c r="F585" s="40"/>
      <c r="G585" s="40"/>
      <c r="H585" s="40"/>
      <c r="I585" s="40"/>
      <c r="J585" s="41"/>
    </row>
    <row r="586" spans="2:10" s="1" customFormat="1" ht="12.75" x14ac:dyDescent="0.2">
      <c r="B586" s="43" t="s">
        <v>256</v>
      </c>
      <c r="C586" s="43" t="s">
        <v>250</v>
      </c>
      <c r="D586" s="60"/>
      <c r="E586" s="40"/>
      <c r="F586" s="40"/>
      <c r="G586" s="40"/>
      <c r="H586" s="40"/>
      <c r="I586" s="44">
        <f>SUM(H587:H587)</f>
        <v>0</v>
      </c>
      <c r="J586" s="45" t="str">
        <f>+J587</f>
        <v>ml</v>
      </c>
    </row>
    <row r="587" spans="2:10" s="1" customFormat="1" ht="12.75" x14ac:dyDescent="0.2">
      <c r="B587" s="57"/>
      <c r="C587" s="39" t="s">
        <v>386</v>
      </c>
      <c r="D587" s="40"/>
      <c r="E587" s="40"/>
      <c r="F587" s="40"/>
      <c r="G587" s="40"/>
      <c r="H587" s="40">
        <f>IF(AND(F587=0,G587=0),D587*E587,IF(AND(E587=0,G587=0),D587*F587,IF(AND(E587=0,F587=0),D587*G587,IF(AND(E587=0),D587*F587*G587,IF(AND(F587=0),D587*E587*G587,IF(AND(G587=0),D587*E587*F587,D587*E587*F587*G587))))))</f>
        <v>0</v>
      </c>
      <c r="I587" s="40"/>
      <c r="J587" s="41" t="str">
        <f>IF(AND(E587=0,F587&lt;&gt;0,G587&lt;&gt;0),"m2",IF(AND(F587=0,E587&lt;&gt;0,G587&lt;&gt;0),"m2",IF(AND(G587=0,E587&lt;&gt;0,F587&lt;&gt;0),"m2",IF(AND(F587=0,G587=0),"ml",IF(AND(E587=0,G587=0),"ml",IF(AND(E587=0,F587=0),"ml",IF(AND(E587&lt;&gt;0,F587&lt;&gt;0,G587&lt;&gt;0),"m3",0)))))))</f>
        <v>ml</v>
      </c>
    </row>
    <row r="588" spans="2:10" s="1" customFormat="1" ht="12.75" x14ac:dyDescent="0.2">
      <c r="B588" s="43" t="s">
        <v>257</v>
      </c>
      <c r="C588" s="43" t="s">
        <v>252</v>
      </c>
      <c r="D588" s="60"/>
      <c r="E588" s="40"/>
      <c r="F588" s="40"/>
      <c r="G588" s="40"/>
      <c r="H588" s="40"/>
      <c r="I588" s="44">
        <f>SUM(H589:H589)</f>
        <v>0</v>
      </c>
      <c r="J588" s="45" t="str">
        <f>+J589</f>
        <v>ml</v>
      </c>
    </row>
    <row r="589" spans="2:10" s="1" customFormat="1" ht="12.75" x14ac:dyDescent="0.2">
      <c r="B589" s="57"/>
      <c r="C589" s="39" t="s">
        <v>238</v>
      </c>
      <c r="D589" s="40"/>
      <c r="E589" s="40"/>
      <c r="F589" s="40"/>
      <c r="G589" s="40"/>
      <c r="H589" s="40">
        <f>IF(AND(F589=0,G589=0),D589*E589,IF(AND(E589=0,G589=0),D589*F589,IF(AND(E589=0,F589=0),D589*G589,IF(AND(E589=0),D589*F589*G589,IF(AND(F589=0),D589*E589*G589,IF(AND(G589=0),D589*E589*F589,D589*E589*F589*G589))))))</f>
        <v>0</v>
      </c>
      <c r="I589" s="40"/>
      <c r="J589" s="41" t="str">
        <f>IF(AND(E589=0,F589&lt;&gt;0,G589&lt;&gt;0),"m2",IF(AND(F589=0,E589&lt;&gt;0,G589&lt;&gt;0),"m2",IF(AND(G589=0,E589&lt;&gt;0,F589&lt;&gt;0),"m2",IF(AND(F589=0,G589=0),"ml",IF(AND(E589=0,G589=0),"ml",IF(AND(E589=0,F589=0),"ml",IF(AND(E589&lt;&gt;0,F589&lt;&gt;0,G589&lt;&gt;0),"m3",0)))))))</f>
        <v>ml</v>
      </c>
    </row>
    <row r="590" spans="2:10" s="1" customFormat="1" ht="12.75" x14ac:dyDescent="0.2">
      <c r="B590" s="43" t="s">
        <v>258</v>
      </c>
      <c r="C590" s="43" t="s">
        <v>253</v>
      </c>
      <c r="D590" s="60"/>
      <c r="E590" s="40"/>
      <c r="F590" s="40"/>
      <c r="G590" s="40"/>
      <c r="H590" s="40"/>
      <c r="I590" s="44">
        <f>SUM(H591:H593)</f>
        <v>0</v>
      </c>
      <c r="J590" s="45" t="str">
        <f>+J593</f>
        <v>und</v>
      </c>
    </row>
    <row r="591" spans="2:10" s="1" customFormat="1" ht="12.75" x14ac:dyDescent="0.2">
      <c r="B591" s="43"/>
      <c r="C591" s="39" t="s">
        <v>383</v>
      </c>
      <c r="D591" s="40"/>
      <c r="E591" s="40"/>
      <c r="F591" s="40"/>
      <c r="G591" s="40"/>
      <c r="H591" s="40">
        <f>+D591</f>
        <v>0</v>
      </c>
      <c r="I591" s="40"/>
      <c r="J591" s="41" t="s">
        <v>13</v>
      </c>
    </row>
    <row r="592" spans="2:10" s="1" customFormat="1" ht="12.75" x14ac:dyDescent="0.2">
      <c r="B592" s="43"/>
      <c r="C592" s="39" t="s">
        <v>381</v>
      </c>
      <c r="D592" s="40"/>
      <c r="E592" s="40"/>
      <c r="F592" s="40"/>
      <c r="G592" s="40"/>
      <c r="H592" s="40">
        <f>+D592</f>
        <v>0</v>
      </c>
      <c r="I592" s="40"/>
      <c r="J592" s="41" t="s">
        <v>13</v>
      </c>
    </row>
    <row r="593" spans="2:10" s="1" customFormat="1" ht="12.75" x14ac:dyDescent="0.2">
      <c r="B593" s="57"/>
      <c r="C593" s="39" t="s">
        <v>382</v>
      </c>
      <c r="D593" s="40"/>
      <c r="E593" s="40"/>
      <c r="F593" s="40"/>
      <c r="G593" s="40"/>
      <c r="H593" s="40">
        <f>+D593</f>
        <v>0</v>
      </c>
      <c r="I593" s="40"/>
      <c r="J593" s="41" t="s">
        <v>13</v>
      </c>
    </row>
    <row r="594" spans="2:10" s="1" customFormat="1" ht="12.75" x14ac:dyDescent="0.2">
      <c r="B594" s="43" t="s">
        <v>259</v>
      </c>
      <c r="C594" s="43" t="s">
        <v>254</v>
      </c>
      <c r="D594" s="60"/>
      <c r="E594" s="40"/>
      <c r="F594" s="40"/>
      <c r="G594" s="40"/>
      <c r="H594" s="40"/>
      <c r="I594" s="44">
        <f>SUM(H595:H595)</f>
        <v>0</v>
      </c>
      <c r="J594" s="45" t="str">
        <f>+J595</f>
        <v>und</v>
      </c>
    </row>
    <row r="595" spans="2:10" s="1" customFormat="1" ht="12.75" x14ac:dyDescent="0.2">
      <c r="B595" s="57"/>
      <c r="C595" s="39" t="s">
        <v>238</v>
      </c>
      <c r="D595" s="40"/>
      <c r="E595" s="40"/>
      <c r="F595" s="40"/>
      <c r="G595" s="40"/>
      <c r="H595" s="40">
        <f>+D595</f>
        <v>0</v>
      </c>
      <c r="I595" s="40"/>
      <c r="J595" s="41" t="s">
        <v>13</v>
      </c>
    </row>
    <row r="596" spans="2:10" s="1" customFormat="1" ht="12.75" x14ac:dyDescent="0.2">
      <c r="B596" s="57"/>
      <c r="C596" s="39"/>
      <c r="D596" s="60"/>
      <c r="E596" s="40"/>
      <c r="F596" s="40"/>
      <c r="G596" s="40"/>
      <c r="H596" s="40"/>
      <c r="I596" s="40"/>
      <c r="J596" s="41"/>
    </row>
    <row r="597" spans="2:10" s="1" customFormat="1" ht="12.75" x14ac:dyDescent="0.2">
      <c r="B597" s="57" t="s">
        <v>18</v>
      </c>
      <c r="C597" s="58" t="s">
        <v>223</v>
      </c>
      <c r="D597" s="60"/>
      <c r="E597" s="40"/>
      <c r="F597" s="40"/>
      <c r="G597" s="40"/>
      <c r="H597" s="40"/>
      <c r="I597" s="40"/>
      <c r="J597" s="41"/>
    </row>
    <row r="598" spans="2:10" s="1" customFormat="1" ht="12.75" x14ac:dyDescent="0.2">
      <c r="B598" s="43" t="s">
        <v>19</v>
      </c>
      <c r="C598" s="43" t="s">
        <v>265</v>
      </c>
      <c r="D598" s="60"/>
      <c r="E598" s="40"/>
      <c r="F598" s="40"/>
      <c r="G598" s="40"/>
      <c r="H598" s="40"/>
      <c r="I598" s="44">
        <f>SUM(H599:H599)</f>
        <v>1</v>
      </c>
      <c r="J598" s="45" t="e">
        <f>+#REF!</f>
        <v>#REF!</v>
      </c>
    </row>
    <row r="599" spans="2:10" s="1" customFormat="1" ht="12.75" x14ac:dyDescent="0.2">
      <c r="B599" s="46"/>
      <c r="C599" s="39" t="s">
        <v>231</v>
      </c>
      <c r="D599" s="40">
        <v>1</v>
      </c>
      <c r="E599" s="40"/>
      <c r="F599" s="40"/>
      <c r="G599" s="40"/>
      <c r="H599" s="40">
        <f>+D599</f>
        <v>1</v>
      </c>
      <c r="I599" s="40"/>
      <c r="J599" s="41" t="s">
        <v>13</v>
      </c>
    </row>
    <row r="600" spans="2:10" s="1" customFormat="1" ht="12.75" x14ac:dyDescent="0.2">
      <c r="B600" s="43" t="s">
        <v>908</v>
      </c>
      <c r="C600" s="43" t="s">
        <v>266</v>
      </c>
      <c r="D600" s="60"/>
      <c r="E600" s="40"/>
      <c r="F600" s="40"/>
      <c r="G600" s="40"/>
      <c r="H600" s="40"/>
      <c r="I600" s="44">
        <f>SUM(H601:H603)</f>
        <v>0</v>
      </c>
      <c r="J600" s="45" t="str">
        <f>+J601</f>
        <v>und</v>
      </c>
    </row>
    <row r="601" spans="2:10" s="1" customFormat="1" ht="12.75" x14ac:dyDescent="0.2">
      <c r="B601" s="43"/>
      <c r="C601" s="39" t="s">
        <v>71</v>
      </c>
      <c r="D601" s="40"/>
      <c r="E601" s="40"/>
      <c r="F601" s="40"/>
      <c r="G601" s="40"/>
      <c r="H601" s="40">
        <f>+D601</f>
        <v>0</v>
      </c>
      <c r="I601" s="40"/>
      <c r="J601" s="41" t="s">
        <v>13</v>
      </c>
    </row>
    <row r="602" spans="2:10" s="1" customFormat="1" ht="12.75" x14ac:dyDescent="0.2">
      <c r="B602" s="43"/>
      <c r="C602" s="39" t="s">
        <v>72</v>
      </c>
      <c r="D602" s="40"/>
      <c r="E602" s="40"/>
      <c r="F602" s="40"/>
      <c r="G602" s="40"/>
      <c r="H602" s="40">
        <f>+D602</f>
        <v>0</v>
      </c>
      <c r="I602" s="40"/>
      <c r="J602" s="41" t="s">
        <v>13</v>
      </c>
    </row>
    <row r="603" spans="2:10" s="1" customFormat="1" ht="12.75" x14ac:dyDescent="0.2">
      <c r="B603" s="43"/>
      <c r="C603" s="39" t="s">
        <v>73</v>
      </c>
      <c r="D603" s="40"/>
      <c r="E603" s="40"/>
      <c r="F603" s="40"/>
      <c r="G603" s="40"/>
      <c r="H603" s="40">
        <f>+D603</f>
        <v>0</v>
      </c>
      <c r="I603" s="40"/>
      <c r="J603" s="41" t="s">
        <v>13</v>
      </c>
    </row>
    <row r="604" spans="2:10" s="1" customFormat="1" ht="12.75" x14ac:dyDescent="0.2">
      <c r="B604" s="43" t="s">
        <v>21</v>
      </c>
      <c r="C604" s="43" t="s">
        <v>357</v>
      </c>
      <c r="D604" s="60"/>
      <c r="E604" s="40"/>
      <c r="F604" s="40"/>
      <c r="G604" s="40"/>
      <c r="H604" s="40"/>
      <c r="I604" s="44">
        <f>SUM(H605:H605)</f>
        <v>1</v>
      </c>
      <c r="J604" s="45" t="str">
        <f>+J605</f>
        <v>und</v>
      </c>
    </row>
    <row r="605" spans="2:10" s="1" customFormat="1" ht="12.75" x14ac:dyDescent="0.2">
      <c r="B605" s="43"/>
      <c r="C605" s="39" t="s">
        <v>375</v>
      </c>
      <c r="D605" s="40">
        <v>1</v>
      </c>
      <c r="E605" s="40">
        <v>1</v>
      </c>
      <c r="F605" s="40"/>
      <c r="G605" s="40"/>
      <c r="H605" s="40">
        <f>+D605</f>
        <v>1</v>
      </c>
      <c r="I605" s="40"/>
      <c r="J605" s="41" t="s">
        <v>13</v>
      </c>
    </row>
    <row r="606" spans="2:10" s="1" customFormat="1" ht="12.75" x14ac:dyDescent="0.2">
      <c r="B606" s="43" t="s">
        <v>273</v>
      </c>
      <c r="C606" s="43" t="s">
        <v>263</v>
      </c>
      <c r="D606" s="60"/>
      <c r="E606" s="40"/>
      <c r="F606" s="40"/>
      <c r="G606" s="40"/>
      <c r="H606" s="40"/>
      <c r="I606" s="44">
        <f>SUM(H607:H607)</f>
        <v>0</v>
      </c>
      <c r="J606" s="45" t="str">
        <f>+J607</f>
        <v>und</v>
      </c>
    </row>
    <row r="607" spans="2:10" s="1" customFormat="1" ht="14.25" customHeight="1" x14ac:dyDescent="0.2">
      <c r="B607" s="46"/>
      <c r="C607" s="39"/>
      <c r="D607" s="40">
        <v>0</v>
      </c>
      <c r="E607" s="40">
        <v>1</v>
      </c>
      <c r="F607" s="40"/>
      <c r="G607" s="40"/>
      <c r="H607" s="40">
        <f>+D607</f>
        <v>0</v>
      </c>
      <c r="I607" s="40"/>
      <c r="J607" s="41" t="s">
        <v>13</v>
      </c>
    </row>
    <row r="608" spans="2:10" s="1" customFormat="1" ht="12.75" x14ac:dyDescent="0.2">
      <c r="B608" s="43" t="s">
        <v>274</v>
      </c>
      <c r="C608" s="43" t="s">
        <v>264</v>
      </c>
      <c r="D608" s="60"/>
      <c r="E608" s="40"/>
      <c r="F608" s="40"/>
      <c r="G608" s="40"/>
      <c r="H608" s="40"/>
      <c r="I608" s="44">
        <f>SUM(H609:H609)</f>
        <v>0</v>
      </c>
      <c r="J608" s="45" t="str">
        <f>+J609</f>
        <v>und</v>
      </c>
    </row>
    <row r="609" spans="2:10" s="1" customFormat="1" ht="12.75" x14ac:dyDescent="0.2">
      <c r="B609" s="46"/>
      <c r="C609" s="39" t="s">
        <v>384</v>
      </c>
      <c r="D609" s="40"/>
      <c r="E609" s="40"/>
      <c r="F609" s="40"/>
      <c r="G609" s="40"/>
      <c r="H609" s="40">
        <f>+D609</f>
        <v>0</v>
      </c>
      <c r="I609" s="40"/>
      <c r="J609" s="41" t="s">
        <v>13</v>
      </c>
    </row>
    <row r="610" spans="2:10" s="1" customFormat="1" ht="12.75" x14ac:dyDescent="0.2">
      <c r="B610" s="46"/>
      <c r="C610" s="59"/>
      <c r="D610" s="60"/>
      <c r="E610" s="40"/>
      <c r="F610" s="40"/>
      <c r="G610" s="40"/>
      <c r="H610" s="40"/>
      <c r="I610" s="40"/>
      <c r="J610" s="41"/>
    </row>
    <row r="611" spans="2:10" s="1" customFormat="1" ht="12.75" x14ac:dyDescent="0.2">
      <c r="B611" s="46"/>
      <c r="C611" s="59"/>
      <c r="D611" s="60"/>
      <c r="E611" s="40"/>
      <c r="F611" s="40"/>
      <c r="G611" s="40"/>
      <c r="H611" s="40"/>
      <c r="I611" s="40"/>
      <c r="J611" s="41"/>
    </row>
    <row r="612" spans="2:10" s="1" customFormat="1" ht="12.75" x14ac:dyDescent="0.2">
      <c r="B612" s="46"/>
      <c r="C612" s="59"/>
      <c r="D612" s="60"/>
      <c r="E612" s="40"/>
      <c r="F612" s="40"/>
      <c r="G612" s="40"/>
      <c r="H612" s="40"/>
      <c r="I612" s="40"/>
      <c r="J612" s="41"/>
    </row>
    <row r="613" spans="2:10" s="1" customFormat="1" ht="12.75" x14ac:dyDescent="0.2">
      <c r="B613" s="46"/>
      <c r="C613" s="59"/>
      <c r="D613" s="60"/>
      <c r="E613" s="40"/>
      <c r="F613" s="40"/>
      <c r="G613" s="40"/>
      <c r="H613" s="40"/>
      <c r="I613" s="40"/>
      <c r="J613" s="41"/>
    </row>
    <row r="614" spans="2:10" s="1" customFormat="1" ht="12.75" x14ac:dyDescent="0.2">
      <c r="B614" s="46"/>
      <c r="C614" s="59"/>
      <c r="D614" s="60"/>
      <c r="E614" s="40"/>
      <c r="F614" s="40"/>
      <c r="G614" s="40"/>
      <c r="H614" s="40"/>
      <c r="I614" s="40"/>
      <c r="J614" s="41"/>
    </row>
    <row r="615" spans="2:10" s="1" customFormat="1" ht="12.75" x14ac:dyDescent="0.2">
      <c r="B615" s="46"/>
      <c r="C615" s="59"/>
      <c r="D615" s="60"/>
      <c r="E615" s="40"/>
      <c r="F615" s="40"/>
      <c r="G615" s="40"/>
      <c r="H615" s="40"/>
      <c r="I615" s="40"/>
      <c r="J615" s="41"/>
    </row>
    <row r="616" spans="2:10" s="1" customFormat="1" ht="12.75" x14ac:dyDescent="0.2">
      <c r="B616" s="46"/>
      <c r="C616" s="59"/>
      <c r="D616" s="60"/>
      <c r="E616" s="40"/>
      <c r="F616" s="40"/>
      <c r="G616" s="40"/>
      <c r="H616" s="40"/>
      <c r="I616" s="40"/>
      <c r="J616" s="41"/>
    </row>
    <row r="617" spans="2:10" s="1" customFormat="1" ht="12.75" x14ac:dyDescent="0.2">
      <c r="B617" s="46"/>
      <c r="C617" s="59"/>
      <c r="D617" s="60"/>
      <c r="E617" s="40"/>
      <c r="F617" s="40"/>
      <c r="G617" s="40"/>
      <c r="H617" s="40"/>
      <c r="I617" s="40"/>
      <c r="J617" s="41"/>
    </row>
    <row r="618" spans="2:10" s="1" customFormat="1" ht="12.75" x14ac:dyDescent="0.2">
      <c r="B618" s="46"/>
      <c r="C618" s="59"/>
      <c r="D618" s="60"/>
      <c r="E618" s="40"/>
      <c r="F618" s="40"/>
      <c r="G618" s="40"/>
      <c r="H618" s="40"/>
      <c r="I618" s="40"/>
      <c r="J618" s="41"/>
    </row>
    <row r="619" spans="2:10" s="1" customFormat="1" ht="12.75" x14ac:dyDescent="0.2">
      <c r="B619" s="46"/>
      <c r="C619" s="59"/>
      <c r="D619" s="60"/>
      <c r="E619" s="40"/>
      <c r="F619" s="40"/>
      <c r="G619" s="40"/>
      <c r="H619" s="40"/>
      <c r="I619" s="40"/>
      <c r="J619" s="41"/>
    </row>
    <row r="620" spans="2:10" s="1" customFormat="1" ht="12.75" x14ac:dyDescent="0.2">
      <c r="C620" s="384" t="s">
        <v>37</v>
      </c>
      <c r="D620" s="384"/>
      <c r="E620" s="384"/>
      <c r="F620" s="384"/>
      <c r="G620" s="384"/>
      <c r="H620" s="384"/>
    </row>
    <row r="621" spans="2:10" s="1" customFormat="1" ht="12.75" x14ac:dyDescent="0.2">
      <c r="C621" s="384" t="s">
        <v>38</v>
      </c>
      <c r="D621" s="384"/>
      <c r="E621" s="384"/>
      <c r="F621" s="384"/>
      <c r="G621" s="384"/>
      <c r="H621" s="384"/>
    </row>
    <row r="622" spans="2:10" s="1" customFormat="1" ht="12.75" x14ac:dyDescent="0.2">
      <c r="C622" s="384" t="s">
        <v>39</v>
      </c>
      <c r="D622" s="384"/>
      <c r="E622" s="384"/>
      <c r="F622" s="384"/>
      <c r="G622" s="384"/>
      <c r="H622" s="384"/>
    </row>
    <row r="623" spans="2:10" s="1" customFormat="1" ht="12.75" x14ac:dyDescent="0.2">
      <c r="C623" s="385" t="s">
        <v>40</v>
      </c>
      <c r="D623" s="385"/>
      <c r="E623" s="385"/>
      <c r="F623" s="385"/>
      <c r="G623" s="385"/>
      <c r="H623" s="385"/>
    </row>
    <row r="624" spans="2:10" s="1" customFormat="1" ht="33" customHeight="1" x14ac:dyDescent="0.2">
      <c r="C624" s="385"/>
      <c r="D624" s="385"/>
      <c r="E624" s="385"/>
      <c r="F624" s="385"/>
      <c r="G624" s="385"/>
      <c r="H624" s="385"/>
    </row>
    <row r="625" spans="2:10" s="1" customFormat="1" ht="15.75" x14ac:dyDescent="0.2">
      <c r="B625" s="386" t="s">
        <v>65</v>
      </c>
      <c r="C625" s="387"/>
      <c r="D625" s="387"/>
      <c r="E625" s="387"/>
      <c r="F625" s="387"/>
      <c r="G625" s="387"/>
      <c r="H625" s="387"/>
      <c r="I625" s="387"/>
      <c r="J625" s="388"/>
    </row>
    <row r="626" spans="2:10" s="1" customFormat="1" ht="20.25" x14ac:dyDescent="0.2">
      <c r="B626" s="390" t="s">
        <v>424</v>
      </c>
      <c r="C626" s="391"/>
      <c r="D626" s="391"/>
      <c r="E626" s="391"/>
      <c r="F626" s="391"/>
      <c r="G626" s="391"/>
      <c r="H626" s="391"/>
      <c r="I626" s="391"/>
      <c r="J626" s="392"/>
    </row>
    <row r="627" spans="2:10" s="1" customFormat="1" ht="13.5" thickBot="1" x14ac:dyDescent="0.25">
      <c r="B627" s="389"/>
      <c r="C627" s="389"/>
      <c r="D627" s="389"/>
      <c r="E627" s="389"/>
      <c r="F627" s="389"/>
      <c r="G627" s="389"/>
      <c r="H627" s="389"/>
      <c r="I627" s="389"/>
      <c r="J627" s="389"/>
    </row>
    <row r="628" spans="2:10" s="1" customFormat="1" ht="24.75" customHeight="1" x14ac:dyDescent="0.2">
      <c r="B628" s="494" t="s">
        <v>27</v>
      </c>
      <c r="C628" s="495"/>
      <c r="D628" s="495"/>
      <c r="E628" s="495"/>
      <c r="F628" s="495"/>
      <c r="G628" s="495"/>
      <c r="H628" s="495"/>
      <c r="I628" s="495"/>
      <c r="J628" s="496"/>
    </row>
    <row r="629" spans="2:10" s="1" customFormat="1" ht="12.75" x14ac:dyDescent="0.2">
      <c r="B629" s="2" t="s">
        <v>35</v>
      </c>
      <c r="C629" s="3" t="s">
        <v>36</v>
      </c>
      <c r="D629" s="3"/>
      <c r="E629" s="4"/>
      <c r="F629" s="5"/>
      <c r="G629" s="6" t="s">
        <v>8</v>
      </c>
      <c r="H629" s="497">
        <v>42879</v>
      </c>
      <c r="I629" s="497"/>
      <c r="J629" s="7"/>
    </row>
    <row r="630" spans="2:10" s="1" customFormat="1" ht="12.75" x14ac:dyDescent="0.2">
      <c r="B630" s="2" t="s">
        <v>33</v>
      </c>
      <c r="C630" s="3" t="s">
        <v>29</v>
      </c>
      <c r="D630" s="8"/>
      <c r="E630" s="8"/>
      <c r="F630" s="3"/>
      <c r="G630" s="9" t="s">
        <v>32</v>
      </c>
      <c r="H630" s="4" t="s">
        <v>29</v>
      </c>
      <c r="I630" s="10"/>
      <c r="J630" s="11"/>
    </row>
    <row r="631" spans="2:10" s="1" customFormat="1" ht="12.75" x14ac:dyDescent="0.2">
      <c r="B631" s="2" t="s">
        <v>34</v>
      </c>
      <c r="C631" s="3" t="s">
        <v>29</v>
      </c>
      <c r="D631" s="8"/>
      <c r="E631" s="8"/>
      <c r="F631" s="3"/>
      <c r="G631" s="9" t="s">
        <v>30</v>
      </c>
      <c r="H631" s="4" t="s">
        <v>31</v>
      </c>
      <c r="I631" s="10"/>
      <c r="J631" s="11"/>
    </row>
    <row r="632" spans="2:10" s="1" customFormat="1" ht="13.5" thickBot="1" x14ac:dyDescent="0.25">
      <c r="B632" s="12" t="s">
        <v>43</v>
      </c>
      <c r="C632" s="13" t="s">
        <v>44</v>
      </c>
      <c r="D632" s="14"/>
      <c r="E632" s="14"/>
      <c r="F632" s="13"/>
      <c r="G632" s="15" t="s">
        <v>41</v>
      </c>
      <c r="H632" s="16" t="s">
        <v>42</v>
      </c>
      <c r="I632" s="17"/>
      <c r="J632" s="18"/>
    </row>
    <row r="633" spans="2:10" s="1" customFormat="1" ht="12.75" x14ac:dyDescent="0.2">
      <c r="B633" s="389"/>
      <c r="C633" s="389"/>
      <c r="D633" s="389"/>
      <c r="E633" s="389"/>
      <c r="F633" s="389"/>
      <c r="G633" s="389"/>
      <c r="H633" s="389"/>
      <c r="I633" s="389"/>
      <c r="J633" s="389"/>
    </row>
    <row r="634" spans="2:10" s="1" customFormat="1" ht="12.75" x14ac:dyDescent="0.2">
      <c r="B634" s="21" t="s">
        <v>5</v>
      </c>
      <c r="C634" s="22" t="s">
        <v>0</v>
      </c>
      <c r="D634" s="22" t="s">
        <v>9</v>
      </c>
      <c r="E634" s="22" t="s">
        <v>10</v>
      </c>
      <c r="F634" s="22" t="s">
        <v>1</v>
      </c>
      <c r="G634" s="22" t="s">
        <v>2</v>
      </c>
      <c r="H634" s="22" t="s">
        <v>11</v>
      </c>
      <c r="I634" s="22" t="s">
        <v>6</v>
      </c>
      <c r="J634" s="22" t="s">
        <v>7</v>
      </c>
    </row>
    <row r="635" spans="2:10" s="1" customFormat="1" ht="12.75" x14ac:dyDescent="0.2">
      <c r="B635" s="55">
        <v>4.03</v>
      </c>
      <c r="C635" s="56" t="s">
        <v>222</v>
      </c>
      <c r="D635" s="60"/>
      <c r="E635" s="40"/>
      <c r="F635" s="40"/>
      <c r="G635" s="40"/>
      <c r="H635" s="40"/>
      <c r="I635" s="40"/>
      <c r="J635" s="41"/>
    </row>
    <row r="636" spans="2:10" s="1" customFormat="1" ht="12.75" x14ac:dyDescent="0.2">
      <c r="B636" s="57" t="s">
        <v>14</v>
      </c>
      <c r="C636" s="58" t="s">
        <v>225</v>
      </c>
      <c r="D636" s="60"/>
      <c r="E636" s="40"/>
      <c r="F636" s="40"/>
      <c r="G636" s="40"/>
      <c r="H636" s="40"/>
      <c r="I636" s="40"/>
      <c r="J636" s="41"/>
    </row>
    <row r="637" spans="2:10" s="1" customFormat="1" ht="12.75" x14ac:dyDescent="0.2">
      <c r="B637" s="43" t="s">
        <v>15</v>
      </c>
      <c r="C637" s="43" t="s">
        <v>269</v>
      </c>
      <c r="D637" s="60"/>
      <c r="E637" s="40"/>
      <c r="F637" s="40"/>
      <c r="G637" s="40"/>
      <c r="H637" s="40"/>
      <c r="I637" s="44">
        <f>SUM(H638:H644)</f>
        <v>0</v>
      </c>
      <c r="J637" s="45" t="str">
        <f>+J638</f>
        <v>ml</v>
      </c>
    </row>
    <row r="638" spans="2:10" s="1" customFormat="1" ht="12.75" x14ac:dyDescent="0.2">
      <c r="B638" s="43"/>
      <c r="C638" s="77" t="s">
        <v>71</v>
      </c>
      <c r="D638" s="40"/>
      <c r="E638" s="40"/>
      <c r="F638" s="40"/>
      <c r="G638" s="40"/>
      <c r="H638" s="40">
        <f t="shared" ref="H638:H644" si="6">IF(AND(F638=0,G638=0),D638*E638,IF(AND(E638=0,G638=0),D638*F638,IF(AND(E638=0,F638=0),D638*G638,IF(AND(E638=0),D638*F638*G638,IF(AND(F638=0),D638*E638*G638,IF(AND(G638=0),D638*E638*F638,D638*E638*F638*G638))))))</f>
        <v>0</v>
      </c>
      <c r="I638" s="40"/>
      <c r="J638" s="41" t="str">
        <f t="shared" ref="J638:J644" si="7">IF(AND(E638=0,F638&lt;&gt;0,G638&lt;&gt;0),"m2",IF(AND(F638=0,E638&lt;&gt;0,G638&lt;&gt;0),"m2",IF(AND(G638=0,E638&lt;&gt;0,F638&lt;&gt;0),"m2",IF(AND(F638=0,G638=0),"ml",IF(AND(E638=0,G638=0),"ml",IF(AND(E638=0,F638=0),"ml",IF(AND(E638&lt;&gt;0,F638&lt;&gt;0,G638&lt;&gt;0),"m3",0)))))))</f>
        <v>ml</v>
      </c>
    </row>
    <row r="639" spans="2:10" s="1" customFormat="1" ht="12.75" x14ac:dyDescent="0.2">
      <c r="B639" s="43"/>
      <c r="C639" s="39" t="s">
        <v>349</v>
      </c>
      <c r="D639" s="40"/>
      <c r="E639" s="40"/>
      <c r="F639" s="40"/>
      <c r="G639" s="40"/>
      <c r="H639" s="40">
        <f t="shared" si="6"/>
        <v>0</v>
      </c>
      <c r="I639" s="40"/>
      <c r="J639" s="41" t="str">
        <f t="shared" si="7"/>
        <v>ml</v>
      </c>
    </row>
    <row r="640" spans="2:10" s="1" customFormat="1" ht="12.75" x14ac:dyDescent="0.2">
      <c r="B640" s="43"/>
      <c r="C640" s="39" t="s">
        <v>369</v>
      </c>
      <c r="D640" s="40"/>
      <c r="E640" s="40"/>
      <c r="F640" s="40"/>
      <c r="G640" s="40"/>
      <c r="H640" s="40">
        <f t="shared" si="6"/>
        <v>0</v>
      </c>
      <c r="I640" s="40"/>
      <c r="J640" s="41" t="str">
        <f t="shared" si="7"/>
        <v>ml</v>
      </c>
    </row>
    <row r="641" spans="2:10" s="1" customFormat="1" ht="12.75" x14ac:dyDescent="0.2">
      <c r="B641" s="43"/>
      <c r="C641" s="77" t="s">
        <v>72</v>
      </c>
      <c r="D641" s="40"/>
      <c r="E641" s="40"/>
      <c r="F641" s="40"/>
      <c r="G641" s="40"/>
      <c r="H641" s="40">
        <f t="shared" si="6"/>
        <v>0</v>
      </c>
      <c r="I641" s="40"/>
      <c r="J641" s="41" t="str">
        <f t="shared" si="7"/>
        <v>ml</v>
      </c>
    </row>
    <row r="642" spans="2:10" s="1" customFormat="1" ht="12.75" x14ac:dyDescent="0.2">
      <c r="B642" s="43"/>
      <c r="C642" s="39" t="s">
        <v>349</v>
      </c>
      <c r="D642" s="40"/>
      <c r="E642" s="40"/>
      <c r="F642" s="40"/>
      <c r="G642" s="40"/>
      <c r="H642" s="40">
        <f t="shared" si="6"/>
        <v>0</v>
      </c>
      <c r="I642" s="40"/>
      <c r="J642" s="41" t="str">
        <f t="shared" si="7"/>
        <v>ml</v>
      </c>
    </row>
    <row r="643" spans="2:10" s="1" customFormat="1" ht="12.75" x14ac:dyDescent="0.2">
      <c r="B643" s="43"/>
      <c r="C643" s="77" t="s">
        <v>73</v>
      </c>
      <c r="D643" s="40"/>
      <c r="E643" s="40"/>
      <c r="F643" s="40"/>
      <c r="G643" s="40"/>
      <c r="H643" s="40">
        <f t="shared" si="6"/>
        <v>0</v>
      </c>
      <c r="I643" s="40"/>
      <c r="J643" s="41" t="str">
        <f t="shared" si="7"/>
        <v>ml</v>
      </c>
    </row>
    <row r="644" spans="2:10" s="1" customFormat="1" ht="12.75" x14ac:dyDescent="0.2">
      <c r="B644" s="43"/>
      <c r="C644" s="39" t="s">
        <v>349</v>
      </c>
      <c r="D644" s="40"/>
      <c r="E644" s="40"/>
      <c r="F644" s="40"/>
      <c r="G644" s="40"/>
      <c r="H644" s="40">
        <f t="shared" si="6"/>
        <v>0</v>
      </c>
      <c r="I644" s="40"/>
      <c r="J644" s="41" t="str">
        <f t="shared" si="7"/>
        <v>ml</v>
      </c>
    </row>
    <row r="645" spans="2:10" s="1" customFormat="1" ht="12.75" x14ac:dyDescent="0.2">
      <c r="B645" s="43" t="s">
        <v>232</v>
      </c>
      <c r="C645" s="43" t="s">
        <v>348</v>
      </c>
      <c r="D645" s="60"/>
      <c r="E645" s="40"/>
      <c r="F645" s="40"/>
      <c r="G645" s="40"/>
      <c r="H645" s="40"/>
      <c r="I645" s="44">
        <f>SUM(H646:H646)</f>
        <v>0</v>
      </c>
      <c r="J645" s="45" t="str">
        <f>+J646</f>
        <v>und</v>
      </c>
    </row>
    <row r="646" spans="2:10" s="1" customFormat="1" ht="12.75" x14ac:dyDescent="0.2">
      <c r="B646" s="57"/>
      <c r="C646" s="39" t="s">
        <v>349</v>
      </c>
      <c r="D646" s="40">
        <v>0</v>
      </c>
      <c r="E646" s="40"/>
      <c r="F646" s="40"/>
      <c r="G646" s="40"/>
      <c r="H646" s="40">
        <f>+D646</f>
        <v>0</v>
      </c>
      <c r="I646" s="40"/>
      <c r="J646" s="41" t="s">
        <v>13</v>
      </c>
    </row>
    <row r="647" spans="2:10" s="1" customFormat="1" ht="12.75" x14ac:dyDescent="0.2">
      <c r="B647" s="57" t="s">
        <v>16</v>
      </c>
      <c r="C647" s="58" t="s">
        <v>224</v>
      </c>
      <c r="D647" s="60"/>
      <c r="E647" s="40"/>
      <c r="F647" s="40"/>
      <c r="G647" s="40"/>
      <c r="H647" s="40"/>
      <c r="I647" s="40"/>
      <c r="J647" s="41"/>
    </row>
    <row r="648" spans="2:10" s="1" customFormat="1" ht="12.75" x14ac:dyDescent="0.2">
      <c r="B648" s="43" t="s">
        <v>17</v>
      </c>
      <c r="C648" s="43" t="s">
        <v>343</v>
      </c>
      <c r="D648" s="60"/>
      <c r="E648" s="40"/>
      <c r="F648" s="40"/>
      <c r="G648" s="40"/>
      <c r="H648" s="40"/>
      <c r="I648" s="44">
        <f>SUM(H649:H650)</f>
        <v>61</v>
      </c>
      <c r="J648" s="45" t="str">
        <f>+J649</f>
        <v>ml</v>
      </c>
    </row>
    <row r="649" spans="2:10" s="1" customFormat="1" ht="12.75" x14ac:dyDescent="0.2">
      <c r="B649" s="57"/>
      <c r="C649" s="39" t="s">
        <v>425</v>
      </c>
      <c r="D649" s="113">
        <v>1</v>
      </c>
      <c r="E649" s="113">
        <v>30.5</v>
      </c>
      <c r="F649" s="113"/>
      <c r="G649" s="113"/>
      <c r="H649" s="113">
        <f>IF(AND(F649=0,G649=0),D649*E649,IF(AND(E649=0,G649=0),D649*F649,IF(AND(E649=0,F649=0),D649*G649,IF(AND(E649=0),D649*F649*G649,IF(AND(F649=0),D649*E649*G649,IF(AND(G649=0),D649*E649*F649,D649*E649*F649*G649))))))</f>
        <v>30.5</v>
      </c>
      <c r="I649" s="40"/>
      <c r="J649" s="41" t="str">
        <f>IF(AND(E649=0,F649&lt;&gt;0,G649&lt;&gt;0),"m2",IF(AND(F649=0,E649&lt;&gt;0,G649&lt;&gt;0),"m2",IF(AND(G649=0,E649&lt;&gt;0,F649&lt;&gt;0),"m2",IF(AND(F649=0,G649=0),"ml",IF(AND(E649=0,G649=0),"ml",IF(AND(E649=0,F649=0),"ml",IF(AND(E649&lt;&gt;0,F649&lt;&gt;0,G649&lt;&gt;0),"m3",0)))))))</f>
        <v>ml</v>
      </c>
    </row>
    <row r="650" spans="2:10" s="1" customFormat="1" ht="12.75" x14ac:dyDescent="0.2">
      <c r="B650" s="57"/>
      <c r="C650" s="39" t="s">
        <v>425</v>
      </c>
      <c r="D650" s="113">
        <v>1</v>
      </c>
      <c r="E650" s="113">
        <v>30.5</v>
      </c>
      <c r="F650" s="113"/>
      <c r="G650" s="113"/>
      <c r="H650" s="113">
        <f>IF(AND(F650=0,G650=0),D650*E650,IF(AND(E650=0,G650=0),D650*F650,IF(AND(E650=0,F650=0),D650*G650,IF(AND(E650=0),D650*F650*G650,IF(AND(F650=0),D650*E650*G650,IF(AND(G650=0),D650*E650*F650,D650*E650*F650*G650))))))</f>
        <v>30.5</v>
      </c>
      <c r="I650" s="40"/>
      <c r="J650" s="41"/>
    </row>
    <row r="651" spans="2:10" s="1" customFormat="1" ht="12.75" x14ac:dyDescent="0.2">
      <c r="B651" s="43" t="s">
        <v>240</v>
      </c>
      <c r="C651" s="43" t="s">
        <v>237</v>
      </c>
      <c r="D651" s="60"/>
      <c r="E651" s="40"/>
      <c r="F651" s="40"/>
      <c r="G651" s="40"/>
      <c r="H651" s="40"/>
      <c r="I651" s="44">
        <f>SUM(H652:H652)</f>
        <v>0</v>
      </c>
      <c r="J651" s="45" t="str">
        <f>+J652</f>
        <v>ml</v>
      </c>
    </row>
    <row r="652" spans="2:10" s="1" customFormat="1" ht="12.75" x14ac:dyDescent="0.2">
      <c r="B652" s="57"/>
      <c r="C652" s="39" t="s">
        <v>426</v>
      </c>
      <c r="D652" s="40">
        <v>1</v>
      </c>
      <c r="E652" s="40"/>
      <c r="F652" s="40"/>
      <c r="G652" s="40"/>
      <c r="H652" s="40">
        <f>IF(AND(F652=0,G652=0),D652*E652,IF(AND(E652=0,G652=0),D652*F652,IF(AND(E652=0,F652=0),D652*G652,IF(AND(E652=0),D652*F652*G652,IF(AND(F652=0),D652*E652*G652,IF(AND(G652=0),D652*E652*F652,D652*E652*F652*G652))))))</f>
        <v>0</v>
      </c>
      <c r="I652" s="40"/>
      <c r="J652" s="41" t="str">
        <f>IF(AND(E652=0,F652&lt;&gt;0,G652&lt;&gt;0),"m2",IF(AND(F652=0,E652&lt;&gt;0,G652&lt;&gt;0),"m2",IF(AND(G652=0,E652&lt;&gt;0,F652&lt;&gt;0),"m2",IF(AND(F652=0,G652=0),"ml",IF(AND(E652=0,G652=0),"ml",IF(AND(E652=0,F652=0),"ml",IF(AND(E652&lt;&gt;0,F652&lt;&gt;0,G652&lt;&gt;0),"m3",0)))))))</f>
        <v>ml</v>
      </c>
    </row>
    <row r="653" spans="2:10" s="1" customFormat="1" ht="12.75" x14ac:dyDescent="0.2">
      <c r="B653" s="43" t="s">
        <v>241</v>
      </c>
      <c r="C653" s="43" t="s">
        <v>242</v>
      </c>
      <c r="D653" s="60"/>
      <c r="E653" s="40"/>
      <c r="F653" s="40"/>
      <c r="G653" s="40"/>
      <c r="H653" s="40"/>
      <c r="I653" s="44"/>
      <c r="J653" s="45"/>
    </row>
    <row r="654" spans="2:10" s="1" customFormat="1" ht="12.75" x14ac:dyDescent="0.2">
      <c r="B654" s="57"/>
      <c r="C654" s="39" t="s">
        <v>401</v>
      </c>
      <c r="D654" s="40"/>
      <c r="E654" s="40"/>
      <c r="F654" s="40"/>
      <c r="G654" s="40"/>
      <c r="H654" s="40">
        <f>IF(AND(F654=0,G654=0),D654*E654,IF(AND(E654=0,G654=0),D654*F654,IF(AND(E654=0,F654=0),D654*G654,IF(AND(E654=0),D654*F654*G654,IF(AND(F654=0),D654*E654*G654,IF(AND(G654=0),D654*E654*F654,D654*E654*F654*G654))))))</f>
        <v>0</v>
      </c>
      <c r="I654" s="40"/>
      <c r="J654" s="41" t="str">
        <f>IF(AND(E654=0,F654&lt;&gt;0,G654&lt;&gt;0),"m2",IF(AND(F654=0,E654&lt;&gt;0,G654&lt;&gt;0),"m2",IF(AND(G654=0,E654&lt;&gt;0,F654&lt;&gt;0),"m2",IF(AND(F654=0,G654=0),"ml",IF(AND(E654=0,G654=0),"ml",IF(AND(E654=0,F654=0),"ml",IF(AND(E654&lt;&gt;0,F654&lt;&gt;0,G654&lt;&gt;0),"m3",0)))))))</f>
        <v>ml</v>
      </c>
    </row>
    <row r="655" spans="2:10" s="1" customFormat="1" ht="12.75" x14ac:dyDescent="0.2">
      <c r="B655" s="43" t="s">
        <v>243</v>
      </c>
      <c r="C655" s="43" t="s">
        <v>245</v>
      </c>
      <c r="D655" s="60"/>
      <c r="E655" s="40"/>
      <c r="F655" s="40"/>
      <c r="G655" s="40"/>
      <c r="H655" s="40"/>
      <c r="I655" s="44">
        <f>SUM(H656:H656)</f>
        <v>0</v>
      </c>
      <c r="J655" s="45" t="str">
        <f>+J656</f>
        <v>ml</v>
      </c>
    </row>
    <row r="656" spans="2:10" s="1" customFormat="1" ht="12.75" x14ac:dyDescent="0.2">
      <c r="B656" s="57"/>
      <c r="C656" s="39" t="s">
        <v>426</v>
      </c>
      <c r="D656" s="40">
        <v>1</v>
      </c>
      <c r="E656" s="40"/>
      <c r="F656" s="40"/>
      <c r="G656" s="40"/>
      <c r="H656" s="40">
        <f>IF(AND(F656=0,G656=0),D656*E656,IF(AND(E656=0,G656=0),D656*F656,IF(AND(E656=0,F656=0),D656*G656,IF(AND(E656=0),D656*F656*G656,IF(AND(F656=0),D656*E656*G656,IF(AND(G656=0),D656*E656*F656,D656*E656*F656*G656))))))</f>
        <v>0</v>
      </c>
      <c r="I656" s="40"/>
      <c r="J656" s="41" t="str">
        <f>IF(AND(E656=0,F656&lt;&gt;0,G656&lt;&gt;0),"m2",IF(AND(F656=0,E656&lt;&gt;0,G656&lt;&gt;0),"m2",IF(AND(G656=0,E656&lt;&gt;0,F656&lt;&gt;0),"m2",IF(AND(F656=0,G656=0),"ml",IF(AND(E656=0,G656=0),"ml",IF(AND(E656=0,F656=0),"ml",IF(AND(E656&lt;&gt;0,F656&lt;&gt;0,G656&lt;&gt;0),"m3",0)))))))</f>
        <v>ml</v>
      </c>
    </row>
    <row r="657" spans="2:10" s="1" customFormat="1" ht="12.75" x14ac:dyDescent="0.2">
      <c r="B657" s="43" t="s">
        <v>244</v>
      </c>
      <c r="C657" s="43" t="s">
        <v>247</v>
      </c>
      <c r="D657" s="60"/>
      <c r="E657" s="40"/>
      <c r="F657" s="40"/>
      <c r="G657" s="40"/>
      <c r="H657" s="40"/>
      <c r="I657" s="44">
        <f>SUM(H658:H658)</f>
        <v>0</v>
      </c>
      <c r="J657" s="45" t="str">
        <f>+J658</f>
        <v>ml</v>
      </c>
    </row>
    <row r="658" spans="2:10" s="1" customFormat="1" ht="12.75" x14ac:dyDescent="0.2">
      <c r="B658" s="57"/>
      <c r="C658" s="39" t="s">
        <v>396</v>
      </c>
      <c r="D658" s="40"/>
      <c r="E658" s="40"/>
      <c r="F658" s="40"/>
      <c r="G658" s="40"/>
      <c r="H658" s="40">
        <f>IF(AND(F658=0,G658=0),D658*E658,IF(AND(E658=0,G658=0),D658*F658,IF(AND(E658=0,F658=0),D658*G658,IF(AND(E658=0),D658*F658*G658,IF(AND(F658=0),D658*E658*G658,IF(AND(G658=0),D658*E658*F658,D658*E658*F658*G658))))))</f>
        <v>0</v>
      </c>
      <c r="I658" s="40"/>
      <c r="J658" s="41" t="str">
        <f>IF(AND(E658=0,F658&lt;&gt;0,G658&lt;&gt;0),"m2",IF(AND(F658=0,E658&lt;&gt;0,G658&lt;&gt;0),"m2",IF(AND(G658=0,E658&lt;&gt;0,F658&lt;&gt;0),"m2",IF(AND(F658=0,G658=0),"ml",IF(AND(E658=0,G658=0),"ml",IF(AND(E658=0,F658=0),"ml",IF(AND(E658&lt;&gt;0,F658&lt;&gt;0,G658&lt;&gt;0),"m3",0)))))))</f>
        <v>ml</v>
      </c>
    </row>
    <row r="659" spans="2:10" s="1" customFormat="1" ht="12.75" x14ac:dyDescent="0.2">
      <c r="B659" s="43" t="s">
        <v>248</v>
      </c>
      <c r="C659" s="43" t="s">
        <v>226</v>
      </c>
      <c r="D659" s="60"/>
      <c r="E659" s="40"/>
      <c r="F659" s="40"/>
      <c r="G659" s="40"/>
      <c r="H659" s="40"/>
      <c r="I659" s="44">
        <f>SUM(H660:H661)</f>
        <v>0.7</v>
      </c>
      <c r="J659" s="45">
        <f>+J661</f>
        <v>0</v>
      </c>
    </row>
    <row r="660" spans="2:10" s="1" customFormat="1" ht="12.75" x14ac:dyDescent="0.2">
      <c r="B660" s="57"/>
      <c r="C660" s="39" t="s">
        <v>383</v>
      </c>
      <c r="D660" s="40">
        <v>1</v>
      </c>
      <c r="E660" s="40">
        <v>0.7</v>
      </c>
      <c r="F660" s="40"/>
      <c r="G660" s="40"/>
      <c r="H660" s="40">
        <f>IF(AND(F660=0,G660=0),D660*E660,IF(AND(E660=0,G660=0),D660*F660,IF(AND(E660=0,F660=0),D660*G660,IF(AND(E660=0),D660*F660*G660,IF(AND(F660=0),D660*E660*G660,IF(AND(G660=0),D660*E660*F660,D660*E660*F660*G660))))))</f>
        <v>0.7</v>
      </c>
      <c r="I660" s="40"/>
      <c r="J660" s="41"/>
    </row>
    <row r="661" spans="2:10" s="1" customFormat="1" ht="12.75" x14ac:dyDescent="0.2">
      <c r="B661" s="57"/>
      <c r="C661" s="39"/>
      <c r="D661" s="40"/>
      <c r="E661" s="40"/>
      <c r="F661" s="40"/>
      <c r="G661" s="40"/>
      <c r="H661" s="40"/>
      <c r="I661" s="40"/>
      <c r="J661" s="41"/>
    </row>
    <row r="662" spans="2:10" s="1" customFormat="1" ht="12.75" x14ac:dyDescent="0.2">
      <c r="B662" s="43" t="s">
        <v>249</v>
      </c>
      <c r="C662" s="43" t="s">
        <v>228</v>
      </c>
      <c r="D662" s="60"/>
      <c r="E662" s="40"/>
      <c r="F662" s="40"/>
      <c r="G662" s="40"/>
      <c r="H662" s="40"/>
      <c r="I662" s="44">
        <f>SUM(H663:H663)</f>
        <v>3.7</v>
      </c>
      <c r="J662" s="45" t="str">
        <f>+J663</f>
        <v>ml</v>
      </c>
    </row>
    <row r="663" spans="2:10" s="1" customFormat="1" ht="12.75" x14ac:dyDescent="0.2">
      <c r="B663" s="57"/>
      <c r="C663" s="39" t="s">
        <v>558</v>
      </c>
      <c r="D663" s="40">
        <v>1</v>
      </c>
      <c r="E663" s="40">
        <v>3.7</v>
      </c>
      <c r="F663" s="40"/>
      <c r="G663" s="40"/>
      <c r="H663" s="40">
        <f>IF(AND(F663=0,G663=0),D663*E663,IF(AND(E663=0,G663=0),D663*F663,IF(AND(E663=0,F663=0),D663*G663,IF(AND(E663=0),D663*F663*G663,IF(AND(F663=0),D663*E663*G663,IF(AND(G663=0),D663*E663*F663,D663*E663*F663*G663))))))</f>
        <v>3.7</v>
      </c>
      <c r="I663" s="40"/>
      <c r="J663" s="41" t="str">
        <f>IF(AND(E663=0,F663&lt;&gt;0,G663&lt;&gt;0),"m2",IF(AND(F663=0,E663&lt;&gt;0,G663&lt;&gt;0),"m2",IF(AND(G663=0,E663&lt;&gt;0,F663&lt;&gt;0),"m2",IF(AND(F663=0,G663=0),"ml",IF(AND(E663=0,G663=0),"ml",IF(AND(E663=0,F663=0),"ml",IF(AND(E663&lt;&gt;0,F663&lt;&gt;0,G663&lt;&gt;0),"m3",0)))))))</f>
        <v>ml</v>
      </c>
    </row>
    <row r="664" spans="2:10" s="1" customFormat="1" ht="12.75" x14ac:dyDescent="0.2">
      <c r="B664" s="57"/>
      <c r="C664" s="39" t="s">
        <v>557</v>
      </c>
      <c r="D664" s="60">
        <v>1</v>
      </c>
      <c r="E664" s="40">
        <f>0.96+1.2</f>
        <v>2.16</v>
      </c>
      <c r="F664" s="40"/>
      <c r="G664" s="40"/>
      <c r="H664" s="40">
        <f>IF(AND(F664=0,G664=0),D664*E664,IF(AND(E664=0,G664=0),D664*F664,IF(AND(E664=0,F664=0),D664*G664,IF(AND(E664=0),D664*F664*G664,IF(AND(F664=0),D664*E664*G664,IF(AND(G664=0),D664*E664*F664,D664*E664*F664*G664))))))</f>
        <v>2.16</v>
      </c>
      <c r="I664" s="40"/>
      <c r="J664" s="41"/>
    </row>
    <row r="665" spans="2:10" s="1" customFormat="1" ht="12.75" x14ac:dyDescent="0.2">
      <c r="B665" s="57"/>
      <c r="C665" s="39"/>
      <c r="D665" s="60"/>
      <c r="E665" s="40"/>
      <c r="F665" s="40"/>
      <c r="G665" s="40"/>
      <c r="H665" s="40"/>
      <c r="I665" s="40"/>
      <c r="J665" s="41"/>
    </row>
    <row r="666" spans="2:10" s="1" customFormat="1" ht="12.75" x14ac:dyDescent="0.2">
      <c r="B666" s="43" t="s">
        <v>256</v>
      </c>
      <c r="C666" s="43" t="s">
        <v>250</v>
      </c>
      <c r="D666" s="60"/>
      <c r="E666" s="40"/>
      <c r="F666" s="40"/>
      <c r="G666" s="40"/>
      <c r="H666" s="40"/>
      <c r="I666" s="44">
        <f>SUM(H667:H667)</f>
        <v>0</v>
      </c>
      <c r="J666" s="45" t="str">
        <f>+J667</f>
        <v>ml</v>
      </c>
    </row>
    <row r="667" spans="2:10" s="1" customFormat="1" ht="12.75" x14ac:dyDescent="0.2">
      <c r="B667" s="57"/>
      <c r="C667" s="39" t="s">
        <v>388</v>
      </c>
      <c r="D667" s="40"/>
      <c r="E667" s="40"/>
      <c r="F667" s="40"/>
      <c r="G667" s="40"/>
      <c r="H667" s="40">
        <f>IF(AND(F667=0,G667=0),D667*E667,IF(AND(E667=0,G667=0),D667*F667,IF(AND(E667=0,F667=0),D667*G667,IF(AND(E667=0),D667*F667*G667,IF(AND(F667=0),D667*E667*G667,IF(AND(G667=0),D667*E667*F667,D667*E667*F667*G667))))))</f>
        <v>0</v>
      </c>
      <c r="I667" s="40"/>
      <c r="J667" s="41" t="str">
        <f>IF(AND(E667=0,F667&lt;&gt;0,G667&lt;&gt;0),"m2",IF(AND(F667=0,E667&lt;&gt;0,G667&lt;&gt;0),"m2",IF(AND(G667=0,E667&lt;&gt;0,F667&lt;&gt;0),"m2",IF(AND(F667=0,G667=0),"ml",IF(AND(E667=0,G667=0),"ml",IF(AND(E667=0,F667=0),"ml",IF(AND(E667&lt;&gt;0,F667&lt;&gt;0,G667&lt;&gt;0),"m3",0)))))))</f>
        <v>ml</v>
      </c>
    </row>
    <row r="668" spans="2:10" s="1" customFormat="1" ht="12.75" x14ac:dyDescent="0.2">
      <c r="B668" s="43" t="s">
        <v>257</v>
      </c>
      <c r="C668" s="43" t="s">
        <v>252</v>
      </c>
      <c r="D668" s="60"/>
      <c r="E668" s="40"/>
      <c r="F668" s="40"/>
      <c r="G668" s="40"/>
      <c r="H668" s="40"/>
      <c r="I668" s="44">
        <f>SUM(H669:H669)</f>
        <v>0</v>
      </c>
      <c r="J668" s="45" t="str">
        <f>+J669</f>
        <v>ml</v>
      </c>
    </row>
    <row r="669" spans="2:10" s="1" customFormat="1" ht="12.75" x14ac:dyDescent="0.2">
      <c r="B669" s="57"/>
      <c r="C669" s="39" t="s">
        <v>397</v>
      </c>
      <c r="D669" s="40"/>
      <c r="E669" s="40"/>
      <c r="F669" s="40"/>
      <c r="G669" s="40"/>
      <c r="H669" s="40">
        <f>IF(AND(F669=0,G669=0),D669*E669,IF(AND(E669=0,G669=0),D669*F669,IF(AND(E669=0,F669=0),D669*G669,IF(AND(E669=0),D669*F669*G669,IF(AND(F669=0),D669*E669*G669,IF(AND(G669=0),D669*E669*F669,D669*E669*F669*G669))))))</f>
        <v>0</v>
      </c>
      <c r="I669" s="40"/>
      <c r="J669" s="41" t="str">
        <f>IF(AND(E669=0,F669&lt;&gt;0,G669&lt;&gt;0),"m2",IF(AND(F669=0,E669&lt;&gt;0,G669&lt;&gt;0),"m2",IF(AND(G669=0,E669&lt;&gt;0,F669&lt;&gt;0),"m2",IF(AND(F669=0,G669=0),"ml",IF(AND(E669=0,G669=0),"ml",IF(AND(E669=0,F669=0),"ml",IF(AND(E669&lt;&gt;0,F669&lt;&gt;0,G669&lt;&gt;0),"m3",0)))))))</f>
        <v>ml</v>
      </c>
    </row>
    <row r="670" spans="2:10" s="1" customFormat="1" ht="12.75" x14ac:dyDescent="0.2">
      <c r="B670" s="43" t="s">
        <v>258</v>
      </c>
      <c r="C670" s="43" t="s">
        <v>253</v>
      </c>
      <c r="D670" s="60"/>
      <c r="E670" s="40"/>
      <c r="F670" s="40"/>
      <c r="G670" s="40"/>
      <c r="H670" s="40"/>
      <c r="I670" s="44">
        <f>SUM(H671:H671)</f>
        <v>0</v>
      </c>
      <c r="J670" s="45" t="str">
        <f>+J671</f>
        <v>und</v>
      </c>
    </row>
    <row r="671" spans="2:10" s="1" customFormat="1" ht="12.75" x14ac:dyDescent="0.2">
      <c r="B671" s="43"/>
      <c r="C671" s="39" t="s">
        <v>402</v>
      </c>
      <c r="D671" s="40"/>
      <c r="E671" s="40"/>
      <c r="F671" s="40"/>
      <c r="G671" s="40"/>
      <c r="H671" s="40">
        <f>+D671</f>
        <v>0</v>
      </c>
      <c r="I671" s="40"/>
      <c r="J671" s="41" t="s">
        <v>13</v>
      </c>
    </row>
    <row r="672" spans="2:10" s="1" customFormat="1" ht="12.75" x14ac:dyDescent="0.2">
      <c r="B672" s="43" t="s">
        <v>259</v>
      </c>
      <c r="C672" s="43" t="s">
        <v>254</v>
      </c>
      <c r="D672" s="60"/>
      <c r="E672" s="40"/>
      <c r="F672" s="40"/>
      <c r="G672" s="40"/>
      <c r="H672" s="40"/>
      <c r="I672" s="44">
        <f>SUM(H673:H673)</f>
        <v>0</v>
      </c>
      <c r="J672" s="45" t="str">
        <f>+J673</f>
        <v>und</v>
      </c>
    </row>
    <row r="673" spans="2:10" s="1" customFormat="1" ht="12.75" x14ac:dyDescent="0.2">
      <c r="B673" s="57"/>
      <c r="C673" s="39" t="s">
        <v>238</v>
      </c>
      <c r="D673" s="40"/>
      <c r="E673" s="40"/>
      <c r="F673" s="40"/>
      <c r="G673" s="40"/>
      <c r="H673" s="40">
        <f>+D673</f>
        <v>0</v>
      </c>
      <c r="I673" s="40"/>
      <c r="J673" s="41" t="s">
        <v>13</v>
      </c>
    </row>
    <row r="674" spans="2:10" s="1" customFormat="1" ht="12.75" x14ac:dyDescent="0.2">
      <c r="B674" s="57"/>
      <c r="C674" s="39"/>
      <c r="D674" s="60"/>
      <c r="E674" s="40"/>
      <c r="F674" s="40"/>
      <c r="G674" s="40"/>
      <c r="H674" s="40"/>
      <c r="I674" s="40"/>
      <c r="J674" s="41"/>
    </row>
    <row r="675" spans="2:10" s="1" customFormat="1" ht="12.75" x14ac:dyDescent="0.2">
      <c r="B675" s="57" t="s">
        <v>18</v>
      </c>
      <c r="C675" s="58" t="s">
        <v>223</v>
      </c>
      <c r="D675" s="60"/>
      <c r="E675" s="40"/>
      <c r="F675" s="40"/>
      <c r="G675" s="40"/>
      <c r="H675" s="40"/>
      <c r="I675" s="40"/>
      <c r="J675" s="41"/>
    </row>
    <row r="676" spans="2:10" s="1" customFormat="1" ht="12.75" x14ac:dyDescent="0.2">
      <c r="B676" s="43" t="s">
        <v>19</v>
      </c>
      <c r="C676" s="43" t="s">
        <v>265</v>
      </c>
      <c r="D676" s="60"/>
      <c r="E676" s="40"/>
      <c r="F676" s="40"/>
      <c r="G676" s="40"/>
      <c r="H676" s="40"/>
      <c r="I676" s="44">
        <f>SUM(H677:H677)</f>
        <v>5</v>
      </c>
      <c r="J676" s="45" t="s">
        <v>13</v>
      </c>
    </row>
    <row r="677" spans="2:10" s="1" customFormat="1" ht="12.75" x14ac:dyDescent="0.2">
      <c r="B677" s="46"/>
      <c r="C677" s="39" t="s">
        <v>231</v>
      </c>
      <c r="D677" s="40">
        <v>5</v>
      </c>
      <c r="E677" s="40"/>
      <c r="F677" s="40"/>
      <c r="G677" s="40"/>
      <c r="H677" s="40">
        <f>+D677</f>
        <v>5</v>
      </c>
      <c r="I677" s="40"/>
      <c r="J677" s="41" t="s">
        <v>13</v>
      </c>
    </row>
    <row r="678" spans="2:10" s="1" customFormat="1" ht="12.75" x14ac:dyDescent="0.2">
      <c r="B678" s="43" t="s">
        <v>20</v>
      </c>
      <c r="C678" s="43" t="s">
        <v>266</v>
      </c>
      <c r="D678" s="60"/>
      <c r="E678" s="40"/>
      <c r="F678" s="40"/>
      <c r="G678" s="40"/>
      <c r="H678" s="40"/>
      <c r="I678" s="44">
        <f>SUM(H679:H681)</f>
        <v>0</v>
      </c>
      <c r="J678" s="45" t="str">
        <f>+J679</f>
        <v>und</v>
      </c>
    </row>
    <row r="679" spans="2:10" s="1" customFormat="1" ht="12.75" x14ac:dyDescent="0.2">
      <c r="B679" s="43"/>
      <c r="C679" s="39" t="s">
        <v>71</v>
      </c>
      <c r="D679" s="40"/>
      <c r="E679" s="40"/>
      <c r="F679" s="40"/>
      <c r="G679" s="40"/>
      <c r="H679" s="40">
        <f>+D679</f>
        <v>0</v>
      </c>
      <c r="I679" s="40"/>
      <c r="J679" s="41" t="s">
        <v>13</v>
      </c>
    </row>
    <row r="680" spans="2:10" s="1" customFormat="1" ht="12.75" x14ac:dyDescent="0.2">
      <c r="B680" s="43"/>
      <c r="C680" s="39" t="s">
        <v>72</v>
      </c>
      <c r="D680" s="40"/>
      <c r="E680" s="40"/>
      <c r="F680" s="40"/>
      <c r="G680" s="40"/>
      <c r="H680" s="40">
        <f>+D680</f>
        <v>0</v>
      </c>
      <c r="I680" s="40"/>
      <c r="J680" s="41" t="s">
        <v>13</v>
      </c>
    </row>
    <row r="681" spans="2:10" s="1" customFormat="1" ht="12.75" x14ac:dyDescent="0.2">
      <c r="B681" s="43"/>
      <c r="C681" s="39" t="s">
        <v>73</v>
      </c>
      <c r="D681" s="40"/>
      <c r="E681" s="40"/>
      <c r="F681" s="40"/>
      <c r="G681" s="40"/>
      <c r="H681" s="40">
        <f>+D681</f>
        <v>0</v>
      </c>
      <c r="I681" s="40"/>
      <c r="J681" s="41" t="s">
        <v>13</v>
      </c>
    </row>
    <row r="682" spans="2:10" s="1" customFormat="1" ht="12.75" x14ac:dyDescent="0.2">
      <c r="B682" s="43" t="s">
        <v>21</v>
      </c>
      <c r="C682" s="43" t="s">
        <v>357</v>
      </c>
      <c r="D682" s="60"/>
      <c r="E682" s="40"/>
      <c r="F682" s="40"/>
      <c r="G682" s="40"/>
      <c r="H682" s="40"/>
      <c r="I682" s="44">
        <f>SUM(H683:H683)</f>
        <v>0</v>
      </c>
      <c r="J682" s="45" t="str">
        <f>+J683</f>
        <v>und</v>
      </c>
    </row>
    <row r="683" spans="2:10" s="1" customFormat="1" ht="12.75" x14ac:dyDescent="0.2">
      <c r="B683" s="43"/>
      <c r="C683" s="39" t="s">
        <v>375</v>
      </c>
      <c r="D683" s="40"/>
      <c r="E683" s="40"/>
      <c r="F683" s="40"/>
      <c r="G683" s="40"/>
      <c r="H683" s="40">
        <f>+D683</f>
        <v>0</v>
      </c>
      <c r="I683" s="40"/>
      <c r="J683" s="41" t="s">
        <v>13</v>
      </c>
    </row>
    <row r="684" spans="2:10" s="1" customFormat="1" ht="12.75" x14ac:dyDescent="0.2">
      <c r="B684" s="43" t="s">
        <v>273</v>
      </c>
      <c r="C684" s="43" t="s">
        <v>263</v>
      </c>
      <c r="D684" s="60"/>
      <c r="E684" s="40"/>
      <c r="F684" s="40"/>
      <c r="G684" s="40"/>
      <c r="H684" s="40"/>
      <c r="I684" s="44">
        <f>SUM(H685:H685)</f>
        <v>0</v>
      </c>
      <c r="J684" s="45" t="str">
        <f>+J685</f>
        <v>und</v>
      </c>
    </row>
    <row r="685" spans="2:10" s="1" customFormat="1" ht="14.25" customHeight="1" x14ac:dyDescent="0.2">
      <c r="B685" s="46"/>
      <c r="C685" s="39" t="s">
        <v>420</v>
      </c>
      <c r="D685" s="40"/>
      <c r="E685" s="40"/>
      <c r="F685" s="40"/>
      <c r="G685" s="40"/>
      <c r="H685" s="40">
        <f>+D685</f>
        <v>0</v>
      </c>
      <c r="I685" s="40"/>
      <c r="J685" s="41" t="s">
        <v>13</v>
      </c>
    </row>
    <row r="686" spans="2:10" s="1" customFormat="1" ht="14.25" customHeight="1" x14ac:dyDescent="0.2">
      <c r="B686" s="43" t="s">
        <v>274</v>
      </c>
      <c r="C686" s="43" t="s">
        <v>264</v>
      </c>
      <c r="D686" s="60"/>
      <c r="E686" s="40"/>
      <c r="F686" s="40"/>
      <c r="G686" s="40"/>
      <c r="H686" s="40"/>
      <c r="I686" s="44">
        <f>SUM(H687:H687)</f>
        <v>0</v>
      </c>
      <c r="J686" s="45" t="str">
        <f>+J687</f>
        <v>und</v>
      </c>
    </row>
    <row r="687" spans="2:10" s="1" customFormat="1" ht="12.75" x14ac:dyDescent="0.2">
      <c r="B687" s="46"/>
      <c r="C687" s="39" t="s">
        <v>420</v>
      </c>
      <c r="D687" s="40"/>
      <c r="E687" s="40"/>
      <c r="F687" s="40"/>
      <c r="G687" s="40"/>
      <c r="H687" s="40">
        <f>+D687</f>
        <v>0</v>
      </c>
      <c r="I687" s="40"/>
      <c r="J687" s="41" t="s">
        <v>13</v>
      </c>
    </row>
    <row r="688" spans="2:10" s="1" customFormat="1" ht="12.75" x14ac:dyDescent="0.2">
      <c r="B688" s="107"/>
      <c r="C688" s="39"/>
      <c r="D688" s="40"/>
      <c r="E688" s="40"/>
      <c r="F688" s="40"/>
      <c r="G688" s="40"/>
      <c r="H688" s="40"/>
      <c r="I688" s="40"/>
      <c r="J688" s="41"/>
    </row>
    <row r="689" spans="2:10" s="1" customFormat="1" ht="12.75" x14ac:dyDescent="0.2">
      <c r="B689" s="46"/>
      <c r="C689" s="39"/>
      <c r="D689" s="60"/>
      <c r="E689" s="40"/>
      <c r="F689" s="40"/>
      <c r="G689" s="40"/>
      <c r="H689" s="40"/>
      <c r="I689" s="40"/>
      <c r="J689" s="41"/>
    </row>
    <row r="690" spans="2:10" s="1" customFormat="1" ht="12.75" x14ac:dyDescent="0.2">
      <c r="B690" s="46"/>
      <c r="C690" s="59"/>
      <c r="D690" s="60"/>
      <c r="E690" s="40"/>
      <c r="F690" s="40"/>
      <c r="G690" s="40"/>
      <c r="H690" s="40"/>
      <c r="I690" s="40"/>
      <c r="J690" s="41"/>
    </row>
    <row r="691" spans="2:10" s="1" customFormat="1" ht="12.75" x14ac:dyDescent="0.2">
      <c r="B691" s="46"/>
      <c r="C691" s="59"/>
      <c r="D691" s="60"/>
      <c r="E691" s="40"/>
      <c r="F691" s="40"/>
      <c r="G691" s="40"/>
      <c r="H691" s="40"/>
      <c r="I691" s="40"/>
      <c r="J691" s="41"/>
    </row>
    <row r="692" spans="2:10" s="1" customFormat="1" ht="12.75" x14ac:dyDescent="0.2">
      <c r="B692" s="46"/>
      <c r="C692" s="59"/>
      <c r="D692" s="60"/>
      <c r="E692" s="40"/>
      <c r="F692" s="40"/>
      <c r="G692" s="40"/>
      <c r="H692" s="40"/>
      <c r="I692" s="40"/>
      <c r="J692" s="41"/>
    </row>
    <row r="693" spans="2:10" s="1" customFormat="1" ht="12.75" x14ac:dyDescent="0.2">
      <c r="B693" s="46"/>
      <c r="C693" s="59"/>
      <c r="D693" s="60"/>
      <c r="E693" s="40"/>
      <c r="F693" s="40"/>
      <c r="G693" s="40"/>
      <c r="H693" s="40"/>
      <c r="I693" s="40"/>
      <c r="J693" s="41"/>
    </row>
    <row r="694" spans="2:10" s="1" customFormat="1" ht="12.75" x14ac:dyDescent="0.2">
      <c r="B694" s="46"/>
      <c r="C694" s="59"/>
      <c r="D694" s="60"/>
      <c r="E694" s="40"/>
      <c r="F694" s="40"/>
      <c r="G694" s="40"/>
      <c r="H694" s="40"/>
      <c r="I694" s="40"/>
      <c r="J694" s="41"/>
    </row>
    <row r="695" spans="2:10" s="1" customFormat="1" ht="12.75" x14ac:dyDescent="0.2">
      <c r="B695" s="46"/>
      <c r="C695" s="59"/>
      <c r="D695" s="60"/>
      <c r="E695" s="40"/>
      <c r="F695" s="40"/>
      <c r="G695" s="40"/>
      <c r="H695" s="40"/>
      <c r="I695" s="40"/>
      <c r="J695" s="41"/>
    </row>
    <row r="696" spans="2:10" s="1" customFormat="1" ht="12.75" x14ac:dyDescent="0.2">
      <c r="B696" s="46"/>
      <c r="C696" s="59"/>
      <c r="D696" s="60"/>
      <c r="E696" s="40"/>
      <c r="F696" s="40"/>
      <c r="G696" s="40"/>
      <c r="H696" s="40"/>
      <c r="I696" s="40"/>
      <c r="J696" s="41"/>
    </row>
    <row r="697" spans="2:10" s="1" customFormat="1" ht="12.75" x14ac:dyDescent="0.2">
      <c r="B697" s="46"/>
      <c r="C697" s="59"/>
      <c r="D697" s="60"/>
      <c r="E697" s="40"/>
      <c r="F697" s="40"/>
      <c r="G697" s="40"/>
      <c r="H697" s="40"/>
      <c r="I697" s="40"/>
      <c r="J697" s="41"/>
    </row>
    <row r="698" spans="2:10" s="1" customFormat="1" ht="12.75" x14ac:dyDescent="0.2">
      <c r="B698" s="46"/>
      <c r="C698" s="59"/>
      <c r="D698" s="60"/>
      <c r="E698" s="40"/>
      <c r="F698" s="40"/>
      <c r="G698" s="40"/>
      <c r="H698" s="40"/>
      <c r="I698" s="40"/>
      <c r="J698" s="41"/>
    </row>
    <row r="699" spans="2:10" s="1" customFormat="1" ht="12.75" x14ac:dyDescent="0.2">
      <c r="B699" s="46"/>
      <c r="C699" s="59"/>
      <c r="D699" s="60"/>
      <c r="E699" s="40"/>
      <c r="F699" s="40"/>
      <c r="G699" s="40"/>
      <c r="H699" s="40"/>
      <c r="I699" s="40"/>
      <c r="J699" s="41"/>
    </row>
    <row r="700" spans="2:10" s="1" customFormat="1" ht="12.75" x14ac:dyDescent="0.2">
      <c r="B700" s="46"/>
      <c r="C700" s="59"/>
      <c r="D700" s="60"/>
      <c r="E700" s="40"/>
      <c r="F700" s="40"/>
      <c r="G700" s="40"/>
      <c r="H700" s="40"/>
      <c r="I700" s="40"/>
      <c r="J700" s="41"/>
    </row>
    <row r="701" spans="2:10" s="1" customFormat="1" ht="12.75" x14ac:dyDescent="0.2">
      <c r="C701" s="384" t="s">
        <v>37</v>
      </c>
      <c r="D701" s="384"/>
      <c r="E701" s="384"/>
      <c r="F701" s="384"/>
      <c r="G701" s="384"/>
      <c r="H701" s="384"/>
    </row>
    <row r="702" spans="2:10" s="1" customFormat="1" ht="12.75" x14ac:dyDescent="0.2">
      <c r="C702" s="384" t="s">
        <v>38</v>
      </c>
      <c r="D702" s="384"/>
      <c r="E702" s="384"/>
      <c r="F702" s="384"/>
      <c r="G702" s="384"/>
      <c r="H702" s="384"/>
    </row>
    <row r="703" spans="2:10" s="1" customFormat="1" ht="12.75" x14ac:dyDescent="0.2">
      <c r="C703" s="384" t="s">
        <v>39</v>
      </c>
      <c r="D703" s="384"/>
      <c r="E703" s="384"/>
      <c r="F703" s="384"/>
      <c r="G703" s="384"/>
      <c r="H703" s="384"/>
    </row>
    <row r="704" spans="2:10" s="1" customFormat="1" ht="12.75" x14ac:dyDescent="0.2">
      <c r="C704" s="385" t="s">
        <v>40</v>
      </c>
      <c r="D704" s="385"/>
      <c r="E704" s="385"/>
      <c r="F704" s="385"/>
      <c r="G704" s="385"/>
      <c r="H704" s="385"/>
    </row>
    <row r="705" spans="2:10" s="1" customFormat="1" ht="33" customHeight="1" x14ac:dyDescent="0.2">
      <c r="C705" s="385"/>
      <c r="D705" s="385"/>
      <c r="E705" s="385"/>
      <c r="F705" s="385"/>
      <c r="G705" s="385"/>
      <c r="H705" s="385"/>
    </row>
    <row r="706" spans="2:10" s="1" customFormat="1" ht="15.75" x14ac:dyDescent="0.2">
      <c r="B706" s="386" t="s">
        <v>65</v>
      </c>
      <c r="C706" s="387"/>
      <c r="D706" s="387"/>
      <c r="E706" s="387"/>
      <c r="F706" s="387"/>
      <c r="G706" s="387"/>
      <c r="H706" s="387"/>
      <c r="I706" s="387"/>
      <c r="J706" s="388"/>
    </row>
    <row r="707" spans="2:10" s="1" customFormat="1" ht="20.25" x14ac:dyDescent="0.2">
      <c r="B707" s="390" t="s">
        <v>366</v>
      </c>
      <c r="C707" s="391"/>
      <c r="D707" s="391"/>
      <c r="E707" s="391"/>
      <c r="F707" s="391"/>
      <c r="G707" s="391"/>
      <c r="H707" s="391"/>
      <c r="I707" s="391"/>
      <c r="J707" s="392"/>
    </row>
    <row r="708" spans="2:10" s="1" customFormat="1" ht="13.5" thickBot="1" x14ac:dyDescent="0.25">
      <c r="B708" s="389"/>
      <c r="C708" s="389"/>
      <c r="D708" s="389"/>
      <c r="E708" s="389"/>
      <c r="F708" s="389"/>
      <c r="G708" s="389"/>
      <c r="H708" s="389"/>
      <c r="I708" s="389"/>
      <c r="J708" s="389"/>
    </row>
    <row r="709" spans="2:10" s="1" customFormat="1" ht="24.75" customHeight="1" x14ac:dyDescent="0.2">
      <c r="B709" s="494" t="s">
        <v>27</v>
      </c>
      <c r="C709" s="495"/>
      <c r="D709" s="495"/>
      <c r="E709" s="495"/>
      <c r="F709" s="495"/>
      <c r="G709" s="495"/>
      <c r="H709" s="495"/>
      <c r="I709" s="495"/>
      <c r="J709" s="496"/>
    </row>
    <row r="710" spans="2:10" s="1" customFormat="1" ht="12.75" x14ac:dyDescent="0.2">
      <c r="B710" s="2" t="s">
        <v>35</v>
      </c>
      <c r="C710" s="3" t="s">
        <v>36</v>
      </c>
      <c r="D710" s="3"/>
      <c r="E710" s="4"/>
      <c r="F710" s="5"/>
      <c r="G710" s="6" t="s">
        <v>8</v>
      </c>
      <c r="H710" s="497">
        <v>42879</v>
      </c>
      <c r="I710" s="497"/>
      <c r="J710" s="7"/>
    </row>
    <row r="711" spans="2:10" s="1" customFormat="1" ht="12.75" x14ac:dyDescent="0.2">
      <c r="B711" s="2" t="s">
        <v>33</v>
      </c>
      <c r="C711" s="3" t="s">
        <v>29</v>
      </c>
      <c r="D711" s="8"/>
      <c r="E711" s="8"/>
      <c r="F711" s="3"/>
      <c r="G711" s="9" t="s">
        <v>32</v>
      </c>
      <c r="H711" s="4" t="s">
        <v>29</v>
      </c>
      <c r="I711" s="10"/>
      <c r="J711" s="11"/>
    </row>
    <row r="712" spans="2:10" s="1" customFormat="1" ht="12.75" x14ac:dyDescent="0.2">
      <c r="B712" s="2" t="s">
        <v>34</v>
      </c>
      <c r="C712" s="3" t="s">
        <v>29</v>
      </c>
      <c r="D712" s="8"/>
      <c r="E712" s="8"/>
      <c r="F712" s="3"/>
      <c r="G712" s="9" t="s">
        <v>30</v>
      </c>
      <c r="H712" s="4" t="s">
        <v>31</v>
      </c>
      <c r="I712" s="10"/>
      <c r="J712" s="11"/>
    </row>
    <row r="713" spans="2:10" s="1" customFormat="1" ht="13.5" thickBot="1" x14ac:dyDescent="0.25">
      <c r="B713" s="12" t="s">
        <v>43</v>
      </c>
      <c r="C713" s="13" t="s">
        <v>44</v>
      </c>
      <c r="D713" s="14"/>
      <c r="E713" s="14"/>
      <c r="F713" s="13"/>
      <c r="G713" s="15" t="s">
        <v>41</v>
      </c>
      <c r="H713" s="16" t="s">
        <v>42</v>
      </c>
      <c r="I713" s="17"/>
      <c r="J713" s="18"/>
    </row>
    <row r="714" spans="2:10" s="1" customFormat="1" ht="12.75" x14ac:dyDescent="0.2">
      <c r="B714" s="389"/>
      <c r="C714" s="389"/>
      <c r="D714" s="389"/>
      <c r="E714" s="389"/>
      <c r="F714" s="389"/>
      <c r="G714" s="389"/>
      <c r="H714" s="389"/>
      <c r="I714" s="389"/>
      <c r="J714" s="389"/>
    </row>
    <row r="715" spans="2:10" s="1" customFormat="1" ht="12.75" x14ac:dyDescent="0.2">
      <c r="B715" s="21" t="s">
        <v>5</v>
      </c>
      <c r="C715" s="22" t="s">
        <v>0</v>
      </c>
      <c r="D715" s="22" t="s">
        <v>9</v>
      </c>
      <c r="E715" s="22" t="s">
        <v>10</v>
      </c>
      <c r="F715" s="22" t="s">
        <v>1</v>
      </c>
      <c r="G715" s="22" t="s">
        <v>2</v>
      </c>
      <c r="H715" s="22" t="s">
        <v>11</v>
      </c>
      <c r="I715" s="22" t="s">
        <v>6</v>
      </c>
      <c r="J715" s="22" t="s">
        <v>7</v>
      </c>
    </row>
    <row r="716" spans="2:10" s="1" customFormat="1" ht="12.75" x14ac:dyDescent="0.2">
      <c r="B716" s="55">
        <v>4.03</v>
      </c>
      <c r="C716" s="56" t="s">
        <v>222</v>
      </c>
      <c r="D716" s="60"/>
      <c r="E716" s="40"/>
      <c r="F716" s="40"/>
      <c r="G716" s="40"/>
      <c r="H716" s="40"/>
      <c r="I716" s="40"/>
      <c r="J716" s="41"/>
    </row>
    <row r="717" spans="2:10" s="1" customFormat="1" ht="12.75" x14ac:dyDescent="0.2">
      <c r="B717" s="57" t="s">
        <v>14</v>
      </c>
      <c r="C717" s="58" t="s">
        <v>225</v>
      </c>
      <c r="D717" s="60"/>
      <c r="E717" s="40"/>
      <c r="F717" s="40"/>
      <c r="G717" s="40"/>
      <c r="H717" s="40"/>
      <c r="I717" s="40"/>
      <c r="J717" s="41"/>
    </row>
    <row r="718" spans="2:10" s="1" customFormat="1" ht="12.75" x14ac:dyDescent="0.2">
      <c r="B718" s="43" t="s">
        <v>15</v>
      </c>
      <c r="C718" s="43" t="s">
        <v>269</v>
      </c>
      <c r="D718" s="60"/>
      <c r="E718" s="40"/>
      <c r="F718" s="40"/>
      <c r="G718" s="40"/>
      <c r="H718" s="40"/>
      <c r="I718" s="44">
        <f>SUM(H719:H725)</f>
        <v>0</v>
      </c>
      <c r="J718" s="45" t="str">
        <f>+J719</f>
        <v>ml</v>
      </c>
    </row>
    <row r="719" spans="2:10" s="1" customFormat="1" ht="12.75" x14ac:dyDescent="0.2">
      <c r="B719" s="43"/>
      <c r="C719" s="77" t="s">
        <v>71</v>
      </c>
      <c r="D719" s="40"/>
      <c r="E719" s="40"/>
      <c r="F719" s="40"/>
      <c r="G719" s="40"/>
      <c r="H719" s="40">
        <f t="shared" ref="H719:H725" si="8">IF(AND(F719=0,G719=0),D719*E719,IF(AND(E719=0,G719=0),D719*F719,IF(AND(E719=0,F719=0),D719*G719,IF(AND(E719=0),D719*F719*G719,IF(AND(F719=0),D719*E719*G719,IF(AND(G719=0),D719*E719*F719,D719*E719*F719*G719))))))</f>
        <v>0</v>
      </c>
      <c r="I719" s="40"/>
      <c r="J719" s="41" t="str">
        <f t="shared" ref="J719:J725" si="9">IF(AND(E719=0,F719&lt;&gt;0,G719&lt;&gt;0),"m2",IF(AND(F719=0,E719&lt;&gt;0,G719&lt;&gt;0),"m2",IF(AND(G719=0,E719&lt;&gt;0,F719&lt;&gt;0),"m2",IF(AND(F719=0,G719=0),"ml",IF(AND(E719=0,G719=0),"ml",IF(AND(E719=0,F719=0),"ml",IF(AND(E719&lt;&gt;0,F719&lt;&gt;0,G719&lt;&gt;0),"m3",0)))))))</f>
        <v>ml</v>
      </c>
    </row>
    <row r="720" spans="2:10" s="1" customFormat="1" ht="12.75" x14ac:dyDescent="0.2">
      <c r="B720" s="43"/>
      <c r="C720" s="39" t="s">
        <v>349</v>
      </c>
      <c r="D720" s="40"/>
      <c r="E720" s="40"/>
      <c r="F720" s="40"/>
      <c r="G720" s="40"/>
      <c r="H720" s="40">
        <f t="shared" si="8"/>
        <v>0</v>
      </c>
      <c r="I720" s="40"/>
      <c r="J720" s="41" t="str">
        <f t="shared" si="9"/>
        <v>ml</v>
      </c>
    </row>
    <row r="721" spans="2:10" s="1" customFormat="1" ht="12.75" x14ac:dyDescent="0.2">
      <c r="B721" s="43"/>
      <c r="C721" s="39" t="s">
        <v>369</v>
      </c>
      <c r="D721" s="40"/>
      <c r="E721" s="40"/>
      <c r="F721" s="40"/>
      <c r="G721" s="40"/>
      <c r="H721" s="40">
        <f t="shared" si="8"/>
        <v>0</v>
      </c>
      <c r="I721" s="40"/>
      <c r="J721" s="41" t="str">
        <f t="shared" si="9"/>
        <v>ml</v>
      </c>
    </row>
    <row r="722" spans="2:10" s="1" customFormat="1" ht="12.75" x14ac:dyDescent="0.2">
      <c r="B722" s="43"/>
      <c r="C722" s="77" t="s">
        <v>72</v>
      </c>
      <c r="D722" s="40"/>
      <c r="E722" s="40"/>
      <c r="F722" s="40"/>
      <c r="G722" s="40"/>
      <c r="H722" s="40">
        <f t="shared" si="8"/>
        <v>0</v>
      </c>
      <c r="I722" s="40"/>
      <c r="J722" s="41" t="str">
        <f t="shared" si="9"/>
        <v>ml</v>
      </c>
    </row>
    <row r="723" spans="2:10" s="1" customFormat="1" ht="12.75" x14ac:dyDescent="0.2">
      <c r="B723" s="43"/>
      <c r="C723" s="39" t="s">
        <v>349</v>
      </c>
      <c r="D723" s="40"/>
      <c r="E723" s="40"/>
      <c r="F723" s="40"/>
      <c r="G723" s="40"/>
      <c r="H723" s="40">
        <f t="shared" si="8"/>
        <v>0</v>
      </c>
      <c r="I723" s="40"/>
      <c r="J723" s="41" t="str">
        <f t="shared" si="9"/>
        <v>ml</v>
      </c>
    </row>
    <row r="724" spans="2:10" s="1" customFormat="1" ht="12.75" x14ac:dyDescent="0.2">
      <c r="B724" s="43"/>
      <c r="C724" s="77" t="s">
        <v>73</v>
      </c>
      <c r="D724" s="40"/>
      <c r="E724" s="40"/>
      <c r="F724" s="40"/>
      <c r="G724" s="40"/>
      <c r="H724" s="40">
        <f t="shared" si="8"/>
        <v>0</v>
      </c>
      <c r="I724" s="40"/>
      <c r="J724" s="41" t="str">
        <f t="shared" si="9"/>
        <v>ml</v>
      </c>
    </row>
    <row r="725" spans="2:10" s="1" customFormat="1" ht="12.75" x14ac:dyDescent="0.2">
      <c r="B725" s="43"/>
      <c r="C725" s="39" t="s">
        <v>349</v>
      </c>
      <c r="D725" s="40"/>
      <c r="E725" s="40"/>
      <c r="F725" s="40"/>
      <c r="G725" s="40"/>
      <c r="H725" s="40">
        <f t="shared" si="8"/>
        <v>0</v>
      </c>
      <c r="I725" s="40"/>
      <c r="J725" s="41" t="str">
        <f t="shared" si="9"/>
        <v>ml</v>
      </c>
    </row>
    <row r="726" spans="2:10" s="1" customFormat="1" ht="12.75" x14ac:dyDescent="0.2">
      <c r="B726" s="43" t="s">
        <v>232</v>
      </c>
      <c r="C726" s="43" t="s">
        <v>348</v>
      </c>
      <c r="D726" s="60"/>
      <c r="E726" s="40"/>
      <c r="F726" s="40"/>
      <c r="G726" s="40"/>
      <c r="H726" s="40"/>
      <c r="I726" s="44">
        <f>SUM(H727:H727)</f>
        <v>2</v>
      </c>
      <c r="J726" s="45" t="str">
        <f>+J727</f>
        <v>und</v>
      </c>
    </row>
    <row r="727" spans="2:10" s="1" customFormat="1" ht="12.75" x14ac:dyDescent="0.2">
      <c r="B727" s="57"/>
      <c r="C727" s="39" t="s">
        <v>349</v>
      </c>
      <c r="D727" s="40">
        <v>2</v>
      </c>
      <c r="E727" s="40"/>
      <c r="F727" s="40"/>
      <c r="G727" s="40"/>
      <c r="H727" s="40">
        <f>+D727</f>
        <v>2</v>
      </c>
      <c r="I727" s="40"/>
      <c r="J727" s="41" t="s">
        <v>13</v>
      </c>
    </row>
    <row r="728" spans="2:10" s="1" customFormat="1" ht="12.75" x14ac:dyDescent="0.2">
      <c r="B728" s="57" t="s">
        <v>16</v>
      </c>
      <c r="C728" s="58" t="s">
        <v>224</v>
      </c>
      <c r="D728" s="60"/>
      <c r="E728" s="40"/>
      <c r="F728" s="40"/>
      <c r="G728" s="40"/>
      <c r="H728" s="40"/>
      <c r="I728" s="40"/>
      <c r="J728" s="41"/>
    </row>
    <row r="729" spans="2:10" s="1" customFormat="1" ht="12.75" x14ac:dyDescent="0.2">
      <c r="B729" s="43" t="s">
        <v>17</v>
      </c>
      <c r="C729" s="43" t="s">
        <v>343</v>
      </c>
      <c r="D729" s="60"/>
      <c r="E729" s="40"/>
      <c r="F729" s="40"/>
      <c r="G729" s="40"/>
      <c r="H729" s="40"/>
      <c r="I729" s="44">
        <f>SUM(H730:H731)</f>
        <v>0</v>
      </c>
      <c r="J729" s="45" t="str">
        <f>+J730</f>
        <v>ml</v>
      </c>
    </row>
    <row r="730" spans="2:10" s="1" customFormat="1" ht="12.75" x14ac:dyDescent="0.2">
      <c r="B730" s="57"/>
      <c r="C730" s="39" t="s">
        <v>425</v>
      </c>
      <c r="D730" s="40"/>
      <c r="E730" s="40"/>
      <c r="F730" s="40"/>
      <c r="G730" s="40"/>
      <c r="H730" s="40">
        <f>IF(AND(F730=0,G730=0),D730*E730,IF(AND(E730=0,G730=0),D730*F730,IF(AND(E730=0,F730=0),D730*G730,IF(AND(E730=0),D730*F730*G730,IF(AND(F730=0),D730*E730*G730,IF(AND(G730=0),D730*E730*F730,D730*E730*F730*G730))))))</f>
        <v>0</v>
      </c>
      <c r="I730" s="40"/>
      <c r="J730" s="41" t="str">
        <f>IF(AND(E730=0,F730&lt;&gt;0,G730&lt;&gt;0),"m2",IF(AND(F730=0,E730&lt;&gt;0,G730&lt;&gt;0),"m2",IF(AND(G730=0,E730&lt;&gt;0,F730&lt;&gt;0),"m2",IF(AND(F730=0,G730=0),"ml",IF(AND(E730=0,G730=0),"ml",IF(AND(E730=0,F730=0),"ml",IF(AND(E730&lt;&gt;0,F730&lt;&gt;0,G730&lt;&gt;0),"m3",0)))))))</f>
        <v>ml</v>
      </c>
    </row>
    <row r="731" spans="2:10" s="1" customFormat="1" ht="12.75" x14ac:dyDescent="0.2">
      <c r="B731" s="57"/>
      <c r="C731" s="39" t="s">
        <v>425</v>
      </c>
      <c r="D731" s="40"/>
      <c r="E731" s="40"/>
      <c r="F731" s="40"/>
      <c r="G731" s="40"/>
      <c r="H731" s="40">
        <f>IF(AND(F731=0,G731=0),D731*E731,IF(AND(E731=0,G731=0),D731*F731,IF(AND(E731=0,F731=0),D731*G731,IF(AND(E731=0),D731*F731*G731,IF(AND(F731=0),D731*E731*G731,IF(AND(G731=0),D731*E731*F731,D731*E731*F731*G731))))))</f>
        <v>0</v>
      </c>
      <c r="I731" s="40"/>
      <c r="J731" s="41"/>
    </row>
    <row r="732" spans="2:10" s="1" customFormat="1" ht="12.75" x14ac:dyDescent="0.2">
      <c r="B732" s="43" t="s">
        <v>240</v>
      </c>
      <c r="C732" s="43" t="s">
        <v>237</v>
      </c>
      <c r="D732" s="60"/>
      <c r="E732" s="40"/>
      <c r="F732" s="40"/>
      <c r="G732" s="40"/>
      <c r="H732" s="40"/>
      <c r="I732" s="44">
        <f>SUM(H733:H733)</f>
        <v>1.7</v>
      </c>
      <c r="J732" s="45" t="str">
        <f>+J733</f>
        <v>ml</v>
      </c>
    </row>
    <row r="733" spans="2:10" s="1" customFormat="1" ht="12.75" x14ac:dyDescent="0.2">
      <c r="B733" s="57"/>
      <c r="C733" s="39" t="s">
        <v>434</v>
      </c>
      <c r="D733" s="40">
        <v>1</v>
      </c>
      <c r="E733" s="40">
        <v>1.7</v>
      </c>
      <c r="F733" s="40"/>
      <c r="G733" s="40"/>
      <c r="H733" s="40">
        <f>IF(AND(F733=0,G733=0),D733*E733,IF(AND(E733=0,G733=0),D733*F733,IF(AND(E733=0,F733=0),D733*G733,IF(AND(E733=0),D733*F733*G733,IF(AND(F733=0),D733*E733*G733,IF(AND(G733=0),D733*E733*F733,D733*E733*F733*G733))))))</f>
        <v>1.7</v>
      </c>
      <c r="I733" s="40"/>
      <c r="J733" s="41" t="str">
        <f>IF(AND(E733=0,F733&lt;&gt;0,G733&lt;&gt;0),"m2",IF(AND(F733=0,E733&lt;&gt;0,G733&lt;&gt;0),"m2",IF(AND(G733=0,E733&lt;&gt;0,F733&lt;&gt;0),"m2",IF(AND(F733=0,G733=0),"ml",IF(AND(E733=0,G733=0),"ml",IF(AND(E733=0,F733=0),"ml",IF(AND(E733&lt;&gt;0,F733&lt;&gt;0,G733&lt;&gt;0),"m3",0)))))))</f>
        <v>ml</v>
      </c>
    </row>
    <row r="734" spans="2:10" s="1" customFormat="1" ht="12.75" x14ac:dyDescent="0.2">
      <c r="B734" s="43" t="s">
        <v>241</v>
      </c>
      <c r="C734" s="43" t="s">
        <v>242</v>
      </c>
      <c r="D734" s="60"/>
      <c r="E734" s="40"/>
      <c r="F734" s="40"/>
      <c r="G734" s="40"/>
      <c r="H734" s="40"/>
      <c r="I734" s="44">
        <f>SUM(H735:H735)</f>
        <v>0</v>
      </c>
      <c r="J734" s="45" t="str">
        <f>+J735</f>
        <v>ml</v>
      </c>
    </row>
    <row r="735" spans="2:10" s="1" customFormat="1" ht="12.75" x14ac:dyDescent="0.2">
      <c r="B735" s="57"/>
      <c r="C735" s="39" t="s">
        <v>401</v>
      </c>
      <c r="D735" s="40"/>
      <c r="E735" s="40"/>
      <c r="F735" s="40"/>
      <c r="G735" s="40"/>
      <c r="H735" s="40">
        <f>IF(AND(F735=0,G735=0),D735*E735,IF(AND(E735=0,G735=0),D735*F735,IF(AND(E735=0,F735=0),D735*G735,IF(AND(E735=0),D735*F735*G735,IF(AND(F735=0),D735*E735*G735,IF(AND(G735=0),D735*E735*F735,D735*E735*F735*G735))))))</f>
        <v>0</v>
      </c>
      <c r="I735" s="40"/>
      <c r="J735" s="41" t="str">
        <f>IF(AND(E735=0,F735&lt;&gt;0,G735&lt;&gt;0),"m2",IF(AND(F735=0,E735&lt;&gt;0,G735&lt;&gt;0),"m2",IF(AND(G735=0,E735&lt;&gt;0,F735&lt;&gt;0),"m2",IF(AND(F735=0,G735=0),"ml",IF(AND(E735=0,G735=0),"ml",IF(AND(E735=0,F735=0),"ml",IF(AND(E735&lt;&gt;0,F735&lt;&gt;0,G735&lt;&gt;0),"m3",0)))))))</f>
        <v>ml</v>
      </c>
    </row>
    <row r="736" spans="2:10" s="1" customFormat="1" ht="12.75" x14ac:dyDescent="0.2">
      <c r="B736" s="43" t="s">
        <v>243</v>
      </c>
      <c r="C736" s="43" t="s">
        <v>245</v>
      </c>
      <c r="D736" s="60"/>
      <c r="E736" s="40"/>
      <c r="F736" s="40"/>
      <c r="G736" s="40"/>
      <c r="H736" s="40"/>
      <c r="I736" s="44">
        <f>SUM(H737:H737)</f>
        <v>0</v>
      </c>
      <c r="J736" s="45" t="str">
        <f>+J737</f>
        <v>ml</v>
      </c>
    </row>
    <row r="737" spans="2:10" s="1" customFormat="1" ht="12.75" x14ac:dyDescent="0.2">
      <c r="B737" s="57"/>
      <c r="C737" s="39" t="s">
        <v>426</v>
      </c>
      <c r="D737" s="40"/>
      <c r="E737" s="40"/>
      <c r="F737" s="40"/>
      <c r="G737" s="40"/>
      <c r="H737" s="40">
        <f>IF(AND(F737=0,G737=0),D737*E737,IF(AND(E737=0,G737=0),D737*F737,IF(AND(E737=0,F737=0),D737*G737,IF(AND(E737=0),D737*F737*G737,IF(AND(F737=0),D737*E737*G737,IF(AND(G737=0),D737*E737*F737,D737*E737*F737*G737))))))</f>
        <v>0</v>
      </c>
      <c r="I737" s="40"/>
      <c r="J737" s="41" t="str">
        <f>IF(AND(E737=0,F737&lt;&gt;0,G737&lt;&gt;0),"m2",IF(AND(F737=0,E737&lt;&gt;0,G737&lt;&gt;0),"m2",IF(AND(G737=0,E737&lt;&gt;0,F737&lt;&gt;0),"m2",IF(AND(F737=0,G737=0),"ml",IF(AND(E737=0,G737=0),"ml",IF(AND(E737=0,F737=0),"ml",IF(AND(E737&lt;&gt;0,F737&lt;&gt;0,G737&lt;&gt;0),"m3",0)))))))</f>
        <v>ml</v>
      </c>
    </row>
    <row r="738" spans="2:10" s="1" customFormat="1" ht="12.75" x14ac:dyDescent="0.2">
      <c r="B738" s="43" t="s">
        <v>244</v>
      </c>
      <c r="C738" s="43" t="s">
        <v>247</v>
      </c>
      <c r="D738" s="60"/>
      <c r="E738" s="40"/>
      <c r="F738" s="40"/>
      <c r="G738" s="40"/>
      <c r="H738" s="40"/>
      <c r="I738" s="44">
        <f>SUM(H739:H739)</f>
        <v>0</v>
      </c>
      <c r="J738" s="45" t="str">
        <f>+J739</f>
        <v>ml</v>
      </c>
    </row>
    <row r="739" spans="2:10" s="1" customFormat="1" ht="12.75" x14ac:dyDescent="0.2">
      <c r="B739" s="57"/>
      <c r="C739" s="39" t="s">
        <v>396</v>
      </c>
      <c r="D739" s="40"/>
      <c r="E739" s="40"/>
      <c r="F739" s="40"/>
      <c r="G739" s="40"/>
      <c r="H739" s="40">
        <f>IF(AND(F739=0,G739=0),D739*E739,IF(AND(E739=0,G739=0),D739*F739,IF(AND(E739=0,F739=0),D739*G739,IF(AND(E739=0),D739*F739*G739,IF(AND(F739=0),D739*E739*G739,IF(AND(G739=0),D739*E739*F739,D739*E739*F739*G739))))))</f>
        <v>0</v>
      </c>
      <c r="I739" s="40"/>
      <c r="J739" s="41" t="str">
        <f>IF(AND(E739=0,F739&lt;&gt;0,G739&lt;&gt;0),"m2",IF(AND(F739=0,E739&lt;&gt;0,G739&lt;&gt;0),"m2",IF(AND(G739=0,E739&lt;&gt;0,F739&lt;&gt;0),"m2",IF(AND(F739=0,G739=0),"ml",IF(AND(E739=0,G739=0),"ml",IF(AND(E739=0,F739=0),"ml",IF(AND(E739&lt;&gt;0,F739&lt;&gt;0,G739&lt;&gt;0),"m3",0)))))))</f>
        <v>ml</v>
      </c>
    </row>
    <row r="740" spans="2:10" s="1" customFormat="1" ht="12.75" x14ac:dyDescent="0.2">
      <c r="B740" s="43" t="s">
        <v>248</v>
      </c>
      <c r="C740" s="43" t="s">
        <v>226</v>
      </c>
      <c r="D740" s="60"/>
      <c r="E740" s="40"/>
      <c r="F740" s="40"/>
      <c r="G740" s="40"/>
      <c r="H740" s="40"/>
      <c r="I740" s="44">
        <f>SUM(H741:H742)</f>
        <v>0</v>
      </c>
      <c r="J740" s="45" t="str">
        <f>+J742</f>
        <v>ml</v>
      </c>
    </row>
    <row r="741" spans="2:10" s="1" customFormat="1" ht="12.75" x14ac:dyDescent="0.2">
      <c r="B741" s="43"/>
      <c r="C741" s="39" t="s">
        <v>371</v>
      </c>
      <c r="D741" s="40"/>
      <c r="E741" s="40"/>
      <c r="F741" s="40"/>
      <c r="G741" s="40"/>
      <c r="H741" s="40">
        <f>IF(AND(F741=0,G741=0),D741*E741,IF(AND(E741=0,G741=0),D741*F741,IF(AND(E741=0,F741=0),D741*G741,IF(AND(E741=0),D741*F741*G741,IF(AND(F741=0),D741*E741*G741,IF(AND(G741=0),D741*E741*F741,D741*E741*F741*G741))))))</f>
        <v>0</v>
      </c>
      <c r="I741" s="40"/>
      <c r="J741" s="41" t="str">
        <f>IF(AND(E741=0,F741&lt;&gt;0,G741&lt;&gt;0),"m2",IF(AND(F741=0,E741&lt;&gt;0,G741&lt;&gt;0),"m2",IF(AND(G741=0,E741&lt;&gt;0,F741&lt;&gt;0),"m2",IF(AND(F741=0,G741=0),"ml",IF(AND(E741=0,G741=0),"ml",IF(AND(E741=0,F741=0),"ml",IF(AND(E741&lt;&gt;0,F741&lt;&gt;0,G741&lt;&gt;0),"m3",0)))))))</f>
        <v>ml</v>
      </c>
    </row>
    <row r="742" spans="2:10" s="1" customFormat="1" ht="12.75" x14ac:dyDescent="0.2">
      <c r="B742" s="57"/>
      <c r="C742" s="39" t="s">
        <v>371</v>
      </c>
      <c r="D742" s="40"/>
      <c r="E742" s="40"/>
      <c r="F742" s="40"/>
      <c r="G742" s="40"/>
      <c r="H742" s="40">
        <f>+D742</f>
        <v>0</v>
      </c>
      <c r="I742" s="40"/>
      <c r="J742" s="41" t="str">
        <f>IF(AND(E742=0,F742&lt;&gt;0,G742&lt;&gt;0),"m2",IF(AND(F742=0,E742&lt;&gt;0,G742&lt;&gt;0),"m2",IF(AND(G742=0,E742&lt;&gt;0,F742&lt;&gt;0),"m2",IF(AND(F742=0,G742=0),"ml",IF(AND(E742=0,G742=0),"ml",IF(AND(E742=0,F742=0),"ml",IF(AND(E742&lt;&gt;0,F742&lt;&gt;0,G742&lt;&gt;0),"m3",0)))))))</f>
        <v>ml</v>
      </c>
    </row>
    <row r="743" spans="2:10" s="1" customFormat="1" ht="12.75" x14ac:dyDescent="0.2">
      <c r="B743" s="43" t="s">
        <v>249</v>
      </c>
      <c r="C743" s="43" t="s">
        <v>228</v>
      </c>
      <c r="D743" s="60"/>
      <c r="E743" s="40"/>
      <c r="F743" s="40"/>
      <c r="G743" s="40"/>
      <c r="H743" s="40"/>
      <c r="I743" s="44">
        <f>SUM(H744:H744)</f>
        <v>12.76</v>
      </c>
      <c r="J743" s="45" t="str">
        <f>+J744</f>
        <v>ml</v>
      </c>
    </row>
    <row r="744" spans="2:10" s="1" customFormat="1" ht="12.75" x14ac:dyDescent="0.2">
      <c r="B744" s="57"/>
      <c r="C744" s="39" t="s">
        <v>506</v>
      </c>
      <c r="D744" s="40">
        <v>1</v>
      </c>
      <c r="E744" s="40">
        <v>12.76</v>
      </c>
      <c r="F744" s="40"/>
      <c r="G744" s="40"/>
      <c r="H744" s="40">
        <f>IF(AND(F744=0,G744=0),D744*E744,IF(AND(E744=0,G744=0),D744*F744,IF(AND(E744=0,F744=0),D744*G744,IF(AND(E744=0),D744*F744*G744,IF(AND(F744=0),D744*E744*G744,IF(AND(G744=0),D744*E744*F744,D744*E744*F744*G744))))))</f>
        <v>12.76</v>
      </c>
      <c r="I744" s="40"/>
      <c r="J744" s="41" t="str">
        <f>IF(AND(E744=0,F744&lt;&gt;0,G744&lt;&gt;0),"m2",IF(AND(F744=0,E744&lt;&gt;0,G744&lt;&gt;0),"m2",IF(AND(G744=0,E744&lt;&gt;0,F744&lt;&gt;0),"m2",IF(AND(F744=0,G744=0),"ml",IF(AND(E744=0,G744=0),"ml",IF(AND(E744=0,F744=0),"ml",IF(AND(E744&lt;&gt;0,F744&lt;&gt;0,G744&lt;&gt;0),"m3",0)))))))</f>
        <v>ml</v>
      </c>
    </row>
    <row r="745" spans="2:10" s="1" customFormat="1" ht="12.75" x14ac:dyDescent="0.2">
      <c r="B745" s="57"/>
      <c r="C745" s="39"/>
      <c r="D745" s="60"/>
      <c r="E745" s="40"/>
      <c r="F745" s="40"/>
      <c r="G745" s="40"/>
      <c r="H745" s="40"/>
      <c r="I745" s="40"/>
      <c r="J745" s="41"/>
    </row>
    <row r="746" spans="2:10" s="1" customFormat="1" ht="12.75" x14ac:dyDescent="0.2">
      <c r="B746" s="43" t="s">
        <v>256</v>
      </c>
      <c r="C746" s="43" t="s">
        <v>250</v>
      </c>
      <c r="D746" s="60"/>
      <c r="E746" s="40"/>
      <c r="F746" s="40"/>
      <c r="G746" s="40"/>
      <c r="H746" s="40"/>
      <c r="I746" s="44">
        <f>SUM(H747:H747)</f>
        <v>0</v>
      </c>
      <c r="J746" s="45" t="str">
        <f>+J747</f>
        <v>ml</v>
      </c>
    </row>
    <row r="747" spans="2:10" s="1" customFormat="1" ht="12.75" x14ac:dyDescent="0.2">
      <c r="B747" s="57"/>
      <c r="C747" s="39" t="s">
        <v>388</v>
      </c>
      <c r="D747" s="40"/>
      <c r="E747" s="40"/>
      <c r="F747" s="40"/>
      <c r="G747" s="40"/>
      <c r="H747" s="40">
        <f>IF(AND(F747=0,G747=0),D747*E747,IF(AND(E747=0,G747=0),D747*F747,IF(AND(E747=0,F747=0),D747*G747,IF(AND(E747=0),D747*F747*G747,IF(AND(F747=0),D747*E747*G747,IF(AND(G747=0),D747*E747*F747,D747*E747*F747*G747))))))</f>
        <v>0</v>
      </c>
      <c r="I747" s="40"/>
      <c r="J747" s="41" t="str">
        <f>IF(AND(E747=0,F747&lt;&gt;0,G747&lt;&gt;0),"m2",IF(AND(F747=0,E747&lt;&gt;0,G747&lt;&gt;0),"m2",IF(AND(G747=0,E747&lt;&gt;0,F747&lt;&gt;0),"m2",IF(AND(F747=0,G747=0),"ml",IF(AND(E747=0,G747=0),"ml",IF(AND(E747=0,F747=0),"ml",IF(AND(E747&lt;&gt;0,F747&lt;&gt;0,G747&lt;&gt;0),"m3",0)))))))</f>
        <v>ml</v>
      </c>
    </row>
    <row r="748" spans="2:10" s="1" customFormat="1" ht="12.75" x14ac:dyDescent="0.2">
      <c r="B748" s="43" t="s">
        <v>257</v>
      </c>
      <c r="C748" s="43" t="s">
        <v>252</v>
      </c>
      <c r="D748" s="60"/>
      <c r="E748" s="40"/>
      <c r="F748" s="40"/>
      <c r="G748" s="40"/>
      <c r="H748" s="40"/>
      <c r="I748" s="44">
        <f>SUM(H749:H749)</f>
        <v>0</v>
      </c>
      <c r="J748" s="45" t="str">
        <f>+J749</f>
        <v>ml</v>
      </c>
    </row>
    <row r="749" spans="2:10" s="1" customFormat="1" ht="12.75" x14ac:dyDescent="0.2">
      <c r="B749" s="57"/>
      <c r="C749" s="39" t="s">
        <v>397</v>
      </c>
      <c r="D749" s="40"/>
      <c r="E749" s="40"/>
      <c r="F749" s="40"/>
      <c r="G749" s="40"/>
      <c r="H749" s="40">
        <f>IF(AND(F749=0,G749=0),D749*E749,IF(AND(E749=0,G749=0),D749*F749,IF(AND(E749=0,F749=0),D749*G749,IF(AND(E749=0),D749*F749*G749,IF(AND(F749=0),D749*E749*G749,IF(AND(G749=0),D749*E749*F749,D749*E749*F749*G749))))))</f>
        <v>0</v>
      </c>
      <c r="I749" s="40"/>
      <c r="J749" s="41" t="str">
        <f>IF(AND(E749=0,F749&lt;&gt;0,G749&lt;&gt;0),"m2",IF(AND(F749=0,E749&lt;&gt;0,G749&lt;&gt;0),"m2",IF(AND(G749=0,E749&lt;&gt;0,F749&lt;&gt;0),"m2",IF(AND(F749=0,G749=0),"ml",IF(AND(E749=0,G749=0),"ml",IF(AND(E749=0,F749=0),"ml",IF(AND(E749&lt;&gt;0,F749&lt;&gt;0,G749&lt;&gt;0),"m3",0)))))))</f>
        <v>ml</v>
      </c>
    </row>
    <row r="750" spans="2:10" s="1" customFormat="1" ht="12.75" x14ac:dyDescent="0.2">
      <c r="B750" s="43" t="s">
        <v>258</v>
      </c>
      <c r="C750" s="43" t="s">
        <v>253</v>
      </c>
      <c r="D750" s="60"/>
      <c r="E750" s="40"/>
      <c r="F750" s="40"/>
      <c r="G750" s="40"/>
      <c r="H750" s="40"/>
      <c r="I750" s="44">
        <f>SUM(H751:H751)</f>
        <v>0</v>
      </c>
      <c r="J750" s="45" t="str">
        <f>+J751</f>
        <v>und</v>
      </c>
    </row>
    <row r="751" spans="2:10" s="1" customFormat="1" ht="12.75" x14ac:dyDescent="0.2">
      <c r="B751" s="43"/>
      <c r="C751" s="39" t="s">
        <v>402</v>
      </c>
      <c r="D751" s="40"/>
      <c r="E751" s="40"/>
      <c r="F751" s="40"/>
      <c r="G751" s="40"/>
      <c r="H751" s="40">
        <f>+D751</f>
        <v>0</v>
      </c>
      <c r="I751" s="40"/>
      <c r="J751" s="41" t="s">
        <v>13</v>
      </c>
    </row>
    <row r="752" spans="2:10" s="1" customFormat="1" ht="12.75" x14ac:dyDescent="0.2">
      <c r="B752" s="43" t="s">
        <v>259</v>
      </c>
      <c r="C752" s="43" t="s">
        <v>254</v>
      </c>
      <c r="D752" s="60"/>
      <c r="E752" s="40"/>
      <c r="F752" s="40"/>
      <c r="G752" s="40"/>
      <c r="H752" s="40"/>
      <c r="I752" s="44">
        <f>SUM(H753:H753)</f>
        <v>0</v>
      </c>
      <c r="J752" s="45" t="str">
        <f>+J753</f>
        <v>und</v>
      </c>
    </row>
    <row r="753" spans="2:10" s="1" customFormat="1" ht="12.75" x14ac:dyDescent="0.2">
      <c r="B753" s="57"/>
      <c r="C753" s="39" t="s">
        <v>238</v>
      </c>
      <c r="D753" s="40"/>
      <c r="E753" s="40"/>
      <c r="F753" s="40"/>
      <c r="G753" s="40"/>
      <c r="H753" s="40">
        <f>+D753</f>
        <v>0</v>
      </c>
      <c r="I753" s="40"/>
      <c r="J753" s="41" t="s">
        <v>13</v>
      </c>
    </row>
    <row r="754" spans="2:10" s="1" customFormat="1" ht="12.75" x14ac:dyDescent="0.2">
      <c r="B754" s="25"/>
      <c r="D754" s="60"/>
      <c r="E754" s="40"/>
      <c r="F754" s="40"/>
      <c r="G754" s="40"/>
      <c r="H754" s="40"/>
      <c r="I754" s="40"/>
      <c r="J754" s="41"/>
    </row>
    <row r="755" spans="2:10" s="1" customFormat="1" ht="12.75" x14ac:dyDescent="0.2">
      <c r="B755" s="57" t="s">
        <v>18</v>
      </c>
      <c r="C755" s="58" t="s">
        <v>223</v>
      </c>
      <c r="D755" s="60"/>
      <c r="E755" s="40"/>
      <c r="F755" s="40"/>
      <c r="G755" s="40"/>
      <c r="H755" s="40"/>
      <c r="I755" s="40"/>
      <c r="J755" s="41"/>
    </row>
    <row r="756" spans="2:10" s="1" customFormat="1" ht="12.75" x14ac:dyDescent="0.2">
      <c r="B756" s="43" t="s">
        <v>19</v>
      </c>
      <c r="C756" s="43" t="s">
        <v>265</v>
      </c>
      <c r="D756" s="60"/>
      <c r="E756" s="40"/>
      <c r="F756" s="40"/>
      <c r="G756" s="40"/>
      <c r="H756" s="40"/>
      <c r="I756" s="44">
        <f>SUM(H757:H757)</f>
        <v>2</v>
      </c>
      <c r="J756" s="45" t="s">
        <v>13</v>
      </c>
    </row>
    <row r="757" spans="2:10" s="1" customFormat="1" ht="12.75" x14ac:dyDescent="0.2">
      <c r="B757" s="46"/>
      <c r="C757" s="39" t="s">
        <v>231</v>
      </c>
      <c r="D757" s="40">
        <v>2</v>
      </c>
      <c r="E757" s="40"/>
      <c r="F757" s="40"/>
      <c r="G757" s="40"/>
      <c r="H757" s="40">
        <f>+D757</f>
        <v>2</v>
      </c>
      <c r="I757" s="40"/>
      <c r="J757" s="41" t="s">
        <v>13</v>
      </c>
    </row>
    <row r="758" spans="2:10" s="1" customFormat="1" ht="12.75" x14ac:dyDescent="0.2">
      <c r="B758" s="43" t="s">
        <v>20</v>
      </c>
      <c r="C758" s="43" t="s">
        <v>266</v>
      </c>
      <c r="D758" s="60"/>
      <c r="E758" s="40"/>
      <c r="F758" s="40"/>
      <c r="G758" s="40"/>
      <c r="H758" s="40"/>
      <c r="I758" s="44">
        <f>SUM(H759:H761)</f>
        <v>0</v>
      </c>
      <c r="J758" s="45" t="str">
        <f>+J759</f>
        <v>und</v>
      </c>
    </row>
    <row r="759" spans="2:10" s="1" customFormat="1" ht="12.75" x14ac:dyDescent="0.2">
      <c r="B759" s="43"/>
      <c r="C759" s="39" t="s">
        <v>71</v>
      </c>
      <c r="D759" s="40"/>
      <c r="E759" s="40"/>
      <c r="F759" s="40"/>
      <c r="G759" s="40"/>
      <c r="H759" s="40">
        <f>+D759</f>
        <v>0</v>
      </c>
      <c r="I759" s="40"/>
      <c r="J759" s="41" t="s">
        <v>13</v>
      </c>
    </row>
    <row r="760" spans="2:10" s="1" customFormat="1" ht="12.75" x14ac:dyDescent="0.2">
      <c r="B760" s="43"/>
      <c r="C760" s="39" t="s">
        <v>72</v>
      </c>
      <c r="D760" s="40"/>
      <c r="E760" s="40"/>
      <c r="F760" s="40"/>
      <c r="G760" s="40"/>
      <c r="H760" s="40">
        <f>+D760</f>
        <v>0</v>
      </c>
      <c r="I760" s="40"/>
      <c r="J760" s="41" t="s">
        <v>13</v>
      </c>
    </row>
    <row r="761" spans="2:10" s="1" customFormat="1" ht="12.75" x14ac:dyDescent="0.2">
      <c r="B761" s="43"/>
      <c r="C761" s="39" t="s">
        <v>73</v>
      </c>
      <c r="D761" s="40"/>
      <c r="E761" s="40"/>
      <c r="F761" s="40"/>
      <c r="G761" s="40"/>
      <c r="H761" s="40">
        <f>+D761</f>
        <v>0</v>
      </c>
      <c r="I761" s="40"/>
      <c r="J761" s="41" t="s">
        <v>13</v>
      </c>
    </row>
    <row r="762" spans="2:10" s="1" customFormat="1" ht="12.75" x14ac:dyDescent="0.2">
      <c r="B762" s="43" t="s">
        <v>21</v>
      </c>
      <c r="C762" s="43" t="s">
        <v>357</v>
      </c>
      <c r="D762" s="60"/>
      <c r="E762" s="40"/>
      <c r="F762" s="40"/>
      <c r="G762" s="40"/>
      <c r="H762" s="40"/>
      <c r="I762" s="44">
        <f>SUM(H763:H763)</f>
        <v>0</v>
      </c>
      <c r="J762" s="45" t="str">
        <f>+J763</f>
        <v>und</v>
      </c>
    </row>
    <row r="763" spans="2:10" s="1" customFormat="1" ht="12.75" x14ac:dyDescent="0.2">
      <c r="B763" s="43"/>
      <c r="C763" s="39"/>
      <c r="D763" s="40"/>
      <c r="E763" s="40"/>
      <c r="F763" s="40"/>
      <c r="G763" s="40"/>
      <c r="H763" s="40">
        <f>+D763</f>
        <v>0</v>
      </c>
      <c r="I763" s="40"/>
      <c r="J763" s="41" t="s">
        <v>13</v>
      </c>
    </row>
    <row r="764" spans="2:10" s="1" customFormat="1" ht="12.75" x14ac:dyDescent="0.2">
      <c r="B764" s="43" t="s">
        <v>273</v>
      </c>
      <c r="C764" s="43" t="s">
        <v>263</v>
      </c>
      <c r="D764" s="60"/>
      <c r="E764" s="40"/>
      <c r="F764" s="40"/>
      <c r="G764" s="40"/>
      <c r="H764" s="40"/>
      <c r="I764" s="44">
        <f>SUM(H765:H765)</f>
        <v>1</v>
      </c>
      <c r="J764" s="45">
        <f>+J765</f>
        <v>0</v>
      </c>
    </row>
    <row r="765" spans="2:10" s="1" customFormat="1" ht="12.75" x14ac:dyDescent="0.2">
      <c r="B765" s="46"/>
      <c r="C765" s="39" t="s">
        <v>507</v>
      </c>
      <c r="D765" s="60">
        <v>1</v>
      </c>
      <c r="E765" s="40"/>
      <c r="F765" s="40"/>
      <c r="G765" s="40"/>
      <c r="H765" s="40">
        <f>+D765</f>
        <v>1</v>
      </c>
      <c r="I765" s="40"/>
      <c r="J765" s="41"/>
    </row>
    <row r="766" spans="2:10" s="1" customFormat="1" ht="14.25" customHeight="1" x14ac:dyDescent="0.2">
      <c r="B766" s="46"/>
      <c r="C766" s="39"/>
      <c r="D766" s="60"/>
      <c r="E766" s="40"/>
      <c r="F766" s="40"/>
      <c r="G766" s="40"/>
      <c r="H766" s="40"/>
      <c r="I766" s="40"/>
      <c r="J766" s="41"/>
    </row>
    <row r="767" spans="2:10" s="1" customFormat="1" ht="14.25" customHeight="1" x14ac:dyDescent="0.2">
      <c r="B767" s="43" t="s">
        <v>274</v>
      </c>
      <c r="C767" s="43" t="s">
        <v>264</v>
      </c>
      <c r="D767" s="60"/>
      <c r="E767" s="40"/>
      <c r="F767" s="40"/>
      <c r="G767" s="40"/>
      <c r="H767" s="40"/>
      <c r="I767" s="44">
        <f>SUM(H768:H768)</f>
        <v>0</v>
      </c>
      <c r="J767" s="45" t="str">
        <f>+J768</f>
        <v>und</v>
      </c>
    </row>
    <row r="768" spans="2:10" s="1" customFormat="1" ht="12.75" x14ac:dyDescent="0.2">
      <c r="B768" s="46"/>
      <c r="C768" s="39" t="s">
        <v>420</v>
      </c>
      <c r="D768" s="40"/>
      <c r="E768" s="40"/>
      <c r="F768" s="40"/>
      <c r="G768" s="40"/>
      <c r="H768" s="40">
        <f>+D768</f>
        <v>0</v>
      </c>
      <c r="I768" s="40"/>
      <c r="J768" s="41" t="s">
        <v>13</v>
      </c>
    </row>
    <row r="769" spans="2:10" s="1" customFormat="1" ht="12.75" x14ac:dyDescent="0.2">
      <c r="B769" s="107"/>
      <c r="C769" s="343"/>
      <c r="D769" s="60"/>
      <c r="E769" s="40"/>
      <c r="F769" s="40"/>
      <c r="G769" s="40"/>
      <c r="H769" s="40"/>
      <c r="I769" s="40"/>
      <c r="J769" s="41"/>
    </row>
    <row r="770" spans="2:10" s="1" customFormat="1" ht="12.75" x14ac:dyDescent="0.2">
      <c r="B770" s="46"/>
      <c r="C770" s="59"/>
      <c r="D770" s="60"/>
      <c r="E770" s="40"/>
      <c r="F770" s="40"/>
      <c r="G770" s="40"/>
      <c r="H770" s="40"/>
      <c r="I770" s="40"/>
      <c r="J770" s="41"/>
    </row>
    <row r="771" spans="2:10" s="1" customFormat="1" ht="12.75" x14ac:dyDescent="0.2">
      <c r="B771" s="46"/>
      <c r="C771" s="59"/>
      <c r="D771" s="60"/>
      <c r="E771" s="40"/>
      <c r="F771" s="40"/>
      <c r="G771" s="40"/>
      <c r="H771" s="40"/>
      <c r="I771" s="40"/>
      <c r="J771" s="41"/>
    </row>
    <row r="772" spans="2:10" s="1" customFormat="1" ht="12.75" x14ac:dyDescent="0.2">
      <c r="B772" s="46"/>
      <c r="C772" s="59"/>
      <c r="D772" s="60"/>
      <c r="E772" s="40"/>
      <c r="F772" s="40"/>
      <c r="G772" s="40"/>
      <c r="H772" s="40"/>
      <c r="I772" s="40"/>
      <c r="J772" s="41"/>
    </row>
    <row r="773" spans="2:10" s="1" customFormat="1" ht="12.75" x14ac:dyDescent="0.2">
      <c r="B773" s="46"/>
      <c r="C773" s="59"/>
      <c r="D773" s="60"/>
      <c r="E773" s="40"/>
      <c r="F773" s="40"/>
      <c r="G773" s="40"/>
      <c r="H773" s="40"/>
      <c r="I773" s="40"/>
      <c r="J773" s="41"/>
    </row>
    <row r="774" spans="2:10" s="1" customFormat="1" ht="12.75" x14ac:dyDescent="0.2">
      <c r="B774" s="46"/>
      <c r="C774" s="59"/>
      <c r="D774" s="60"/>
      <c r="E774" s="40"/>
      <c r="F774" s="40"/>
      <c r="G774" s="40"/>
      <c r="H774" s="40"/>
      <c r="I774" s="40"/>
      <c r="J774" s="41"/>
    </row>
    <row r="775" spans="2:10" s="1" customFormat="1" ht="12.75" x14ac:dyDescent="0.2">
      <c r="B775" s="46"/>
      <c r="C775" s="59"/>
      <c r="D775" s="60"/>
      <c r="E775" s="40"/>
      <c r="F775" s="40"/>
      <c r="G775" s="40"/>
      <c r="H775" s="40"/>
      <c r="I775" s="40"/>
      <c r="J775" s="41"/>
    </row>
    <row r="776" spans="2:10" s="1" customFormat="1" ht="12.75" x14ac:dyDescent="0.2">
      <c r="C776" s="384" t="s">
        <v>37</v>
      </c>
      <c r="D776" s="384"/>
      <c r="E776" s="384"/>
      <c r="F776" s="384"/>
      <c r="G776" s="384"/>
      <c r="H776" s="384"/>
    </row>
    <row r="777" spans="2:10" s="1" customFormat="1" ht="12.75" x14ac:dyDescent="0.2">
      <c r="C777" s="384" t="s">
        <v>38</v>
      </c>
      <c r="D777" s="384"/>
      <c r="E777" s="384"/>
      <c r="F777" s="384"/>
      <c r="G777" s="384"/>
      <c r="H777" s="384"/>
    </row>
    <row r="778" spans="2:10" s="1" customFormat="1" ht="12.75" x14ac:dyDescent="0.2">
      <c r="C778" s="384" t="s">
        <v>39</v>
      </c>
      <c r="D778" s="384"/>
      <c r="E778" s="384"/>
      <c r="F778" s="384"/>
      <c r="G778" s="384"/>
      <c r="H778" s="384"/>
    </row>
    <row r="779" spans="2:10" s="1" customFormat="1" ht="12.75" x14ac:dyDescent="0.2">
      <c r="C779" s="385" t="s">
        <v>40</v>
      </c>
      <c r="D779" s="385"/>
      <c r="E779" s="385"/>
      <c r="F779" s="385"/>
      <c r="G779" s="385"/>
      <c r="H779" s="385"/>
    </row>
    <row r="780" spans="2:10" s="1" customFormat="1" ht="28.5" customHeight="1" x14ac:dyDescent="0.2">
      <c r="C780" s="385"/>
      <c r="D780" s="385"/>
      <c r="E780" s="385"/>
      <c r="F780" s="385"/>
      <c r="G780" s="385"/>
      <c r="H780" s="385"/>
    </row>
    <row r="781" spans="2:10" s="1" customFormat="1" ht="15.75" x14ac:dyDescent="0.2">
      <c r="B781" s="386" t="s">
        <v>65</v>
      </c>
      <c r="C781" s="387"/>
      <c r="D781" s="387"/>
      <c r="E781" s="387"/>
      <c r="F781" s="387"/>
      <c r="G781" s="387"/>
      <c r="H781" s="387"/>
      <c r="I781" s="387"/>
      <c r="J781" s="388"/>
    </row>
    <row r="782" spans="2:10" s="1" customFormat="1" ht="20.25" x14ac:dyDescent="0.2">
      <c r="B782" s="390" t="s">
        <v>367</v>
      </c>
      <c r="C782" s="391"/>
      <c r="D782" s="391"/>
      <c r="E782" s="391"/>
      <c r="F782" s="391"/>
      <c r="G782" s="391"/>
      <c r="H782" s="391"/>
      <c r="I782" s="391"/>
      <c r="J782" s="392"/>
    </row>
    <row r="783" spans="2:10" s="1" customFormat="1" ht="13.5" thickBot="1" x14ac:dyDescent="0.25">
      <c r="B783" s="389"/>
      <c r="C783" s="389"/>
      <c r="D783" s="389"/>
      <c r="E783" s="389"/>
      <c r="F783" s="389"/>
      <c r="G783" s="389"/>
      <c r="H783" s="389"/>
      <c r="I783" s="389"/>
      <c r="J783" s="389"/>
    </row>
    <row r="784" spans="2:10" s="1" customFormat="1" ht="24.75" customHeight="1" x14ac:dyDescent="0.2">
      <c r="B784" s="494" t="s">
        <v>27</v>
      </c>
      <c r="C784" s="495"/>
      <c r="D784" s="495"/>
      <c r="E784" s="495"/>
      <c r="F784" s="495"/>
      <c r="G784" s="495"/>
      <c r="H784" s="495"/>
      <c r="I784" s="495"/>
      <c r="J784" s="496"/>
    </row>
    <row r="785" spans="2:10" s="1" customFormat="1" ht="12.75" x14ac:dyDescent="0.2">
      <c r="B785" s="2" t="s">
        <v>35</v>
      </c>
      <c r="C785" s="3" t="s">
        <v>36</v>
      </c>
      <c r="D785" s="3"/>
      <c r="E785" s="4"/>
      <c r="F785" s="5"/>
      <c r="G785" s="6" t="s">
        <v>8</v>
      </c>
      <c r="H785" s="497">
        <v>42879</v>
      </c>
      <c r="I785" s="497"/>
      <c r="J785" s="7"/>
    </row>
    <row r="786" spans="2:10" s="1" customFormat="1" ht="12.75" x14ac:dyDescent="0.2">
      <c r="B786" s="2" t="s">
        <v>33</v>
      </c>
      <c r="C786" s="3" t="s">
        <v>29</v>
      </c>
      <c r="D786" s="8"/>
      <c r="E786" s="8"/>
      <c r="F786" s="3"/>
      <c r="G786" s="9" t="s">
        <v>32</v>
      </c>
      <c r="H786" s="4" t="s">
        <v>29</v>
      </c>
      <c r="I786" s="10"/>
      <c r="J786" s="11"/>
    </row>
    <row r="787" spans="2:10" s="1" customFormat="1" ht="12.75" x14ac:dyDescent="0.2">
      <c r="B787" s="2" t="s">
        <v>34</v>
      </c>
      <c r="C787" s="3" t="s">
        <v>29</v>
      </c>
      <c r="D787" s="8"/>
      <c r="E787" s="8"/>
      <c r="F787" s="3"/>
      <c r="G787" s="9" t="s">
        <v>30</v>
      </c>
      <c r="H787" s="4" t="s">
        <v>31</v>
      </c>
      <c r="I787" s="10"/>
      <c r="J787" s="11"/>
    </row>
    <row r="788" spans="2:10" s="1" customFormat="1" ht="13.5" thickBot="1" x14ac:dyDescent="0.25">
      <c r="B788" s="12" t="s">
        <v>43</v>
      </c>
      <c r="C788" s="13" t="s">
        <v>44</v>
      </c>
      <c r="D788" s="14"/>
      <c r="E788" s="14"/>
      <c r="F788" s="13"/>
      <c r="G788" s="15" t="s">
        <v>41</v>
      </c>
      <c r="H788" s="16" t="s">
        <v>42</v>
      </c>
      <c r="I788" s="17"/>
      <c r="J788" s="18"/>
    </row>
    <row r="789" spans="2:10" s="1" customFormat="1" ht="12.75" x14ac:dyDescent="0.2">
      <c r="B789" s="389"/>
      <c r="C789" s="389"/>
      <c r="D789" s="389"/>
      <c r="E789" s="389"/>
      <c r="F789" s="389"/>
      <c r="G789" s="389"/>
      <c r="H789" s="389"/>
      <c r="I789" s="389"/>
      <c r="J789" s="389"/>
    </row>
    <row r="790" spans="2:10" s="1" customFormat="1" ht="12.75" x14ac:dyDescent="0.2">
      <c r="B790" s="21" t="s">
        <v>5</v>
      </c>
      <c r="C790" s="22" t="s">
        <v>0</v>
      </c>
      <c r="D790" s="22" t="s">
        <v>9</v>
      </c>
      <c r="E790" s="22" t="s">
        <v>10</v>
      </c>
      <c r="F790" s="22" t="s">
        <v>1</v>
      </c>
      <c r="G790" s="22" t="s">
        <v>2</v>
      </c>
      <c r="H790" s="22" t="s">
        <v>11</v>
      </c>
      <c r="I790" s="22" t="s">
        <v>6</v>
      </c>
      <c r="J790" s="22" t="s">
        <v>7</v>
      </c>
    </row>
    <row r="791" spans="2:10" s="1" customFormat="1" ht="12.75" x14ac:dyDescent="0.2">
      <c r="B791" s="55">
        <v>4.03</v>
      </c>
      <c r="C791" s="56" t="s">
        <v>222</v>
      </c>
      <c r="D791" s="60"/>
      <c r="E791" s="40"/>
      <c r="F791" s="40"/>
      <c r="G791" s="40"/>
      <c r="H791" s="40"/>
      <c r="I791" s="40"/>
      <c r="J791" s="41"/>
    </row>
    <row r="792" spans="2:10" s="1" customFormat="1" ht="12.75" x14ac:dyDescent="0.2">
      <c r="B792" s="57" t="s">
        <v>14</v>
      </c>
      <c r="C792" s="58" t="s">
        <v>225</v>
      </c>
      <c r="D792" s="60"/>
      <c r="E792" s="40"/>
      <c r="F792" s="40"/>
      <c r="G792" s="40"/>
      <c r="H792" s="40"/>
      <c r="I792" s="40"/>
      <c r="J792" s="41"/>
    </row>
    <row r="793" spans="2:10" s="1" customFormat="1" ht="12.75" x14ac:dyDescent="0.2">
      <c r="B793" s="43" t="s">
        <v>15</v>
      </c>
      <c r="C793" s="43" t="s">
        <v>269</v>
      </c>
      <c r="D793" s="60"/>
      <c r="E793" s="40"/>
      <c r="F793" s="40"/>
      <c r="G793" s="40"/>
      <c r="H793" s="40"/>
      <c r="I793" s="44">
        <f>SUM(H794:H800)</f>
        <v>0</v>
      </c>
      <c r="J793" s="45" t="str">
        <f>+J794</f>
        <v>ml</v>
      </c>
    </row>
    <row r="794" spans="2:10" s="1" customFormat="1" ht="12.75" x14ac:dyDescent="0.2">
      <c r="B794" s="43"/>
      <c r="C794" s="77" t="s">
        <v>71</v>
      </c>
      <c r="D794" s="40"/>
      <c r="E794" s="40"/>
      <c r="F794" s="40"/>
      <c r="G794" s="40"/>
      <c r="H794" s="40">
        <f t="shared" ref="H794:H800" si="10">IF(AND(F794=0,G794=0),D794*E794,IF(AND(E794=0,G794=0),D794*F794,IF(AND(E794=0,F794=0),D794*G794,IF(AND(E794=0),D794*F794*G794,IF(AND(F794=0),D794*E794*G794,IF(AND(G794=0),D794*E794*F794,D794*E794*F794*G794))))))</f>
        <v>0</v>
      </c>
      <c r="I794" s="40"/>
      <c r="J794" s="41" t="str">
        <f t="shared" ref="J794:J800" si="11">IF(AND(E794=0,F794&lt;&gt;0,G794&lt;&gt;0),"m2",IF(AND(F794=0,E794&lt;&gt;0,G794&lt;&gt;0),"m2",IF(AND(G794=0,E794&lt;&gt;0,F794&lt;&gt;0),"m2",IF(AND(F794=0,G794=0),"ml",IF(AND(E794=0,G794=0),"ml",IF(AND(E794=0,F794=0),"ml",IF(AND(E794&lt;&gt;0,F794&lt;&gt;0,G794&lt;&gt;0),"m3",0)))))))</f>
        <v>ml</v>
      </c>
    </row>
    <row r="795" spans="2:10" s="1" customFormat="1" ht="12.75" x14ac:dyDescent="0.2">
      <c r="B795" s="43"/>
      <c r="C795" s="39" t="s">
        <v>349</v>
      </c>
      <c r="D795" s="40"/>
      <c r="E795" s="40"/>
      <c r="F795" s="40"/>
      <c r="G795" s="40"/>
      <c r="H795" s="40">
        <f t="shared" si="10"/>
        <v>0</v>
      </c>
      <c r="I795" s="40"/>
      <c r="J795" s="41" t="str">
        <f t="shared" si="11"/>
        <v>ml</v>
      </c>
    </row>
    <row r="796" spans="2:10" s="1" customFormat="1" ht="12.75" x14ac:dyDescent="0.2">
      <c r="B796" s="43"/>
      <c r="C796" s="39" t="s">
        <v>369</v>
      </c>
      <c r="D796" s="40"/>
      <c r="E796" s="40"/>
      <c r="F796" s="40"/>
      <c r="G796" s="40"/>
      <c r="H796" s="40">
        <f t="shared" si="10"/>
        <v>0</v>
      </c>
      <c r="I796" s="40"/>
      <c r="J796" s="41" t="str">
        <f t="shared" si="11"/>
        <v>ml</v>
      </c>
    </row>
    <row r="797" spans="2:10" s="1" customFormat="1" ht="12.75" x14ac:dyDescent="0.2">
      <c r="B797" s="43"/>
      <c r="C797" s="77" t="s">
        <v>72</v>
      </c>
      <c r="D797" s="40"/>
      <c r="E797" s="40"/>
      <c r="F797" s="40"/>
      <c r="G797" s="40"/>
      <c r="H797" s="40">
        <f t="shared" si="10"/>
        <v>0</v>
      </c>
      <c r="I797" s="40"/>
      <c r="J797" s="41" t="str">
        <f t="shared" si="11"/>
        <v>ml</v>
      </c>
    </row>
    <row r="798" spans="2:10" s="1" customFormat="1" ht="12.75" x14ac:dyDescent="0.2">
      <c r="B798" s="43"/>
      <c r="C798" s="39" t="s">
        <v>349</v>
      </c>
      <c r="D798" s="40"/>
      <c r="E798" s="40"/>
      <c r="F798" s="40"/>
      <c r="G798" s="40"/>
      <c r="H798" s="40">
        <f t="shared" si="10"/>
        <v>0</v>
      </c>
      <c r="I798" s="40"/>
      <c r="J798" s="41" t="str">
        <f t="shared" si="11"/>
        <v>ml</v>
      </c>
    </row>
    <row r="799" spans="2:10" s="1" customFormat="1" ht="12.75" x14ac:dyDescent="0.2">
      <c r="B799" s="43"/>
      <c r="C799" s="77" t="s">
        <v>73</v>
      </c>
      <c r="D799" s="40"/>
      <c r="E799" s="40"/>
      <c r="F799" s="40"/>
      <c r="G799" s="40"/>
      <c r="H799" s="40">
        <f t="shared" si="10"/>
        <v>0</v>
      </c>
      <c r="I799" s="40"/>
      <c r="J799" s="41" t="str">
        <f t="shared" si="11"/>
        <v>ml</v>
      </c>
    </row>
    <row r="800" spans="2:10" s="1" customFormat="1" ht="12.75" x14ac:dyDescent="0.2">
      <c r="B800" s="43"/>
      <c r="C800" s="39" t="s">
        <v>349</v>
      </c>
      <c r="D800" s="40"/>
      <c r="E800" s="40"/>
      <c r="F800" s="40"/>
      <c r="G800" s="40"/>
      <c r="H800" s="40">
        <f t="shared" si="10"/>
        <v>0</v>
      </c>
      <c r="I800" s="40"/>
      <c r="J800" s="41" t="str">
        <f t="shared" si="11"/>
        <v>ml</v>
      </c>
    </row>
    <row r="801" spans="2:10" s="1" customFormat="1" ht="12.75" x14ac:dyDescent="0.2">
      <c r="B801" s="43" t="s">
        <v>232</v>
      </c>
      <c r="C801" s="43" t="s">
        <v>348</v>
      </c>
      <c r="D801" s="60"/>
      <c r="E801" s="40"/>
      <c r="F801" s="40"/>
      <c r="G801" s="40"/>
      <c r="H801" s="40"/>
      <c r="I801" s="44">
        <f>SUM(H802:H803)</f>
        <v>1</v>
      </c>
      <c r="J801" s="45" t="str">
        <f>+J802</f>
        <v>und</v>
      </c>
    </row>
    <row r="802" spans="2:10" s="1" customFormat="1" ht="12.75" x14ac:dyDescent="0.2">
      <c r="B802" s="57"/>
      <c r="C802" s="39" t="s">
        <v>349</v>
      </c>
      <c r="D802" s="40">
        <v>0</v>
      </c>
      <c r="E802" s="40"/>
      <c r="F802" s="40"/>
      <c r="G802" s="40"/>
      <c r="H802" s="40">
        <f>+D802</f>
        <v>0</v>
      </c>
      <c r="I802" s="40"/>
      <c r="J802" s="41" t="s">
        <v>13</v>
      </c>
    </row>
    <row r="803" spans="2:10" s="1" customFormat="1" ht="12.75" x14ac:dyDescent="0.2">
      <c r="B803" s="57"/>
      <c r="C803" s="39" t="s">
        <v>643</v>
      </c>
      <c r="D803" s="60">
        <v>1</v>
      </c>
      <c r="E803" s="40"/>
      <c r="F803" s="40"/>
      <c r="G803" s="40"/>
      <c r="H803" s="40">
        <v>1</v>
      </c>
      <c r="I803" s="40"/>
      <c r="J803" s="41"/>
    </row>
    <row r="804" spans="2:10" s="1" customFormat="1" ht="12.75" x14ac:dyDescent="0.2">
      <c r="B804" s="57" t="s">
        <v>16</v>
      </c>
      <c r="C804" s="58" t="s">
        <v>224</v>
      </c>
      <c r="D804" s="60"/>
      <c r="E804" s="40"/>
      <c r="F804" s="40"/>
      <c r="G804" s="40"/>
      <c r="H804" s="40"/>
      <c r="I804" s="40"/>
      <c r="J804" s="41"/>
    </row>
    <row r="805" spans="2:10" s="1" customFormat="1" ht="12.75" x14ac:dyDescent="0.2">
      <c r="B805" s="43" t="s">
        <v>17</v>
      </c>
      <c r="C805" s="43" t="s">
        <v>343</v>
      </c>
      <c r="D805" s="60"/>
      <c r="E805" s="40"/>
      <c r="F805" s="40"/>
      <c r="G805" s="40"/>
      <c r="H805" s="40"/>
      <c r="I805" s="44">
        <f>SUM(H806:H807)</f>
        <v>0</v>
      </c>
      <c r="J805" s="45" t="str">
        <f>+J806</f>
        <v>ml</v>
      </c>
    </row>
    <row r="806" spans="2:10" s="1" customFormat="1" ht="12.75" x14ac:dyDescent="0.2">
      <c r="B806" s="57"/>
      <c r="C806" s="39" t="s">
        <v>425</v>
      </c>
      <c r="D806" s="40"/>
      <c r="E806" s="40"/>
      <c r="F806" s="40"/>
      <c r="G806" s="40"/>
      <c r="H806" s="40">
        <f>IF(AND(F806=0,G806=0),D806*E806,IF(AND(E806=0,G806=0),D806*F806,IF(AND(E806=0,F806=0),D806*G806,IF(AND(E806=0),D806*F806*G806,IF(AND(F806=0),D806*E806*G806,IF(AND(G806=0),D806*E806*F806,D806*E806*F806*G806))))))</f>
        <v>0</v>
      </c>
      <c r="I806" s="40"/>
      <c r="J806" s="41" t="str">
        <f>IF(AND(E806=0,F806&lt;&gt;0,G806&lt;&gt;0),"m2",IF(AND(F806=0,E806&lt;&gt;0,G806&lt;&gt;0),"m2",IF(AND(G806=0,E806&lt;&gt;0,F806&lt;&gt;0),"m2",IF(AND(F806=0,G806=0),"ml",IF(AND(E806=0,G806=0),"ml",IF(AND(E806=0,F806=0),"ml",IF(AND(E806&lt;&gt;0,F806&lt;&gt;0,G806&lt;&gt;0),"m3",0)))))))</f>
        <v>ml</v>
      </c>
    </row>
    <row r="807" spans="2:10" s="1" customFormat="1" ht="12.75" x14ac:dyDescent="0.2">
      <c r="B807" s="57"/>
      <c r="C807" s="39" t="s">
        <v>425</v>
      </c>
      <c r="D807" s="40"/>
      <c r="E807" s="40"/>
      <c r="F807" s="40"/>
      <c r="G807" s="40"/>
      <c r="H807" s="40">
        <f>IF(AND(F807=0,G807=0),D807*E807,IF(AND(E807=0,G807=0),D807*F807,IF(AND(E807=0,F807=0),D807*G807,IF(AND(E807=0),D807*F807*G807,IF(AND(F807=0),D807*E807*G807,IF(AND(G807=0),D807*E807*F807,D807*E807*F807*G807))))))</f>
        <v>0</v>
      </c>
      <c r="I807" s="40"/>
      <c r="J807" s="41"/>
    </row>
    <row r="808" spans="2:10" s="1" customFormat="1" ht="12.75" x14ac:dyDescent="0.2">
      <c r="B808" s="43" t="s">
        <v>240</v>
      </c>
      <c r="C808" s="43" t="s">
        <v>237</v>
      </c>
      <c r="D808" s="60"/>
      <c r="E808" s="40"/>
      <c r="F808" s="40"/>
      <c r="G808" s="40"/>
      <c r="H808" s="40"/>
      <c r="I808" s="44">
        <f>SUM(H809:H811)</f>
        <v>41.65</v>
      </c>
      <c r="J808" s="45" t="str">
        <f>+J809</f>
        <v>ml</v>
      </c>
    </row>
    <row r="809" spans="2:10" s="1" customFormat="1" ht="12.75" x14ac:dyDescent="0.2">
      <c r="B809" s="57"/>
      <c r="C809" s="39" t="s">
        <v>433</v>
      </c>
      <c r="D809" s="40">
        <v>1</v>
      </c>
      <c r="E809" s="40">
        <f>31.5+6.5</f>
        <v>38</v>
      </c>
      <c r="F809" s="40"/>
      <c r="G809" s="40"/>
      <c r="H809" s="40">
        <f>IF(AND(F809=0,G809=0),D809*E809,IF(AND(E809=0,G809=0),D809*F809,IF(AND(E809=0,F809=0),D809*G809,IF(AND(E809=0),D809*F809*G809,IF(AND(F809=0),D809*E809*G809,IF(AND(G809=0),D809*E809*F809,D809*E809*F809*G809))))))</f>
        <v>38</v>
      </c>
      <c r="I809" s="40"/>
      <c r="J809" s="41" t="str">
        <f>IF(AND(E809=0,F809&lt;&gt;0,G809&lt;&gt;0),"m2",IF(AND(F809=0,E809&lt;&gt;0,G809&lt;&gt;0),"m2",IF(AND(G809=0,E809&lt;&gt;0,F809&lt;&gt;0),"m2",IF(AND(F809=0,G809=0),"ml",IF(AND(E809=0,G809=0),"ml",IF(AND(E809=0,F809=0),"ml",IF(AND(E809&lt;&gt;0,F809&lt;&gt;0,G809&lt;&gt;0),"m3",0)))))))</f>
        <v>ml</v>
      </c>
    </row>
    <row r="810" spans="2:10" s="1" customFormat="1" ht="12.75" x14ac:dyDescent="0.2">
      <c r="B810" s="57"/>
      <c r="C810" s="39" t="s">
        <v>645</v>
      </c>
      <c r="D810" s="40">
        <v>1</v>
      </c>
      <c r="E810" s="40">
        <v>3.65</v>
      </c>
      <c r="F810" s="40"/>
      <c r="G810" s="40"/>
      <c r="H810" s="40">
        <f>IF(AND(F810=0,G810=0),D810*E810,IF(AND(E810=0,G810=0),D810*F810,IF(AND(E810=0,F810=0),D810*G810,IF(AND(E810=0),D810*F810*G810,IF(AND(F810=0),D810*E810*G810,IF(AND(G810=0),D810*E810*F810,D810*E810*F810*G810))))))</f>
        <v>3.65</v>
      </c>
      <c r="I810" s="40"/>
      <c r="J810" s="41"/>
    </row>
    <row r="811" spans="2:10" s="1" customFormat="1" ht="12.75" x14ac:dyDescent="0.2">
      <c r="B811" s="57"/>
      <c r="C811" s="39"/>
      <c r="D811" s="40"/>
      <c r="E811" s="40"/>
      <c r="F811" s="40"/>
      <c r="G811" s="40"/>
      <c r="H811" s="40"/>
      <c r="I811" s="40"/>
      <c r="J811" s="41" t="str">
        <f>IF(AND(E811=0,F811&lt;&gt;0,G811&lt;&gt;0),"m2",IF(AND(F811=0,E811&lt;&gt;0,G811&lt;&gt;0),"m2",IF(AND(G811=0,E811&lt;&gt;0,F811&lt;&gt;0),"m2",IF(AND(F811=0,G811=0),"ml",IF(AND(E811=0,G811=0),"ml",IF(AND(E811=0,F811=0),"ml",IF(AND(E811&lt;&gt;0,F811&lt;&gt;0,G811&lt;&gt;0),"m3",0)))))))</f>
        <v>ml</v>
      </c>
    </row>
    <row r="812" spans="2:10" s="1" customFormat="1" ht="12.75" x14ac:dyDescent="0.2">
      <c r="B812" s="43" t="s">
        <v>241</v>
      </c>
      <c r="C812" s="43" t="s">
        <v>242</v>
      </c>
      <c r="D812" s="60"/>
      <c r="E812" s="40"/>
      <c r="F812" s="40"/>
      <c r="G812" s="40"/>
      <c r="H812" s="40"/>
      <c r="I812" s="44">
        <f>SUM(H813:H813)</f>
        <v>0</v>
      </c>
      <c r="J812" s="45" t="str">
        <f>+J813</f>
        <v>ml</v>
      </c>
    </row>
    <row r="813" spans="2:10" s="1" customFormat="1" ht="12.75" x14ac:dyDescent="0.2">
      <c r="B813" s="57"/>
      <c r="C813" s="39" t="s">
        <v>401</v>
      </c>
      <c r="D813" s="40"/>
      <c r="E813" s="40"/>
      <c r="F813" s="40"/>
      <c r="G813" s="40"/>
      <c r="H813" s="40">
        <f>IF(AND(F813=0,G813=0),D813*E813,IF(AND(E813=0,G813=0),D813*F813,IF(AND(E813=0,F813=0),D813*G813,IF(AND(E813=0),D813*F813*G813,IF(AND(F813=0),D813*E813*G813,IF(AND(G813=0),D813*E813*F813,D813*E813*F813*G813))))))</f>
        <v>0</v>
      </c>
      <c r="I813" s="40"/>
      <c r="J813" s="41" t="str">
        <f>IF(AND(E813=0,F813&lt;&gt;0,G813&lt;&gt;0),"m2",IF(AND(F813=0,E813&lt;&gt;0,G813&lt;&gt;0),"m2",IF(AND(G813=0,E813&lt;&gt;0,F813&lt;&gt;0),"m2",IF(AND(F813=0,G813=0),"ml",IF(AND(E813=0,G813=0),"ml",IF(AND(E813=0,F813=0),"ml",IF(AND(E813&lt;&gt;0,F813&lt;&gt;0,G813&lt;&gt;0),"m3",0)))))))</f>
        <v>ml</v>
      </c>
    </row>
    <row r="814" spans="2:10" s="1" customFormat="1" ht="12.75" x14ac:dyDescent="0.2">
      <c r="B814" s="43" t="s">
        <v>243</v>
      </c>
      <c r="C814" s="43" t="s">
        <v>245</v>
      </c>
      <c r="D814" s="60"/>
      <c r="E814" s="40"/>
      <c r="F814" s="40"/>
      <c r="G814" s="40"/>
      <c r="H814" s="40"/>
      <c r="I814" s="44">
        <f>SUM(H815:H816)</f>
        <v>41.65</v>
      </c>
      <c r="J814" s="45" t="str">
        <f>+J815</f>
        <v>ml</v>
      </c>
    </row>
    <row r="815" spans="2:10" s="1" customFormat="1" ht="12.75" x14ac:dyDescent="0.2">
      <c r="B815" s="57"/>
      <c r="C815" s="39" t="s">
        <v>433</v>
      </c>
      <c r="D815" s="40">
        <v>1</v>
      </c>
      <c r="E815" s="40">
        <f>31.5+6.5</f>
        <v>38</v>
      </c>
      <c r="F815" s="40"/>
      <c r="G815" s="40"/>
      <c r="H815" s="40">
        <f>IF(AND(F815=0,G815=0),D815*E815,IF(AND(E815=0,G815=0),D815*F815,IF(AND(E815=0,F815=0),D815*G815,IF(AND(E815=0),D815*F815*G815,IF(AND(F815=0),D815*E815*G815,IF(AND(G815=0),D815*E815*F815,D815*E815*F815*G815))))))</f>
        <v>38</v>
      </c>
      <c r="I815" s="40"/>
      <c r="J815" s="41" t="str">
        <f>IF(AND(E815=0,F815&lt;&gt;0,G815&lt;&gt;0),"m2",IF(AND(F815=0,E815&lt;&gt;0,G815&lt;&gt;0),"m2",IF(AND(G815=0,E815&lt;&gt;0,F815&lt;&gt;0),"m2",IF(AND(F815=0,G815=0),"ml",IF(AND(E815=0,G815=0),"ml",IF(AND(E815=0,F815=0),"ml",IF(AND(E815&lt;&gt;0,F815&lt;&gt;0,G815&lt;&gt;0),"m3",0)))))))</f>
        <v>ml</v>
      </c>
    </row>
    <row r="816" spans="2:10" s="1" customFormat="1" ht="12.75" x14ac:dyDescent="0.2">
      <c r="B816" s="57"/>
      <c r="C816" s="39" t="s">
        <v>645</v>
      </c>
      <c r="D816" s="40">
        <v>1</v>
      </c>
      <c r="E816" s="40">
        <v>3.65</v>
      </c>
      <c r="F816" s="40"/>
      <c r="G816" s="40"/>
      <c r="H816" s="40">
        <f>IF(AND(F816=0,G816=0),D816*E816,IF(AND(E816=0,G816=0),D816*F816,IF(AND(E816=0,F816=0),D816*G816,IF(AND(E816=0),D816*F816*G816,IF(AND(F816=0),D816*E816*G816,IF(AND(G816=0),D816*E816*F816,D816*E816*F816*G816))))))</f>
        <v>3.65</v>
      </c>
      <c r="I816" s="40"/>
      <c r="J816" s="41" t="str">
        <f>IF(AND(E816=0,F816&lt;&gt;0,G816&lt;&gt;0),"m2",IF(AND(F816=0,E816&lt;&gt;0,G816&lt;&gt;0),"m2",IF(AND(G816=0,E816&lt;&gt;0,F816&lt;&gt;0),"m2",IF(AND(F816=0,G816=0),"ml",IF(AND(E816=0,G816=0),"ml",IF(AND(E816=0,F816=0),"ml",IF(AND(E816&lt;&gt;0,F816&lt;&gt;0,G816&lt;&gt;0),"m3",0)))))))</f>
        <v>ml</v>
      </c>
    </row>
    <row r="817" spans="2:10" s="1" customFormat="1" ht="12.75" x14ac:dyDescent="0.2">
      <c r="B817" s="43" t="s">
        <v>244</v>
      </c>
      <c r="C817" s="43" t="s">
        <v>247</v>
      </c>
      <c r="D817" s="60"/>
      <c r="E817" s="40"/>
      <c r="F817" s="40"/>
      <c r="G817" s="40"/>
      <c r="H817" s="40"/>
      <c r="I817" s="44">
        <f>SUM(H818:H818)</f>
        <v>0</v>
      </c>
      <c r="J817" s="45" t="str">
        <f>+J818</f>
        <v>ml</v>
      </c>
    </row>
    <row r="818" spans="2:10" s="1" customFormat="1" ht="12.75" x14ac:dyDescent="0.2">
      <c r="B818" s="57"/>
      <c r="C818" s="39" t="s">
        <v>396</v>
      </c>
      <c r="D818" s="40"/>
      <c r="E818" s="40"/>
      <c r="F818" s="40"/>
      <c r="G818" s="40"/>
      <c r="H818" s="40">
        <f>IF(AND(F818=0,G818=0),D818*E818,IF(AND(E818=0,G818=0),D818*F818,IF(AND(E818=0,F818=0),D818*G818,IF(AND(E818=0),D818*F818*G818,IF(AND(F818=0),D818*E818*G818,IF(AND(G818=0),D818*E818*F818,D818*E818*F818*G818))))))</f>
        <v>0</v>
      </c>
      <c r="I818" s="40"/>
      <c r="J818" s="41" t="str">
        <f>IF(AND(E818=0,F818&lt;&gt;0,G818&lt;&gt;0),"m2",IF(AND(F818=0,E818&lt;&gt;0,G818&lt;&gt;0),"m2",IF(AND(G818=0,E818&lt;&gt;0,F818&lt;&gt;0),"m2",IF(AND(F818=0,G818=0),"ml",IF(AND(E818=0,G818=0),"ml",IF(AND(E818=0,F818=0),"ml",IF(AND(E818&lt;&gt;0,F818&lt;&gt;0,G818&lt;&gt;0),"m3",0)))))))</f>
        <v>ml</v>
      </c>
    </row>
    <row r="819" spans="2:10" s="1" customFormat="1" ht="12.75" x14ac:dyDescent="0.2">
      <c r="B819" s="43" t="s">
        <v>248</v>
      </c>
      <c r="C819" s="43" t="s">
        <v>226</v>
      </c>
      <c r="D819" s="60"/>
      <c r="E819" s="40"/>
      <c r="F819" s="40"/>
      <c r="G819" s="40"/>
      <c r="H819" s="40"/>
      <c r="I819" s="44">
        <f>+SUM(H820:H821)</f>
        <v>1.4</v>
      </c>
      <c r="J819" s="45" t="s">
        <v>345</v>
      </c>
    </row>
    <row r="820" spans="2:10" s="1" customFormat="1" ht="12.75" x14ac:dyDescent="0.2">
      <c r="B820" s="57"/>
      <c r="C820" s="39" t="s">
        <v>402</v>
      </c>
      <c r="D820" s="40">
        <v>1</v>
      </c>
      <c r="E820" s="40">
        <v>0.7</v>
      </c>
      <c r="F820" s="40"/>
      <c r="G820" s="40"/>
      <c r="H820" s="40">
        <f>IF(AND(F820=0,G820=0),D820*E820,IF(AND(E820=0,G820=0),D820*F820,IF(AND(E820=0,F820=0),D820*G820,IF(AND(E820=0),D820*F820*G820,IF(AND(F820=0),D820*E820*G820,IF(AND(G820=0),D820*E820*F820,D820*E820*F820*G820))))))</f>
        <v>0.7</v>
      </c>
      <c r="I820" s="40"/>
      <c r="J820" s="41"/>
    </row>
    <row r="821" spans="2:10" s="1" customFormat="1" ht="12.75" x14ac:dyDescent="0.2">
      <c r="B821" s="57"/>
      <c r="C821" s="39" t="s">
        <v>392</v>
      </c>
      <c r="D821" s="40">
        <v>1</v>
      </c>
      <c r="E821" s="40">
        <v>0.7</v>
      </c>
      <c r="F821" s="40"/>
      <c r="G821" s="40"/>
      <c r="H821" s="40">
        <f>IF(AND(F821=0,G821=0),D821*E821,IF(AND(E821=0,G821=0),D821*F821,IF(AND(E821=0,F821=0),D821*G821,IF(AND(E821=0),D821*F821*G821,IF(AND(F821=0),D821*E821*G821,IF(AND(G821=0),D821*E821*F821,D821*E821*F821*G821))))))</f>
        <v>0.7</v>
      </c>
      <c r="I821" s="40"/>
      <c r="J821" s="41"/>
    </row>
    <row r="822" spans="2:10" s="1" customFormat="1" ht="12.75" x14ac:dyDescent="0.2">
      <c r="B822" s="43" t="s">
        <v>249</v>
      </c>
      <c r="C822" s="43" t="s">
        <v>228</v>
      </c>
      <c r="D822" s="60"/>
      <c r="E822" s="40"/>
      <c r="F822" s="40"/>
      <c r="G822" s="40"/>
      <c r="H822" s="40"/>
      <c r="I822" s="44">
        <f>SUM(H823:H823)</f>
        <v>0</v>
      </c>
      <c r="J822" s="45" t="str">
        <f>+J823</f>
        <v>ml</v>
      </c>
    </row>
    <row r="823" spans="2:10" s="1" customFormat="1" ht="12.75" x14ac:dyDescent="0.2">
      <c r="B823" s="57"/>
      <c r="C823" s="39" t="s">
        <v>399</v>
      </c>
      <c r="D823" s="40"/>
      <c r="E823" s="40"/>
      <c r="F823" s="40"/>
      <c r="G823" s="40"/>
      <c r="H823" s="40">
        <f>IF(AND(F823=0,G823=0),D823*E823,IF(AND(E823=0,G823=0),D823*F823,IF(AND(E823=0,F823=0),D823*G823,IF(AND(E823=0),D823*F823*G823,IF(AND(F823=0),D823*E823*G823,IF(AND(G823=0),D823*E823*F823,D823*E823*F823*G823))))))</f>
        <v>0</v>
      </c>
      <c r="I823" s="40"/>
      <c r="J823" s="41" t="str">
        <f>IF(AND(E823=0,F823&lt;&gt;0,G823&lt;&gt;0),"m2",IF(AND(F823=0,E823&lt;&gt;0,G823&lt;&gt;0),"m2",IF(AND(G823=0,E823&lt;&gt;0,F823&lt;&gt;0),"m2",IF(AND(F823=0,G823=0),"ml",IF(AND(E823=0,G823=0),"ml",IF(AND(E823=0,F823=0),"ml",IF(AND(E823&lt;&gt;0,F823&lt;&gt;0,G823&lt;&gt;0),"m3",0)))))))</f>
        <v>ml</v>
      </c>
    </row>
    <row r="824" spans="2:10" s="1" customFormat="1" ht="12.75" x14ac:dyDescent="0.2">
      <c r="B824" s="43" t="s">
        <v>256</v>
      </c>
      <c r="C824" s="43" t="s">
        <v>250</v>
      </c>
      <c r="D824" s="60"/>
      <c r="E824" s="40"/>
      <c r="F824" s="40"/>
      <c r="G824" s="40"/>
      <c r="H824" s="40"/>
      <c r="I824" s="44">
        <f>SUM(H825:H825)</f>
        <v>0</v>
      </c>
      <c r="J824" s="45" t="str">
        <f>+J825</f>
        <v>ml</v>
      </c>
    </row>
    <row r="825" spans="2:10" s="1" customFormat="1" ht="12.75" x14ac:dyDescent="0.2">
      <c r="B825" s="57"/>
      <c r="C825" s="39" t="s">
        <v>388</v>
      </c>
      <c r="D825" s="40"/>
      <c r="E825" s="40"/>
      <c r="F825" s="40"/>
      <c r="G825" s="40"/>
      <c r="H825" s="40">
        <f>IF(AND(F825=0,G825=0),D825*E825,IF(AND(E825=0,G825=0),D825*F825,IF(AND(E825=0,F825=0),D825*G825,IF(AND(E825=0),D825*F825*G825,IF(AND(F825=0),D825*E825*G825,IF(AND(G825=0),D825*E825*F825,D825*E825*F825*G825))))))</f>
        <v>0</v>
      </c>
      <c r="I825" s="40"/>
      <c r="J825" s="41" t="str">
        <f>IF(AND(E825=0,F825&lt;&gt;0,G825&lt;&gt;0),"m2",IF(AND(F825=0,E825&lt;&gt;0,G825&lt;&gt;0),"m2",IF(AND(G825=0,E825&lt;&gt;0,F825&lt;&gt;0),"m2",IF(AND(F825=0,G825=0),"ml",IF(AND(E825=0,G825=0),"ml",IF(AND(E825=0,F825=0),"ml",IF(AND(E825&lt;&gt;0,F825&lt;&gt;0,G825&lt;&gt;0),"m3",0)))))))</f>
        <v>ml</v>
      </c>
    </row>
    <row r="826" spans="2:10" s="1" customFormat="1" ht="12.75" x14ac:dyDescent="0.2">
      <c r="B826" s="43" t="s">
        <v>257</v>
      </c>
      <c r="C826" s="43" t="s">
        <v>252</v>
      </c>
      <c r="D826" s="60"/>
      <c r="E826" s="40"/>
      <c r="F826" s="40"/>
      <c r="G826" s="40"/>
      <c r="H826" s="40"/>
      <c r="I826" s="44">
        <f>SUM(H827:H827)</f>
        <v>0</v>
      </c>
      <c r="J826" s="45" t="str">
        <f>+J827</f>
        <v>ml</v>
      </c>
    </row>
    <row r="827" spans="2:10" s="1" customFormat="1" ht="12.75" x14ac:dyDescent="0.2">
      <c r="B827" s="57"/>
      <c r="C827" s="39" t="s">
        <v>397</v>
      </c>
      <c r="D827" s="40"/>
      <c r="E827" s="40"/>
      <c r="F827" s="40"/>
      <c r="G827" s="40"/>
      <c r="H827" s="40">
        <f>IF(AND(F827=0,G827=0),D827*E827,IF(AND(E827=0,G827=0),D827*F827,IF(AND(E827=0,F827=0),D827*G827,IF(AND(E827=0),D827*F827*G827,IF(AND(F827=0),D827*E827*G827,IF(AND(G827=0),D827*E827*F827,D827*E827*F827*G827))))))</f>
        <v>0</v>
      </c>
      <c r="I827" s="40"/>
      <c r="J827" s="41" t="str">
        <f>IF(AND(E827=0,F827&lt;&gt;0,G827&lt;&gt;0),"m2",IF(AND(F827=0,E827&lt;&gt;0,G827&lt;&gt;0),"m2",IF(AND(G827=0,E827&lt;&gt;0,F827&lt;&gt;0),"m2",IF(AND(F827=0,G827=0),"ml",IF(AND(E827=0,G827=0),"ml",IF(AND(E827=0,F827=0),"ml",IF(AND(E827&lt;&gt;0,F827&lt;&gt;0,G827&lt;&gt;0),"m3",0)))))))</f>
        <v>ml</v>
      </c>
    </row>
    <row r="828" spans="2:10" s="1" customFormat="1" ht="12.75" x14ac:dyDescent="0.2">
      <c r="B828" s="43" t="s">
        <v>258</v>
      </c>
      <c r="C828" s="43" t="s">
        <v>253</v>
      </c>
      <c r="D828" s="60"/>
      <c r="E828" s="40"/>
      <c r="F828" s="40"/>
      <c r="G828" s="40"/>
      <c r="H828" s="40"/>
      <c r="I828" s="44">
        <f>SUM(H829:H829)</f>
        <v>0</v>
      </c>
      <c r="J828" s="45" t="str">
        <f>+J829</f>
        <v>und</v>
      </c>
    </row>
    <row r="829" spans="2:10" s="1" customFormat="1" ht="12.75" x14ac:dyDescent="0.2">
      <c r="B829" s="43"/>
      <c r="C829" s="39" t="s">
        <v>402</v>
      </c>
      <c r="D829" s="40"/>
      <c r="E829" s="40"/>
      <c r="F829" s="40"/>
      <c r="G829" s="40"/>
      <c r="H829" s="40">
        <f>+D829</f>
        <v>0</v>
      </c>
      <c r="I829" s="40"/>
      <c r="J829" s="41" t="s">
        <v>13</v>
      </c>
    </row>
    <row r="830" spans="2:10" s="1" customFormat="1" ht="12.75" x14ac:dyDescent="0.2">
      <c r="B830" s="43" t="s">
        <v>259</v>
      </c>
      <c r="C830" s="43" t="s">
        <v>254</v>
      </c>
      <c r="D830" s="60"/>
      <c r="E830" s="40"/>
      <c r="F830" s="40"/>
      <c r="G830" s="40"/>
      <c r="H830" s="40"/>
      <c r="I830" s="44">
        <f>SUM(H831:H831)</f>
        <v>0</v>
      </c>
      <c r="J830" s="45" t="str">
        <f>+J831</f>
        <v>und</v>
      </c>
    </row>
    <row r="831" spans="2:10" s="1" customFormat="1" ht="12.75" x14ac:dyDescent="0.2">
      <c r="B831" s="57"/>
      <c r="C831" s="39" t="s">
        <v>238</v>
      </c>
      <c r="D831" s="40"/>
      <c r="E831" s="40"/>
      <c r="F831" s="40"/>
      <c r="G831" s="40"/>
      <c r="H831" s="40">
        <f>+D831</f>
        <v>0</v>
      </c>
      <c r="I831" s="40"/>
      <c r="J831" s="41" t="s">
        <v>13</v>
      </c>
    </row>
    <row r="832" spans="2:10" s="1" customFormat="1" ht="12.75" x14ac:dyDescent="0.2">
      <c r="B832" s="57"/>
      <c r="C832" s="39"/>
      <c r="D832" s="60"/>
      <c r="E832" s="40"/>
      <c r="F832" s="40"/>
      <c r="G832" s="40"/>
      <c r="H832" s="40"/>
      <c r="I832" s="40"/>
      <c r="J832" s="41"/>
    </row>
    <row r="833" spans="2:10" s="1" customFormat="1" ht="12.75" x14ac:dyDescent="0.2">
      <c r="B833" s="57" t="s">
        <v>18</v>
      </c>
      <c r="C833" s="58" t="s">
        <v>223</v>
      </c>
      <c r="D833" s="60"/>
      <c r="E833" s="40"/>
      <c r="F833" s="40"/>
      <c r="G833" s="40"/>
      <c r="H833" s="40"/>
      <c r="I833" s="40"/>
      <c r="J833" s="41"/>
    </row>
    <row r="834" spans="2:10" s="1" customFormat="1" ht="12.75" x14ac:dyDescent="0.2">
      <c r="B834" s="43" t="s">
        <v>19</v>
      </c>
      <c r="C834" s="43" t="s">
        <v>265</v>
      </c>
      <c r="D834" s="60"/>
      <c r="E834" s="40"/>
      <c r="F834" s="40"/>
      <c r="G834" s="40"/>
      <c r="H834" s="40"/>
      <c r="I834" s="44">
        <f>SUM(H835:H835)</f>
        <v>7</v>
      </c>
      <c r="J834" s="45" t="s">
        <v>345</v>
      </c>
    </row>
    <row r="835" spans="2:10" s="1" customFormat="1" ht="12.75" x14ac:dyDescent="0.2">
      <c r="B835" s="46"/>
      <c r="C835" s="39" t="s">
        <v>231</v>
      </c>
      <c r="D835" s="40">
        <v>7</v>
      </c>
      <c r="E835" s="40"/>
      <c r="F835" s="40"/>
      <c r="G835" s="40"/>
      <c r="H835" s="40">
        <f>+D835</f>
        <v>7</v>
      </c>
      <c r="I835" s="40"/>
      <c r="J835" s="41" t="s">
        <v>13</v>
      </c>
    </row>
    <row r="836" spans="2:10" s="1" customFormat="1" ht="12.75" x14ac:dyDescent="0.2">
      <c r="B836" s="43" t="s">
        <v>20</v>
      </c>
      <c r="C836" s="43" t="s">
        <v>266</v>
      </c>
      <c r="D836" s="60"/>
      <c r="E836" s="40"/>
      <c r="F836" s="40"/>
      <c r="G836" s="40"/>
      <c r="H836" s="40"/>
      <c r="I836" s="44">
        <f>SUM(H837:H839)</f>
        <v>0</v>
      </c>
      <c r="J836" s="45" t="str">
        <f>+J837</f>
        <v>und</v>
      </c>
    </row>
    <row r="837" spans="2:10" s="1" customFormat="1" ht="12.75" x14ac:dyDescent="0.2">
      <c r="B837" s="43"/>
      <c r="C837" s="39" t="s">
        <v>71</v>
      </c>
      <c r="D837" s="40"/>
      <c r="E837" s="40"/>
      <c r="F837" s="40"/>
      <c r="G837" s="40"/>
      <c r="H837" s="40">
        <f>+D837</f>
        <v>0</v>
      </c>
      <c r="I837" s="40"/>
      <c r="J837" s="41" t="s">
        <v>13</v>
      </c>
    </row>
    <row r="838" spans="2:10" s="1" customFormat="1" ht="12.75" x14ac:dyDescent="0.2">
      <c r="B838" s="43"/>
      <c r="C838" s="39" t="s">
        <v>72</v>
      </c>
      <c r="D838" s="40"/>
      <c r="E838" s="40"/>
      <c r="F838" s="40"/>
      <c r="G838" s="40"/>
      <c r="H838" s="40">
        <f>+D838</f>
        <v>0</v>
      </c>
      <c r="I838" s="40"/>
      <c r="J838" s="41" t="s">
        <v>13</v>
      </c>
    </row>
    <row r="839" spans="2:10" s="1" customFormat="1" ht="12.75" x14ac:dyDescent="0.2">
      <c r="B839" s="43"/>
      <c r="C839" s="39" t="s">
        <v>73</v>
      </c>
      <c r="D839" s="40"/>
      <c r="E839" s="40"/>
      <c r="F839" s="40"/>
      <c r="G839" s="40"/>
      <c r="H839" s="40">
        <f>+D839</f>
        <v>0</v>
      </c>
      <c r="I839" s="40"/>
      <c r="J839" s="41" t="s">
        <v>13</v>
      </c>
    </row>
    <row r="840" spans="2:10" s="1" customFormat="1" ht="12.75" x14ac:dyDescent="0.2">
      <c r="B840" s="43" t="s">
        <v>21</v>
      </c>
      <c r="C840" s="43" t="s">
        <v>357</v>
      </c>
      <c r="D840" s="60"/>
      <c r="E840" s="40"/>
      <c r="F840" s="40"/>
      <c r="G840" s="40"/>
      <c r="H840" s="40"/>
      <c r="I840" s="44">
        <f>SUM(H841:H841)</f>
        <v>1</v>
      </c>
      <c r="J840" s="45" t="str">
        <f>+J841</f>
        <v>und</v>
      </c>
    </row>
    <row r="841" spans="2:10" s="1" customFormat="1" ht="12.75" x14ac:dyDescent="0.2">
      <c r="B841" s="43"/>
      <c r="C841" s="39" t="s">
        <v>375</v>
      </c>
      <c r="D841" s="40">
        <v>1</v>
      </c>
      <c r="E841" s="40">
        <v>1</v>
      </c>
      <c r="F841" s="40"/>
      <c r="G841" s="40"/>
      <c r="H841" s="40">
        <f>+D841</f>
        <v>1</v>
      </c>
      <c r="I841" s="40"/>
      <c r="J841" s="41" t="s">
        <v>13</v>
      </c>
    </row>
    <row r="842" spans="2:10" s="1" customFormat="1" ht="12.75" x14ac:dyDescent="0.2">
      <c r="B842" s="43" t="s">
        <v>273</v>
      </c>
      <c r="C842" s="43" t="s">
        <v>263</v>
      </c>
      <c r="D842" s="60"/>
      <c r="E842" s="40"/>
      <c r="F842" s="40"/>
      <c r="G842" s="40"/>
      <c r="H842" s="40"/>
      <c r="I842" s="44">
        <f>SUM(H843:H843)</f>
        <v>0</v>
      </c>
      <c r="J842" s="45" t="str">
        <f>+J843</f>
        <v>und</v>
      </c>
    </row>
    <row r="843" spans="2:10" s="1" customFormat="1" ht="14.25" customHeight="1" x14ac:dyDescent="0.2">
      <c r="B843" s="46"/>
      <c r="C843" s="39" t="s">
        <v>420</v>
      </c>
      <c r="D843" s="40"/>
      <c r="E843" s="40"/>
      <c r="F843" s="40"/>
      <c r="G843" s="40"/>
      <c r="H843" s="40">
        <f>+D843</f>
        <v>0</v>
      </c>
      <c r="I843" s="40"/>
      <c r="J843" s="41" t="s">
        <v>13</v>
      </c>
    </row>
    <row r="844" spans="2:10" s="1" customFormat="1" ht="12.75" x14ac:dyDescent="0.2">
      <c r="B844" s="43" t="s">
        <v>274</v>
      </c>
      <c r="C844" s="43" t="s">
        <v>264</v>
      </c>
      <c r="D844" s="60"/>
      <c r="E844" s="40"/>
      <c r="F844" s="40"/>
      <c r="G844" s="40"/>
      <c r="H844" s="40"/>
      <c r="I844" s="44">
        <f>SUM(H845:H845)</f>
        <v>0</v>
      </c>
      <c r="J844" s="45" t="str">
        <f>+J845</f>
        <v>und</v>
      </c>
    </row>
    <row r="845" spans="2:10" s="1" customFormat="1" ht="12.75" x14ac:dyDescent="0.2">
      <c r="B845" s="46"/>
      <c r="C845" s="39" t="s">
        <v>420</v>
      </c>
      <c r="D845" s="40"/>
      <c r="E845" s="40"/>
      <c r="F845" s="40"/>
      <c r="G845" s="40"/>
      <c r="H845" s="40">
        <f>+D845</f>
        <v>0</v>
      </c>
      <c r="I845" s="40"/>
      <c r="J845" s="41" t="s">
        <v>13</v>
      </c>
    </row>
    <row r="846" spans="2:10" s="1" customFormat="1" ht="12.75" x14ac:dyDescent="0.2">
      <c r="B846" s="46"/>
      <c r="C846" s="59"/>
      <c r="D846" s="60"/>
      <c r="E846" s="40"/>
      <c r="F846" s="40"/>
      <c r="G846" s="40"/>
      <c r="H846" s="40"/>
      <c r="I846" s="40"/>
      <c r="J846" s="41"/>
    </row>
    <row r="847" spans="2:10" s="1" customFormat="1" ht="12.75" x14ac:dyDescent="0.2">
      <c r="B847" s="46"/>
      <c r="C847" s="39"/>
      <c r="D847" s="40"/>
      <c r="E847" s="40"/>
      <c r="F847" s="40"/>
      <c r="G847" s="40"/>
      <c r="H847" s="40"/>
      <c r="I847" s="40"/>
      <c r="J847" s="41"/>
    </row>
    <row r="848" spans="2:10" s="1" customFormat="1" ht="12.75" x14ac:dyDescent="0.2">
      <c r="B848" s="46"/>
      <c r="C848" s="39"/>
      <c r="D848" s="40"/>
      <c r="E848" s="40"/>
      <c r="F848" s="40"/>
      <c r="G848" s="40"/>
      <c r="H848" s="40"/>
      <c r="I848" s="40"/>
      <c r="J848" s="41"/>
    </row>
    <row r="849" spans="2:10" s="1" customFormat="1" ht="12.75" x14ac:dyDescent="0.2">
      <c r="B849" s="46"/>
      <c r="C849" s="39"/>
      <c r="D849" s="40"/>
      <c r="E849" s="40"/>
      <c r="F849" s="40"/>
      <c r="G849" s="40"/>
      <c r="H849" s="40"/>
      <c r="I849" s="40"/>
      <c r="J849" s="41"/>
    </row>
    <row r="850" spans="2:10" s="1" customFormat="1" ht="12.75" x14ac:dyDescent="0.2">
      <c r="B850" s="46"/>
      <c r="C850" s="59"/>
      <c r="D850" s="40"/>
      <c r="E850" s="40"/>
      <c r="F850" s="40"/>
      <c r="G850" s="40"/>
      <c r="H850" s="40"/>
      <c r="I850" s="40"/>
      <c r="J850" s="41"/>
    </row>
    <row r="851" spans="2:10" s="1" customFormat="1" ht="12.75" x14ac:dyDescent="0.2">
      <c r="B851" s="46"/>
      <c r="C851" s="59"/>
      <c r="D851" s="60"/>
      <c r="E851" s="40"/>
      <c r="F851" s="40"/>
      <c r="G851" s="40"/>
      <c r="H851" s="40"/>
      <c r="I851" s="40"/>
      <c r="J851" s="41"/>
    </row>
    <row r="852" spans="2:10" s="1" customFormat="1" ht="12.75" x14ac:dyDescent="0.2">
      <c r="B852" s="46"/>
      <c r="C852" s="59"/>
      <c r="D852" s="60"/>
      <c r="E852" s="40"/>
      <c r="F852" s="40"/>
      <c r="G852" s="40"/>
      <c r="H852" s="40"/>
      <c r="I852" s="40"/>
      <c r="J852" s="41"/>
    </row>
    <row r="853" spans="2:10" s="1" customFormat="1" ht="12.75" x14ac:dyDescent="0.2">
      <c r="B853" s="107"/>
      <c r="C853" s="343"/>
      <c r="D853" s="60"/>
      <c r="E853" s="40"/>
      <c r="F853" s="40"/>
      <c r="G853" s="40"/>
      <c r="H853" s="40"/>
      <c r="I853" s="40"/>
      <c r="J853" s="41"/>
    </row>
    <row r="854" spans="2:10" s="1" customFormat="1" ht="12.75" x14ac:dyDescent="0.2">
      <c r="B854" s="107"/>
      <c r="C854" s="39"/>
      <c r="D854" s="40"/>
      <c r="E854" s="40"/>
      <c r="F854" s="40"/>
      <c r="G854" s="40"/>
      <c r="H854" s="40"/>
      <c r="I854" s="40"/>
      <c r="J854" s="41"/>
    </row>
    <row r="855" spans="2:10" s="1" customFormat="1" ht="12.75" x14ac:dyDescent="0.2">
      <c r="B855" s="107"/>
      <c r="C855" s="39"/>
      <c r="D855" s="40"/>
      <c r="E855" s="40"/>
      <c r="F855" s="40"/>
      <c r="G855" s="40"/>
      <c r="H855" s="40"/>
      <c r="I855" s="40"/>
      <c r="J855" s="41"/>
    </row>
    <row r="856" spans="2:10" s="1" customFormat="1" ht="12.75" x14ac:dyDescent="0.2">
      <c r="B856" s="107"/>
      <c r="C856" s="39"/>
      <c r="D856" s="40"/>
      <c r="E856" s="40"/>
      <c r="F856" s="40"/>
      <c r="G856" s="40"/>
      <c r="H856" s="40"/>
      <c r="I856" s="40"/>
      <c r="J856" s="41"/>
    </row>
    <row r="857" spans="2:10" s="1" customFormat="1" ht="12.75" x14ac:dyDescent="0.2">
      <c r="B857" s="107"/>
      <c r="C857" s="39"/>
      <c r="D857" s="40"/>
      <c r="E857" s="40"/>
      <c r="F857" s="40"/>
      <c r="G857" s="40"/>
      <c r="H857" s="40"/>
      <c r="I857" s="40"/>
      <c r="J857" s="41"/>
    </row>
    <row r="858" spans="2:10" s="1" customFormat="1" ht="12.75" x14ac:dyDescent="0.2">
      <c r="B858" s="107"/>
      <c r="C858" s="343"/>
      <c r="D858" s="60"/>
      <c r="E858" s="40"/>
      <c r="F858" s="40"/>
      <c r="G858" s="40"/>
      <c r="H858" s="40"/>
      <c r="I858" s="40"/>
      <c r="J858" s="41"/>
    </row>
    <row r="859" spans="2:10" s="1" customFormat="1" ht="12.75" x14ac:dyDescent="0.2">
      <c r="B859" s="107"/>
      <c r="C859" s="343"/>
      <c r="D859" s="60"/>
      <c r="E859" s="40"/>
      <c r="F859" s="40"/>
      <c r="G859" s="40"/>
      <c r="H859" s="40"/>
      <c r="I859" s="40"/>
      <c r="J859" s="41"/>
    </row>
    <row r="860" spans="2:10" s="1" customFormat="1" ht="12.75" x14ac:dyDescent="0.2">
      <c r="B860" s="107"/>
      <c r="C860" s="343"/>
      <c r="D860" s="60"/>
      <c r="E860" s="40"/>
      <c r="F860" s="40"/>
      <c r="G860" s="40"/>
      <c r="H860" s="40"/>
      <c r="I860" s="40"/>
      <c r="J860" s="41"/>
    </row>
    <row r="861" spans="2:10" s="1" customFormat="1" ht="12.75" x14ac:dyDescent="0.2">
      <c r="B861" s="46"/>
      <c r="C861" s="59"/>
      <c r="D861" s="60"/>
      <c r="E861" s="40"/>
      <c r="F861" s="40"/>
      <c r="G861" s="40"/>
      <c r="H861" s="40"/>
      <c r="I861" s="40"/>
      <c r="J861" s="41"/>
    </row>
    <row r="862" spans="2:10" s="1" customFormat="1" ht="12.75" x14ac:dyDescent="0.2">
      <c r="B862" s="46"/>
      <c r="C862" s="59"/>
      <c r="D862" s="60"/>
      <c r="E862" s="40"/>
      <c r="F862" s="40"/>
      <c r="G862" s="40"/>
      <c r="H862" s="40"/>
      <c r="I862" s="40"/>
      <c r="J862" s="41"/>
    </row>
    <row r="863" spans="2:10" s="1" customFormat="1" ht="12.75" x14ac:dyDescent="0.2">
      <c r="B863" s="46"/>
      <c r="C863" s="59"/>
      <c r="D863" s="60"/>
      <c r="E863" s="40"/>
      <c r="F863" s="40"/>
      <c r="G863" s="40"/>
      <c r="H863" s="40"/>
      <c r="I863" s="40"/>
      <c r="J863" s="41"/>
    </row>
    <row r="864" spans="2:10" s="1" customFormat="1" ht="12.75" x14ac:dyDescent="0.2">
      <c r="B864" s="46"/>
      <c r="C864" s="59"/>
      <c r="D864" s="60"/>
      <c r="E864" s="40"/>
      <c r="F864" s="40"/>
      <c r="G864" s="40"/>
      <c r="H864" s="40"/>
      <c r="I864" s="40"/>
      <c r="J864" s="41"/>
    </row>
    <row r="865" spans="2:10" s="1" customFormat="1" ht="12.75" x14ac:dyDescent="0.2">
      <c r="B865" s="46"/>
      <c r="C865" s="59"/>
      <c r="D865" s="60"/>
      <c r="E865" s="40"/>
      <c r="F865" s="40"/>
      <c r="G865" s="40"/>
      <c r="H865" s="40"/>
      <c r="I865" s="40"/>
      <c r="J865" s="41"/>
    </row>
    <row r="866" spans="2:10" s="1" customFormat="1" ht="12.75" x14ac:dyDescent="0.2">
      <c r="B866" s="46"/>
      <c r="C866" s="59"/>
      <c r="D866" s="60"/>
      <c r="E866" s="40"/>
      <c r="F866" s="40"/>
      <c r="G866" s="40"/>
      <c r="H866" s="40"/>
      <c r="I866" s="40"/>
      <c r="J866" s="41"/>
    </row>
    <row r="867" spans="2:10" s="1" customFormat="1" ht="12.75" x14ac:dyDescent="0.2">
      <c r="B867" s="46"/>
      <c r="C867" s="59"/>
      <c r="D867" s="60"/>
      <c r="E867" s="40"/>
      <c r="F867" s="40"/>
      <c r="G867" s="40"/>
      <c r="H867" s="40"/>
      <c r="I867" s="40"/>
      <c r="J867" s="41"/>
    </row>
    <row r="868" spans="2:10" s="1" customFormat="1" ht="12.75" x14ac:dyDescent="0.2">
      <c r="B868" s="46"/>
      <c r="C868" s="59"/>
      <c r="D868" s="60"/>
      <c r="E868" s="40"/>
      <c r="F868" s="40"/>
      <c r="G868" s="40"/>
      <c r="H868" s="40"/>
      <c r="I868" s="40"/>
      <c r="J868" s="41"/>
    </row>
    <row r="869" spans="2:10" s="1" customFormat="1" ht="12.75" x14ac:dyDescent="0.2">
      <c r="B869" s="46"/>
      <c r="C869" s="59"/>
      <c r="D869" s="60"/>
      <c r="E869" s="40"/>
      <c r="F869" s="40"/>
      <c r="G869" s="40"/>
      <c r="H869" s="40"/>
      <c r="I869" s="40"/>
      <c r="J869" s="41"/>
    </row>
    <row r="870" spans="2:10" s="1" customFormat="1" ht="12.75" x14ac:dyDescent="0.2">
      <c r="B870" s="46"/>
      <c r="C870" s="59"/>
      <c r="D870" s="60"/>
      <c r="E870" s="40"/>
      <c r="F870" s="40"/>
      <c r="G870" s="40"/>
      <c r="H870" s="40"/>
      <c r="I870" s="40"/>
      <c r="J870" s="41"/>
    </row>
    <row r="871" spans="2:10" s="1" customFormat="1" ht="12.75" x14ac:dyDescent="0.2">
      <c r="B871" s="46"/>
      <c r="C871" s="59"/>
      <c r="D871" s="60"/>
      <c r="E871" s="40"/>
      <c r="F871" s="40"/>
      <c r="G871" s="40"/>
      <c r="H871" s="40"/>
      <c r="I871" s="40"/>
      <c r="J871" s="41"/>
    </row>
    <row r="872" spans="2:10" s="1" customFormat="1" ht="12.75" x14ac:dyDescent="0.2">
      <c r="B872" s="46"/>
      <c r="C872" s="59"/>
      <c r="D872" s="60"/>
      <c r="E872" s="40"/>
      <c r="F872" s="40"/>
      <c r="G872" s="40"/>
      <c r="H872" s="40"/>
      <c r="I872" s="40"/>
      <c r="J872" s="41"/>
    </row>
    <row r="873" spans="2:10" s="1" customFormat="1" ht="12.75" x14ac:dyDescent="0.2">
      <c r="C873" s="384" t="s">
        <v>37</v>
      </c>
      <c r="D873" s="384"/>
      <c r="E873" s="384"/>
      <c r="F873" s="384"/>
      <c r="G873" s="384"/>
      <c r="H873" s="384"/>
    </row>
    <row r="874" spans="2:10" s="1" customFormat="1" ht="12.75" x14ac:dyDescent="0.2">
      <c r="C874" s="384" t="s">
        <v>38</v>
      </c>
      <c r="D874" s="384"/>
      <c r="E874" s="384"/>
      <c r="F874" s="384"/>
      <c r="G874" s="384"/>
      <c r="H874" s="384"/>
    </row>
    <row r="875" spans="2:10" s="1" customFormat="1" ht="12.75" x14ac:dyDescent="0.2">
      <c r="C875" s="384" t="s">
        <v>39</v>
      </c>
      <c r="D875" s="384"/>
      <c r="E875" s="384"/>
      <c r="F875" s="384"/>
      <c r="G875" s="384"/>
      <c r="H875" s="384"/>
    </row>
    <row r="876" spans="2:10" s="1" customFormat="1" ht="12.75" x14ac:dyDescent="0.2">
      <c r="C876" s="385" t="s">
        <v>40</v>
      </c>
      <c r="D876" s="385"/>
      <c r="E876" s="385"/>
      <c r="F876" s="385"/>
      <c r="G876" s="385"/>
      <c r="H876" s="385"/>
    </row>
    <row r="877" spans="2:10" s="1" customFormat="1" ht="12.75" customHeight="1" x14ac:dyDescent="0.2">
      <c r="C877" s="385"/>
      <c r="D877" s="385"/>
      <c r="E877" s="385"/>
      <c r="F877" s="385"/>
      <c r="G877" s="385"/>
      <c r="H877" s="385"/>
    </row>
    <row r="878" spans="2:10" s="1" customFormat="1" ht="15.75" x14ac:dyDescent="0.2">
      <c r="B878" s="386" t="s">
        <v>65</v>
      </c>
      <c r="C878" s="387"/>
      <c r="D878" s="387"/>
      <c r="E878" s="387"/>
      <c r="F878" s="387"/>
      <c r="G878" s="387"/>
      <c r="H878" s="387"/>
      <c r="I878" s="387"/>
      <c r="J878" s="388"/>
    </row>
    <row r="879" spans="2:10" s="1" customFormat="1" ht="20.25" x14ac:dyDescent="0.2">
      <c r="B879" s="390" t="s">
        <v>430</v>
      </c>
      <c r="C879" s="391"/>
      <c r="D879" s="391"/>
      <c r="E879" s="391"/>
      <c r="F879" s="391"/>
      <c r="G879" s="391"/>
      <c r="H879" s="391"/>
      <c r="I879" s="391"/>
      <c r="J879" s="392"/>
    </row>
    <row r="880" spans="2:10" s="1" customFormat="1" ht="13.5" thickBot="1" x14ac:dyDescent="0.25">
      <c r="B880" s="389"/>
      <c r="C880" s="389"/>
      <c r="D880" s="389"/>
      <c r="E880" s="389"/>
      <c r="F880" s="389"/>
      <c r="G880" s="389"/>
      <c r="H880" s="389"/>
      <c r="I880" s="389"/>
      <c r="J880" s="389"/>
    </row>
    <row r="881" spans="2:10" s="1" customFormat="1" ht="24.75" customHeight="1" x14ac:dyDescent="0.2">
      <c r="B881" s="494" t="s">
        <v>27</v>
      </c>
      <c r="C881" s="495"/>
      <c r="D881" s="495"/>
      <c r="E881" s="495"/>
      <c r="F881" s="495"/>
      <c r="G881" s="495"/>
      <c r="H881" s="495"/>
      <c r="I881" s="495"/>
      <c r="J881" s="496"/>
    </row>
    <row r="882" spans="2:10" s="1" customFormat="1" ht="12.75" x14ac:dyDescent="0.2">
      <c r="B882" s="2" t="s">
        <v>35</v>
      </c>
      <c r="C882" s="3" t="s">
        <v>36</v>
      </c>
      <c r="D882" s="3"/>
      <c r="E882" s="4"/>
      <c r="F882" s="5"/>
      <c r="G882" s="6" t="s">
        <v>8</v>
      </c>
      <c r="H882" s="497">
        <v>42879</v>
      </c>
      <c r="I882" s="497"/>
      <c r="J882" s="7"/>
    </row>
    <row r="883" spans="2:10" s="1" customFormat="1" ht="12.75" x14ac:dyDescent="0.2">
      <c r="B883" s="2" t="s">
        <v>33</v>
      </c>
      <c r="C883" s="3" t="s">
        <v>29</v>
      </c>
      <c r="D883" s="8"/>
      <c r="E883" s="8"/>
      <c r="F883" s="3"/>
      <c r="G883" s="9" t="s">
        <v>32</v>
      </c>
      <c r="H883" s="4" t="s">
        <v>29</v>
      </c>
      <c r="I883" s="10"/>
      <c r="J883" s="11"/>
    </row>
    <row r="884" spans="2:10" s="1" customFormat="1" ht="12.75" x14ac:dyDescent="0.2">
      <c r="B884" s="2" t="s">
        <v>34</v>
      </c>
      <c r="C884" s="3" t="s">
        <v>29</v>
      </c>
      <c r="D884" s="8"/>
      <c r="E884" s="8"/>
      <c r="F884" s="3"/>
      <c r="G884" s="9" t="s">
        <v>30</v>
      </c>
      <c r="H884" s="4" t="s">
        <v>31</v>
      </c>
      <c r="I884" s="10"/>
      <c r="J884" s="11"/>
    </row>
    <row r="885" spans="2:10" s="1" customFormat="1" ht="13.5" thickBot="1" x14ac:dyDescent="0.25">
      <c r="B885" s="12" t="s">
        <v>43</v>
      </c>
      <c r="C885" s="13" t="s">
        <v>44</v>
      </c>
      <c r="D885" s="14"/>
      <c r="E885" s="14"/>
      <c r="F885" s="13"/>
      <c r="G885" s="15" t="s">
        <v>41</v>
      </c>
      <c r="H885" s="16" t="s">
        <v>42</v>
      </c>
      <c r="I885" s="17"/>
      <c r="J885" s="18"/>
    </row>
    <row r="886" spans="2:10" s="1" customFormat="1" ht="12.75" x14ac:dyDescent="0.2">
      <c r="B886" s="389"/>
      <c r="C886" s="389"/>
      <c r="D886" s="389"/>
      <c r="E886" s="389"/>
      <c r="F886" s="389"/>
      <c r="G886" s="389"/>
      <c r="H886" s="389"/>
      <c r="I886" s="389"/>
      <c r="J886" s="389"/>
    </row>
    <row r="887" spans="2:10" s="1" customFormat="1" ht="12.75" x14ac:dyDescent="0.2">
      <c r="B887" s="21" t="s">
        <v>5</v>
      </c>
      <c r="C887" s="22" t="s">
        <v>0</v>
      </c>
      <c r="D887" s="22" t="s">
        <v>9</v>
      </c>
      <c r="E887" s="22" t="s">
        <v>10</v>
      </c>
      <c r="F887" s="22" t="s">
        <v>1</v>
      </c>
      <c r="G887" s="22" t="s">
        <v>2</v>
      </c>
      <c r="H887" s="22" t="s">
        <v>11</v>
      </c>
      <c r="I887" s="22" t="s">
        <v>6</v>
      </c>
      <c r="J887" s="22" t="s">
        <v>7</v>
      </c>
    </row>
    <row r="888" spans="2:10" s="1" customFormat="1" ht="12.75" x14ac:dyDescent="0.2">
      <c r="B888" s="55">
        <v>4.03</v>
      </c>
      <c r="C888" s="56" t="s">
        <v>222</v>
      </c>
      <c r="D888" s="60"/>
      <c r="E888" s="40"/>
      <c r="F888" s="40"/>
      <c r="G888" s="40"/>
      <c r="H888" s="40"/>
      <c r="I888" s="40"/>
      <c r="J888" s="41"/>
    </row>
    <row r="889" spans="2:10" s="1" customFormat="1" ht="12.75" x14ac:dyDescent="0.2">
      <c r="B889" s="57" t="s">
        <v>14</v>
      </c>
      <c r="C889" s="58" t="s">
        <v>225</v>
      </c>
      <c r="D889" s="60"/>
      <c r="E889" s="40"/>
      <c r="F889" s="40"/>
      <c r="G889" s="40"/>
      <c r="H889" s="40"/>
      <c r="I889" s="40"/>
      <c r="J889" s="41"/>
    </row>
    <row r="890" spans="2:10" s="1" customFormat="1" ht="12.75" x14ac:dyDescent="0.2">
      <c r="B890" s="43" t="s">
        <v>15</v>
      </c>
      <c r="C890" s="43" t="s">
        <v>269</v>
      </c>
      <c r="D890" s="60"/>
      <c r="E890" s="40"/>
      <c r="F890" s="40"/>
      <c r="G890" s="40"/>
      <c r="H890" s="40"/>
      <c r="I890" s="44">
        <f>SUM(H891:H897)</f>
        <v>0</v>
      </c>
      <c r="J890" s="45" t="str">
        <f>+J891</f>
        <v>ml</v>
      </c>
    </row>
    <row r="891" spans="2:10" s="1" customFormat="1" ht="12.75" x14ac:dyDescent="0.2">
      <c r="B891" s="43"/>
      <c r="C891" s="77" t="s">
        <v>71</v>
      </c>
      <c r="D891" s="40"/>
      <c r="E891" s="40"/>
      <c r="F891" s="40"/>
      <c r="G891" s="40"/>
      <c r="H891" s="40">
        <f t="shared" ref="H891:H897" si="12">IF(AND(F891=0,G891=0),D891*E891,IF(AND(E891=0,G891=0),D891*F891,IF(AND(E891=0,F891=0),D891*G891,IF(AND(E891=0),D891*F891*G891,IF(AND(F891=0),D891*E891*G891,IF(AND(G891=0),D891*E891*F891,D891*E891*F891*G891))))))</f>
        <v>0</v>
      </c>
      <c r="I891" s="40"/>
      <c r="J891" s="41" t="str">
        <f t="shared" ref="J891:J897" si="13">IF(AND(E891=0,F891&lt;&gt;0,G891&lt;&gt;0),"m2",IF(AND(F891=0,E891&lt;&gt;0,G891&lt;&gt;0),"m2",IF(AND(G891=0,E891&lt;&gt;0,F891&lt;&gt;0),"m2",IF(AND(F891=0,G891=0),"ml",IF(AND(E891=0,G891=0),"ml",IF(AND(E891=0,F891=0),"ml",IF(AND(E891&lt;&gt;0,F891&lt;&gt;0,G891&lt;&gt;0),"m3",0)))))))</f>
        <v>ml</v>
      </c>
    </row>
    <row r="892" spans="2:10" s="1" customFormat="1" ht="12.75" x14ac:dyDescent="0.2">
      <c r="B892" s="43"/>
      <c r="C892" s="39" t="s">
        <v>349</v>
      </c>
      <c r="D892" s="40"/>
      <c r="E892" s="40"/>
      <c r="F892" s="40"/>
      <c r="G892" s="40"/>
      <c r="H892" s="40">
        <f t="shared" si="12"/>
        <v>0</v>
      </c>
      <c r="I892" s="40"/>
      <c r="J892" s="41" t="str">
        <f t="shared" si="13"/>
        <v>ml</v>
      </c>
    </row>
    <row r="893" spans="2:10" s="1" customFormat="1" ht="12.75" x14ac:dyDescent="0.2">
      <c r="B893" s="43"/>
      <c r="C893" s="39" t="s">
        <v>369</v>
      </c>
      <c r="D893" s="40"/>
      <c r="E893" s="40"/>
      <c r="F893" s="40"/>
      <c r="G893" s="40"/>
      <c r="H893" s="40">
        <f t="shared" si="12"/>
        <v>0</v>
      </c>
      <c r="I893" s="40"/>
      <c r="J893" s="41" t="str">
        <f t="shared" si="13"/>
        <v>ml</v>
      </c>
    </row>
    <row r="894" spans="2:10" s="1" customFormat="1" ht="12.75" x14ac:dyDescent="0.2">
      <c r="B894" s="43"/>
      <c r="C894" s="77" t="s">
        <v>72</v>
      </c>
      <c r="D894" s="40"/>
      <c r="E894" s="40"/>
      <c r="F894" s="40"/>
      <c r="G894" s="40"/>
      <c r="H894" s="40">
        <f t="shared" si="12"/>
        <v>0</v>
      </c>
      <c r="I894" s="40"/>
      <c r="J894" s="41" t="str">
        <f t="shared" si="13"/>
        <v>ml</v>
      </c>
    </row>
    <row r="895" spans="2:10" s="1" customFormat="1" ht="12.75" x14ac:dyDescent="0.2">
      <c r="B895" s="43"/>
      <c r="C895" s="39" t="s">
        <v>349</v>
      </c>
      <c r="D895" s="40"/>
      <c r="E895" s="40"/>
      <c r="F895" s="40"/>
      <c r="G895" s="40"/>
      <c r="H895" s="40">
        <f t="shared" si="12"/>
        <v>0</v>
      </c>
      <c r="I895" s="40"/>
      <c r="J895" s="41" t="str">
        <f t="shared" si="13"/>
        <v>ml</v>
      </c>
    </row>
    <row r="896" spans="2:10" s="1" customFormat="1" ht="12.75" x14ac:dyDescent="0.2">
      <c r="B896" s="43"/>
      <c r="C896" s="77" t="s">
        <v>73</v>
      </c>
      <c r="D896" s="40"/>
      <c r="E896" s="40"/>
      <c r="F896" s="40"/>
      <c r="G896" s="40"/>
      <c r="H896" s="40">
        <f t="shared" si="12"/>
        <v>0</v>
      </c>
      <c r="I896" s="40"/>
      <c r="J896" s="41" t="str">
        <f t="shared" si="13"/>
        <v>ml</v>
      </c>
    </row>
    <row r="897" spans="2:10" s="1" customFormat="1" ht="12.75" x14ac:dyDescent="0.2">
      <c r="B897" s="43"/>
      <c r="C897" s="39" t="s">
        <v>349</v>
      </c>
      <c r="D897" s="40"/>
      <c r="E897" s="40"/>
      <c r="F897" s="40"/>
      <c r="G897" s="40"/>
      <c r="H897" s="40">
        <f t="shared" si="12"/>
        <v>0</v>
      </c>
      <c r="I897" s="40"/>
      <c r="J897" s="41" t="str">
        <f t="shared" si="13"/>
        <v>ml</v>
      </c>
    </row>
    <row r="898" spans="2:10" s="1" customFormat="1" ht="12.75" x14ac:dyDescent="0.2">
      <c r="B898" s="43" t="s">
        <v>232</v>
      </c>
      <c r="C898" s="43" t="s">
        <v>348</v>
      </c>
      <c r="D898" s="60"/>
      <c r="E898" s="40"/>
      <c r="F898" s="40"/>
      <c r="G898" s="40"/>
      <c r="H898" s="40"/>
      <c r="I898" s="44">
        <f>SUM(H899:H899)</f>
        <v>2</v>
      </c>
      <c r="J898" s="45" t="str">
        <f>+J899</f>
        <v>und</v>
      </c>
    </row>
    <row r="899" spans="2:10" s="1" customFormat="1" ht="12.75" x14ac:dyDescent="0.2">
      <c r="B899" s="57"/>
      <c r="C899" s="39" t="s">
        <v>349</v>
      </c>
      <c r="D899" s="40">
        <v>2</v>
      </c>
      <c r="E899" s="40"/>
      <c r="F899" s="40"/>
      <c r="G899" s="40"/>
      <c r="H899" s="40">
        <f>+D899</f>
        <v>2</v>
      </c>
      <c r="I899" s="40"/>
      <c r="J899" s="41" t="s">
        <v>13</v>
      </c>
    </row>
    <row r="900" spans="2:10" s="1" customFormat="1" ht="12.75" x14ac:dyDescent="0.2">
      <c r="B900" s="57" t="s">
        <v>16</v>
      </c>
      <c r="C900" s="58" t="s">
        <v>224</v>
      </c>
      <c r="D900" s="60"/>
      <c r="E900" s="40"/>
      <c r="F900" s="40"/>
      <c r="G900" s="40"/>
      <c r="H900" s="40"/>
      <c r="I900" s="40"/>
      <c r="J900" s="41"/>
    </row>
    <row r="901" spans="2:10" s="1" customFormat="1" ht="12.75" x14ac:dyDescent="0.2">
      <c r="B901" s="43" t="s">
        <v>17</v>
      </c>
      <c r="C901" s="43" t="s">
        <v>343</v>
      </c>
      <c r="D901" s="60"/>
      <c r="E901" s="40"/>
      <c r="F901" s="40"/>
      <c r="G901" s="40"/>
      <c r="H901" s="40"/>
      <c r="I901" s="44">
        <f>SUM(H902:H903)</f>
        <v>0</v>
      </c>
      <c r="J901" s="45" t="str">
        <f>+J902</f>
        <v>ml</v>
      </c>
    </row>
    <row r="902" spans="2:10" s="1" customFormat="1" ht="12.75" x14ac:dyDescent="0.2">
      <c r="B902" s="57"/>
      <c r="C902" s="39" t="s">
        <v>425</v>
      </c>
      <c r="D902" s="40"/>
      <c r="E902" s="40"/>
      <c r="F902" s="40"/>
      <c r="G902" s="40"/>
      <c r="H902" s="40">
        <f>IF(AND(F902=0,G902=0),D902*E902,IF(AND(E902=0,G902=0),D902*F902,IF(AND(E902=0,F902=0),D902*G902,IF(AND(E902=0),D902*F902*G902,IF(AND(F902=0),D902*E902*G902,IF(AND(G902=0),D902*E902*F902,D902*E902*F902*G902))))))</f>
        <v>0</v>
      </c>
      <c r="I902" s="40"/>
      <c r="J902" s="41" t="str">
        <f>IF(AND(E902=0,F902&lt;&gt;0,G902&lt;&gt;0),"m2",IF(AND(F902=0,E902&lt;&gt;0,G902&lt;&gt;0),"m2",IF(AND(G902=0,E902&lt;&gt;0,F902&lt;&gt;0),"m2",IF(AND(F902=0,G902=0),"ml",IF(AND(E902=0,G902=0),"ml",IF(AND(E902=0,F902=0),"ml",IF(AND(E902&lt;&gt;0,F902&lt;&gt;0,G902&lt;&gt;0),"m3",0)))))))</f>
        <v>ml</v>
      </c>
    </row>
    <row r="903" spans="2:10" s="1" customFormat="1" ht="12.75" x14ac:dyDescent="0.2">
      <c r="B903" s="57"/>
      <c r="C903" s="39" t="s">
        <v>425</v>
      </c>
      <c r="D903" s="40"/>
      <c r="E903" s="40"/>
      <c r="F903" s="40"/>
      <c r="G903" s="40"/>
      <c r="H903" s="40">
        <f>IF(AND(F903=0,G903=0),D903*E903,IF(AND(E903=0,G903=0),D903*F903,IF(AND(E903=0,F903=0),D903*G903,IF(AND(E903=0),D903*F903*G903,IF(AND(F903=0),D903*E903*G903,IF(AND(G903=0),D903*E903*F903,D903*E903*F903*G903))))))</f>
        <v>0</v>
      </c>
      <c r="I903" s="40"/>
      <c r="J903" s="41"/>
    </row>
    <row r="904" spans="2:10" s="1" customFormat="1" ht="12.75" x14ac:dyDescent="0.2">
      <c r="B904" s="43" t="s">
        <v>240</v>
      </c>
      <c r="C904" s="43" t="s">
        <v>237</v>
      </c>
      <c r="D904" s="60"/>
      <c r="E904" s="40"/>
      <c r="F904" s="40"/>
      <c r="G904" s="40"/>
      <c r="H904" s="40"/>
      <c r="I904" s="44">
        <f>SUM(H905:H906)</f>
        <v>0</v>
      </c>
      <c r="J904" s="45" t="str">
        <f>+J905</f>
        <v>ml</v>
      </c>
    </row>
    <row r="905" spans="2:10" s="1" customFormat="1" ht="12.75" x14ac:dyDescent="0.2">
      <c r="B905" s="57"/>
      <c r="H905" s="40"/>
      <c r="I905" s="40"/>
      <c r="J905" s="41" t="str">
        <f>IF(AND(E996=0,F996&lt;&gt;0,G996&lt;&gt;0),"m2",IF(AND(F996=0,E996&lt;&gt;0,G996&lt;&gt;0),"m2",IF(AND(G996=0,E996&lt;&gt;0,F996&lt;&gt;0),"m2",IF(AND(F996=0,G996=0),"ml",IF(AND(E996=0,G996=0),"ml",IF(AND(E996=0,F996=0),"ml",IF(AND(E996&lt;&gt;0,F996&lt;&gt;0,G996&lt;&gt;0),"m3",0)))))))</f>
        <v>ml</v>
      </c>
    </row>
    <row r="906" spans="2:10" s="1" customFormat="1" ht="12.75" x14ac:dyDescent="0.2">
      <c r="B906" s="57"/>
      <c r="C906" s="39"/>
      <c r="D906" s="40"/>
      <c r="E906" s="40"/>
      <c r="F906" s="40"/>
      <c r="G906" s="40"/>
      <c r="H906" s="40"/>
      <c r="I906" s="40"/>
      <c r="J906" s="41" t="str">
        <f>IF(AND(E906=0,F906&lt;&gt;0,G906&lt;&gt;0),"m2",IF(AND(F906=0,E906&lt;&gt;0,G906&lt;&gt;0),"m2",IF(AND(G906=0,E906&lt;&gt;0,F906&lt;&gt;0),"m2",IF(AND(F906=0,G906=0),"ml",IF(AND(E906=0,G906=0),"ml",IF(AND(E906=0,F906=0),"ml",IF(AND(E906&lt;&gt;0,F906&lt;&gt;0,G906&lt;&gt;0),"m3",0)))))))</f>
        <v>ml</v>
      </c>
    </row>
    <row r="907" spans="2:10" s="1" customFormat="1" ht="12.75" x14ac:dyDescent="0.2">
      <c r="B907" s="43" t="s">
        <v>241</v>
      </c>
      <c r="C907" s="43" t="s">
        <v>242</v>
      </c>
      <c r="D907" s="60"/>
      <c r="E907" s="40"/>
      <c r="F907" s="40"/>
      <c r="G907" s="40"/>
      <c r="H907" s="40"/>
      <c r="I907" s="44">
        <f>SUM(H908:H908)</f>
        <v>0</v>
      </c>
      <c r="J907" s="45" t="str">
        <f>+J908</f>
        <v>ml</v>
      </c>
    </row>
    <row r="908" spans="2:10" s="1" customFormat="1" ht="12.75" x14ac:dyDescent="0.2">
      <c r="B908" s="57"/>
      <c r="C908" s="39" t="s">
        <v>401</v>
      </c>
      <c r="D908" s="40"/>
      <c r="E908" s="40"/>
      <c r="F908" s="40"/>
      <c r="G908" s="40"/>
      <c r="H908" s="40">
        <f>IF(AND(F908=0,G908=0),D908*E908,IF(AND(E908=0,G908=0),D908*F908,IF(AND(E908=0,F908=0),D908*G908,IF(AND(E908=0),D908*F908*G908,IF(AND(F908=0),D908*E908*G908,IF(AND(G908=0),D908*E908*F908,D908*E908*F908*G908))))))</f>
        <v>0</v>
      </c>
      <c r="I908" s="40"/>
      <c r="J908" s="41" t="str">
        <f>IF(AND(E908=0,F908&lt;&gt;0,G908&lt;&gt;0),"m2",IF(AND(F908=0,E908&lt;&gt;0,G908&lt;&gt;0),"m2",IF(AND(G908=0,E908&lt;&gt;0,F908&lt;&gt;0),"m2",IF(AND(F908=0,G908=0),"ml",IF(AND(E908=0,G908=0),"ml",IF(AND(E908=0,F908=0),"ml",IF(AND(E908&lt;&gt;0,F908&lt;&gt;0,G908&lt;&gt;0),"m3",0)))))))</f>
        <v>ml</v>
      </c>
    </row>
    <row r="909" spans="2:10" s="1" customFormat="1" ht="12.75" x14ac:dyDescent="0.2">
      <c r="B909" s="43" t="s">
        <v>243</v>
      </c>
      <c r="C909" s="43" t="s">
        <v>245</v>
      </c>
      <c r="D909" s="60"/>
      <c r="E909" s="40"/>
      <c r="F909" s="40"/>
      <c r="G909" s="40"/>
      <c r="H909" s="40"/>
      <c r="I909" s="44">
        <f>SUM(H910:H912)</f>
        <v>0</v>
      </c>
      <c r="J909" s="45" t="str">
        <f>+J910</f>
        <v>ml</v>
      </c>
    </row>
    <row r="910" spans="2:10" s="1" customFormat="1" ht="12.75" x14ac:dyDescent="0.2">
      <c r="B910" s="57"/>
      <c r="C910" s="39" t="s">
        <v>427</v>
      </c>
      <c r="D910" s="40"/>
      <c r="E910" s="40"/>
      <c r="F910" s="40"/>
      <c r="G910" s="40"/>
      <c r="H910" s="40">
        <f>IF(AND(F910=0,G910=0),D910*E910,IF(AND(E910=0,G910=0),D910*F910,IF(AND(E910=0,F910=0),D910*G910,IF(AND(E910=0),D910*F910*G910,IF(AND(F910=0),D910*E910*G910,IF(AND(G910=0),D910*E910*F910,D910*E910*F910*G910))))))</f>
        <v>0</v>
      </c>
      <c r="I910" s="40"/>
      <c r="J910" s="41" t="str">
        <f>IF(AND(E910=0,F910&lt;&gt;0,G910&lt;&gt;0),"m2",IF(AND(F910=0,E910&lt;&gt;0,G910&lt;&gt;0),"m2",IF(AND(G910=0,E910&lt;&gt;0,F910&lt;&gt;0),"m2",IF(AND(F910=0,G910=0),"ml",IF(AND(E910=0,G910=0),"ml",IF(AND(E910=0,F910=0),"ml",IF(AND(E910&lt;&gt;0,F910&lt;&gt;0,G910&lt;&gt;0),"m3",0)))))))</f>
        <v>ml</v>
      </c>
    </row>
    <row r="911" spans="2:10" s="1" customFormat="1" ht="12.75" x14ac:dyDescent="0.2">
      <c r="B911" s="57"/>
      <c r="C911" s="39" t="s">
        <v>428</v>
      </c>
      <c r="D911" s="40"/>
      <c r="E911" s="40"/>
      <c r="F911" s="40"/>
      <c r="G911" s="40"/>
      <c r="H911" s="40">
        <f>IF(AND(F911=0,G911=0),D911*E911,IF(AND(E911=0,G911=0),D911*F911,IF(AND(E911=0,F911=0),D911*G911,IF(AND(E911=0),D911*F911*G911,IF(AND(F911=0),D911*E911*G911,IF(AND(G911=0),D911*E911*F911,D911*E911*F911*G911))))))</f>
        <v>0</v>
      </c>
      <c r="I911" s="40"/>
      <c r="J911" s="41" t="str">
        <f>IF(AND(E911=0,F911&lt;&gt;0,G911&lt;&gt;0),"m2",IF(AND(F911=0,E911&lt;&gt;0,G911&lt;&gt;0),"m2",IF(AND(G911=0,E911&lt;&gt;0,F911&lt;&gt;0),"m2",IF(AND(F911=0,G911=0),"ml",IF(AND(E911=0,G911=0),"ml",IF(AND(E911=0,F911=0),"ml",IF(AND(E911&lt;&gt;0,F911&lt;&gt;0,G911&lt;&gt;0),"m3",0)))))))</f>
        <v>ml</v>
      </c>
    </row>
    <row r="912" spans="2:10" s="1" customFormat="1" ht="12.75" x14ac:dyDescent="0.2">
      <c r="B912" s="57"/>
      <c r="C912" s="39" t="s">
        <v>429</v>
      </c>
      <c r="D912" s="40"/>
      <c r="E912" s="40"/>
      <c r="F912" s="40"/>
      <c r="G912" s="40"/>
      <c r="H912" s="40">
        <f>IF(AND(F912=0,G912=0),D912*E912,IF(AND(E912=0,G912=0),D912*F912,IF(AND(E912=0,F912=0),D912*G912,IF(AND(E912=0),D912*F912*G912,IF(AND(F912=0),D912*E912*G912,IF(AND(G912=0),D912*E912*F912,D912*E912*F912*G912))))))</f>
        <v>0</v>
      </c>
      <c r="I912" s="40"/>
      <c r="J912" s="41" t="str">
        <f>IF(AND(E912=0,F912&lt;&gt;0,G912&lt;&gt;0),"m2",IF(AND(F912=0,E912&lt;&gt;0,G912&lt;&gt;0),"m2",IF(AND(G912=0,E912&lt;&gt;0,F912&lt;&gt;0),"m2",IF(AND(F912=0,G912=0),"ml",IF(AND(E912=0,G912=0),"ml",IF(AND(E912=0,F912=0),"ml",IF(AND(E912&lt;&gt;0,F912&lt;&gt;0,G912&lt;&gt;0),"m3",0)))))))</f>
        <v>ml</v>
      </c>
    </row>
    <row r="913" spans="2:10" s="1" customFormat="1" ht="12.75" x14ac:dyDescent="0.2">
      <c r="B913" s="43" t="s">
        <v>244</v>
      </c>
      <c r="C913" s="43" t="s">
        <v>247</v>
      </c>
      <c r="D913" s="60"/>
      <c r="E913" s="40"/>
      <c r="F913" s="40"/>
      <c r="G913" s="40"/>
      <c r="H913" s="40"/>
      <c r="I913" s="44">
        <f>SUM(H914:H914)</f>
        <v>0</v>
      </c>
      <c r="J913" s="45" t="str">
        <f>+J914</f>
        <v>ml</v>
      </c>
    </row>
    <row r="914" spans="2:10" s="1" customFormat="1" ht="12.75" x14ac:dyDescent="0.2">
      <c r="B914" s="57"/>
      <c r="C914" s="39" t="s">
        <v>396</v>
      </c>
      <c r="D914" s="40"/>
      <c r="E914" s="40"/>
      <c r="F914" s="40"/>
      <c r="G914" s="40"/>
      <c r="H914" s="40">
        <f>IF(AND(F914=0,G914=0),D914*E914,IF(AND(E914=0,G914=0),D914*F914,IF(AND(E914=0,F914=0),D914*G914,IF(AND(E914=0),D914*F914*G914,IF(AND(F914=0),D914*E914*G914,IF(AND(G914=0),D914*E914*F914,D914*E914*F914*G914))))))</f>
        <v>0</v>
      </c>
      <c r="I914" s="40"/>
      <c r="J914" s="41" t="str">
        <f>IF(AND(E914=0,F914&lt;&gt;0,G914&lt;&gt;0),"m2",IF(AND(F914=0,E914&lt;&gt;0,G914&lt;&gt;0),"m2",IF(AND(G914=0,E914&lt;&gt;0,F914&lt;&gt;0),"m2",IF(AND(F914=0,G914=0),"ml",IF(AND(E914=0,G914=0),"ml",IF(AND(E914=0,F914=0),"ml",IF(AND(E914&lt;&gt;0,F914&lt;&gt;0,G914&lt;&gt;0),"m3",0)))))))</f>
        <v>ml</v>
      </c>
    </row>
    <row r="915" spans="2:10" s="1" customFormat="1" ht="12.75" x14ac:dyDescent="0.2">
      <c r="B915" s="43" t="s">
        <v>248</v>
      </c>
      <c r="C915" s="43" t="s">
        <v>226</v>
      </c>
      <c r="D915" s="60"/>
      <c r="E915" s="40"/>
      <c r="F915" s="40"/>
      <c r="G915" s="40"/>
      <c r="H915" s="40"/>
      <c r="I915" s="44">
        <f>SUM(H916:H917)</f>
        <v>0</v>
      </c>
      <c r="J915" s="45" t="str">
        <f>+J917</f>
        <v>ml</v>
      </c>
    </row>
    <row r="916" spans="2:10" s="1" customFormat="1" ht="12.75" x14ac:dyDescent="0.2">
      <c r="B916" s="43"/>
      <c r="C916" s="39" t="s">
        <v>371</v>
      </c>
      <c r="D916" s="40"/>
      <c r="E916" s="40"/>
      <c r="F916" s="40"/>
      <c r="G916" s="40"/>
      <c r="H916" s="40">
        <f>IF(AND(F916=0,G916=0),D916*E916,IF(AND(E916=0,G916=0),D916*F916,IF(AND(E916=0,F916=0),D916*G916,IF(AND(E916=0),D916*F916*G916,IF(AND(F916=0),D916*E916*G916,IF(AND(G916=0),D916*E916*F916,D916*E916*F916*G916))))))</f>
        <v>0</v>
      </c>
      <c r="I916" s="40"/>
      <c r="J916" s="41" t="str">
        <f>IF(AND(E916=0,F916&lt;&gt;0,G916&lt;&gt;0),"m2",IF(AND(F916=0,E916&lt;&gt;0,G916&lt;&gt;0),"m2",IF(AND(G916=0,E916&lt;&gt;0,F916&lt;&gt;0),"m2",IF(AND(F916=0,G916=0),"ml",IF(AND(E916=0,G916=0),"ml",IF(AND(E916=0,F916=0),"ml",IF(AND(E916&lt;&gt;0,F916&lt;&gt;0,G916&lt;&gt;0),"m3",0)))))))</f>
        <v>ml</v>
      </c>
    </row>
    <row r="917" spans="2:10" s="1" customFormat="1" ht="12.75" x14ac:dyDescent="0.2">
      <c r="B917" s="57"/>
      <c r="C917" s="39" t="s">
        <v>371</v>
      </c>
      <c r="D917" s="40"/>
      <c r="E917" s="40"/>
      <c r="F917" s="40"/>
      <c r="G917" s="40"/>
      <c r="H917" s="40">
        <f>IF(AND(F917=0,G917=0),D917*E917,IF(AND(E917=0,G917=0),D917*F917,IF(AND(E917=0,F917=0),D917*G917,IF(AND(E917=0),D917*F917*G917,IF(AND(F917=0),D917*E917*G917,IF(AND(G917=0),D917*E917*F917,D917*E917*F917*G917))))))</f>
        <v>0</v>
      </c>
      <c r="I917" s="40"/>
      <c r="J917" s="41" t="str">
        <f>IF(AND(E917=0,F917&lt;&gt;0,G917&lt;&gt;0),"m2",IF(AND(F917=0,E917&lt;&gt;0,G917&lt;&gt;0),"m2",IF(AND(G917=0,E917&lt;&gt;0,F917&lt;&gt;0),"m2",IF(AND(F917=0,G917=0),"ml",IF(AND(E917=0,G917=0),"ml",IF(AND(E917=0,F917=0),"ml",IF(AND(E917&lt;&gt;0,F917&lt;&gt;0,G917&lt;&gt;0),"m3",0)))))))</f>
        <v>ml</v>
      </c>
    </row>
    <row r="918" spans="2:10" s="1" customFormat="1" ht="12.75" x14ac:dyDescent="0.2">
      <c r="B918" s="43" t="s">
        <v>249</v>
      </c>
      <c r="C918" s="43" t="s">
        <v>228</v>
      </c>
      <c r="D918" s="60"/>
      <c r="E918" s="40"/>
      <c r="F918" s="40"/>
      <c r="G918" s="40"/>
      <c r="H918" s="40"/>
      <c r="I918" s="44">
        <f>SUM(H919:H919)</f>
        <v>0</v>
      </c>
      <c r="J918" s="45" t="str">
        <f>+J919</f>
        <v>ml</v>
      </c>
    </row>
    <row r="919" spans="2:10" s="1" customFormat="1" ht="12.75" x14ac:dyDescent="0.2">
      <c r="B919" s="57"/>
      <c r="C919" s="39" t="s">
        <v>399</v>
      </c>
      <c r="D919" s="40"/>
      <c r="E919" s="40"/>
      <c r="F919" s="40"/>
      <c r="G919" s="40"/>
      <c r="H919" s="40">
        <f>IF(AND(F919=0,G919=0),D919*E919,IF(AND(E919=0,G919=0),D919*F919,IF(AND(E919=0,F919=0),D919*G919,IF(AND(E919=0),D919*F919*G919,IF(AND(F919=0),D919*E919*G919,IF(AND(G919=0),D919*E919*F919,D919*E919*F919*G919))))))</f>
        <v>0</v>
      </c>
      <c r="I919" s="40"/>
      <c r="J919" s="41" t="str">
        <f>IF(AND(E919=0,F919&lt;&gt;0,G919&lt;&gt;0),"m2",IF(AND(F919=0,E919&lt;&gt;0,G919&lt;&gt;0),"m2",IF(AND(G919=0,E919&lt;&gt;0,F919&lt;&gt;0),"m2",IF(AND(F919=0,G919=0),"ml",IF(AND(E919=0,G919=0),"ml",IF(AND(E919=0,F919=0),"ml",IF(AND(E919&lt;&gt;0,F919&lt;&gt;0,G919&lt;&gt;0),"m3",0)))))))</f>
        <v>ml</v>
      </c>
    </row>
    <row r="920" spans="2:10" s="1" customFormat="1" ht="12.75" x14ac:dyDescent="0.2">
      <c r="B920" s="43" t="s">
        <v>256</v>
      </c>
      <c r="C920" s="43" t="s">
        <v>250</v>
      </c>
      <c r="D920" s="60"/>
      <c r="E920" s="40"/>
      <c r="F920" s="40"/>
      <c r="G920" s="40"/>
      <c r="H920" s="40"/>
      <c r="I920" s="44">
        <f>SUM(H921:H921)</f>
        <v>0</v>
      </c>
      <c r="J920" s="45" t="str">
        <f>+J921</f>
        <v>ml</v>
      </c>
    </row>
    <row r="921" spans="2:10" s="1" customFormat="1" ht="12.75" x14ac:dyDescent="0.2">
      <c r="B921" s="57"/>
      <c r="C921" s="39" t="s">
        <v>388</v>
      </c>
      <c r="D921" s="40"/>
      <c r="E921" s="40"/>
      <c r="F921" s="40"/>
      <c r="G921" s="40"/>
      <c r="H921" s="40">
        <f>IF(AND(F921=0,G921=0),D921*E921,IF(AND(E921=0,G921=0),D921*F921,IF(AND(E921=0,F921=0),D921*G921,IF(AND(E921=0),D921*F921*G921,IF(AND(F921=0),D921*E921*G921,IF(AND(G921=0),D921*E921*F921,D921*E921*F921*G921))))))</f>
        <v>0</v>
      </c>
      <c r="I921" s="40"/>
      <c r="J921" s="41" t="str">
        <f>IF(AND(E921=0,F921&lt;&gt;0,G921&lt;&gt;0),"m2",IF(AND(F921=0,E921&lt;&gt;0,G921&lt;&gt;0),"m2",IF(AND(G921=0,E921&lt;&gt;0,F921&lt;&gt;0),"m2",IF(AND(F921=0,G921=0),"ml",IF(AND(E921=0,G921=0),"ml",IF(AND(E921=0,F921=0),"ml",IF(AND(E921&lt;&gt;0,F921&lt;&gt;0,G921&lt;&gt;0),"m3",0)))))))</f>
        <v>ml</v>
      </c>
    </row>
    <row r="922" spans="2:10" s="1" customFormat="1" ht="12.75" x14ac:dyDescent="0.2">
      <c r="B922" s="43" t="s">
        <v>257</v>
      </c>
      <c r="C922" s="43" t="s">
        <v>252</v>
      </c>
      <c r="D922" s="60"/>
      <c r="E922" s="40"/>
      <c r="F922" s="40"/>
      <c r="G922" s="40"/>
      <c r="H922" s="40"/>
      <c r="I922" s="44">
        <f>SUM(H923:H923)</f>
        <v>0</v>
      </c>
      <c r="J922" s="45" t="str">
        <f>+J923</f>
        <v>ml</v>
      </c>
    </row>
    <row r="923" spans="2:10" s="1" customFormat="1" ht="12.75" x14ac:dyDescent="0.2">
      <c r="B923" s="57"/>
      <c r="C923" s="39" t="s">
        <v>397</v>
      </c>
      <c r="D923" s="40"/>
      <c r="E923" s="40"/>
      <c r="F923" s="40"/>
      <c r="G923" s="40"/>
      <c r="H923" s="40">
        <f>IF(AND(F923=0,G923=0),D923*E923,IF(AND(E923=0,G923=0),D923*F923,IF(AND(E923=0,F923=0),D923*G923,IF(AND(E923=0),D923*F923*G923,IF(AND(F923=0),D923*E923*G923,IF(AND(G923=0),D923*E923*F923,D923*E923*F923*G923))))))</f>
        <v>0</v>
      </c>
      <c r="I923" s="40"/>
      <c r="J923" s="41" t="str">
        <f>IF(AND(E923=0,F923&lt;&gt;0,G923&lt;&gt;0),"m2",IF(AND(F923=0,E923&lt;&gt;0,G923&lt;&gt;0),"m2",IF(AND(G923=0,E923&lt;&gt;0,F923&lt;&gt;0),"m2",IF(AND(F923=0,G923=0),"ml",IF(AND(E923=0,G923=0),"ml",IF(AND(E923=0,F923=0),"ml",IF(AND(E923&lt;&gt;0,F923&lt;&gt;0,G923&lt;&gt;0),"m3",0)))))))</f>
        <v>ml</v>
      </c>
    </row>
    <row r="924" spans="2:10" s="1" customFormat="1" ht="12.75" x14ac:dyDescent="0.2">
      <c r="B924" s="43" t="s">
        <v>258</v>
      </c>
      <c r="C924" s="43" t="s">
        <v>253</v>
      </c>
      <c r="D924" s="60"/>
      <c r="E924" s="40"/>
      <c r="F924" s="40"/>
      <c r="G924" s="40"/>
      <c r="H924" s="40"/>
      <c r="I924" s="44">
        <f>SUM(H925:H925)</f>
        <v>0</v>
      </c>
      <c r="J924" s="45" t="str">
        <f>+J925</f>
        <v>und</v>
      </c>
    </row>
    <row r="925" spans="2:10" s="1" customFormat="1" ht="12.75" x14ac:dyDescent="0.2">
      <c r="B925" s="43"/>
      <c r="C925" s="39" t="s">
        <v>402</v>
      </c>
      <c r="D925" s="40"/>
      <c r="E925" s="40"/>
      <c r="F925" s="40"/>
      <c r="G925" s="40"/>
      <c r="H925" s="40">
        <f>+D925</f>
        <v>0</v>
      </c>
      <c r="I925" s="40"/>
      <c r="J925" s="41" t="s">
        <v>13</v>
      </c>
    </row>
    <row r="926" spans="2:10" s="1" customFormat="1" ht="12.75" x14ac:dyDescent="0.2">
      <c r="B926" s="43" t="s">
        <v>259</v>
      </c>
      <c r="C926" s="43" t="s">
        <v>254</v>
      </c>
      <c r="D926" s="60"/>
      <c r="E926" s="40"/>
      <c r="F926" s="40"/>
      <c r="G926" s="40"/>
      <c r="H926" s="40"/>
      <c r="I926" s="44">
        <f>SUM(H927:H927)</f>
        <v>0</v>
      </c>
      <c r="J926" s="45" t="str">
        <f>+J927</f>
        <v>und</v>
      </c>
    </row>
    <row r="927" spans="2:10" s="1" customFormat="1" ht="12.75" x14ac:dyDescent="0.2">
      <c r="B927" s="57"/>
      <c r="C927" s="39" t="s">
        <v>238</v>
      </c>
      <c r="D927" s="40"/>
      <c r="E927" s="40"/>
      <c r="F927" s="40"/>
      <c r="G927" s="40"/>
      <c r="H927" s="40">
        <f>+D927</f>
        <v>0</v>
      </c>
      <c r="I927" s="40"/>
      <c r="J927" s="41" t="s">
        <v>13</v>
      </c>
    </row>
    <row r="928" spans="2:10" s="1" customFormat="1" ht="12.75" x14ac:dyDescent="0.2">
      <c r="B928" s="57"/>
      <c r="C928" s="39"/>
      <c r="D928" s="60"/>
      <c r="E928" s="40"/>
      <c r="F928" s="40"/>
      <c r="G928" s="40"/>
      <c r="H928" s="40"/>
      <c r="I928" s="40"/>
      <c r="J928" s="41"/>
    </row>
    <row r="929" spans="2:10" s="1" customFormat="1" ht="12.75" x14ac:dyDescent="0.2">
      <c r="B929" s="57" t="s">
        <v>18</v>
      </c>
      <c r="C929" s="58" t="s">
        <v>223</v>
      </c>
      <c r="D929" s="60"/>
      <c r="E929" s="40"/>
      <c r="F929" s="40"/>
      <c r="G929" s="40"/>
      <c r="H929" s="40"/>
      <c r="I929" s="40"/>
      <c r="J929" s="41"/>
    </row>
    <row r="930" spans="2:10" s="1" customFormat="1" ht="12.75" x14ac:dyDescent="0.2">
      <c r="B930" s="43" t="s">
        <v>19</v>
      </c>
      <c r="C930" s="43" t="s">
        <v>265</v>
      </c>
      <c r="D930" s="60"/>
      <c r="E930" s="40"/>
      <c r="F930" s="40"/>
      <c r="G930" s="40"/>
      <c r="H930" s="40"/>
      <c r="I930" s="44">
        <f>SUM(H931:H931)</f>
        <v>3</v>
      </c>
      <c r="J930" s="45" t="s">
        <v>13</v>
      </c>
    </row>
    <row r="931" spans="2:10" s="1" customFormat="1" ht="12.75" x14ac:dyDescent="0.2">
      <c r="B931" s="46"/>
      <c r="C931" s="39" t="s">
        <v>231</v>
      </c>
      <c r="D931" s="40">
        <v>3</v>
      </c>
      <c r="E931" s="40"/>
      <c r="F931" s="40"/>
      <c r="G931" s="40"/>
      <c r="H931" s="40">
        <f>+D931</f>
        <v>3</v>
      </c>
      <c r="I931" s="40"/>
      <c r="J931" s="41" t="s">
        <v>13</v>
      </c>
    </row>
    <row r="932" spans="2:10" s="1" customFormat="1" ht="12.75" x14ac:dyDescent="0.2">
      <c r="B932" s="43" t="s">
        <v>20</v>
      </c>
      <c r="C932" s="43" t="s">
        <v>266</v>
      </c>
      <c r="D932" s="60"/>
      <c r="E932" s="40"/>
      <c r="F932" s="40"/>
      <c r="G932" s="40"/>
      <c r="H932" s="40"/>
      <c r="I932" s="44">
        <f>SUM(H933:H935)</f>
        <v>0</v>
      </c>
      <c r="J932" s="45" t="str">
        <f>+J933</f>
        <v>und</v>
      </c>
    </row>
    <row r="933" spans="2:10" s="1" customFormat="1" ht="12.75" x14ac:dyDescent="0.2">
      <c r="B933" s="43"/>
      <c r="C933" s="39" t="s">
        <v>71</v>
      </c>
      <c r="D933" s="40"/>
      <c r="E933" s="40"/>
      <c r="F933" s="40"/>
      <c r="G933" s="40"/>
      <c r="H933" s="40">
        <f>+D933</f>
        <v>0</v>
      </c>
      <c r="I933" s="40"/>
      <c r="J933" s="41" t="s">
        <v>13</v>
      </c>
    </row>
    <row r="934" spans="2:10" s="1" customFormat="1" ht="12.75" x14ac:dyDescent="0.2">
      <c r="B934" s="43"/>
      <c r="C934" s="39" t="s">
        <v>72</v>
      </c>
      <c r="D934" s="40"/>
      <c r="E934" s="40"/>
      <c r="F934" s="40"/>
      <c r="G934" s="40"/>
      <c r="H934" s="40">
        <f>+D934</f>
        <v>0</v>
      </c>
      <c r="I934" s="40"/>
      <c r="J934" s="41" t="s">
        <v>13</v>
      </c>
    </row>
    <row r="935" spans="2:10" s="1" customFormat="1" ht="12.75" x14ac:dyDescent="0.2">
      <c r="B935" s="43"/>
      <c r="C935" s="39" t="s">
        <v>73</v>
      </c>
      <c r="D935" s="40"/>
      <c r="E935" s="40"/>
      <c r="F935" s="40"/>
      <c r="G935" s="40"/>
      <c r="H935" s="40">
        <f>+D935</f>
        <v>0</v>
      </c>
      <c r="I935" s="40"/>
      <c r="J935" s="41" t="s">
        <v>13</v>
      </c>
    </row>
    <row r="936" spans="2:10" s="1" customFormat="1" ht="12.75" x14ac:dyDescent="0.2">
      <c r="B936" s="43" t="s">
        <v>21</v>
      </c>
      <c r="C936" s="43" t="s">
        <v>357</v>
      </c>
      <c r="D936" s="60"/>
      <c r="E936" s="40"/>
      <c r="F936" s="40"/>
      <c r="G936" s="40"/>
      <c r="H936" s="40"/>
      <c r="I936" s="44">
        <f>SUM(H937:H937)</f>
        <v>0</v>
      </c>
      <c r="J936" s="45" t="str">
        <f>+J937</f>
        <v>und</v>
      </c>
    </row>
    <row r="937" spans="2:10" s="1" customFormat="1" ht="12.75" x14ac:dyDescent="0.2">
      <c r="B937" s="43"/>
      <c r="C937" s="39" t="s">
        <v>375</v>
      </c>
      <c r="D937" s="40"/>
      <c r="E937" s="40"/>
      <c r="F937" s="40"/>
      <c r="G937" s="40"/>
      <c r="H937" s="40">
        <f>+D937</f>
        <v>0</v>
      </c>
      <c r="I937" s="40"/>
      <c r="J937" s="41" t="s">
        <v>13</v>
      </c>
    </row>
    <row r="938" spans="2:10" s="1" customFormat="1" ht="12.75" x14ac:dyDescent="0.2">
      <c r="B938" s="43" t="s">
        <v>273</v>
      </c>
      <c r="C938" s="43" t="s">
        <v>263</v>
      </c>
      <c r="D938" s="60"/>
      <c r="E938" s="40"/>
      <c r="F938" s="40"/>
      <c r="G938" s="40"/>
      <c r="H938" s="40"/>
      <c r="I938" s="44">
        <f>SUM(H939:H939)</f>
        <v>0</v>
      </c>
      <c r="J938" s="45" t="str">
        <f>+J939</f>
        <v>und</v>
      </c>
    </row>
    <row r="939" spans="2:10" s="1" customFormat="1" ht="14.25" customHeight="1" x14ac:dyDescent="0.2">
      <c r="B939" s="46"/>
      <c r="C939" s="39" t="s">
        <v>420</v>
      </c>
      <c r="D939" s="40"/>
      <c r="E939" s="40"/>
      <c r="F939" s="40"/>
      <c r="G939" s="40"/>
      <c r="H939" s="40">
        <f>+D939</f>
        <v>0</v>
      </c>
      <c r="I939" s="40"/>
      <c r="J939" s="41" t="s">
        <v>13</v>
      </c>
    </row>
    <row r="940" spans="2:10" s="1" customFormat="1" ht="14.25" customHeight="1" x14ac:dyDescent="0.2">
      <c r="B940" s="43" t="s">
        <v>274</v>
      </c>
      <c r="C940" s="43" t="s">
        <v>264</v>
      </c>
      <c r="D940" s="60"/>
      <c r="E940" s="40"/>
      <c r="F940" s="40"/>
      <c r="G940" s="40"/>
      <c r="H940" s="40"/>
      <c r="I940" s="44">
        <f>SUM(H941:H941)</f>
        <v>0</v>
      </c>
      <c r="J940" s="45" t="str">
        <f>+J941</f>
        <v>und</v>
      </c>
    </row>
    <row r="941" spans="2:10" s="1" customFormat="1" ht="12.75" x14ac:dyDescent="0.2">
      <c r="B941" s="46"/>
      <c r="C941" s="39" t="s">
        <v>420</v>
      </c>
      <c r="D941" s="40"/>
      <c r="E941" s="40"/>
      <c r="F941" s="40"/>
      <c r="G941" s="40"/>
      <c r="H941" s="40">
        <f>+D941</f>
        <v>0</v>
      </c>
      <c r="I941" s="40"/>
      <c r="J941" s="41" t="s">
        <v>13</v>
      </c>
    </row>
    <row r="942" spans="2:10" s="1" customFormat="1" ht="12.75" x14ac:dyDescent="0.2">
      <c r="B942" s="380"/>
      <c r="C942" s="366"/>
      <c r="D942" s="60"/>
      <c r="E942" s="40"/>
      <c r="F942" s="40"/>
      <c r="G942" s="40"/>
      <c r="H942" s="40"/>
      <c r="I942" s="40"/>
      <c r="J942" s="41"/>
    </row>
    <row r="943" spans="2:10" s="1" customFormat="1" ht="12.75" x14ac:dyDescent="0.2">
      <c r="B943" s="25"/>
      <c r="C943" s="28"/>
      <c r="D943" s="60"/>
      <c r="E943" s="40"/>
      <c r="F943" s="40"/>
      <c r="G943" s="40"/>
      <c r="H943" s="40"/>
      <c r="I943" s="40"/>
      <c r="J943" s="41"/>
    </row>
    <row r="944" spans="2:10" s="1" customFormat="1" ht="12.75" x14ac:dyDescent="0.2">
      <c r="B944" s="46"/>
      <c r="C944" s="39"/>
      <c r="D944" s="40"/>
      <c r="E944" s="40"/>
      <c r="F944" s="40"/>
      <c r="G944" s="40"/>
      <c r="H944" s="40"/>
      <c r="I944" s="40"/>
      <c r="J944" s="41"/>
    </row>
    <row r="945" spans="2:10" s="1" customFormat="1" ht="12.75" x14ac:dyDescent="0.2">
      <c r="B945" s="46"/>
      <c r="C945" s="39"/>
      <c r="D945" s="23"/>
      <c r="E945" s="24"/>
      <c r="F945" s="40"/>
      <c r="G945" s="40"/>
      <c r="H945" s="40"/>
      <c r="I945" s="40"/>
      <c r="J945" s="41"/>
    </row>
    <row r="946" spans="2:10" s="1" customFormat="1" ht="12.75" x14ac:dyDescent="0.2">
      <c r="B946" s="46"/>
      <c r="C946" s="39"/>
      <c r="D946" s="8"/>
      <c r="E946" s="86"/>
      <c r="F946" s="40"/>
      <c r="G946" s="40"/>
      <c r="H946" s="40"/>
      <c r="I946" s="40"/>
      <c r="J946" s="41"/>
    </row>
    <row r="947" spans="2:10" s="1" customFormat="1" ht="12.75" x14ac:dyDescent="0.2">
      <c r="B947" s="46"/>
      <c r="C947" s="39"/>
      <c r="D947" s="8"/>
      <c r="E947" s="86"/>
      <c r="F947" s="40"/>
      <c r="G947" s="40"/>
      <c r="H947" s="40"/>
      <c r="I947" s="40"/>
      <c r="J947" s="41"/>
    </row>
    <row r="948" spans="2:10" s="1" customFormat="1" ht="12.75" x14ac:dyDescent="0.2">
      <c r="B948" s="46"/>
      <c r="C948" s="39"/>
      <c r="D948" s="8"/>
      <c r="E948" s="86"/>
      <c r="F948" s="40"/>
      <c r="G948" s="40"/>
      <c r="H948" s="40"/>
      <c r="I948" s="40"/>
      <c r="J948" s="41"/>
    </row>
    <row r="949" spans="2:10" s="1" customFormat="1" ht="12.75" x14ac:dyDescent="0.2">
      <c r="B949" s="46"/>
      <c r="C949" s="59"/>
      <c r="D949" s="60"/>
      <c r="E949" s="40"/>
      <c r="F949" s="40"/>
      <c r="G949" s="40"/>
      <c r="H949" s="40"/>
      <c r="I949" s="40"/>
      <c r="J949" s="41"/>
    </row>
    <row r="950" spans="2:10" s="1" customFormat="1" ht="12.75" x14ac:dyDescent="0.2">
      <c r="B950" s="46"/>
      <c r="C950" s="39"/>
      <c r="D950" s="40"/>
      <c r="E950" s="40"/>
      <c r="F950" s="40"/>
      <c r="G950" s="40"/>
      <c r="H950" s="40"/>
      <c r="I950" s="40"/>
      <c r="J950" s="41"/>
    </row>
    <row r="951" spans="2:10" s="1" customFormat="1" ht="12.75" x14ac:dyDescent="0.2">
      <c r="B951" s="46"/>
      <c r="C951" s="59"/>
      <c r="D951" s="60"/>
      <c r="E951" s="40"/>
      <c r="F951" s="40"/>
      <c r="G951" s="40"/>
      <c r="H951" s="40"/>
      <c r="I951" s="40"/>
      <c r="J951" s="41"/>
    </row>
    <row r="952" spans="2:10" s="1" customFormat="1" ht="12.75" x14ac:dyDescent="0.2">
      <c r="B952" s="46"/>
      <c r="C952" s="59"/>
      <c r="D952" s="60"/>
      <c r="E952" s="40"/>
      <c r="F952" s="40"/>
      <c r="G952" s="40"/>
      <c r="H952" s="40"/>
      <c r="I952" s="40"/>
      <c r="J952" s="41"/>
    </row>
    <row r="953" spans="2:10" s="1" customFormat="1" ht="12.75" x14ac:dyDescent="0.2">
      <c r="B953" s="46"/>
      <c r="C953" s="59"/>
      <c r="D953" s="60"/>
      <c r="E953" s="40"/>
      <c r="F953" s="40"/>
      <c r="G953" s="40"/>
      <c r="H953" s="40"/>
      <c r="I953" s="40"/>
      <c r="J953" s="41"/>
    </row>
    <row r="954" spans="2:10" s="1" customFormat="1" ht="12.75" x14ac:dyDescent="0.2">
      <c r="B954" s="107"/>
      <c r="C954" s="343"/>
      <c r="D954" s="60"/>
      <c r="E954" s="40"/>
      <c r="F954" s="40"/>
      <c r="G954" s="40"/>
      <c r="H954" s="40"/>
      <c r="I954" s="40"/>
      <c r="J954" s="41"/>
    </row>
    <row r="955" spans="2:10" s="1" customFormat="1" ht="12.75" x14ac:dyDescent="0.2">
      <c r="B955" s="107"/>
      <c r="C955" s="39"/>
      <c r="D955" s="40"/>
      <c r="E955" s="40"/>
      <c r="F955" s="40"/>
      <c r="G955" s="40"/>
      <c r="H955" s="40"/>
      <c r="I955" s="40"/>
      <c r="J955" s="41"/>
    </row>
    <row r="956" spans="2:10" s="1" customFormat="1" ht="12.75" x14ac:dyDescent="0.2">
      <c r="B956" s="107"/>
      <c r="C956" s="39"/>
      <c r="D956" s="40"/>
      <c r="E956" s="86"/>
      <c r="F956" s="40"/>
      <c r="G956" s="40"/>
      <c r="H956" s="40"/>
      <c r="I956" s="40"/>
      <c r="J956" s="41"/>
    </row>
    <row r="957" spans="2:10" s="1" customFormat="1" ht="12.75" x14ac:dyDescent="0.2">
      <c r="B957" s="107"/>
      <c r="C957" s="39"/>
      <c r="D957" s="40"/>
      <c r="E957" s="86"/>
      <c r="F957" s="40"/>
      <c r="G957" s="40"/>
      <c r="H957" s="40"/>
      <c r="I957" s="40"/>
      <c r="J957" s="41"/>
    </row>
    <row r="958" spans="2:10" s="1" customFormat="1" ht="12.75" x14ac:dyDescent="0.2">
      <c r="B958" s="107"/>
      <c r="C958" s="39"/>
      <c r="D958" s="40"/>
      <c r="E958" s="40"/>
      <c r="F958" s="40"/>
      <c r="G958" s="40"/>
      <c r="H958" s="40"/>
      <c r="I958" s="40"/>
      <c r="J958" s="41"/>
    </row>
    <row r="959" spans="2:10" s="1" customFormat="1" ht="12.75" x14ac:dyDescent="0.2">
      <c r="B959" s="107"/>
      <c r="C959" s="343"/>
      <c r="D959" s="60"/>
      <c r="E959" s="40"/>
      <c r="F959" s="40"/>
      <c r="G959" s="40"/>
      <c r="H959" s="40"/>
      <c r="I959" s="40"/>
      <c r="J959" s="41"/>
    </row>
    <row r="960" spans="2:10" s="1" customFormat="1" ht="12.75" x14ac:dyDescent="0.2">
      <c r="B960" s="107"/>
      <c r="C960" s="343"/>
      <c r="D960" s="60"/>
      <c r="E960" s="40"/>
      <c r="F960" s="40"/>
      <c r="G960" s="40"/>
      <c r="H960" s="40"/>
      <c r="I960" s="40"/>
      <c r="J960" s="41"/>
    </row>
    <row r="961" spans="2:10" s="1" customFormat="1" ht="12.75" x14ac:dyDescent="0.2">
      <c r="B961" s="107"/>
      <c r="C961" s="343"/>
      <c r="D961" s="60"/>
      <c r="E961" s="40"/>
      <c r="F961" s="40"/>
      <c r="G961" s="40"/>
      <c r="H961" s="40"/>
      <c r="I961" s="40"/>
      <c r="J961" s="41"/>
    </row>
    <row r="962" spans="2:10" s="1" customFormat="1" ht="12.75" x14ac:dyDescent="0.2">
      <c r="B962" s="46"/>
      <c r="C962" s="59"/>
      <c r="D962" s="60"/>
      <c r="E962" s="40"/>
      <c r="F962" s="40"/>
      <c r="G962" s="40"/>
      <c r="H962" s="40"/>
      <c r="I962" s="40"/>
      <c r="J962" s="41"/>
    </row>
    <row r="963" spans="2:10" s="1" customFormat="1" ht="12.75" x14ac:dyDescent="0.2">
      <c r="B963" s="46"/>
      <c r="C963" s="59"/>
      <c r="D963" s="60"/>
      <c r="E963" s="40"/>
      <c r="F963" s="40"/>
      <c r="G963" s="40"/>
      <c r="H963" s="40"/>
      <c r="I963" s="40"/>
      <c r="J963" s="41"/>
    </row>
    <row r="964" spans="2:10" s="1" customFormat="1" ht="12.75" x14ac:dyDescent="0.2">
      <c r="C964" s="384" t="s">
        <v>37</v>
      </c>
      <c r="D964" s="384"/>
      <c r="E964" s="384"/>
      <c r="F964" s="384"/>
      <c r="G964" s="384"/>
      <c r="H964" s="384"/>
    </row>
    <row r="965" spans="2:10" s="1" customFormat="1" ht="12.75" x14ac:dyDescent="0.2">
      <c r="C965" s="384" t="s">
        <v>38</v>
      </c>
      <c r="D965" s="384"/>
      <c r="E965" s="384"/>
      <c r="F965" s="384"/>
      <c r="G965" s="384"/>
      <c r="H965" s="384"/>
    </row>
    <row r="966" spans="2:10" s="1" customFormat="1" ht="12.75" x14ac:dyDescent="0.2">
      <c r="C966" s="384" t="s">
        <v>39</v>
      </c>
      <c r="D966" s="384"/>
      <c r="E966" s="384"/>
      <c r="F966" s="384"/>
      <c r="G966" s="384"/>
      <c r="H966" s="384"/>
    </row>
    <row r="967" spans="2:10" s="1" customFormat="1" ht="12.75" x14ac:dyDescent="0.2">
      <c r="C967" s="385" t="s">
        <v>40</v>
      </c>
      <c r="D967" s="385"/>
      <c r="E967" s="385"/>
      <c r="F967" s="385"/>
      <c r="G967" s="385"/>
      <c r="H967" s="385"/>
    </row>
    <row r="968" spans="2:10" s="1" customFormat="1" ht="12.75" customHeight="1" x14ac:dyDescent="0.2">
      <c r="C968" s="385"/>
      <c r="D968" s="385"/>
      <c r="E968" s="385"/>
      <c r="F968" s="385"/>
      <c r="G968" s="385"/>
      <c r="H968" s="385"/>
    </row>
    <row r="969" spans="2:10" s="1" customFormat="1" ht="15.75" x14ac:dyDescent="0.2">
      <c r="B969" s="386" t="s">
        <v>65</v>
      </c>
      <c r="C969" s="387"/>
      <c r="D969" s="387"/>
      <c r="E969" s="387"/>
      <c r="F969" s="387"/>
      <c r="G969" s="387"/>
      <c r="H969" s="387"/>
      <c r="I969" s="387"/>
      <c r="J969" s="388"/>
    </row>
    <row r="970" spans="2:10" s="1" customFormat="1" ht="20.25" x14ac:dyDescent="0.2">
      <c r="B970" s="390" t="s">
        <v>431</v>
      </c>
      <c r="C970" s="391"/>
      <c r="D970" s="391"/>
      <c r="E970" s="391"/>
      <c r="F970" s="391"/>
      <c r="G970" s="391"/>
      <c r="H970" s="391"/>
      <c r="I970" s="391"/>
      <c r="J970" s="392"/>
    </row>
    <row r="971" spans="2:10" s="1" customFormat="1" ht="13.5" thickBot="1" x14ac:dyDescent="0.25">
      <c r="B971" s="389"/>
      <c r="C971" s="389"/>
      <c r="D971" s="389"/>
      <c r="E971" s="389"/>
      <c r="F971" s="389"/>
      <c r="G971" s="389"/>
      <c r="H971" s="389"/>
      <c r="I971" s="389"/>
      <c r="J971" s="389"/>
    </row>
    <row r="972" spans="2:10" s="1" customFormat="1" ht="24.75" customHeight="1" x14ac:dyDescent="0.2">
      <c r="B972" s="494" t="s">
        <v>27</v>
      </c>
      <c r="C972" s="495"/>
      <c r="D972" s="495"/>
      <c r="E972" s="495"/>
      <c r="F972" s="495"/>
      <c r="G972" s="495"/>
      <c r="H972" s="495"/>
      <c r="I972" s="495"/>
      <c r="J972" s="496"/>
    </row>
    <row r="973" spans="2:10" s="1" customFormat="1" ht="12.75" x14ac:dyDescent="0.2">
      <c r="B973" s="2" t="s">
        <v>35</v>
      </c>
      <c r="C973" s="3" t="s">
        <v>36</v>
      </c>
      <c r="D973" s="3"/>
      <c r="E973" s="4"/>
      <c r="F973" s="5"/>
      <c r="G973" s="6" t="s">
        <v>8</v>
      </c>
      <c r="H973" s="497">
        <v>42879</v>
      </c>
      <c r="I973" s="497"/>
      <c r="J973" s="7"/>
    </row>
    <row r="974" spans="2:10" s="1" customFormat="1" ht="12.75" x14ac:dyDescent="0.2">
      <c r="B974" s="2" t="s">
        <v>33</v>
      </c>
      <c r="C974" s="3" t="s">
        <v>29</v>
      </c>
      <c r="D974" s="8"/>
      <c r="E974" s="8"/>
      <c r="F974" s="3"/>
      <c r="G974" s="9" t="s">
        <v>32</v>
      </c>
      <c r="H974" s="4" t="s">
        <v>29</v>
      </c>
      <c r="I974" s="10"/>
      <c r="J974" s="11"/>
    </row>
    <row r="975" spans="2:10" s="1" customFormat="1" ht="12.75" x14ac:dyDescent="0.2">
      <c r="B975" s="2" t="s">
        <v>34</v>
      </c>
      <c r="C975" s="3" t="s">
        <v>29</v>
      </c>
      <c r="D975" s="8"/>
      <c r="E975" s="8"/>
      <c r="F975" s="3"/>
      <c r="G975" s="9" t="s">
        <v>30</v>
      </c>
      <c r="H975" s="4" t="s">
        <v>31</v>
      </c>
      <c r="I975" s="10"/>
      <c r="J975" s="11"/>
    </row>
    <row r="976" spans="2:10" s="1" customFormat="1" ht="13.5" thickBot="1" x14ac:dyDescent="0.25">
      <c r="B976" s="12" t="s">
        <v>43</v>
      </c>
      <c r="C976" s="13" t="s">
        <v>44</v>
      </c>
      <c r="D976" s="14"/>
      <c r="E976" s="14"/>
      <c r="F976" s="13"/>
      <c r="G976" s="15" t="s">
        <v>41</v>
      </c>
      <c r="H976" s="16" t="s">
        <v>42</v>
      </c>
      <c r="I976" s="17"/>
      <c r="J976" s="18"/>
    </row>
    <row r="977" spans="2:10" s="1" customFormat="1" ht="12.75" x14ac:dyDescent="0.2">
      <c r="B977" s="389"/>
      <c r="C977" s="389"/>
      <c r="D977" s="389"/>
      <c r="E977" s="389"/>
      <c r="F977" s="389"/>
      <c r="G977" s="389"/>
      <c r="H977" s="389"/>
      <c r="I977" s="389"/>
      <c r="J977" s="389"/>
    </row>
    <row r="978" spans="2:10" s="1" customFormat="1" ht="12.75" x14ac:dyDescent="0.2">
      <c r="B978" s="21" t="s">
        <v>5</v>
      </c>
      <c r="C978" s="22" t="s">
        <v>0</v>
      </c>
      <c r="D978" s="22" t="s">
        <v>9</v>
      </c>
      <c r="E978" s="22" t="s">
        <v>10</v>
      </c>
      <c r="F978" s="22" t="s">
        <v>1</v>
      </c>
      <c r="G978" s="22" t="s">
        <v>2</v>
      </c>
      <c r="H978" s="22" t="s">
        <v>11</v>
      </c>
      <c r="I978" s="22" t="s">
        <v>6</v>
      </c>
      <c r="J978" s="22" t="s">
        <v>7</v>
      </c>
    </row>
    <row r="979" spans="2:10" s="1" customFormat="1" ht="12.75" x14ac:dyDescent="0.2">
      <c r="B979" s="55">
        <v>4.03</v>
      </c>
      <c r="C979" s="56" t="s">
        <v>222</v>
      </c>
      <c r="D979" s="60"/>
      <c r="E979" s="40"/>
      <c r="F979" s="40"/>
      <c r="G979" s="40"/>
      <c r="H979" s="40"/>
      <c r="I979" s="40"/>
      <c r="J979" s="41"/>
    </row>
    <row r="980" spans="2:10" s="1" customFormat="1" ht="12.75" x14ac:dyDescent="0.2">
      <c r="B980" s="57" t="s">
        <v>14</v>
      </c>
      <c r="C980" s="58" t="s">
        <v>225</v>
      </c>
      <c r="D980" s="60"/>
      <c r="E980" s="40"/>
      <c r="F980" s="40"/>
      <c r="G980" s="40"/>
      <c r="H980" s="40"/>
      <c r="I980" s="40"/>
      <c r="J980" s="41"/>
    </row>
    <row r="981" spans="2:10" s="1" customFormat="1" ht="12.75" x14ac:dyDescent="0.2">
      <c r="B981" s="43" t="s">
        <v>15</v>
      </c>
      <c r="C981" s="43" t="s">
        <v>269</v>
      </c>
      <c r="D981" s="60"/>
      <c r="E981" s="40"/>
      <c r="F981" s="40"/>
      <c r="G981" s="40"/>
      <c r="H981" s="40"/>
      <c r="I981" s="44">
        <f>SUM(H982:H988)</f>
        <v>0</v>
      </c>
      <c r="J981" s="45" t="str">
        <f>+J982</f>
        <v>ml</v>
      </c>
    </row>
    <row r="982" spans="2:10" s="1" customFormat="1" ht="12.75" x14ac:dyDescent="0.2">
      <c r="B982" s="43"/>
      <c r="C982" s="77" t="s">
        <v>71</v>
      </c>
      <c r="D982" s="40"/>
      <c r="E982" s="40"/>
      <c r="F982" s="40"/>
      <c r="G982" s="40"/>
      <c r="H982" s="40">
        <f t="shared" ref="H982:H988" si="14">IF(AND(F982=0,G982=0),D982*E982,IF(AND(E982=0,G982=0),D982*F982,IF(AND(E982=0,F982=0),D982*G982,IF(AND(E982=0),D982*F982*G982,IF(AND(F982=0),D982*E982*G982,IF(AND(G982=0),D982*E982*F982,D982*E982*F982*G982))))))</f>
        <v>0</v>
      </c>
      <c r="I982" s="40"/>
      <c r="J982" s="41" t="str">
        <f t="shared" ref="J982:J988" si="15">IF(AND(E982=0,F982&lt;&gt;0,G982&lt;&gt;0),"m2",IF(AND(F982=0,E982&lt;&gt;0,G982&lt;&gt;0),"m2",IF(AND(G982=0,E982&lt;&gt;0,F982&lt;&gt;0),"m2",IF(AND(F982=0,G982=0),"ml",IF(AND(E982=0,G982=0),"ml",IF(AND(E982=0,F982=0),"ml",IF(AND(E982&lt;&gt;0,F982&lt;&gt;0,G982&lt;&gt;0),"m3",0)))))))</f>
        <v>ml</v>
      </c>
    </row>
    <row r="983" spans="2:10" s="1" customFormat="1" ht="12.75" x14ac:dyDescent="0.2">
      <c r="B983" s="43"/>
      <c r="C983" s="39" t="s">
        <v>349</v>
      </c>
      <c r="D983" s="40"/>
      <c r="E983" s="40"/>
      <c r="F983" s="40"/>
      <c r="G983" s="40"/>
      <c r="H983" s="40">
        <f t="shared" si="14"/>
        <v>0</v>
      </c>
      <c r="I983" s="40"/>
      <c r="J983" s="41" t="str">
        <f t="shared" si="15"/>
        <v>ml</v>
      </c>
    </row>
    <row r="984" spans="2:10" s="1" customFormat="1" ht="12.75" x14ac:dyDescent="0.2">
      <c r="B984" s="43"/>
      <c r="C984" s="39" t="s">
        <v>369</v>
      </c>
      <c r="D984" s="40"/>
      <c r="E984" s="40"/>
      <c r="F984" s="40"/>
      <c r="G984" s="40"/>
      <c r="H984" s="40">
        <f t="shared" si="14"/>
        <v>0</v>
      </c>
      <c r="I984" s="40"/>
      <c r="J984" s="41" t="str">
        <f t="shared" si="15"/>
        <v>ml</v>
      </c>
    </row>
    <row r="985" spans="2:10" s="1" customFormat="1" ht="12.75" x14ac:dyDescent="0.2">
      <c r="B985" s="43"/>
      <c r="C985" s="77" t="s">
        <v>72</v>
      </c>
      <c r="D985" s="40"/>
      <c r="E985" s="40"/>
      <c r="F985" s="40"/>
      <c r="G985" s="40"/>
      <c r="H985" s="40">
        <f t="shared" si="14"/>
        <v>0</v>
      </c>
      <c r="I985" s="40"/>
      <c r="J985" s="41" t="str">
        <f t="shared" si="15"/>
        <v>ml</v>
      </c>
    </row>
    <row r="986" spans="2:10" s="1" customFormat="1" ht="12.75" x14ac:dyDescent="0.2">
      <c r="B986" s="43"/>
      <c r="C986" s="39" t="s">
        <v>349</v>
      </c>
      <c r="D986" s="40"/>
      <c r="E986" s="40"/>
      <c r="F986" s="40"/>
      <c r="G986" s="40"/>
      <c r="H986" s="40">
        <f t="shared" si="14"/>
        <v>0</v>
      </c>
      <c r="I986" s="40"/>
      <c r="J986" s="41" t="str">
        <f t="shared" si="15"/>
        <v>ml</v>
      </c>
    </row>
    <row r="987" spans="2:10" s="1" customFormat="1" ht="12.75" x14ac:dyDescent="0.2">
      <c r="B987" s="43"/>
      <c r="C987" s="77" t="s">
        <v>73</v>
      </c>
      <c r="D987" s="40"/>
      <c r="E987" s="40"/>
      <c r="F987" s="40"/>
      <c r="G987" s="40"/>
      <c r="H987" s="40">
        <f t="shared" si="14"/>
        <v>0</v>
      </c>
      <c r="I987" s="40"/>
      <c r="J987" s="41" t="str">
        <f t="shared" si="15"/>
        <v>ml</v>
      </c>
    </row>
    <row r="988" spans="2:10" s="1" customFormat="1" ht="12.75" x14ac:dyDescent="0.2">
      <c r="B988" s="43"/>
      <c r="C988" s="39" t="s">
        <v>349</v>
      </c>
      <c r="D988" s="40"/>
      <c r="E988" s="40"/>
      <c r="F988" s="40"/>
      <c r="G988" s="40"/>
      <c r="H988" s="40">
        <f t="shared" si="14"/>
        <v>0</v>
      </c>
      <c r="I988" s="40"/>
      <c r="J988" s="41" t="str">
        <f t="shared" si="15"/>
        <v>ml</v>
      </c>
    </row>
    <row r="989" spans="2:10" s="1" customFormat="1" ht="12.75" x14ac:dyDescent="0.2">
      <c r="B989" s="43" t="s">
        <v>232</v>
      </c>
      <c r="C989" s="43" t="s">
        <v>348</v>
      </c>
      <c r="D989" s="60"/>
      <c r="E989" s="40"/>
      <c r="F989" s="40"/>
      <c r="G989" s="40"/>
      <c r="H989" s="40"/>
      <c r="I989" s="44">
        <f>SUM(H990:H990)</f>
        <v>2</v>
      </c>
      <c r="J989" s="45" t="str">
        <f>+J990</f>
        <v>und</v>
      </c>
    </row>
    <row r="990" spans="2:10" s="1" customFormat="1" ht="12.75" x14ac:dyDescent="0.2">
      <c r="B990" s="57"/>
      <c r="C990" s="39" t="s">
        <v>349</v>
      </c>
      <c r="D990" s="40">
        <v>2</v>
      </c>
      <c r="E990" s="40"/>
      <c r="F990" s="40"/>
      <c r="G990" s="40"/>
      <c r="H990" s="40">
        <f>+D990</f>
        <v>2</v>
      </c>
      <c r="I990" s="40"/>
      <c r="J990" s="41" t="s">
        <v>13</v>
      </c>
    </row>
    <row r="991" spans="2:10" s="1" customFormat="1" ht="12.75" x14ac:dyDescent="0.2">
      <c r="B991" s="57" t="s">
        <v>16</v>
      </c>
      <c r="C991" s="58" t="s">
        <v>224</v>
      </c>
      <c r="D991" s="60"/>
      <c r="E991" s="40"/>
      <c r="F991" s="40"/>
      <c r="G991" s="40"/>
      <c r="H991" s="40"/>
      <c r="I991" s="40"/>
      <c r="J991" s="41"/>
    </row>
    <row r="992" spans="2:10" s="1" customFormat="1" ht="12.75" x14ac:dyDescent="0.2">
      <c r="B992" s="43" t="s">
        <v>17</v>
      </c>
      <c r="C992" s="43" t="s">
        <v>343</v>
      </c>
      <c r="D992" s="60"/>
      <c r="E992" s="40"/>
      <c r="F992" s="40"/>
      <c r="G992" s="40"/>
      <c r="H992" s="40"/>
      <c r="I992" s="44">
        <f>SUM(H993:H994)</f>
        <v>0</v>
      </c>
      <c r="J992" s="45" t="str">
        <f>+J993</f>
        <v>ml</v>
      </c>
    </row>
    <row r="993" spans="2:10" s="1" customFormat="1" ht="12.75" x14ac:dyDescent="0.2">
      <c r="B993" s="57"/>
      <c r="C993" s="39" t="s">
        <v>425</v>
      </c>
      <c r="D993" s="40"/>
      <c r="E993" s="40"/>
      <c r="F993" s="40"/>
      <c r="G993" s="40"/>
      <c r="H993" s="40">
        <f>IF(AND(F993=0,G993=0),D993*E993,IF(AND(E993=0,G993=0),D993*F993,IF(AND(E993=0,F993=0),D993*G993,IF(AND(E993=0),D993*F993*G993,IF(AND(F993=0),D993*E993*G993,IF(AND(G993=0),D993*E993*F993,D993*E993*F993*G993))))))</f>
        <v>0</v>
      </c>
      <c r="I993" s="40"/>
      <c r="J993" s="41" t="str">
        <f>IF(AND(E993=0,F993&lt;&gt;0,G993&lt;&gt;0),"m2",IF(AND(F993=0,E993&lt;&gt;0,G993&lt;&gt;0),"m2",IF(AND(G993=0,E993&lt;&gt;0,F993&lt;&gt;0),"m2",IF(AND(F993=0,G993=0),"ml",IF(AND(E993=0,G993=0),"ml",IF(AND(E993=0,F993=0),"ml",IF(AND(E993&lt;&gt;0,F993&lt;&gt;0,G993&lt;&gt;0),"m3",0)))))))</f>
        <v>ml</v>
      </c>
    </row>
    <row r="994" spans="2:10" s="1" customFormat="1" ht="12.75" x14ac:dyDescent="0.2">
      <c r="B994" s="57"/>
      <c r="C994" s="39" t="s">
        <v>425</v>
      </c>
      <c r="D994" s="40"/>
      <c r="E994" s="40"/>
      <c r="F994" s="40"/>
      <c r="G994" s="40"/>
      <c r="H994" s="40">
        <f>IF(AND(F994=0,G994=0),D994*E994,IF(AND(E994=0,G994=0),D994*F994,IF(AND(E994=0,F994=0),D994*G994,IF(AND(E994=0),D994*F994*G994,IF(AND(F994=0),D994*E994*G994,IF(AND(G994=0),D994*E994*F994,D994*E994*F994*G994))))))</f>
        <v>0</v>
      </c>
      <c r="I994" s="40"/>
      <c r="J994" s="41"/>
    </row>
    <row r="995" spans="2:10" s="1" customFormat="1" ht="12.75" x14ac:dyDescent="0.2">
      <c r="B995" s="43" t="s">
        <v>240</v>
      </c>
      <c r="C995" s="43" t="s">
        <v>237</v>
      </c>
      <c r="D995" s="60"/>
      <c r="E995" s="40"/>
      <c r="F995" s="40"/>
      <c r="G995" s="40"/>
      <c r="H995" s="40"/>
      <c r="I995" s="44">
        <f>SUM(H996:H998)</f>
        <v>1.75</v>
      </c>
      <c r="J995" s="45" t="e">
        <f>+J996</f>
        <v>#REF!</v>
      </c>
    </row>
    <row r="996" spans="2:10" s="1" customFormat="1" ht="12.75" x14ac:dyDescent="0.2">
      <c r="B996" s="57"/>
      <c r="C996" s="39" t="s">
        <v>688</v>
      </c>
      <c r="D996" s="40">
        <v>1</v>
      </c>
      <c r="E996" s="40">
        <v>1.75</v>
      </c>
      <c r="F996" s="40"/>
      <c r="G996" s="40"/>
      <c r="H996" s="40">
        <f>IF(AND(F996=0,G996=0),D996*E996,IF(AND(E996=0,G996=0),D996*F996,IF(AND(E996=0,F996=0),D996*G996,IF(AND(E996=0),D996*F996*G996,IF(AND(F996=0),D996*E996*G996,IF(AND(G996=0),D996*E996*F996,D996*E996*F996*G996))))))</f>
        <v>1.75</v>
      </c>
      <c r="I996" s="40"/>
      <c r="J996" s="41" t="e">
        <f>IF(AND(#REF!=0,#REF!&lt;&gt;0,#REF!&lt;&gt;0),"m2",IF(AND(#REF!=0,#REF!&lt;&gt;0,#REF!&lt;&gt;0),"m2",IF(AND(#REF!=0,#REF!&lt;&gt;0,#REF!&lt;&gt;0),"m2",IF(AND(#REF!=0,#REF!=0),"ml",IF(AND(#REF!=0,#REF!=0),"ml",IF(AND(#REF!=0,#REF!=0),"ml",IF(AND(#REF!&lt;&gt;0,#REF!&lt;&gt;0,#REF!&lt;&gt;0),"m3",0)))))))</f>
        <v>#REF!</v>
      </c>
    </row>
    <row r="997" spans="2:10" s="1" customFormat="1" ht="12.75" x14ac:dyDescent="0.2">
      <c r="B997" s="57"/>
      <c r="C997" s="39"/>
      <c r="D997" s="40"/>
      <c r="E997" s="40"/>
      <c r="F997" s="40"/>
      <c r="G997" s="40"/>
      <c r="H997" s="40">
        <f>IF(AND(F997=0,G997=0),D997*E997,IF(AND(E997=0,G997=0),D997*F997,IF(AND(E997=0,F997=0),D997*G997,IF(AND(E997=0),D997*F997*G997,IF(AND(F997=0),D997*E997*G997,IF(AND(G997=0),D997*E997*F997,D997*E997*F997*G997))))))</f>
        <v>0</v>
      </c>
      <c r="I997" s="40"/>
      <c r="J997" s="41" t="str">
        <f>IF(AND(E997=0,F997&lt;&gt;0,G997&lt;&gt;0),"m2",IF(AND(F997=0,E997&lt;&gt;0,G997&lt;&gt;0),"m2",IF(AND(G997=0,E997&lt;&gt;0,F997&lt;&gt;0),"m2",IF(AND(F997=0,G997=0),"ml",IF(AND(E997=0,G997=0),"ml",IF(AND(E997=0,F997=0),"ml",IF(AND(E997&lt;&gt;0,F997&lt;&gt;0,G997&lt;&gt;0),"m3",0)))))))</f>
        <v>ml</v>
      </c>
    </row>
    <row r="998" spans="2:10" s="1" customFormat="1" ht="12.75" x14ac:dyDescent="0.2">
      <c r="B998" s="57"/>
      <c r="C998" s="39"/>
      <c r="D998" s="40"/>
      <c r="E998" s="40"/>
      <c r="F998" s="40"/>
      <c r="G998" s="40"/>
      <c r="H998" s="40">
        <f>IF(AND(F998=0,G998=0),D998*E998,IF(AND(E998=0,G998=0),D998*F998,IF(AND(E998=0,F998=0),D998*G998,IF(AND(E998=0),D998*F998*G998,IF(AND(F998=0),D998*E998*G998,IF(AND(G998=0),D998*E998*F998,D998*E998*F998*G998))))))</f>
        <v>0</v>
      </c>
      <c r="I998" s="40"/>
      <c r="J998" s="41" t="str">
        <f>IF(AND(E998=0,F998&lt;&gt;0,G998&lt;&gt;0),"m2",IF(AND(F998=0,E998&lt;&gt;0,G998&lt;&gt;0),"m2",IF(AND(G998=0,E998&lt;&gt;0,F998&lt;&gt;0),"m2",IF(AND(F998=0,G998=0),"ml",IF(AND(E998=0,G998=0),"ml",IF(AND(E998=0,F998=0),"ml",IF(AND(E998&lt;&gt;0,F998&lt;&gt;0,G998&lt;&gt;0),"m3",0)))))))</f>
        <v>ml</v>
      </c>
    </row>
    <row r="999" spans="2:10" s="1" customFormat="1" ht="12.75" x14ac:dyDescent="0.2">
      <c r="B999" s="43" t="s">
        <v>241</v>
      </c>
      <c r="C999" s="43" t="s">
        <v>242</v>
      </c>
      <c r="D999" s="60"/>
      <c r="E999" s="40"/>
      <c r="F999" s="40"/>
      <c r="G999" s="40"/>
      <c r="H999" s="40"/>
      <c r="I999" s="44">
        <f>SUM(H1000:H1000)</f>
        <v>0</v>
      </c>
      <c r="J999" s="45" t="str">
        <f>+J1000</f>
        <v>ml</v>
      </c>
    </row>
    <row r="1000" spans="2:10" s="1" customFormat="1" ht="12.75" x14ac:dyDescent="0.2">
      <c r="B1000" s="57"/>
      <c r="C1000" s="39" t="s">
        <v>401</v>
      </c>
      <c r="D1000" s="40"/>
      <c r="E1000" s="40"/>
      <c r="F1000" s="40"/>
      <c r="G1000" s="40"/>
      <c r="H1000" s="40">
        <f>IF(AND(F1000=0,G1000=0),D1000*E1000,IF(AND(E1000=0,G1000=0),D1000*F1000,IF(AND(E1000=0,F1000=0),D1000*G1000,IF(AND(E1000=0),D1000*F1000*G1000,IF(AND(F1000=0),D1000*E1000*G1000,IF(AND(G1000=0),D1000*E1000*F1000,D1000*E1000*F1000*G1000))))))</f>
        <v>0</v>
      </c>
      <c r="I1000" s="40"/>
      <c r="J1000" s="41" t="str">
        <f>IF(AND(E1000=0,F1000&lt;&gt;0,G1000&lt;&gt;0),"m2",IF(AND(F1000=0,E1000&lt;&gt;0,G1000&lt;&gt;0),"m2",IF(AND(G1000=0,E1000&lt;&gt;0,F1000&lt;&gt;0),"m2",IF(AND(F1000=0,G1000=0),"ml",IF(AND(E1000=0,G1000=0),"ml",IF(AND(E1000=0,F1000=0),"ml",IF(AND(E1000&lt;&gt;0,F1000&lt;&gt;0,G1000&lt;&gt;0),"m3",0)))))))</f>
        <v>ml</v>
      </c>
    </row>
    <row r="1001" spans="2:10" s="1" customFormat="1" ht="12.75" x14ac:dyDescent="0.2">
      <c r="B1001" s="43" t="s">
        <v>243</v>
      </c>
      <c r="C1001" s="43" t="s">
        <v>245</v>
      </c>
      <c r="D1001" s="60"/>
      <c r="E1001" s="40"/>
      <c r="F1001" s="40"/>
      <c r="G1001" s="40"/>
      <c r="H1001" s="40"/>
      <c r="I1001" s="44">
        <f>SUM(H1002:H1004)</f>
        <v>1.75</v>
      </c>
      <c r="J1001" s="45" t="str">
        <f>+J1002</f>
        <v>ml</v>
      </c>
    </row>
    <row r="1002" spans="2:10" s="1" customFormat="1" ht="12.75" x14ac:dyDescent="0.2">
      <c r="B1002" s="57"/>
      <c r="C1002" s="39" t="s">
        <v>688</v>
      </c>
      <c r="D1002" s="40">
        <v>1</v>
      </c>
      <c r="E1002" s="40">
        <v>1.75</v>
      </c>
      <c r="F1002" s="40"/>
      <c r="G1002" s="40"/>
      <c r="H1002" s="40">
        <f>IF(AND(F1002=0,G1002=0),D1002*E1002,IF(AND(E1002=0,G1002=0),D1002*F1002,IF(AND(E1002=0,F1002=0),D1002*G1002,IF(AND(E1002=0),D1002*F1002*G1002,IF(AND(F1002=0),D1002*E1002*G1002,IF(AND(G1002=0),D1002*E1002*F1002,D1002*E1002*F1002*G1002))))))</f>
        <v>1.75</v>
      </c>
      <c r="I1002" s="40"/>
      <c r="J1002" s="41" t="str">
        <f>IF(AND(E1002=0,F1002&lt;&gt;0,G1002&lt;&gt;0),"m2",IF(AND(F1002=0,E1002&lt;&gt;0,G1002&lt;&gt;0),"m2",IF(AND(G1002=0,E1002&lt;&gt;0,F1002&lt;&gt;0),"m2",IF(AND(F1002=0,G1002=0),"ml",IF(AND(E1002=0,G1002=0),"ml",IF(AND(E1002=0,F1002=0),"ml",IF(AND(E1002&lt;&gt;0,F1002&lt;&gt;0,G1002&lt;&gt;0),"m3",0)))))))</f>
        <v>ml</v>
      </c>
    </row>
    <row r="1003" spans="2:10" s="1" customFormat="1" ht="12.75" x14ac:dyDescent="0.2">
      <c r="B1003" s="57"/>
      <c r="C1003" s="39"/>
      <c r="D1003" s="40"/>
      <c r="E1003" s="40"/>
      <c r="F1003" s="40"/>
      <c r="G1003" s="40"/>
      <c r="H1003" s="40"/>
      <c r="I1003" s="40"/>
      <c r="J1003" s="41" t="str">
        <f>IF(AND(E1003=0,F1003&lt;&gt;0,G1003&lt;&gt;0),"m2",IF(AND(F1003=0,E1003&lt;&gt;0,G1003&lt;&gt;0),"m2",IF(AND(G1003=0,E1003&lt;&gt;0,F1003&lt;&gt;0),"m2",IF(AND(F1003=0,G1003=0),"ml",IF(AND(E1003=0,G1003=0),"ml",IF(AND(E1003=0,F1003=0),"ml",IF(AND(E1003&lt;&gt;0,F1003&lt;&gt;0,G1003&lt;&gt;0),"m3",0)))))))</f>
        <v>ml</v>
      </c>
    </row>
    <row r="1004" spans="2:10" s="1" customFormat="1" ht="12.75" x14ac:dyDescent="0.2">
      <c r="B1004" s="57"/>
      <c r="C1004" s="39"/>
      <c r="D1004" s="40"/>
      <c r="E1004" s="40"/>
      <c r="F1004" s="40"/>
      <c r="G1004" s="40"/>
      <c r="H1004" s="40"/>
      <c r="I1004" s="40"/>
      <c r="J1004" s="41" t="str">
        <f>IF(AND(E1004=0,F1004&lt;&gt;0,G1004&lt;&gt;0),"m2",IF(AND(F1004=0,E1004&lt;&gt;0,G1004&lt;&gt;0),"m2",IF(AND(G1004=0,E1004&lt;&gt;0,F1004&lt;&gt;0),"m2",IF(AND(F1004=0,G1004=0),"ml",IF(AND(E1004=0,G1004=0),"ml",IF(AND(E1004=0,F1004=0),"ml",IF(AND(E1004&lt;&gt;0,F1004&lt;&gt;0,G1004&lt;&gt;0),"m3",0)))))))</f>
        <v>ml</v>
      </c>
    </row>
    <row r="1005" spans="2:10" s="1" customFormat="1" ht="12.75" x14ac:dyDescent="0.2">
      <c r="B1005" s="43" t="s">
        <v>244</v>
      </c>
      <c r="C1005" s="43" t="s">
        <v>247</v>
      </c>
      <c r="D1005" s="60"/>
      <c r="E1005" s="40"/>
      <c r="F1005" s="40"/>
      <c r="G1005" s="40"/>
      <c r="H1005" s="40"/>
      <c r="I1005" s="44">
        <f>SUM(H1006:H1006)</f>
        <v>0</v>
      </c>
      <c r="J1005" s="45" t="str">
        <f>+J1006</f>
        <v>ml</v>
      </c>
    </row>
    <row r="1006" spans="2:10" s="1" customFormat="1" ht="12.75" x14ac:dyDescent="0.2">
      <c r="B1006" s="57"/>
      <c r="C1006" s="39" t="s">
        <v>396</v>
      </c>
      <c r="D1006" s="40"/>
      <c r="E1006" s="40"/>
      <c r="F1006" s="40"/>
      <c r="G1006" s="40"/>
      <c r="H1006" s="40">
        <f>IF(AND(F1006=0,G1006=0),D1006*E1006,IF(AND(E1006=0,G1006=0),D1006*F1006,IF(AND(E1006=0,F1006=0),D1006*G1006,IF(AND(E1006=0),D1006*F1006*G1006,IF(AND(F1006=0),D1006*E1006*G1006,IF(AND(G1006=0),D1006*E1006*F1006,D1006*E1006*F1006*G1006))))))</f>
        <v>0</v>
      </c>
      <c r="I1006" s="40"/>
      <c r="J1006" s="41" t="str">
        <f>IF(AND(E1006=0,F1006&lt;&gt;0,G1006&lt;&gt;0),"m2",IF(AND(F1006=0,E1006&lt;&gt;0,G1006&lt;&gt;0),"m2",IF(AND(G1006=0,E1006&lt;&gt;0,F1006&lt;&gt;0),"m2",IF(AND(F1006=0,G1006=0),"ml",IF(AND(E1006=0,G1006=0),"ml",IF(AND(E1006=0,F1006=0),"ml",IF(AND(E1006&lt;&gt;0,F1006&lt;&gt;0,G1006&lt;&gt;0),"m3",0)))))))</f>
        <v>ml</v>
      </c>
    </row>
    <row r="1007" spans="2:10" s="1" customFormat="1" ht="12.75" x14ac:dyDescent="0.2">
      <c r="B1007" s="43" t="s">
        <v>248</v>
      </c>
      <c r="C1007" s="43" t="s">
        <v>226</v>
      </c>
      <c r="D1007" s="60"/>
      <c r="E1007" s="40"/>
      <c r="F1007" s="40"/>
      <c r="G1007" s="40"/>
      <c r="H1007" s="40"/>
      <c r="I1007" s="44">
        <f>SUM(H1008:H1009)</f>
        <v>0</v>
      </c>
      <c r="J1007" s="45" t="str">
        <f>+J1009</f>
        <v>ml</v>
      </c>
    </row>
    <row r="1008" spans="2:10" s="1" customFormat="1" ht="12.75" x14ac:dyDescent="0.2">
      <c r="B1008" s="43"/>
      <c r="C1008" s="39" t="s">
        <v>371</v>
      </c>
      <c r="D1008" s="40"/>
      <c r="E1008" s="40"/>
      <c r="F1008" s="40"/>
      <c r="G1008" s="40"/>
      <c r="H1008" s="40">
        <f>IF(AND(F1008=0,G1008=0),D1008*E1008,IF(AND(E1008=0,G1008=0),D1008*F1008,IF(AND(E1008=0,F1008=0),D1008*G1008,IF(AND(E1008=0),D1008*F1008*G1008,IF(AND(F1008=0),D1008*E1008*G1008,IF(AND(G1008=0),D1008*E1008*F1008,D1008*E1008*F1008*G1008))))))</f>
        <v>0</v>
      </c>
      <c r="I1008" s="40"/>
      <c r="J1008" s="41" t="str">
        <f>IF(AND(E1008=0,F1008&lt;&gt;0,G1008&lt;&gt;0),"m2",IF(AND(F1008=0,E1008&lt;&gt;0,G1008&lt;&gt;0),"m2",IF(AND(G1008=0,E1008&lt;&gt;0,F1008&lt;&gt;0),"m2",IF(AND(F1008=0,G1008=0),"ml",IF(AND(E1008=0,G1008=0),"ml",IF(AND(E1008=0,F1008=0),"ml",IF(AND(E1008&lt;&gt;0,F1008&lt;&gt;0,G1008&lt;&gt;0),"m3",0)))))))</f>
        <v>ml</v>
      </c>
    </row>
    <row r="1009" spans="2:10" s="1" customFormat="1" ht="12.75" x14ac:dyDescent="0.2">
      <c r="B1009" s="57"/>
      <c r="C1009" s="39" t="s">
        <v>371</v>
      </c>
      <c r="D1009" s="40"/>
      <c r="E1009" s="40"/>
      <c r="F1009" s="40"/>
      <c r="G1009" s="40"/>
      <c r="H1009" s="40">
        <f>IF(AND(F1009=0,G1009=0),D1009*E1009,IF(AND(E1009=0,G1009=0),D1009*F1009,IF(AND(E1009=0,F1009=0),D1009*G1009,IF(AND(E1009=0),D1009*F1009*G1009,IF(AND(F1009=0),D1009*E1009*G1009,IF(AND(G1009=0),D1009*E1009*F1009,D1009*E1009*F1009*G1009))))))</f>
        <v>0</v>
      </c>
      <c r="I1009" s="40"/>
      <c r="J1009" s="41" t="str">
        <f>IF(AND(E1009=0,F1009&lt;&gt;0,G1009&lt;&gt;0),"m2",IF(AND(F1009=0,E1009&lt;&gt;0,G1009&lt;&gt;0),"m2",IF(AND(G1009=0,E1009&lt;&gt;0,F1009&lt;&gt;0),"m2",IF(AND(F1009=0,G1009=0),"ml",IF(AND(E1009=0,G1009=0),"ml",IF(AND(E1009=0,F1009=0),"ml",IF(AND(E1009&lt;&gt;0,F1009&lt;&gt;0,G1009&lt;&gt;0),"m3",0)))))))</f>
        <v>ml</v>
      </c>
    </row>
    <row r="1010" spans="2:10" s="1" customFormat="1" ht="12.75" x14ac:dyDescent="0.2">
      <c r="B1010" s="43" t="s">
        <v>249</v>
      </c>
      <c r="C1010" s="43" t="s">
        <v>228</v>
      </c>
      <c r="D1010" s="60"/>
      <c r="E1010" s="40"/>
      <c r="F1010" s="40"/>
      <c r="G1010" s="40"/>
      <c r="H1010" s="40"/>
      <c r="I1010" s="44">
        <f>SUM(H1011:H1011)</f>
        <v>0</v>
      </c>
      <c r="J1010" s="45" t="str">
        <f>+J1011</f>
        <v>ml</v>
      </c>
    </row>
    <row r="1011" spans="2:10" s="1" customFormat="1" ht="12.75" x14ac:dyDescent="0.2">
      <c r="B1011" s="57"/>
      <c r="C1011" s="39" t="s">
        <v>399</v>
      </c>
      <c r="D1011" s="40"/>
      <c r="E1011" s="40"/>
      <c r="F1011" s="40"/>
      <c r="G1011" s="40"/>
      <c r="H1011" s="40">
        <f>IF(AND(F1011=0,G1011=0),D1011*E1011,IF(AND(E1011=0,G1011=0),D1011*F1011,IF(AND(E1011=0,F1011=0),D1011*G1011,IF(AND(E1011=0),D1011*F1011*G1011,IF(AND(F1011=0),D1011*E1011*G1011,IF(AND(G1011=0),D1011*E1011*F1011,D1011*E1011*F1011*G1011))))))</f>
        <v>0</v>
      </c>
      <c r="I1011" s="40"/>
      <c r="J1011" s="41" t="str">
        <f>IF(AND(E1011=0,F1011&lt;&gt;0,G1011&lt;&gt;0),"m2",IF(AND(F1011=0,E1011&lt;&gt;0,G1011&lt;&gt;0),"m2",IF(AND(G1011=0,E1011&lt;&gt;0,F1011&lt;&gt;0),"m2",IF(AND(F1011=0,G1011=0),"ml",IF(AND(E1011=0,G1011=0),"ml",IF(AND(E1011=0,F1011=0),"ml",IF(AND(E1011&lt;&gt;0,F1011&lt;&gt;0,G1011&lt;&gt;0),"m3",0)))))))</f>
        <v>ml</v>
      </c>
    </row>
    <row r="1012" spans="2:10" s="1" customFormat="1" ht="12.75" x14ac:dyDescent="0.2">
      <c r="B1012" s="43" t="s">
        <v>256</v>
      </c>
      <c r="C1012" s="43" t="s">
        <v>250</v>
      </c>
      <c r="D1012" s="60"/>
      <c r="E1012" s="40"/>
      <c r="F1012" s="40"/>
      <c r="G1012" s="40"/>
      <c r="H1012" s="40"/>
      <c r="I1012" s="44">
        <f>SUM(H1013:H1013)</f>
        <v>0</v>
      </c>
      <c r="J1012" s="45" t="str">
        <f>+J1013</f>
        <v>ml</v>
      </c>
    </row>
    <row r="1013" spans="2:10" s="1" customFormat="1" ht="12.75" x14ac:dyDescent="0.2">
      <c r="B1013" s="57"/>
      <c r="C1013" s="39" t="s">
        <v>388</v>
      </c>
      <c r="D1013" s="40"/>
      <c r="E1013" s="40"/>
      <c r="F1013" s="40"/>
      <c r="G1013" s="40"/>
      <c r="H1013" s="40">
        <f>IF(AND(F1013=0,G1013=0),D1013*E1013,IF(AND(E1013=0,G1013=0),D1013*F1013,IF(AND(E1013=0,F1013=0),D1013*G1013,IF(AND(E1013=0),D1013*F1013*G1013,IF(AND(F1013=0),D1013*E1013*G1013,IF(AND(G1013=0),D1013*E1013*F1013,D1013*E1013*F1013*G1013))))))</f>
        <v>0</v>
      </c>
      <c r="I1013" s="40"/>
      <c r="J1013" s="41" t="str">
        <f>IF(AND(E1013=0,F1013&lt;&gt;0,G1013&lt;&gt;0),"m2",IF(AND(F1013=0,E1013&lt;&gt;0,G1013&lt;&gt;0),"m2",IF(AND(G1013=0,E1013&lt;&gt;0,F1013&lt;&gt;0),"m2",IF(AND(F1013=0,G1013=0),"ml",IF(AND(E1013=0,G1013=0),"ml",IF(AND(E1013=0,F1013=0),"ml",IF(AND(E1013&lt;&gt;0,F1013&lt;&gt;0,G1013&lt;&gt;0),"m3",0)))))))</f>
        <v>ml</v>
      </c>
    </row>
    <row r="1014" spans="2:10" s="1" customFormat="1" ht="12.75" x14ac:dyDescent="0.2">
      <c r="B1014" s="43" t="s">
        <v>257</v>
      </c>
      <c r="C1014" s="43" t="s">
        <v>252</v>
      </c>
      <c r="D1014" s="60"/>
      <c r="E1014" s="40"/>
      <c r="F1014" s="40"/>
      <c r="G1014" s="40"/>
      <c r="H1014" s="40"/>
      <c r="I1014" s="44">
        <f>SUM(H1015:H1015)</f>
        <v>0</v>
      </c>
      <c r="J1014" s="45" t="str">
        <f>+J1015</f>
        <v>ml</v>
      </c>
    </row>
    <row r="1015" spans="2:10" s="1" customFormat="1" ht="12.75" x14ac:dyDescent="0.2">
      <c r="B1015" s="57"/>
      <c r="C1015" s="39" t="s">
        <v>397</v>
      </c>
      <c r="D1015" s="40"/>
      <c r="E1015" s="40"/>
      <c r="F1015" s="40"/>
      <c r="G1015" s="40"/>
      <c r="H1015" s="40">
        <f>IF(AND(F1015=0,G1015=0),D1015*E1015,IF(AND(E1015=0,G1015=0),D1015*F1015,IF(AND(E1015=0,F1015=0),D1015*G1015,IF(AND(E1015=0),D1015*F1015*G1015,IF(AND(F1015=0),D1015*E1015*G1015,IF(AND(G1015=0),D1015*E1015*F1015,D1015*E1015*F1015*G1015))))))</f>
        <v>0</v>
      </c>
      <c r="I1015" s="40"/>
      <c r="J1015" s="41" t="str">
        <f>IF(AND(E1015=0,F1015&lt;&gt;0,G1015&lt;&gt;0),"m2",IF(AND(F1015=0,E1015&lt;&gt;0,G1015&lt;&gt;0),"m2",IF(AND(G1015=0,E1015&lt;&gt;0,F1015&lt;&gt;0),"m2",IF(AND(F1015=0,G1015=0),"ml",IF(AND(E1015=0,G1015=0),"ml",IF(AND(E1015=0,F1015=0),"ml",IF(AND(E1015&lt;&gt;0,F1015&lt;&gt;0,G1015&lt;&gt;0),"m3",0)))))))</f>
        <v>ml</v>
      </c>
    </row>
    <row r="1016" spans="2:10" s="1" customFormat="1" ht="12.75" x14ac:dyDescent="0.2">
      <c r="B1016" s="43" t="s">
        <v>258</v>
      </c>
      <c r="C1016" s="43" t="s">
        <v>253</v>
      </c>
      <c r="D1016" s="60"/>
      <c r="E1016" s="40"/>
      <c r="F1016" s="40"/>
      <c r="G1016" s="40"/>
      <c r="H1016" s="40"/>
      <c r="I1016" s="44">
        <f>SUM(H1017:H1017)</f>
        <v>0</v>
      </c>
      <c r="J1016" s="45" t="str">
        <f>+J1017</f>
        <v>und</v>
      </c>
    </row>
    <row r="1017" spans="2:10" s="1" customFormat="1" ht="12.75" x14ac:dyDescent="0.2">
      <c r="B1017" s="43"/>
      <c r="C1017" s="39" t="s">
        <v>402</v>
      </c>
      <c r="D1017" s="40"/>
      <c r="E1017" s="40"/>
      <c r="F1017" s="40"/>
      <c r="G1017" s="40"/>
      <c r="H1017" s="40">
        <f>+D1017</f>
        <v>0</v>
      </c>
      <c r="I1017" s="40"/>
      <c r="J1017" s="41" t="s">
        <v>13</v>
      </c>
    </row>
    <row r="1018" spans="2:10" s="1" customFormat="1" ht="12.75" x14ac:dyDescent="0.2">
      <c r="B1018" s="43" t="s">
        <v>259</v>
      </c>
      <c r="C1018" s="43" t="s">
        <v>254</v>
      </c>
      <c r="D1018" s="60"/>
      <c r="E1018" s="40"/>
      <c r="F1018" s="40"/>
      <c r="G1018" s="40"/>
      <c r="H1018" s="40"/>
      <c r="I1018" s="44">
        <f>SUM(H1019:H1019)</f>
        <v>0</v>
      </c>
      <c r="J1018" s="45" t="str">
        <f>+J1019</f>
        <v>und</v>
      </c>
    </row>
    <row r="1019" spans="2:10" s="1" customFormat="1" ht="12.75" x14ac:dyDescent="0.2">
      <c r="B1019" s="57"/>
      <c r="C1019" s="39" t="s">
        <v>238</v>
      </c>
      <c r="D1019" s="40"/>
      <c r="E1019" s="40"/>
      <c r="F1019" s="40"/>
      <c r="G1019" s="40"/>
      <c r="H1019" s="40">
        <f>+D1019</f>
        <v>0</v>
      </c>
      <c r="I1019" s="40"/>
      <c r="J1019" s="41" t="s">
        <v>13</v>
      </c>
    </row>
    <row r="1020" spans="2:10" s="1" customFormat="1" ht="12.75" x14ac:dyDescent="0.2">
      <c r="B1020" s="57"/>
      <c r="C1020" s="39"/>
      <c r="D1020" s="60"/>
      <c r="E1020" s="40"/>
      <c r="F1020" s="40"/>
      <c r="G1020" s="40"/>
      <c r="H1020" s="40"/>
      <c r="I1020" s="40"/>
      <c r="J1020" s="41"/>
    </row>
    <row r="1021" spans="2:10" s="1" customFormat="1" ht="12.75" x14ac:dyDescent="0.2">
      <c r="B1021" s="57" t="s">
        <v>18</v>
      </c>
      <c r="C1021" s="58" t="s">
        <v>223</v>
      </c>
      <c r="D1021" s="60"/>
      <c r="E1021" s="40"/>
      <c r="F1021" s="40"/>
      <c r="G1021" s="40"/>
      <c r="H1021" s="40"/>
      <c r="I1021" s="40"/>
      <c r="J1021" s="41"/>
    </row>
    <row r="1022" spans="2:10" s="1" customFormat="1" ht="12.75" x14ac:dyDescent="0.2">
      <c r="B1022" s="43" t="s">
        <v>19</v>
      </c>
      <c r="C1022" s="43" t="s">
        <v>265</v>
      </c>
      <c r="D1022" s="60"/>
      <c r="E1022" s="40"/>
      <c r="F1022" s="40"/>
      <c r="G1022" s="40"/>
      <c r="H1022" s="40"/>
      <c r="I1022" s="44">
        <f>SUM(H1023:H1023)</f>
        <v>2</v>
      </c>
      <c r="J1022" s="45" t="s">
        <v>13</v>
      </c>
    </row>
    <row r="1023" spans="2:10" s="1" customFormat="1" ht="12.75" x14ac:dyDescent="0.2">
      <c r="B1023" s="46"/>
      <c r="C1023" s="39" t="s">
        <v>231</v>
      </c>
      <c r="D1023" s="40">
        <v>2</v>
      </c>
      <c r="E1023" s="40"/>
      <c r="F1023" s="40"/>
      <c r="G1023" s="40"/>
      <c r="H1023" s="40">
        <f>+D1023</f>
        <v>2</v>
      </c>
      <c r="I1023" s="40"/>
      <c r="J1023" s="41" t="s">
        <v>13</v>
      </c>
    </row>
    <row r="1024" spans="2:10" s="1" customFormat="1" ht="12.75" x14ac:dyDescent="0.2">
      <c r="B1024" s="43" t="s">
        <v>20</v>
      </c>
      <c r="C1024" s="43" t="s">
        <v>266</v>
      </c>
      <c r="D1024" s="60"/>
      <c r="E1024" s="40"/>
      <c r="F1024" s="40"/>
      <c r="G1024" s="40"/>
      <c r="H1024" s="40"/>
      <c r="I1024" s="44">
        <f>SUM(H1025:H1027)</f>
        <v>0</v>
      </c>
      <c r="J1024" s="45" t="str">
        <f>+J1025</f>
        <v>und</v>
      </c>
    </row>
    <row r="1025" spans="2:10" s="1" customFormat="1" ht="12.75" x14ac:dyDescent="0.2">
      <c r="B1025" s="43"/>
      <c r="C1025" s="39" t="s">
        <v>71</v>
      </c>
      <c r="D1025" s="40"/>
      <c r="E1025" s="40"/>
      <c r="F1025" s="40"/>
      <c r="G1025" s="40"/>
      <c r="H1025" s="40">
        <f>+D1025</f>
        <v>0</v>
      </c>
      <c r="I1025" s="40"/>
      <c r="J1025" s="41" t="s">
        <v>13</v>
      </c>
    </row>
    <row r="1026" spans="2:10" s="1" customFormat="1" ht="12.75" x14ac:dyDescent="0.2">
      <c r="B1026" s="43"/>
      <c r="C1026" s="39" t="s">
        <v>72</v>
      </c>
      <c r="D1026" s="40"/>
      <c r="E1026" s="40"/>
      <c r="F1026" s="40"/>
      <c r="G1026" s="40"/>
      <c r="H1026" s="40">
        <f>+D1026</f>
        <v>0</v>
      </c>
      <c r="I1026" s="40"/>
      <c r="J1026" s="41" t="s">
        <v>13</v>
      </c>
    </row>
    <row r="1027" spans="2:10" s="1" customFormat="1" ht="12.75" x14ac:dyDescent="0.2">
      <c r="B1027" s="43"/>
      <c r="C1027" s="39" t="s">
        <v>73</v>
      </c>
      <c r="D1027" s="40"/>
      <c r="E1027" s="40"/>
      <c r="F1027" s="40"/>
      <c r="G1027" s="40"/>
      <c r="H1027" s="40">
        <f>+D1027</f>
        <v>0</v>
      </c>
      <c r="I1027" s="40"/>
      <c r="J1027" s="41" t="s">
        <v>13</v>
      </c>
    </row>
    <row r="1028" spans="2:10" s="1" customFormat="1" ht="12.75" x14ac:dyDescent="0.2">
      <c r="B1028" s="43" t="s">
        <v>21</v>
      </c>
      <c r="C1028" s="43" t="s">
        <v>357</v>
      </c>
      <c r="D1028" s="60"/>
      <c r="E1028" s="40"/>
      <c r="F1028" s="40"/>
      <c r="G1028" s="40"/>
      <c r="H1028" s="40"/>
      <c r="I1028" s="44">
        <f>SUM(H1029:H1029)</f>
        <v>0</v>
      </c>
      <c r="J1028" s="45" t="str">
        <f>+J1029</f>
        <v>und</v>
      </c>
    </row>
    <row r="1029" spans="2:10" s="1" customFormat="1" ht="12.75" x14ac:dyDescent="0.2">
      <c r="B1029" s="43"/>
      <c r="C1029" s="39" t="s">
        <v>375</v>
      </c>
      <c r="D1029" s="40"/>
      <c r="E1029" s="40"/>
      <c r="F1029" s="40"/>
      <c r="G1029" s="40"/>
      <c r="H1029" s="40">
        <f>+D1029</f>
        <v>0</v>
      </c>
      <c r="I1029" s="40"/>
      <c r="J1029" s="41" t="s">
        <v>13</v>
      </c>
    </row>
    <row r="1030" spans="2:10" s="1" customFormat="1" ht="12.75" x14ac:dyDescent="0.2">
      <c r="B1030" s="43" t="s">
        <v>273</v>
      </c>
      <c r="C1030" s="43" t="s">
        <v>263</v>
      </c>
      <c r="D1030" s="60"/>
      <c r="E1030" s="40"/>
      <c r="F1030" s="40"/>
      <c r="G1030" s="40"/>
      <c r="H1030" s="40"/>
      <c r="I1030" s="44">
        <f>SUM(H1031:H1031)</f>
        <v>0</v>
      </c>
      <c r="J1030" s="45" t="str">
        <f>+J1031</f>
        <v>und</v>
      </c>
    </row>
    <row r="1031" spans="2:10" s="1" customFormat="1" ht="14.25" customHeight="1" x14ac:dyDescent="0.2">
      <c r="B1031" s="46"/>
      <c r="C1031" s="39" t="s">
        <v>420</v>
      </c>
      <c r="D1031" s="40"/>
      <c r="E1031" s="40"/>
      <c r="F1031" s="40"/>
      <c r="G1031" s="40"/>
      <c r="H1031" s="40">
        <f>+D1031</f>
        <v>0</v>
      </c>
      <c r="I1031" s="40"/>
      <c r="J1031" s="41" t="s">
        <v>13</v>
      </c>
    </row>
    <row r="1032" spans="2:10" s="1" customFormat="1" ht="14.25" customHeight="1" x14ac:dyDescent="0.2">
      <c r="B1032" s="43" t="s">
        <v>274</v>
      </c>
      <c r="C1032" s="43" t="s">
        <v>264</v>
      </c>
      <c r="D1032" s="60"/>
      <c r="E1032" s="40"/>
      <c r="F1032" s="40"/>
      <c r="G1032" s="40"/>
      <c r="H1032" s="40"/>
      <c r="I1032" s="44">
        <f>SUM(H1033:H1033)</f>
        <v>0</v>
      </c>
      <c r="J1032" s="45" t="str">
        <f>+J1033</f>
        <v>und</v>
      </c>
    </row>
    <row r="1033" spans="2:10" s="1" customFormat="1" ht="12.75" x14ac:dyDescent="0.2">
      <c r="B1033" s="46"/>
      <c r="C1033" s="39" t="s">
        <v>420</v>
      </c>
      <c r="D1033" s="40"/>
      <c r="E1033" s="40"/>
      <c r="F1033" s="40"/>
      <c r="G1033" s="40"/>
      <c r="H1033" s="40">
        <f>+D1033</f>
        <v>0</v>
      </c>
      <c r="I1033" s="40"/>
      <c r="J1033" s="41" t="s">
        <v>13</v>
      </c>
    </row>
    <row r="1034" spans="2:10" s="1" customFormat="1" ht="12.75" x14ac:dyDescent="0.2">
      <c r="B1034" s="46"/>
      <c r="C1034" s="59"/>
      <c r="D1034" s="60"/>
      <c r="E1034" s="40"/>
      <c r="F1034" s="40"/>
      <c r="G1034" s="40"/>
      <c r="H1034" s="40"/>
      <c r="I1034" s="40"/>
      <c r="J1034" s="41"/>
    </row>
    <row r="1035" spans="2:10" s="1" customFormat="1" ht="12.75" x14ac:dyDescent="0.2">
      <c r="B1035" s="46"/>
      <c r="C1035" s="59"/>
      <c r="D1035" s="60"/>
      <c r="E1035" s="40"/>
      <c r="F1035" s="40"/>
      <c r="G1035" s="40"/>
      <c r="H1035" s="40"/>
      <c r="I1035" s="40"/>
      <c r="J1035" s="41"/>
    </row>
    <row r="1036" spans="2:10" s="1" customFormat="1" ht="12.75" x14ac:dyDescent="0.2">
      <c r="B1036" s="46"/>
      <c r="C1036" s="59"/>
      <c r="D1036" s="60"/>
      <c r="E1036" s="40"/>
      <c r="F1036" s="40"/>
      <c r="G1036" s="40"/>
      <c r="H1036" s="40"/>
      <c r="I1036" s="40"/>
      <c r="J1036" s="41"/>
    </row>
    <row r="1037" spans="2:10" s="1" customFormat="1" ht="12.75" x14ac:dyDescent="0.2">
      <c r="B1037" s="46"/>
      <c r="C1037" s="59"/>
      <c r="D1037" s="60"/>
      <c r="E1037" s="40"/>
      <c r="F1037" s="40"/>
      <c r="G1037" s="40"/>
      <c r="H1037" s="40"/>
      <c r="I1037" s="40"/>
      <c r="J1037" s="41"/>
    </row>
    <row r="1038" spans="2:10" s="1" customFormat="1" ht="12.75" x14ac:dyDescent="0.2">
      <c r="B1038" s="46"/>
      <c r="C1038" s="59"/>
      <c r="D1038" s="60"/>
      <c r="E1038" s="40"/>
      <c r="F1038" s="40"/>
      <c r="G1038" s="40"/>
      <c r="H1038" s="40"/>
      <c r="I1038" s="40"/>
      <c r="J1038" s="41"/>
    </row>
    <row r="1039" spans="2:10" s="1" customFormat="1" ht="12.75" x14ac:dyDescent="0.2">
      <c r="B1039" s="46"/>
      <c r="C1039" s="59"/>
      <c r="D1039" s="60"/>
      <c r="E1039" s="40"/>
      <c r="F1039" s="40"/>
      <c r="G1039" s="40"/>
      <c r="H1039" s="40"/>
      <c r="I1039" s="40"/>
      <c r="J1039" s="41"/>
    </row>
    <row r="1040" spans="2:10" s="1" customFormat="1" ht="12.75" x14ac:dyDescent="0.2">
      <c r="B1040" s="46"/>
      <c r="C1040" s="59"/>
      <c r="D1040" s="60"/>
      <c r="E1040" s="40"/>
      <c r="F1040" s="40"/>
      <c r="G1040" s="40"/>
      <c r="H1040" s="40"/>
      <c r="I1040" s="40"/>
      <c r="J1040" s="41"/>
    </row>
    <row r="1041" spans="2:10" s="1" customFormat="1" ht="12.75" x14ac:dyDescent="0.2">
      <c r="B1041" s="46"/>
      <c r="C1041" s="59"/>
      <c r="D1041" s="60"/>
      <c r="E1041" s="40"/>
      <c r="F1041" s="40"/>
      <c r="G1041" s="40"/>
      <c r="H1041" s="40"/>
      <c r="I1041" s="40"/>
      <c r="J1041" s="41"/>
    </row>
    <row r="1042" spans="2:10" s="1" customFormat="1" ht="12.75" x14ac:dyDescent="0.2">
      <c r="B1042" s="46"/>
      <c r="C1042" s="59"/>
      <c r="D1042" s="60"/>
      <c r="E1042" s="40"/>
      <c r="F1042" s="40"/>
      <c r="G1042" s="40"/>
      <c r="H1042" s="40"/>
      <c r="I1042" s="40"/>
      <c r="J1042" s="41"/>
    </row>
    <row r="1043" spans="2:10" s="1" customFormat="1" ht="12.75" x14ac:dyDescent="0.2">
      <c r="B1043" s="46"/>
      <c r="C1043" s="59"/>
      <c r="D1043" s="60"/>
      <c r="E1043" s="40"/>
      <c r="F1043" s="40"/>
      <c r="G1043" s="40"/>
      <c r="H1043" s="40"/>
      <c r="I1043" s="40"/>
      <c r="J1043" s="41"/>
    </row>
    <row r="1044" spans="2:10" s="1" customFormat="1" ht="12.75" x14ac:dyDescent="0.2">
      <c r="B1044" s="46"/>
      <c r="C1044" s="59"/>
      <c r="D1044" s="60"/>
      <c r="E1044" s="40"/>
      <c r="F1044" s="40"/>
      <c r="G1044" s="40"/>
      <c r="H1044" s="40"/>
      <c r="I1044" s="40"/>
      <c r="J1044" s="41"/>
    </row>
    <row r="1045" spans="2:10" s="1" customFormat="1" ht="12.75" x14ac:dyDescent="0.2">
      <c r="B1045" s="46"/>
      <c r="C1045" s="59"/>
      <c r="D1045" s="60"/>
      <c r="E1045" s="40"/>
      <c r="F1045" s="40"/>
      <c r="G1045" s="40"/>
      <c r="H1045" s="40"/>
      <c r="I1045" s="40"/>
      <c r="J1045" s="41"/>
    </row>
    <row r="1046" spans="2:10" s="1" customFormat="1" ht="12.75" x14ac:dyDescent="0.2">
      <c r="B1046" s="46"/>
      <c r="C1046" s="59"/>
      <c r="D1046" s="60"/>
      <c r="E1046" s="40"/>
      <c r="F1046" s="40"/>
      <c r="G1046" s="40"/>
      <c r="H1046" s="40"/>
      <c r="I1046" s="40"/>
      <c r="J1046" s="41"/>
    </row>
    <row r="1047" spans="2:10" s="1" customFormat="1" ht="12.75" x14ac:dyDescent="0.2">
      <c r="B1047" s="46"/>
      <c r="C1047" s="59"/>
      <c r="D1047" s="60"/>
      <c r="E1047" s="40"/>
      <c r="F1047" s="40"/>
      <c r="G1047" s="40"/>
      <c r="H1047" s="40"/>
      <c r="I1047" s="40"/>
      <c r="J1047" s="41"/>
    </row>
    <row r="1048" spans="2:10" s="1" customFormat="1" ht="12.75" x14ac:dyDescent="0.2">
      <c r="B1048" s="46"/>
      <c r="C1048" s="59"/>
      <c r="D1048" s="60"/>
      <c r="E1048" s="40"/>
      <c r="F1048" s="40"/>
      <c r="G1048" s="40"/>
      <c r="H1048" s="40"/>
      <c r="I1048" s="40"/>
      <c r="J1048" s="41"/>
    </row>
    <row r="1049" spans="2:10" s="1" customFormat="1" ht="12.75" x14ac:dyDescent="0.2">
      <c r="B1049" s="46"/>
      <c r="C1049" s="59"/>
      <c r="D1049" s="60"/>
      <c r="E1049" s="40"/>
      <c r="F1049" s="40"/>
      <c r="G1049" s="40"/>
      <c r="H1049" s="40"/>
      <c r="I1049" s="40"/>
      <c r="J1049" s="41"/>
    </row>
    <row r="1050" spans="2:10" s="1" customFormat="1" ht="12.75" x14ac:dyDescent="0.2">
      <c r="B1050" s="46"/>
      <c r="C1050" s="59"/>
      <c r="D1050" s="60"/>
      <c r="E1050" s="40"/>
      <c r="F1050" s="40"/>
      <c r="G1050" s="40"/>
      <c r="H1050" s="40"/>
      <c r="I1050" s="40"/>
      <c r="J1050" s="41"/>
    </row>
    <row r="1051" spans="2:10" s="1" customFormat="1" ht="12.75" x14ac:dyDescent="0.2">
      <c r="B1051" s="46"/>
      <c r="C1051" s="59"/>
      <c r="D1051" s="60"/>
      <c r="E1051" s="40"/>
      <c r="F1051" s="40"/>
      <c r="G1051" s="40"/>
      <c r="H1051" s="40"/>
      <c r="I1051" s="40"/>
      <c r="J1051" s="41"/>
    </row>
    <row r="1052" spans="2:10" s="1" customFormat="1" ht="12.75" x14ac:dyDescent="0.2">
      <c r="C1052" s="384" t="s">
        <v>37</v>
      </c>
      <c r="D1052" s="384"/>
      <c r="E1052" s="384"/>
      <c r="F1052" s="384"/>
      <c r="G1052" s="384"/>
      <c r="H1052" s="384"/>
    </row>
    <row r="1053" spans="2:10" s="1" customFormat="1" ht="12.75" x14ac:dyDescent="0.2">
      <c r="C1053" s="384" t="s">
        <v>38</v>
      </c>
      <c r="D1053" s="384"/>
      <c r="E1053" s="384"/>
      <c r="F1053" s="384"/>
      <c r="G1053" s="384"/>
      <c r="H1053" s="384"/>
    </row>
    <row r="1054" spans="2:10" s="1" customFormat="1" ht="12.75" x14ac:dyDescent="0.2">
      <c r="C1054" s="384" t="s">
        <v>39</v>
      </c>
      <c r="D1054" s="384"/>
      <c r="E1054" s="384"/>
      <c r="F1054" s="384"/>
      <c r="G1054" s="384"/>
      <c r="H1054" s="384"/>
    </row>
    <row r="1055" spans="2:10" s="1" customFormat="1" ht="12.75" x14ac:dyDescent="0.2">
      <c r="C1055" s="385" t="s">
        <v>40</v>
      </c>
      <c r="D1055" s="385"/>
      <c r="E1055" s="385"/>
      <c r="F1055" s="385"/>
      <c r="G1055" s="385"/>
      <c r="H1055" s="385"/>
    </row>
    <row r="1056" spans="2:10" s="1" customFormat="1" ht="28.5" customHeight="1" x14ac:dyDescent="0.2">
      <c r="C1056" s="385"/>
      <c r="D1056" s="385"/>
      <c r="E1056" s="385"/>
      <c r="F1056" s="385"/>
      <c r="G1056" s="385"/>
      <c r="H1056" s="385"/>
    </row>
    <row r="1057" spans="2:10" s="1" customFormat="1" ht="15.75" x14ac:dyDescent="0.2">
      <c r="B1057" s="386" t="s">
        <v>65</v>
      </c>
      <c r="C1057" s="387"/>
      <c r="D1057" s="387"/>
      <c r="E1057" s="387"/>
      <c r="F1057" s="387"/>
      <c r="G1057" s="387"/>
      <c r="H1057" s="387"/>
      <c r="I1057" s="387"/>
      <c r="J1057" s="388"/>
    </row>
    <row r="1058" spans="2:10" s="1" customFormat="1" ht="20.25" x14ac:dyDescent="0.2">
      <c r="B1058" s="390" t="s">
        <v>432</v>
      </c>
      <c r="C1058" s="391"/>
      <c r="D1058" s="391"/>
      <c r="E1058" s="391"/>
      <c r="F1058" s="391"/>
      <c r="G1058" s="391"/>
      <c r="H1058" s="391"/>
      <c r="I1058" s="391"/>
      <c r="J1058" s="392"/>
    </row>
    <row r="1059" spans="2:10" s="1" customFormat="1" ht="13.5" thickBot="1" x14ac:dyDescent="0.25">
      <c r="B1059" s="389"/>
      <c r="C1059" s="389"/>
      <c r="D1059" s="389"/>
      <c r="E1059" s="389"/>
      <c r="F1059" s="389"/>
      <c r="G1059" s="389"/>
      <c r="H1059" s="389"/>
      <c r="I1059" s="389"/>
      <c r="J1059" s="389"/>
    </row>
    <row r="1060" spans="2:10" s="1" customFormat="1" ht="24.75" customHeight="1" x14ac:dyDescent="0.2">
      <c r="B1060" s="494" t="s">
        <v>27</v>
      </c>
      <c r="C1060" s="495"/>
      <c r="D1060" s="495"/>
      <c r="E1060" s="495"/>
      <c r="F1060" s="495"/>
      <c r="G1060" s="495"/>
      <c r="H1060" s="495"/>
      <c r="I1060" s="495"/>
      <c r="J1060" s="496"/>
    </row>
    <row r="1061" spans="2:10" s="1" customFormat="1" ht="12.75" x14ac:dyDescent="0.2">
      <c r="B1061" s="2" t="s">
        <v>35</v>
      </c>
      <c r="C1061" s="3" t="s">
        <v>36</v>
      </c>
      <c r="D1061" s="3"/>
      <c r="E1061" s="4"/>
      <c r="F1061" s="5"/>
      <c r="G1061" s="6" t="s">
        <v>8</v>
      </c>
      <c r="H1061" s="497">
        <v>42879</v>
      </c>
      <c r="I1061" s="497"/>
      <c r="J1061" s="7"/>
    </row>
    <row r="1062" spans="2:10" s="1" customFormat="1" ht="12.75" x14ac:dyDescent="0.2">
      <c r="B1062" s="2" t="s">
        <v>33</v>
      </c>
      <c r="C1062" s="3" t="s">
        <v>29</v>
      </c>
      <c r="D1062" s="8"/>
      <c r="E1062" s="8"/>
      <c r="F1062" s="3"/>
      <c r="G1062" s="9" t="s">
        <v>32</v>
      </c>
      <c r="H1062" s="4" t="s">
        <v>29</v>
      </c>
      <c r="I1062" s="10"/>
      <c r="J1062" s="11"/>
    </row>
    <row r="1063" spans="2:10" s="1" customFormat="1" ht="12.75" x14ac:dyDescent="0.2">
      <c r="B1063" s="2" t="s">
        <v>34</v>
      </c>
      <c r="C1063" s="3" t="s">
        <v>29</v>
      </c>
      <c r="D1063" s="8"/>
      <c r="E1063" s="8"/>
      <c r="F1063" s="3"/>
      <c r="G1063" s="9" t="s">
        <v>30</v>
      </c>
      <c r="H1063" s="4" t="s">
        <v>31</v>
      </c>
      <c r="I1063" s="10"/>
      <c r="J1063" s="11"/>
    </row>
    <row r="1064" spans="2:10" s="1" customFormat="1" ht="13.5" thickBot="1" x14ac:dyDescent="0.25">
      <c r="B1064" s="12" t="s">
        <v>43</v>
      </c>
      <c r="C1064" s="13" t="s">
        <v>44</v>
      </c>
      <c r="D1064" s="14"/>
      <c r="E1064" s="14"/>
      <c r="F1064" s="13"/>
      <c r="G1064" s="15" t="s">
        <v>41</v>
      </c>
      <c r="H1064" s="16" t="s">
        <v>42</v>
      </c>
      <c r="I1064" s="17"/>
      <c r="J1064" s="18"/>
    </row>
    <row r="1065" spans="2:10" s="1" customFormat="1" ht="12.75" x14ac:dyDescent="0.2">
      <c r="B1065" s="389"/>
      <c r="C1065" s="389"/>
      <c r="D1065" s="389"/>
      <c r="E1065" s="389"/>
      <c r="F1065" s="389"/>
      <c r="G1065" s="389"/>
      <c r="H1065" s="389"/>
      <c r="I1065" s="389"/>
      <c r="J1065" s="389"/>
    </row>
    <row r="1066" spans="2:10" s="1" customFormat="1" ht="12.75" x14ac:dyDescent="0.2">
      <c r="B1066" s="21" t="s">
        <v>5</v>
      </c>
      <c r="C1066" s="22" t="s">
        <v>0</v>
      </c>
      <c r="D1066" s="22" t="s">
        <v>9</v>
      </c>
      <c r="E1066" s="22" t="s">
        <v>10</v>
      </c>
      <c r="F1066" s="22" t="s">
        <v>1</v>
      </c>
      <c r="G1066" s="22" t="s">
        <v>2</v>
      </c>
      <c r="H1066" s="22" t="s">
        <v>11</v>
      </c>
      <c r="I1066" s="22" t="s">
        <v>6</v>
      </c>
      <c r="J1066" s="22" t="s">
        <v>7</v>
      </c>
    </row>
    <row r="1067" spans="2:10" s="1" customFormat="1" ht="12.75" x14ac:dyDescent="0.2">
      <c r="B1067" s="55">
        <v>4.03</v>
      </c>
      <c r="C1067" s="56" t="s">
        <v>222</v>
      </c>
      <c r="D1067" s="60"/>
      <c r="E1067" s="40"/>
      <c r="F1067" s="40"/>
      <c r="G1067" s="40"/>
      <c r="H1067" s="40"/>
      <c r="I1067" s="40"/>
      <c r="J1067" s="41"/>
    </row>
    <row r="1068" spans="2:10" s="1" customFormat="1" ht="12.75" x14ac:dyDescent="0.2">
      <c r="B1068" s="57" t="s">
        <v>14</v>
      </c>
      <c r="C1068" s="58" t="s">
        <v>225</v>
      </c>
      <c r="D1068" s="60"/>
      <c r="E1068" s="40"/>
      <c r="F1068" s="40"/>
      <c r="G1068" s="40"/>
      <c r="H1068" s="40"/>
      <c r="I1068" s="40"/>
      <c r="J1068" s="41"/>
    </row>
    <row r="1069" spans="2:10" s="1" customFormat="1" ht="12.75" x14ac:dyDescent="0.2">
      <c r="B1069" s="43" t="s">
        <v>15</v>
      </c>
      <c r="C1069" s="43" t="s">
        <v>269</v>
      </c>
      <c r="D1069" s="60"/>
      <c r="E1069" s="40"/>
      <c r="F1069" s="40"/>
      <c r="G1069" s="40"/>
      <c r="H1069" s="40"/>
      <c r="I1069" s="44">
        <f>SUM(H1070:H1076)</f>
        <v>459</v>
      </c>
      <c r="J1069" s="45" t="str">
        <f>+J1070</f>
        <v>ml</v>
      </c>
    </row>
    <row r="1070" spans="2:10" s="1" customFormat="1" ht="12.75" x14ac:dyDescent="0.2">
      <c r="B1070" s="43"/>
      <c r="C1070" s="77" t="s">
        <v>71</v>
      </c>
      <c r="D1070" s="40"/>
      <c r="E1070" s="40"/>
      <c r="F1070" s="40"/>
      <c r="G1070" s="113"/>
      <c r="H1070" s="114"/>
      <c r="I1070" s="40"/>
      <c r="J1070" s="41" t="str">
        <f>IF(AND(E1070=0,F1070&lt;&gt;0,G1070&lt;&gt;0),"m2",IF(AND(F1070=0,E1070&lt;&gt;0,G1070&lt;&gt;0),"m2",IF(AND(G1070=0,E1070&lt;&gt;0,F1070&lt;&gt;0),"m2",IF(AND(F1070=0,G1070=0),"ml",IF(AND(E1070=0,G1070=0),"ml",IF(AND(E1070=0,F1070=0),"ml",IF(AND(E1070&lt;&gt;0,F1070&lt;&gt;0,G1070&lt;&gt;0),"m3",0)))))))</f>
        <v>ml</v>
      </c>
    </row>
    <row r="1071" spans="2:10" s="1" customFormat="1" ht="12.75" x14ac:dyDescent="0.2">
      <c r="B1071" s="43"/>
      <c r="C1071" s="39" t="s">
        <v>349</v>
      </c>
      <c r="D1071" s="40">
        <v>36</v>
      </c>
      <c r="E1071" s="40">
        <v>3.25</v>
      </c>
      <c r="F1071" s="40"/>
      <c r="H1071" s="113">
        <f t="shared" ref="H1071:H1076" si="16">+D1071*E1071</f>
        <v>117</v>
      </c>
      <c r="I1071" s="40"/>
      <c r="J1071" s="41" t="str">
        <f t="shared" ref="J1071:J1076" si="17">IF(AND(E1071=0,F1071&lt;&gt;0,H1071&lt;&gt;0),"m2",IF(AND(F1071=0,E1071&lt;&gt;0,H1071&lt;&gt;0),"m2",IF(AND(H1071=0,E1071&lt;&gt;0,F1071&lt;&gt;0),"m2",IF(AND(F1071=0,H1071=0),"ml",IF(AND(E1071=0,H1071=0),"ml",IF(AND(E1071=0,F1071=0),"ml",IF(AND(E1071&lt;&gt;0,F1071&lt;&gt;0,H1071&lt;&gt;0),"m3",0)))))))</f>
        <v>m2</v>
      </c>
    </row>
    <row r="1072" spans="2:10" s="1" customFormat="1" ht="12.75" x14ac:dyDescent="0.2">
      <c r="B1072" s="43"/>
      <c r="C1072" s="39" t="s">
        <v>369</v>
      </c>
      <c r="D1072" s="40">
        <v>36</v>
      </c>
      <c r="E1072" s="40">
        <v>3</v>
      </c>
      <c r="F1072" s="40"/>
      <c r="H1072" s="113">
        <f t="shared" si="16"/>
        <v>108</v>
      </c>
      <c r="I1072" s="40"/>
      <c r="J1072" s="41" t="str">
        <f t="shared" si="17"/>
        <v>m2</v>
      </c>
    </row>
    <row r="1073" spans="2:10" s="1" customFormat="1" ht="12.75" x14ac:dyDescent="0.2">
      <c r="B1073" s="43"/>
      <c r="C1073" s="77" t="s">
        <v>72</v>
      </c>
      <c r="D1073" s="40"/>
      <c r="E1073" s="40"/>
      <c r="F1073" s="40"/>
      <c r="H1073" s="113">
        <f t="shared" si="16"/>
        <v>0</v>
      </c>
      <c r="I1073" s="40"/>
      <c r="J1073" s="41" t="str">
        <f t="shared" si="17"/>
        <v>ml</v>
      </c>
    </row>
    <row r="1074" spans="2:10" s="1" customFormat="1" ht="12.75" x14ac:dyDescent="0.2">
      <c r="B1074" s="43"/>
      <c r="C1074" s="39" t="s">
        <v>349</v>
      </c>
      <c r="D1074" s="40">
        <v>36</v>
      </c>
      <c r="E1074" s="40">
        <v>3.25</v>
      </c>
      <c r="F1074" s="40"/>
      <c r="H1074" s="113">
        <f t="shared" si="16"/>
        <v>117</v>
      </c>
      <c r="I1074" s="40"/>
      <c r="J1074" s="41" t="str">
        <f t="shared" si="17"/>
        <v>m2</v>
      </c>
    </row>
    <row r="1075" spans="2:10" s="1" customFormat="1" ht="12.75" x14ac:dyDescent="0.2">
      <c r="B1075" s="43"/>
      <c r="C1075" s="77" t="s">
        <v>73</v>
      </c>
      <c r="D1075" s="40"/>
      <c r="E1075" s="40"/>
      <c r="F1075" s="40"/>
      <c r="H1075" s="113">
        <f t="shared" si="16"/>
        <v>0</v>
      </c>
      <c r="I1075" s="40"/>
      <c r="J1075" s="41" t="str">
        <f t="shared" si="17"/>
        <v>ml</v>
      </c>
    </row>
    <row r="1076" spans="2:10" s="1" customFormat="1" ht="12.75" x14ac:dyDescent="0.2">
      <c r="B1076" s="43"/>
      <c r="C1076" s="39" t="s">
        <v>349</v>
      </c>
      <c r="D1076" s="40">
        <v>36</v>
      </c>
      <c r="E1076" s="40">
        <v>3.25</v>
      </c>
      <c r="F1076" s="40"/>
      <c r="H1076" s="113">
        <f t="shared" si="16"/>
        <v>117</v>
      </c>
      <c r="I1076" s="40"/>
      <c r="J1076" s="41" t="str">
        <f t="shared" si="17"/>
        <v>m2</v>
      </c>
    </row>
    <row r="1077" spans="2:10" s="1" customFormat="1" ht="12.75" x14ac:dyDescent="0.2">
      <c r="B1077" s="43" t="s">
        <v>232</v>
      </c>
      <c r="C1077" s="43" t="s">
        <v>348</v>
      </c>
      <c r="D1077" s="60"/>
      <c r="E1077" s="40"/>
      <c r="F1077" s="40"/>
      <c r="G1077" s="40"/>
      <c r="H1077" s="40"/>
      <c r="I1077" s="44">
        <f>SUM(H1078:H1078)</f>
        <v>18</v>
      </c>
      <c r="J1077" s="45" t="str">
        <f>+J1078</f>
        <v>und</v>
      </c>
    </row>
    <row r="1078" spans="2:10" s="1" customFormat="1" ht="12.75" x14ac:dyDescent="0.2">
      <c r="B1078" s="57"/>
      <c r="C1078" s="39" t="s">
        <v>349</v>
      </c>
      <c r="D1078" s="40">
        <v>18</v>
      </c>
      <c r="E1078" s="40"/>
      <c r="F1078" s="40"/>
      <c r="G1078" s="40"/>
      <c r="H1078" s="40">
        <f>+D1078</f>
        <v>18</v>
      </c>
      <c r="I1078" s="40"/>
      <c r="J1078" s="41" t="s">
        <v>13</v>
      </c>
    </row>
    <row r="1079" spans="2:10" s="1" customFormat="1" ht="12.75" x14ac:dyDescent="0.2">
      <c r="B1079" s="57" t="s">
        <v>16</v>
      </c>
      <c r="C1079" s="58" t="s">
        <v>224</v>
      </c>
      <c r="D1079" s="60"/>
      <c r="E1079" s="40"/>
      <c r="F1079" s="40"/>
      <c r="G1079" s="40"/>
      <c r="H1079" s="40"/>
      <c r="I1079" s="40"/>
      <c r="J1079" s="41"/>
    </row>
    <row r="1080" spans="2:10" s="1" customFormat="1" ht="12.75" x14ac:dyDescent="0.2">
      <c r="B1080" s="43" t="s">
        <v>17</v>
      </c>
      <c r="C1080" s="43" t="s">
        <v>343</v>
      </c>
      <c r="D1080" s="60"/>
      <c r="E1080" s="40"/>
      <c r="F1080" s="40"/>
      <c r="G1080" s="40"/>
      <c r="H1080" s="40"/>
      <c r="I1080" s="44">
        <f>SUM(H1081:H1082)</f>
        <v>0</v>
      </c>
      <c r="J1080" s="45" t="str">
        <f>+J1081</f>
        <v>ml</v>
      </c>
    </row>
    <row r="1081" spans="2:10" s="1" customFormat="1" ht="12.75" x14ac:dyDescent="0.2">
      <c r="B1081" s="57"/>
      <c r="C1081" s="39" t="s">
        <v>425</v>
      </c>
      <c r="D1081" s="40"/>
      <c r="E1081" s="40"/>
      <c r="F1081" s="40"/>
      <c r="G1081" s="40"/>
      <c r="H1081" s="40">
        <f>IF(AND(F1081=0,G1081=0),D1081*E1081,IF(AND(E1081=0,G1081=0),D1081*F1081,IF(AND(E1081=0,F1081=0),D1081*G1081,IF(AND(E1081=0),D1081*F1081*G1081,IF(AND(F1081=0),D1081*E1081*G1081,IF(AND(G1081=0),D1081*E1081*F1081,D1081*E1081*F1081*G1081))))))</f>
        <v>0</v>
      </c>
      <c r="I1081" s="40"/>
      <c r="J1081" s="41" t="str">
        <f>IF(AND(E1081=0,F1081&lt;&gt;0,G1081&lt;&gt;0),"m2",IF(AND(F1081=0,E1081&lt;&gt;0,G1081&lt;&gt;0),"m2",IF(AND(G1081=0,E1081&lt;&gt;0,F1081&lt;&gt;0),"m2",IF(AND(F1081=0,G1081=0),"ml",IF(AND(E1081=0,G1081=0),"ml",IF(AND(E1081=0,F1081=0),"ml",IF(AND(E1081&lt;&gt;0,F1081&lt;&gt;0,G1081&lt;&gt;0),"m3",0)))))))</f>
        <v>ml</v>
      </c>
    </row>
    <row r="1082" spans="2:10" s="1" customFormat="1" ht="12.75" x14ac:dyDescent="0.2">
      <c r="B1082" s="57"/>
      <c r="C1082" s="39" t="s">
        <v>425</v>
      </c>
      <c r="D1082" s="40"/>
      <c r="E1082" s="40"/>
      <c r="F1082" s="40"/>
      <c r="G1082" s="40"/>
      <c r="H1082" s="40">
        <f>IF(AND(F1082=0,G1082=0),D1082*E1082,IF(AND(E1082=0,G1082=0),D1082*F1082,IF(AND(E1082=0,F1082=0),D1082*G1082,IF(AND(E1082=0),D1082*F1082*G1082,IF(AND(F1082=0),D1082*E1082*G1082,IF(AND(G1082=0),D1082*E1082*F1082,D1082*E1082*F1082*G1082))))))</f>
        <v>0</v>
      </c>
      <c r="I1082" s="40"/>
      <c r="J1082" s="41"/>
    </row>
    <row r="1083" spans="2:10" s="1" customFormat="1" ht="12.75" x14ac:dyDescent="0.2">
      <c r="B1083" s="43" t="s">
        <v>240</v>
      </c>
      <c r="C1083" s="43" t="s">
        <v>237</v>
      </c>
      <c r="D1083" s="60"/>
      <c r="E1083" s="40"/>
      <c r="F1083" s="40"/>
      <c r="G1083" s="40"/>
      <c r="H1083" s="40"/>
      <c r="I1083" s="44">
        <f>SUM(H1084:H1086)</f>
        <v>0</v>
      </c>
      <c r="J1083" s="45" t="str">
        <f>+J1084</f>
        <v>ml</v>
      </c>
    </row>
    <row r="1084" spans="2:10" s="1" customFormat="1" ht="12.75" x14ac:dyDescent="0.2">
      <c r="B1084" s="57"/>
      <c r="C1084" s="39" t="s">
        <v>427</v>
      </c>
      <c r="D1084" s="40"/>
      <c r="E1084" s="40"/>
      <c r="F1084" s="40"/>
      <c r="G1084" s="40"/>
      <c r="H1084" s="40">
        <f>IF(AND(F1084=0,G1084=0),D1084*E1084,IF(AND(E1084=0,G1084=0),D1084*F1084,IF(AND(E1084=0,F1084=0),D1084*G1084,IF(AND(E1084=0),D1084*F1084*G1084,IF(AND(F1084=0),D1084*E1084*G1084,IF(AND(G1084=0),D1084*E1084*F1084,D1084*E1084*F1084*G1084))))))</f>
        <v>0</v>
      </c>
      <c r="I1084" s="40"/>
      <c r="J1084" s="41" t="str">
        <f>IF(AND(E1084=0,F1084&lt;&gt;0,G1084&lt;&gt;0),"m2",IF(AND(F1084=0,E1084&lt;&gt;0,G1084&lt;&gt;0),"m2",IF(AND(G1084=0,E1084&lt;&gt;0,F1084&lt;&gt;0),"m2",IF(AND(F1084=0,G1084=0),"ml",IF(AND(E1084=0,G1084=0),"ml",IF(AND(E1084=0,F1084=0),"ml",IF(AND(E1084&lt;&gt;0,F1084&lt;&gt;0,G1084&lt;&gt;0),"m3",0)))))))</f>
        <v>ml</v>
      </c>
    </row>
    <row r="1085" spans="2:10" s="1" customFormat="1" ht="12.75" x14ac:dyDescent="0.2">
      <c r="B1085" s="57"/>
      <c r="C1085" s="39" t="s">
        <v>428</v>
      </c>
      <c r="D1085" s="40"/>
      <c r="E1085" s="40"/>
      <c r="F1085" s="40"/>
      <c r="G1085" s="40"/>
      <c r="H1085" s="40">
        <f>IF(AND(F1085=0,G1085=0),D1085*E1085,IF(AND(E1085=0,G1085=0),D1085*F1085,IF(AND(E1085=0,F1085=0),D1085*G1085,IF(AND(E1085=0),D1085*F1085*G1085,IF(AND(F1085=0),D1085*E1085*G1085,IF(AND(G1085=0),D1085*E1085*F1085,D1085*E1085*F1085*G1085))))))</f>
        <v>0</v>
      </c>
      <c r="I1085" s="40"/>
      <c r="J1085" s="41" t="str">
        <f>IF(AND(E1085=0,F1085&lt;&gt;0,G1085&lt;&gt;0),"m2",IF(AND(F1085=0,E1085&lt;&gt;0,G1085&lt;&gt;0),"m2",IF(AND(G1085=0,E1085&lt;&gt;0,F1085&lt;&gt;0),"m2",IF(AND(F1085=0,G1085=0),"ml",IF(AND(E1085=0,G1085=0),"ml",IF(AND(E1085=0,F1085=0),"ml",IF(AND(E1085&lt;&gt;0,F1085&lt;&gt;0,G1085&lt;&gt;0),"m3",0)))))))</f>
        <v>ml</v>
      </c>
    </row>
    <row r="1086" spans="2:10" s="1" customFormat="1" ht="12.75" x14ac:dyDescent="0.2">
      <c r="B1086" s="57"/>
      <c r="C1086" s="39" t="s">
        <v>429</v>
      </c>
      <c r="D1086" s="40"/>
      <c r="E1086" s="40"/>
      <c r="F1086" s="40"/>
      <c r="G1086" s="40"/>
      <c r="H1086" s="40">
        <f>IF(AND(F1086=0,G1086=0),D1086*E1086,IF(AND(E1086=0,G1086=0),D1086*F1086,IF(AND(E1086=0,F1086=0),D1086*G1086,IF(AND(E1086=0),D1086*F1086*G1086,IF(AND(F1086=0),D1086*E1086*G1086,IF(AND(G1086=0),D1086*E1086*F1086,D1086*E1086*F1086*G1086))))))</f>
        <v>0</v>
      </c>
      <c r="I1086" s="40"/>
      <c r="J1086" s="41" t="str">
        <f>IF(AND(E1086=0,F1086&lt;&gt;0,G1086&lt;&gt;0),"m2",IF(AND(F1086=0,E1086&lt;&gt;0,G1086&lt;&gt;0),"m2",IF(AND(G1086=0,E1086&lt;&gt;0,F1086&lt;&gt;0),"m2",IF(AND(F1086=0,G1086=0),"ml",IF(AND(E1086=0,G1086=0),"ml",IF(AND(E1086=0,F1086=0),"ml",IF(AND(E1086&lt;&gt;0,F1086&lt;&gt;0,G1086&lt;&gt;0),"m3",0)))))))</f>
        <v>ml</v>
      </c>
    </row>
    <row r="1087" spans="2:10" s="1" customFormat="1" ht="12.75" x14ac:dyDescent="0.2">
      <c r="B1087" s="43" t="s">
        <v>241</v>
      </c>
      <c r="C1087" s="43" t="s">
        <v>242</v>
      </c>
      <c r="D1087" s="60"/>
      <c r="E1087" s="40"/>
      <c r="F1087" s="40"/>
      <c r="G1087" s="40"/>
      <c r="H1087" s="40"/>
      <c r="I1087" s="44">
        <f>SUM(H1088:H1088)</f>
        <v>0</v>
      </c>
      <c r="J1087" s="45" t="str">
        <f>+J1088</f>
        <v>ml</v>
      </c>
    </row>
    <row r="1088" spans="2:10" s="1" customFormat="1" ht="12.75" x14ac:dyDescent="0.2">
      <c r="B1088" s="57"/>
      <c r="C1088" s="39" t="s">
        <v>401</v>
      </c>
      <c r="D1088" s="40"/>
      <c r="E1088" s="40"/>
      <c r="F1088" s="40"/>
      <c r="G1088" s="40"/>
      <c r="H1088" s="40">
        <f>IF(AND(F1088=0,G1088=0),D1088*E1088,IF(AND(E1088=0,G1088=0),D1088*F1088,IF(AND(E1088=0,F1088=0),D1088*G1088,IF(AND(E1088=0),D1088*F1088*G1088,IF(AND(F1088=0),D1088*E1088*G1088,IF(AND(G1088=0),D1088*E1088*F1088,D1088*E1088*F1088*G1088))))))</f>
        <v>0</v>
      </c>
      <c r="I1088" s="40"/>
      <c r="J1088" s="41" t="str">
        <f>IF(AND(E1088=0,F1088&lt;&gt;0,G1088&lt;&gt;0),"m2",IF(AND(F1088=0,E1088&lt;&gt;0,G1088&lt;&gt;0),"m2",IF(AND(G1088=0,E1088&lt;&gt;0,F1088&lt;&gt;0),"m2",IF(AND(F1088=0,G1088=0),"ml",IF(AND(E1088=0,G1088=0),"ml",IF(AND(E1088=0,F1088=0),"ml",IF(AND(E1088&lt;&gt;0,F1088&lt;&gt;0,G1088&lt;&gt;0),"m3",0)))))))</f>
        <v>ml</v>
      </c>
    </row>
    <row r="1089" spans="2:10" s="1" customFormat="1" ht="12.75" x14ac:dyDescent="0.2">
      <c r="B1089" s="43" t="s">
        <v>243</v>
      </c>
      <c r="C1089" s="43" t="s">
        <v>245</v>
      </c>
      <c r="D1089" s="60"/>
      <c r="E1089" s="40"/>
      <c r="F1089" s="40"/>
      <c r="G1089" s="40"/>
      <c r="H1089" s="40"/>
      <c r="I1089" s="44">
        <f>SUM(H1090:H1092)</f>
        <v>0</v>
      </c>
      <c r="J1089" s="45" t="str">
        <f>+J1090</f>
        <v>ml</v>
      </c>
    </row>
    <row r="1090" spans="2:10" s="1" customFormat="1" ht="12.75" x14ac:dyDescent="0.2">
      <c r="B1090" s="57"/>
      <c r="C1090" s="39" t="s">
        <v>427</v>
      </c>
      <c r="D1090" s="40"/>
      <c r="E1090" s="40"/>
      <c r="F1090" s="40"/>
      <c r="G1090" s="40"/>
      <c r="H1090" s="40">
        <f>IF(AND(F1090=0,G1090=0),D1090*E1090,IF(AND(E1090=0,G1090=0),D1090*F1090,IF(AND(E1090=0,F1090=0),D1090*G1090,IF(AND(E1090=0),D1090*F1090*G1090,IF(AND(F1090=0),D1090*E1090*G1090,IF(AND(G1090=0),D1090*E1090*F1090,D1090*E1090*F1090*G1090))))))</f>
        <v>0</v>
      </c>
      <c r="I1090" s="40"/>
      <c r="J1090" s="41" t="str">
        <f>IF(AND(E1090=0,F1090&lt;&gt;0,G1090&lt;&gt;0),"m2",IF(AND(F1090=0,E1090&lt;&gt;0,G1090&lt;&gt;0),"m2",IF(AND(G1090=0,E1090&lt;&gt;0,F1090&lt;&gt;0),"m2",IF(AND(F1090=0,G1090=0),"ml",IF(AND(E1090=0,G1090=0),"ml",IF(AND(E1090=0,F1090=0),"ml",IF(AND(E1090&lt;&gt;0,F1090&lt;&gt;0,G1090&lt;&gt;0),"m3",0)))))))</f>
        <v>ml</v>
      </c>
    </row>
    <row r="1091" spans="2:10" s="1" customFormat="1" ht="12.75" x14ac:dyDescent="0.2">
      <c r="B1091" s="57"/>
      <c r="C1091" s="39" t="s">
        <v>428</v>
      </c>
      <c r="D1091" s="40"/>
      <c r="E1091" s="40"/>
      <c r="F1091" s="40"/>
      <c r="G1091" s="40"/>
      <c r="H1091" s="40">
        <f>IF(AND(F1091=0,G1091=0),D1091*E1091,IF(AND(E1091=0,G1091=0),D1091*F1091,IF(AND(E1091=0,F1091=0),D1091*G1091,IF(AND(E1091=0),D1091*F1091*G1091,IF(AND(F1091=0),D1091*E1091*G1091,IF(AND(G1091=0),D1091*E1091*F1091,D1091*E1091*F1091*G1091))))))</f>
        <v>0</v>
      </c>
      <c r="I1091" s="40"/>
      <c r="J1091" s="41" t="str">
        <f>IF(AND(E1091=0,F1091&lt;&gt;0,G1091&lt;&gt;0),"m2",IF(AND(F1091=0,E1091&lt;&gt;0,G1091&lt;&gt;0),"m2",IF(AND(G1091=0,E1091&lt;&gt;0,F1091&lt;&gt;0),"m2",IF(AND(F1091=0,G1091=0),"ml",IF(AND(E1091=0,G1091=0),"ml",IF(AND(E1091=0,F1091=0),"ml",IF(AND(E1091&lt;&gt;0,F1091&lt;&gt;0,G1091&lt;&gt;0),"m3",0)))))))</f>
        <v>ml</v>
      </c>
    </row>
    <row r="1092" spans="2:10" s="1" customFormat="1" ht="12.75" x14ac:dyDescent="0.2">
      <c r="B1092" s="57"/>
      <c r="C1092" s="39" t="s">
        <v>429</v>
      </c>
      <c r="D1092" s="40"/>
      <c r="E1092" s="40"/>
      <c r="F1092" s="40"/>
      <c r="G1092" s="40"/>
      <c r="H1092" s="40">
        <f>IF(AND(F1092=0,G1092=0),D1092*E1092,IF(AND(E1092=0,G1092=0),D1092*F1092,IF(AND(E1092=0,F1092=0),D1092*G1092,IF(AND(E1092=0),D1092*F1092*G1092,IF(AND(F1092=0),D1092*E1092*G1092,IF(AND(G1092=0),D1092*E1092*F1092,D1092*E1092*F1092*G1092))))))</f>
        <v>0</v>
      </c>
      <c r="I1092" s="40"/>
      <c r="J1092" s="41" t="str">
        <f>IF(AND(E1092=0,F1092&lt;&gt;0,G1092&lt;&gt;0),"m2",IF(AND(F1092=0,E1092&lt;&gt;0,G1092&lt;&gt;0),"m2",IF(AND(G1092=0,E1092&lt;&gt;0,F1092&lt;&gt;0),"m2",IF(AND(F1092=0,G1092=0),"ml",IF(AND(E1092=0,G1092=0),"ml",IF(AND(E1092=0,F1092=0),"ml",IF(AND(E1092&lt;&gt;0,F1092&lt;&gt;0,G1092&lt;&gt;0),"m3",0)))))))</f>
        <v>ml</v>
      </c>
    </row>
    <row r="1093" spans="2:10" s="1" customFormat="1" ht="12.75" x14ac:dyDescent="0.2">
      <c r="B1093" s="43" t="s">
        <v>244</v>
      </c>
      <c r="C1093" s="43" t="s">
        <v>247</v>
      </c>
      <c r="D1093" s="60"/>
      <c r="E1093" s="40"/>
      <c r="F1093" s="40"/>
      <c r="G1093" s="40"/>
      <c r="H1093" s="40"/>
      <c r="I1093" s="44">
        <f>SUM(H1094:H1094)</f>
        <v>0</v>
      </c>
      <c r="J1093" s="45" t="str">
        <f>+J1094</f>
        <v>ml</v>
      </c>
    </row>
    <row r="1094" spans="2:10" s="1" customFormat="1" ht="12.75" x14ac:dyDescent="0.2">
      <c r="B1094" s="57"/>
      <c r="C1094" s="39" t="s">
        <v>396</v>
      </c>
      <c r="D1094" s="40"/>
      <c r="E1094" s="40"/>
      <c r="F1094" s="40"/>
      <c r="G1094" s="40"/>
      <c r="H1094" s="40">
        <f>IF(AND(F1094=0,G1094=0),D1094*E1094,IF(AND(E1094=0,G1094=0),D1094*F1094,IF(AND(E1094=0,F1094=0),D1094*G1094,IF(AND(E1094=0),D1094*F1094*G1094,IF(AND(F1094=0),D1094*E1094*G1094,IF(AND(G1094=0),D1094*E1094*F1094,D1094*E1094*F1094*G1094))))))</f>
        <v>0</v>
      </c>
      <c r="I1094" s="40"/>
      <c r="J1094" s="41" t="str">
        <f>IF(AND(E1094=0,F1094&lt;&gt;0,G1094&lt;&gt;0),"m2",IF(AND(F1094=0,E1094&lt;&gt;0,G1094&lt;&gt;0),"m2",IF(AND(G1094=0,E1094&lt;&gt;0,F1094&lt;&gt;0),"m2",IF(AND(F1094=0,G1094=0),"ml",IF(AND(E1094=0,G1094=0),"ml",IF(AND(E1094=0,F1094=0),"ml",IF(AND(E1094&lt;&gt;0,F1094&lt;&gt;0,G1094&lt;&gt;0),"m3",0)))))))</f>
        <v>ml</v>
      </c>
    </row>
    <row r="1095" spans="2:10" s="1" customFormat="1" ht="12.75" x14ac:dyDescent="0.2">
      <c r="B1095" s="43" t="s">
        <v>248</v>
      </c>
      <c r="C1095" s="43" t="s">
        <v>226</v>
      </c>
      <c r="D1095" s="60"/>
      <c r="E1095" s="40"/>
      <c r="F1095" s="40"/>
      <c r="G1095" s="40"/>
      <c r="H1095" s="40"/>
      <c r="I1095" s="44">
        <f>SUM(H1096:H1097)</f>
        <v>0</v>
      </c>
      <c r="J1095" s="45" t="str">
        <f>+J1097</f>
        <v>ml</v>
      </c>
    </row>
    <row r="1096" spans="2:10" s="1" customFormat="1" ht="12.75" x14ac:dyDescent="0.2">
      <c r="B1096" s="43"/>
      <c r="C1096" s="39" t="s">
        <v>371</v>
      </c>
      <c r="D1096" s="40"/>
      <c r="E1096" s="40"/>
      <c r="F1096" s="40"/>
      <c r="G1096" s="40"/>
      <c r="H1096" s="40">
        <f>IF(AND(F1096=0,G1096=0),D1096*E1096,IF(AND(E1096=0,G1096=0),D1096*F1096,IF(AND(E1096=0,F1096=0),D1096*G1096,IF(AND(E1096=0),D1096*F1096*G1096,IF(AND(F1096=0),D1096*E1096*G1096,IF(AND(G1096=0),D1096*E1096*F1096,D1096*E1096*F1096*G1096))))))</f>
        <v>0</v>
      </c>
      <c r="I1096" s="40"/>
      <c r="J1096" s="41" t="str">
        <f>IF(AND(E1096=0,F1096&lt;&gt;0,G1096&lt;&gt;0),"m2",IF(AND(F1096=0,E1096&lt;&gt;0,G1096&lt;&gt;0),"m2",IF(AND(G1096=0,E1096&lt;&gt;0,F1096&lt;&gt;0),"m2",IF(AND(F1096=0,G1096=0),"ml",IF(AND(E1096=0,G1096=0),"ml",IF(AND(E1096=0,F1096=0),"ml",IF(AND(E1096&lt;&gt;0,F1096&lt;&gt;0,G1096&lt;&gt;0),"m3",0)))))))</f>
        <v>ml</v>
      </c>
    </row>
    <row r="1097" spans="2:10" s="1" customFormat="1" ht="12.75" x14ac:dyDescent="0.2">
      <c r="B1097" s="57"/>
      <c r="C1097" s="39" t="s">
        <v>371</v>
      </c>
      <c r="D1097" s="40"/>
      <c r="E1097" s="40"/>
      <c r="F1097" s="40"/>
      <c r="G1097" s="40"/>
      <c r="H1097" s="40">
        <f>IF(AND(F1097=0,G1097=0),D1097*E1097,IF(AND(E1097=0,G1097=0),D1097*F1097,IF(AND(E1097=0,F1097=0),D1097*G1097,IF(AND(E1097=0),D1097*F1097*G1097,IF(AND(F1097=0),D1097*E1097*G1097,IF(AND(G1097=0),D1097*E1097*F1097,D1097*E1097*F1097*G1097))))))</f>
        <v>0</v>
      </c>
      <c r="I1097" s="40"/>
      <c r="J1097" s="41" t="str">
        <f>IF(AND(E1097=0,F1097&lt;&gt;0,G1097&lt;&gt;0),"m2",IF(AND(F1097=0,E1097&lt;&gt;0,G1097&lt;&gt;0),"m2",IF(AND(G1097=0,E1097&lt;&gt;0,F1097&lt;&gt;0),"m2",IF(AND(F1097=0,G1097=0),"ml",IF(AND(E1097=0,G1097=0),"ml",IF(AND(E1097=0,F1097=0),"ml",IF(AND(E1097&lt;&gt;0,F1097&lt;&gt;0,G1097&lt;&gt;0),"m3",0)))))))</f>
        <v>ml</v>
      </c>
    </row>
    <row r="1098" spans="2:10" s="1" customFormat="1" ht="12.75" x14ac:dyDescent="0.2">
      <c r="B1098" s="57"/>
      <c r="C1098" s="39"/>
      <c r="D1098" s="60"/>
      <c r="E1098" s="40"/>
      <c r="F1098" s="40"/>
      <c r="G1098" s="40"/>
      <c r="H1098" s="40"/>
      <c r="I1098" s="40"/>
      <c r="J1098" s="41"/>
    </row>
    <row r="1099" spans="2:10" s="1" customFormat="1" ht="12.75" x14ac:dyDescent="0.2">
      <c r="B1099" s="43" t="s">
        <v>249</v>
      </c>
      <c r="C1099" s="43" t="s">
        <v>228</v>
      </c>
      <c r="D1099" s="60"/>
      <c r="E1099" s="40"/>
      <c r="F1099" s="40"/>
      <c r="G1099" s="40"/>
      <c r="H1099" s="40"/>
      <c r="I1099" s="44">
        <f>SUM(H1100:H1100)</f>
        <v>0</v>
      </c>
      <c r="J1099" s="45" t="str">
        <f>+J1100</f>
        <v>ml</v>
      </c>
    </row>
    <row r="1100" spans="2:10" s="1" customFormat="1" ht="12.75" x14ac:dyDescent="0.2">
      <c r="B1100" s="57"/>
      <c r="C1100" s="39" t="s">
        <v>399</v>
      </c>
      <c r="D1100" s="40"/>
      <c r="E1100" s="40"/>
      <c r="F1100" s="40"/>
      <c r="G1100" s="40"/>
      <c r="H1100" s="40">
        <f>IF(AND(F1100=0,G1100=0),D1100*E1100,IF(AND(E1100=0,G1100=0),D1100*F1100,IF(AND(E1100=0,F1100=0),D1100*G1100,IF(AND(E1100=0),D1100*F1100*G1100,IF(AND(F1100=0),D1100*E1100*G1100,IF(AND(G1100=0),D1100*E1100*F1100,D1100*E1100*F1100*G1100))))))</f>
        <v>0</v>
      </c>
      <c r="I1100" s="40"/>
      <c r="J1100" s="41" t="str">
        <f>IF(AND(E1100=0,F1100&lt;&gt;0,G1100&lt;&gt;0),"m2",IF(AND(F1100=0,E1100&lt;&gt;0,G1100&lt;&gt;0),"m2",IF(AND(G1100=0,E1100&lt;&gt;0,F1100&lt;&gt;0),"m2",IF(AND(F1100=0,G1100=0),"ml",IF(AND(E1100=0,G1100=0),"ml",IF(AND(E1100=0,F1100=0),"ml",IF(AND(E1100&lt;&gt;0,F1100&lt;&gt;0,G1100&lt;&gt;0),"m3",0)))))))</f>
        <v>ml</v>
      </c>
    </row>
    <row r="1101" spans="2:10" s="1" customFormat="1" ht="12.75" x14ac:dyDescent="0.2">
      <c r="B1101" s="43" t="s">
        <v>256</v>
      </c>
      <c r="C1101" s="43" t="s">
        <v>250</v>
      </c>
      <c r="D1101" s="60"/>
      <c r="E1101" s="40"/>
      <c r="F1101" s="40"/>
      <c r="G1101" s="40"/>
      <c r="H1101" s="40"/>
      <c r="I1101" s="44">
        <f>SUM(H1102:H1102)</f>
        <v>15.9</v>
      </c>
      <c r="J1101" s="45" t="str">
        <f>+J1102</f>
        <v>ml</v>
      </c>
    </row>
    <row r="1102" spans="2:10" s="1" customFormat="1" ht="12.75" x14ac:dyDescent="0.2">
      <c r="B1102" s="57"/>
      <c r="C1102" s="39" t="s">
        <v>521</v>
      </c>
      <c r="D1102" s="40">
        <v>1</v>
      </c>
      <c r="E1102" s="40">
        <f>0.8+15.1</f>
        <v>15.9</v>
      </c>
      <c r="F1102" s="40"/>
      <c r="G1102" s="40"/>
      <c r="H1102" s="40">
        <f>IF(AND(F1102=0,G1102=0),D1102*E1102,IF(AND(E1102=0,G1102=0),D1102*F1102,IF(AND(E1102=0,F1102=0),D1102*G1102,IF(AND(E1102=0),D1102*F1102*G1102,IF(AND(F1102=0),D1102*E1102*G1102,IF(AND(G1102=0),D1102*E1102*F1102,D1102*E1102*F1102*G1102))))))</f>
        <v>15.9</v>
      </c>
      <c r="I1102" s="40"/>
      <c r="J1102" s="41" t="str">
        <f>IF(AND(E1102=0,F1102&lt;&gt;0,G1102&lt;&gt;0),"m2",IF(AND(F1102=0,E1102&lt;&gt;0,G1102&lt;&gt;0),"m2",IF(AND(G1102=0,E1102&lt;&gt;0,F1102&lt;&gt;0),"m2",IF(AND(F1102=0,G1102=0),"ml",IF(AND(E1102=0,G1102=0),"ml",IF(AND(E1102=0,F1102=0),"ml",IF(AND(E1102&lt;&gt;0,F1102&lt;&gt;0,G1102&lt;&gt;0),"m3",0)))))))</f>
        <v>ml</v>
      </c>
    </row>
    <row r="1103" spans="2:10" s="1" customFormat="1" ht="12.75" x14ac:dyDescent="0.2">
      <c r="B1103" s="57"/>
      <c r="C1103" s="39"/>
      <c r="D1103" s="60"/>
      <c r="E1103" s="40"/>
      <c r="F1103" s="40"/>
      <c r="G1103" s="40"/>
      <c r="H1103" s="40"/>
      <c r="I1103" s="40"/>
      <c r="J1103" s="41"/>
    </row>
    <row r="1104" spans="2:10" s="1" customFormat="1" ht="12.75" x14ac:dyDescent="0.2">
      <c r="B1104" s="43" t="s">
        <v>257</v>
      </c>
      <c r="C1104" s="43" t="s">
        <v>252</v>
      </c>
      <c r="D1104" s="60"/>
      <c r="E1104" s="40"/>
      <c r="F1104" s="40"/>
      <c r="G1104" s="40"/>
      <c r="H1104" s="40"/>
      <c r="I1104" s="44">
        <f>SUM(H1105:H1105)</f>
        <v>0</v>
      </c>
      <c r="J1104" s="45" t="str">
        <f>+J1105</f>
        <v>ml</v>
      </c>
    </row>
    <row r="1105" spans="2:10" s="1" customFormat="1" ht="12.75" x14ac:dyDescent="0.2">
      <c r="B1105" s="57"/>
      <c r="C1105" s="39" t="s">
        <v>397</v>
      </c>
      <c r="D1105" s="40"/>
      <c r="E1105" s="40"/>
      <c r="F1105" s="40"/>
      <c r="G1105" s="40"/>
      <c r="H1105" s="40">
        <f>IF(AND(F1105=0,G1105=0),D1105*E1105,IF(AND(E1105=0,G1105=0),D1105*F1105,IF(AND(E1105=0,F1105=0),D1105*G1105,IF(AND(E1105=0),D1105*F1105*G1105,IF(AND(F1105=0),D1105*E1105*G1105,IF(AND(G1105=0),D1105*E1105*F1105,D1105*E1105*F1105*G1105))))))</f>
        <v>0</v>
      </c>
      <c r="I1105" s="40"/>
      <c r="J1105" s="41" t="str">
        <f>IF(AND(E1105=0,F1105&lt;&gt;0,G1105&lt;&gt;0),"m2",IF(AND(F1105=0,E1105&lt;&gt;0,G1105&lt;&gt;0),"m2",IF(AND(G1105=0,E1105&lt;&gt;0,F1105&lt;&gt;0),"m2",IF(AND(F1105=0,G1105=0),"ml",IF(AND(E1105=0,G1105=0),"ml",IF(AND(E1105=0,F1105=0),"ml",IF(AND(E1105&lt;&gt;0,F1105&lt;&gt;0,G1105&lt;&gt;0),"m3",0)))))))</f>
        <v>ml</v>
      </c>
    </row>
    <row r="1106" spans="2:10" s="1" customFormat="1" ht="12.75" x14ac:dyDescent="0.2">
      <c r="B1106" s="43" t="s">
        <v>258</v>
      </c>
      <c r="C1106" s="43" t="s">
        <v>253</v>
      </c>
      <c r="D1106" s="60"/>
      <c r="E1106" s="40"/>
      <c r="F1106" s="40"/>
      <c r="G1106" s="40"/>
      <c r="H1106" s="40"/>
      <c r="I1106" s="44">
        <f>SUM(H1107:H1107)</f>
        <v>0</v>
      </c>
      <c r="J1106" s="45" t="str">
        <f>+J1107</f>
        <v>und</v>
      </c>
    </row>
    <row r="1107" spans="2:10" s="1" customFormat="1" ht="12.75" x14ac:dyDescent="0.2">
      <c r="B1107" s="43"/>
      <c r="C1107" s="39" t="s">
        <v>402</v>
      </c>
      <c r="D1107" s="40"/>
      <c r="E1107" s="40"/>
      <c r="F1107" s="40"/>
      <c r="G1107" s="40"/>
      <c r="H1107" s="40">
        <f>+D1107</f>
        <v>0</v>
      </c>
      <c r="I1107" s="40"/>
      <c r="J1107" s="41" t="s">
        <v>13</v>
      </c>
    </row>
    <row r="1108" spans="2:10" s="1" customFormat="1" ht="12.75" x14ac:dyDescent="0.2">
      <c r="B1108" s="43" t="s">
        <v>259</v>
      </c>
      <c r="C1108" s="43" t="s">
        <v>254</v>
      </c>
      <c r="D1108" s="60"/>
      <c r="E1108" s="40"/>
      <c r="F1108" s="40"/>
      <c r="G1108" s="40"/>
      <c r="H1108" s="40"/>
      <c r="I1108" s="44">
        <f>SUM(H1109:H1109)</f>
        <v>0</v>
      </c>
      <c r="J1108" s="45" t="str">
        <f>+J1109</f>
        <v>und</v>
      </c>
    </row>
    <row r="1109" spans="2:10" s="1" customFormat="1" ht="12.75" x14ac:dyDescent="0.2">
      <c r="B1109" s="57"/>
      <c r="C1109" s="39" t="s">
        <v>238</v>
      </c>
      <c r="D1109" s="40"/>
      <c r="E1109" s="40"/>
      <c r="F1109" s="40"/>
      <c r="G1109" s="40"/>
      <c r="H1109" s="40">
        <f>+D1109</f>
        <v>0</v>
      </c>
      <c r="I1109" s="40"/>
      <c r="J1109" s="41" t="s">
        <v>13</v>
      </c>
    </row>
    <row r="1110" spans="2:10" s="1" customFormat="1" ht="12.75" x14ac:dyDescent="0.2">
      <c r="B1110" s="43" t="s">
        <v>260</v>
      </c>
      <c r="C1110" s="43" t="s">
        <v>255</v>
      </c>
      <c r="D1110" s="60"/>
      <c r="E1110" s="40"/>
      <c r="F1110" s="40"/>
      <c r="G1110" s="40"/>
      <c r="H1110" s="40"/>
      <c r="I1110" s="44">
        <f>SUM(H1111:H1111)</f>
        <v>0</v>
      </c>
      <c r="J1110" s="45" t="str">
        <f>+J1111</f>
        <v>und</v>
      </c>
    </row>
    <row r="1111" spans="2:10" s="1" customFormat="1" ht="12.75" x14ac:dyDescent="0.2">
      <c r="B1111" s="57"/>
      <c r="C1111" s="39" t="s">
        <v>395</v>
      </c>
      <c r="D1111" s="40"/>
      <c r="E1111" s="40"/>
      <c r="F1111" s="40"/>
      <c r="G1111" s="40"/>
      <c r="H1111" s="40">
        <f>+D1111</f>
        <v>0</v>
      </c>
      <c r="I1111" s="40"/>
      <c r="J1111" s="41" t="s">
        <v>13</v>
      </c>
    </row>
    <row r="1112" spans="2:10" s="1" customFormat="1" ht="12.75" x14ac:dyDescent="0.2">
      <c r="B1112" s="57"/>
      <c r="C1112" s="39"/>
      <c r="D1112" s="60"/>
      <c r="E1112" s="40"/>
      <c r="F1112" s="40"/>
      <c r="G1112" s="40"/>
      <c r="H1112" s="40"/>
      <c r="I1112" s="40"/>
      <c r="J1112" s="41"/>
    </row>
    <row r="1113" spans="2:10" s="1" customFormat="1" ht="12.75" x14ac:dyDescent="0.2">
      <c r="B1113" s="57" t="s">
        <v>18</v>
      </c>
      <c r="C1113" s="58" t="s">
        <v>223</v>
      </c>
      <c r="D1113" s="60"/>
      <c r="E1113" s="40"/>
      <c r="F1113" s="40"/>
      <c r="G1113" s="40"/>
      <c r="H1113" s="40"/>
      <c r="I1113" s="40"/>
      <c r="J1113" s="41"/>
    </row>
    <row r="1114" spans="2:10" s="1" customFormat="1" ht="12.75" x14ac:dyDescent="0.2">
      <c r="B1114" s="43" t="s">
        <v>19</v>
      </c>
      <c r="C1114" s="43" t="s">
        <v>265</v>
      </c>
      <c r="D1114" s="60"/>
      <c r="E1114" s="40"/>
      <c r="F1114" s="40"/>
      <c r="G1114" s="40"/>
      <c r="H1114" s="40"/>
      <c r="I1114" s="44">
        <f>SUM(H1115:H1116)</f>
        <v>0</v>
      </c>
      <c r="J1114" s="45" t="str">
        <f>+J1115</f>
        <v>und</v>
      </c>
    </row>
    <row r="1115" spans="2:10" s="1" customFormat="1" ht="12.75" x14ac:dyDescent="0.2">
      <c r="B1115" s="46"/>
      <c r="C1115" s="39" t="s">
        <v>361</v>
      </c>
      <c r="D1115" s="40"/>
      <c r="E1115" s="40"/>
      <c r="F1115" s="40"/>
      <c r="G1115" s="40"/>
      <c r="H1115" s="40">
        <f>+D1115</f>
        <v>0</v>
      </c>
      <c r="I1115" s="40"/>
      <c r="J1115" s="41" t="s">
        <v>13</v>
      </c>
    </row>
    <row r="1116" spans="2:10" s="1" customFormat="1" ht="12.75" x14ac:dyDescent="0.2">
      <c r="B1116" s="46"/>
      <c r="C1116" s="39" t="s">
        <v>231</v>
      </c>
      <c r="D1116" s="40"/>
      <c r="E1116" s="40"/>
      <c r="F1116" s="40"/>
      <c r="G1116" s="40"/>
      <c r="H1116" s="40">
        <f>+D1116</f>
        <v>0</v>
      </c>
      <c r="I1116" s="40"/>
      <c r="J1116" s="41" t="s">
        <v>13</v>
      </c>
    </row>
    <row r="1117" spans="2:10" s="1" customFormat="1" ht="12.75" x14ac:dyDescent="0.2">
      <c r="B1117" s="43" t="s">
        <v>20</v>
      </c>
      <c r="C1117" s="43" t="s">
        <v>266</v>
      </c>
      <c r="D1117" s="60"/>
      <c r="E1117" s="40"/>
      <c r="F1117" s="40"/>
      <c r="G1117" s="40"/>
      <c r="H1117" s="40"/>
      <c r="I1117" s="44">
        <f>SUM(H1118:H1120)</f>
        <v>648</v>
      </c>
      <c r="J1117" s="45" t="str">
        <f>+J1118</f>
        <v>und</v>
      </c>
    </row>
    <row r="1118" spans="2:10" s="1" customFormat="1" ht="12.75" x14ac:dyDescent="0.2">
      <c r="B1118" s="43"/>
      <c r="C1118" s="39" t="s">
        <v>71</v>
      </c>
      <c r="D1118" s="113">
        <v>36</v>
      </c>
      <c r="E1118" s="113">
        <v>6</v>
      </c>
      <c r="F1118" s="40"/>
      <c r="G1118" s="40"/>
      <c r="H1118" s="40">
        <f>IF(AND(F1118=0,G1118=0),D1118*E1118,IF(AND(E1118=0,G1118=0),D1118*F1118,IF(AND(E1118=0,F1118=0),D1118*G1118,IF(AND(E1118=0),D1118*F1118*G1118,IF(AND(F1118=0),D1118*E1118*G1118,IF(AND(G1118=0),D1118*E1118*F1118,D1118*E1118*F1118*G1118))))))</f>
        <v>216</v>
      </c>
      <c r="I1118" s="40"/>
      <c r="J1118" s="41" t="s">
        <v>13</v>
      </c>
    </row>
    <row r="1119" spans="2:10" s="1" customFormat="1" ht="12.75" x14ac:dyDescent="0.2">
      <c r="B1119" s="43"/>
      <c r="C1119" s="39" t="s">
        <v>72</v>
      </c>
      <c r="D1119" s="113">
        <v>36</v>
      </c>
      <c r="E1119" s="113">
        <v>6</v>
      </c>
      <c r="F1119" s="40"/>
      <c r="G1119" s="40"/>
      <c r="H1119" s="40">
        <f>IF(AND(F1119=0,G1119=0),D1119*E1119,IF(AND(E1119=0,G1119=0),D1119*F1119,IF(AND(E1119=0,F1119=0),D1119*G1119,IF(AND(E1119=0),D1119*F1119*G1119,IF(AND(F1119=0),D1119*E1119*G1119,IF(AND(G1119=0),D1119*E1119*F1119,D1119*E1119*F1119*G1119))))))</f>
        <v>216</v>
      </c>
      <c r="I1119" s="40"/>
      <c r="J1119" s="41" t="s">
        <v>13</v>
      </c>
    </row>
    <row r="1120" spans="2:10" s="1" customFormat="1" ht="12.75" x14ac:dyDescent="0.2">
      <c r="B1120" s="43"/>
      <c r="C1120" s="39" t="s">
        <v>73</v>
      </c>
      <c r="D1120" s="113">
        <v>36</v>
      </c>
      <c r="E1120" s="113">
        <v>6</v>
      </c>
      <c r="F1120" s="40"/>
      <c r="G1120" s="40"/>
      <c r="H1120" s="40">
        <f>IF(AND(F1120=0,G1120=0),D1120*E1120,IF(AND(E1120=0,G1120=0),D1120*F1120,IF(AND(E1120=0,F1120=0),D1120*G1120,IF(AND(E1120=0),D1120*F1120*G1120,IF(AND(F1120=0),D1120*E1120*G1120,IF(AND(G1120=0),D1120*E1120*F1120,D1120*E1120*F1120*G1120))))))</f>
        <v>216</v>
      </c>
      <c r="I1120" s="40"/>
      <c r="J1120" s="41" t="s">
        <v>13</v>
      </c>
    </row>
    <row r="1121" spans="2:10" s="1" customFormat="1" ht="12.75" x14ac:dyDescent="0.2">
      <c r="B1121" s="43" t="s">
        <v>21</v>
      </c>
      <c r="C1121" s="43" t="s">
        <v>357</v>
      </c>
      <c r="D1121" s="60"/>
      <c r="E1121" s="40"/>
      <c r="F1121" s="40"/>
      <c r="G1121" s="40"/>
      <c r="H1121" s="40"/>
      <c r="I1121" s="44">
        <f>SUM(H1122:H1122)</f>
        <v>18</v>
      </c>
      <c r="J1121" s="45" t="str">
        <f>+J1122</f>
        <v>und</v>
      </c>
    </row>
    <row r="1122" spans="2:10" s="1" customFormat="1" ht="12.75" x14ac:dyDescent="0.2">
      <c r="B1122" s="43"/>
      <c r="C1122" s="39" t="s">
        <v>375</v>
      </c>
      <c r="D1122" s="40">
        <v>18</v>
      </c>
      <c r="E1122" s="40"/>
      <c r="F1122" s="40"/>
      <c r="G1122" s="40"/>
      <c r="H1122" s="40">
        <f t="shared" ref="H1122" si="18">+D1122</f>
        <v>18</v>
      </c>
      <c r="I1122" s="40"/>
      <c r="J1122" s="41" t="s">
        <v>13</v>
      </c>
    </row>
    <row r="1123" spans="2:10" s="1" customFormat="1" ht="12.75" x14ac:dyDescent="0.2">
      <c r="B1123" s="43" t="s">
        <v>273</v>
      </c>
      <c r="C1123" s="43" t="s">
        <v>263</v>
      </c>
      <c r="D1123" s="60"/>
      <c r="E1123" s="40"/>
      <c r="F1123" s="40"/>
      <c r="G1123" s="40"/>
      <c r="H1123" s="40"/>
      <c r="I1123" s="44">
        <f>SUM(H1124:H1124)</f>
        <v>0</v>
      </c>
      <c r="J1123" s="45" t="str">
        <f>+J1124</f>
        <v>und</v>
      </c>
    </row>
    <row r="1124" spans="2:10" s="1" customFormat="1" ht="12.75" x14ac:dyDescent="0.2">
      <c r="B1124" s="46"/>
      <c r="C1124" s="39" t="s">
        <v>420</v>
      </c>
      <c r="D1124" s="40"/>
      <c r="E1124" s="40"/>
      <c r="F1124" s="40"/>
      <c r="G1124" s="40"/>
      <c r="H1124" s="40">
        <f>+D1124</f>
        <v>0</v>
      </c>
      <c r="I1124" s="40"/>
      <c r="J1124" s="41" t="s">
        <v>13</v>
      </c>
    </row>
    <row r="1125" spans="2:10" s="1" customFormat="1" ht="12.75" x14ac:dyDescent="0.2">
      <c r="B1125" s="43" t="s">
        <v>274</v>
      </c>
      <c r="C1125" s="43" t="s">
        <v>264</v>
      </c>
      <c r="D1125" s="60"/>
      <c r="E1125" s="40"/>
      <c r="F1125" s="40"/>
      <c r="G1125" s="40"/>
      <c r="H1125" s="40"/>
      <c r="I1125" s="44">
        <f>SUM(H1126:H1126)</f>
        <v>0</v>
      </c>
      <c r="J1125" s="45" t="str">
        <f>+J1126</f>
        <v>und</v>
      </c>
    </row>
    <row r="1126" spans="2:10" s="1" customFormat="1" ht="12.75" x14ac:dyDescent="0.2">
      <c r="B1126" s="46"/>
      <c r="C1126" s="39" t="s">
        <v>420</v>
      </c>
      <c r="D1126" s="40"/>
      <c r="E1126" s="40"/>
      <c r="F1126" s="40"/>
      <c r="G1126" s="40"/>
      <c r="H1126" s="40">
        <f>+D1126</f>
        <v>0</v>
      </c>
      <c r="I1126" s="40"/>
      <c r="J1126" s="41" t="s">
        <v>13</v>
      </c>
    </row>
  </sheetData>
  <mergeCells count="56">
    <mergeCell ref="C219:H219"/>
    <mergeCell ref="B57:J57"/>
    <mergeCell ref="B58:J58"/>
    <mergeCell ref="B60:J60"/>
    <mergeCell ref="H61:I61"/>
    <mergeCell ref="C146:H146"/>
    <mergeCell ref="C147:H147"/>
    <mergeCell ref="B154:J154"/>
    <mergeCell ref="H155:I155"/>
    <mergeCell ref="C148:H148"/>
    <mergeCell ref="C149:H149"/>
    <mergeCell ref="C216:H216"/>
    <mergeCell ref="C217:H217"/>
    <mergeCell ref="C218:H218"/>
    <mergeCell ref="C55:H55"/>
    <mergeCell ref="C1:H1"/>
    <mergeCell ref="C2:H2"/>
    <mergeCell ref="C3:H3"/>
    <mergeCell ref="C4:H4"/>
    <mergeCell ref="B6:J6"/>
    <mergeCell ref="B8:J8"/>
    <mergeCell ref="B10:J10"/>
    <mergeCell ref="H11:I11"/>
    <mergeCell ref="C52:H52"/>
    <mergeCell ref="C53:H53"/>
    <mergeCell ref="C54:H54"/>
    <mergeCell ref="B224:J224"/>
    <mergeCell ref="H225:I225"/>
    <mergeCell ref="B307:J307"/>
    <mergeCell ref="H308:I308"/>
    <mergeCell ref="B389:J389"/>
    <mergeCell ref="C383:H383"/>
    <mergeCell ref="C384:H384"/>
    <mergeCell ref="C299:H299"/>
    <mergeCell ref="C300:H300"/>
    <mergeCell ref="C301:H301"/>
    <mergeCell ref="C302:H302"/>
    <mergeCell ref="C381:H381"/>
    <mergeCell ref="C382:H382"/>
    <mergeCell ref="H390:I390"/>
    <mergeCell ref="B468:J468"/>
    <mergeCell ref="H469:I469"/>
    <mergeCell ref="B552:J552"/>
    <mergeCell ref="H553:I553"/>
    <mergeCell ref="B628:J628"/>
    <mergeCell ref="H629:I629"/>
    <mergeCell ref="B709:J709"/>
    <mergeCell ref="H710:I710"/>
    <mergeCell ref="B784:J784"/>
    <mergeCell ref="B1060:J1060"/>
    <mergeCell ref="H1061:I1061"/>
    <mergeCell ref="H785:I785"/>
    <mergeCell ref="B881:J881"/>
    <mergeCell ref="H882:I882"/>
    <mergeCell ref="B972:J972"/>
    <mergeCell ref="H973:I973"/>
  </mergeCells>
  <phoneticPr fontId="18" type="noConversion"/>
  <pageMargins left="0.70866141732283472" right="0.70866141732283472" top="0.74803149606299213" bottom="0.74803149606299213" header="0.31496062992125984" footer="0.31496062992125984"/>
  <pageSetup paperSize="9" scale="53" fitToWidth="0" fitToHeight="0" orientation="portrait" r:id="rId1"/>
  <rowBreaks count="1" manualBreakCount="1">
    <brk id="50" min="1" max="9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 tint="0.39997558519241921"/>
  </sheetPr>
  <dimension ref="A1:AI3133"/>
  <sheetViews>
    <sheetView topLeftCell="A7" workbookViewId="0"/>
    <sheetView workbookViewId="1"/>
  </sheetViews>
  <sheetFormatPr baseColWidth="10" defaultRowHeight="15" x14ac:dyDescent="0.25"/>
  <cols>
    <col min="1" max="1" width="2.140625" customWidth="1"/>
    <col min="2" max="2" width="15.7109375" style="1" customWidth="1"/>
    <col min="3" max="3" width="48.7109375" style="1" customWidth="1"/>
    <col min="4" max="4" width="11.42578125" style="1"/>
    <col min="5" max="5" width="8" style="1" customWidth="1"/>
    <col min="6" max="6" width="11.42578125" style="1" customWidth="1"/>
    <col min="7" max="7" width="20.42578125" style="1" customWidth="1"/>
    <col min="8" max="8" width="11.42578125" style="1" customWidth="1"/>
    <col min="9" max="9" width="16.7109375" style="1" customWidth="1"/>
    <col min="10" max="10" width="8.85546875" style="1" customWidth="1"/>
    <col min="25" max="27" width="11.42578125" customWidth="1"/>
    <col min="28" max="28" width="16.5703125" bestFit="1" customWidth="1"/>
  </cols>
  <sheetData>
    <row r="1" spans="2:11" x14ac:dyDescent="0.25">
      <c r="C1" s="499" t="s">
        <v>37</v>
      </c>
      <c r="D1" s="499"/>
      <c r="E1" s="499"/>
      <c r="F1" s="499"/>
      <c r="G1" s="499"/>
      <c r="H1" s="499"/>
    </row>
    <row r="2" spans="2:11" x14ac:dyDescent="0.25">
      <c r="C2" s="499" t="s">
        <v>38</v>
      </c>
      <c r="D2" s="499"/>
      <c r="E2" s="499"/>
      <c r="F2" s="499"/>
      <c r="G2" s="499"/>
      <c r="H2" s="499"/>
    </row>
    <row r="3" spans="2:11" x14ac:dyDescent="0.25">
      <c r="C3" s="499" t="s">
        <v>39</v>
      </c>
      <c r="D3" s="499"/>
      <c r="E3" s="499"/>
      <c r="F3" s="499"/>
      <c r="G3" s="499"/>
      <c r="H3" s="499"/>
    </row>
    <row r="4" spans="2:11" x14ac:dyDescent="0.25">
      <c r="C4" s="500" t="s">
        <v>40</v>
      </c>
      <c r="D4" s="500"/>
      <c r="E4" s="500"/>
      <c r="F4" s="500"/>
      <c r="G4" s="500"/>
      <c r="H4" s="500"/>
    </row>
    <row r="5" spans="2:11" x14ac:dyDescent="0.25">
      <c r="C5" s="80"/>
      <c r="D5" s="80"/>
      <c r="E5" s="80"/>
      <c r="F5" s="80"/>
      <c r="G5" s="80"/>
      <c r="H5" s="80"/>
    </row>
    <row r="6" spans="2:11" x14ac:dyDescent="0.25">
      <c r="B6" s="538" t="s">
        <v>28</v>
      </c>
      <c r="C6" s="539"/>
      <c r="D6" s="539"/>
      <c r="E6" s="539"/>
      <c r="F6" s="539"/>
      <c r="G6" s="539"/>
      <c r="H6" s="539"/>
      <c r="I6" s="539"/>
      <c r="J6" s="540"/>
    </row>
    <row r="8" spans="2:11" x14ac:dyDescent="0.25">
      <c r="B8" s="541" t="s">
        <v>275</v>
      </c>
      <c r="C8" s="541"/>
      <c r="D8" s="541"/>
      <c r="E8" s="541"/>
      <c r="F8" s="541"/>
      <c r="G8" s="541"/>
      <c r="H8" s="541"/>
      <c r="I8" s="541"/>
      <c r="J8" s="541"/>
    </row>
    <row r="9" spans="2:11" ht="15.75" thickBot="1" x14ac:dyDescent="0.3">
      <c r="B9" s="81"/>
      <c r="C9" s="81"/>
      <c r="D9" s="81"/>
      <c r="E9" s="81"/>
      <c r="F9" s="81"/>
      <c r="G9" s="81"/>
      <c r="H9" s="81"/>
      <c r="I9" s="81"/>
      <c r="J9" s="81"/>
    </row>
    <row r="10" spans="2:11" ht="31.5" customHeight="1" x14ac:dyDescent="0.25">
      <c r="B10" s="494" t="s">
        <v>27</v>
      </c>
      <c r="C10" s="495"/>
      <c r="D10" s="495"/>
      <c r="E10" s="495"/>
      <c r="F10" s="495"/>
      <c r="G10" s="495"/>
      <c r="H10" s="495"/>
      <c r="I10" s="495"/>
      <c r="J10" s="496"/>
    </row>
    <row r="11" spans="2:11" x14ac:dyDescent="0.25">
      <c r="B11" s="2" t="s">
        <v>35</v>
      </c>
      <c r="C11" s="3" t="s">
        <v>36</v>
      </c>
      <c r="D11" s="3"/>
      <c r="E11" s="4"/>
      <c r="F11" s="5"/>
      <c r="G11" s="6" t="s">
        <v>8</v>
      </c>
      <c r="H11" s="497">
        <v>42887</v>
      </c>
      <c r="I11" s="497"/>
      <c r="J11" s="7"/>
    </row>
    <row r="12" spans="2:11" x14ac:dyDescent="0.25">
      <c r="B12" s="2" t="s">
        <v>33</v>
      </c>
      <c r="C12" s="3" t="s">
        <v>29</v>
      </c>
      <c r="D12" s="8"/>
      <c r="E12" s="8"/>
      <c r="F12" s="3"/>
      <c r="G12" s="9" t="s">
        <v>32</v>
      </c>
      <c r="H12" s="4" t="s">
        <v>29</v>
      </c>
      <c r="I12" s="10"/>
      <c r="J12" s="11"/>
    </row>
    <row r="13" spans="2:11" x14ac:dyDescent="0.25">
      <c r="B13" s="2" t="s">
        <v>34</v>
      </c>
      <c r="C13" s="3" t="s">
        <v>29</v>
      </c>
      <c r="D13" s="8"/>
      <c r="E13" s="8"/>
      <c r="F13" s="3"/>
      <c r="G13" s="9" t="s">
        <v>30</v>
      </c>
      <c r="H13" s="4" t="s">
        <v>31</v>
      </c>
      <c r="I13" s="10"/>
      <c r="J13" s="11"/>
    </row>
    <row r="14" spans="2:11" ht="15.75" thickBot="1" x14ac:dyDescent="0.3">
      <c r="B14" s="12" t="s">
        <v>43</v>
      </c>
      <c r="C14" s="13" t="s">
        <v>44</v>
      </c>
      <c r="D14" s="14"/>
      <c r="E14" s="14"/>
      <c r="F14" s="13"/>
      <c r="G14" s="15" t="s">
        <v>41</v>
      </c>
      <c r="H14" s="16" t="s">
        <v>42</v>
      </c>
      <c r="I14" s="17"/>
      <c r="J14" s="18"/>
    </row>
    <row r="15" spans="2:11" x14ac:dyDescent="0.25">
      <c r="B15" s="19"/>
      <c r="C15" s="3"/>
      <c r="D15" s="8"/>
      <c r="E15" s="8"/>
      <c r="F15" s="3"/>
      <c r="G15" s="9"/>
      <c r="H15" s="4"/>
      <c r="I15" s="10"/>
      <c r="J15" s="20"/>
    </row>
    <row r="16" spans="2:11" x14ac:dyDescent="0.25">
      <c r="B16" s="47" t="s">
        <v>5</v>
      </c>
      <c r="C16" s="48" t="s">
        <v>0</v>
      </c>
      <c r="D16" s="49"/>
      <c r="E16" s="49"/>
      <c r="F16" s="49"/>
      <c r="G16" s="49"/>
      <c r="H16" s="50"/>
      <c r="I16" s="51" t="s">
        <v>6</v>
      </c>
      <c r="J16" s="51" t="s">
        <v>7</v>
      </c>
      <c r="K16" t="s">
        <v>552</v>
      </c>
    </row>
    <row r="17" spans="2:10" x14ac:dyDescent="0.25">
      <c r="B17" s="71">
        <v>4</v>
      </c>
      <c r="C17" s="72" t="s">
        <v>66</v>
      </c>
      <c r="D17" s="23"/>
      <c r="E17" s="23"/>
      <c r="F17" s="23"/>
      <c r="G17" s="23"/>
      <c r="H17" s="24"/>
      <c r="I17" s="25"/>
      <c r="J17" s="26"/>
    </row>
    <row r="18" spans="2:10" x14ac:dyDescent="0.25">
      <c r="B18" s="71">
        <f>+B146</f>
        <v>4.03</v>
      </c>
      <c r="C18" s="72" t="str">
        <f>LOOKUP(B18,$B$146:$B$3076,$C$146:$C$3076)</f>
        <v>SISTEMA DE DRENAJE PLUVIAL</v>
      </c>
      <c r="D18" s="23"/>
      <c r="E18" s="23"/>
      <c r="F18" s="23"/>
      <c r="G18" s="23"/>
      <c r="H18" s="24"/>
      <c r="I18" s="25"/>
      <c r="J18" s="26"/>
    </row>
    <row r="19" spans="2:10" x14ac:dyDescent="0.25">
      <c r="B19" s="73" t="s">
        <v>14</v>
      </c>
      <c r="C19" s="73" t="s">
        <v>615</v>
      </c>
      <c r="D19" s="23"/>
      <c r="E19" s="23"/>
      <c r="F19" s="23"/>
      <c r="G19" s="23"/>
      <c r="H19" s="24"/>
      <c r="I19" s="25"/>
      <c r="J19" s="26"/>
    </row>
    <row r="20" spans="2:10" x14ac:dyDescent="0.25">
      <c r="B20" s="107" t="s">
        <v>766</v>
      </c>
      <c r="C20" s="343" t="s">
        <v>616</v>
      </c>
      <c r="D20" s="23"/>
      <c r="E20" s="23"/>
      <c r="F20" s="23"/>
      <c r="G20" s="23"/>
      <c r="H20" s="24"/>
      <c r="I20" s="25">
        <f ca="1">SUMIF($B$146:$J$3123,B20,$I$146:$I$3123)</f>
        <v>412.67254800000006</v>
      </c>
      <c r="J20" s="26" t="s">
        <v>45</v>
      </c>
    </row>
    <row r="21" spans="2:10" x14ac:dyDescent="0.25">
      <c r="B21" s="107" t="s">
        <v>767</v>
      </c>
      <c r="C21" s="343" t="s">
        <v>617</v>
      </c>
      <c r="D21" s="23"/>
      <c r="E21" s="23"/>
      <c r="F21" s="23"/>
      <c r="G21" s="23"/>
      <c r="H21" s="24"/>
      <c r="I21" s="25">
        <f ca="1">+I20</f>
        <v>412.67254800000006</v>
      </c>
      <c r="J21" s="26" t="s">
        <v>45</v>
      </c>
    </row>
    <row r="22" spans="2:10" x14ac:dyDescent="0.25">
      <c r="B22" s="71"/>
      <c r="C22" s="28"/>
      <c r="D22" s="23"/>
      <c r="E22" s="23"/>
      <c r="F22" s="23"/>
      <c r="G22" s="23"/>
      <c r="H22" s="24"/>
      <c r="I22" s="25"/>
      <c r="J22" s="26"/>
    </row>
    <row r="23" spans="2:10" x14ac:dyDescent="0.25">
      <c r="B23" s="73" t="s">
        <v>16</v>
      </c>
      <c r="C23" s="73" t="s">
        <v>618</v>
      </c>
      <c r="D23" s="23"/>
      <c r="E23" s="23"/>
      <c r="F23" s="23"/>
      <c r="G23" s="23"/>
      <c r="H23" s="24"/>
      <c r="I23" s="25"/>
      <c r="J23" s="26"/>
    </row>
    <row r="24" spans="2:10" x14ac:dyDescent="0.25">
      <c r="B24" s="107" t="s">
        <v>768</v>
      </c>
      <c r="C24" s="343" t="s">
        <v>619</v>
      </c>
      <c r="D24" s="23"/>
      <c r="E24" s="23"/>
      <c r="F24" s="23"/>
      <c r="G24" s="23"/>
      <c r="H24" s="24"/>
      <c r="I24" s="25">
        <f ca="1">SUMIF($B$146:$J$3123,B24,$I$146:$I$3123)</f>
        <v>20.625</v>
      </c>
      <c r="J24" s="26" t="s">
        <v>4</v>
      </c>
    </row>
    <row r="25" spans="2:10" x14ac:dyDescent="0.25">
      <c r="B25" s="107" t="s">
        <v>769</v>
      </c>
      <c r="C25" s="343" t="s">
        <v>635</v>
      </c>
      <c r="D25" s="23"/>
      <c r="E25" s="23"/>
      <c r="F25" s="23"/>
      <c r="G25" s="23"/>
      <c r="H25" s="24"/>
      <c r="I25" s="25">
        <f ca="1">SUMIF($B$146:$J$3070,B25,$I$146:$I$3073)</f>
        <v>96.768000000000001</v>
      </c>
      <c r="J25" s="26" t="s">
        <v>45</v>
      </c>
    </row>
    <row r="26" spans="2:10" x14ac:dyDescent="0.25">
      <c r="B26" s="71"/>
      <c r="C26" s="28"/>
      <c r="D26" s="23"/>
      <c r="E26" s="23"/>
      <c r="F26" s="23"/>
      <c r="G26" s="23"/>
      <c r="H26" s="24"/>
      <c r="I26" s="25"/>
      <c r="J26" s="26"/>
    </row>
    <row r="27" spans="2:10" x14ac:dyDescent="0.25">
      <c r="B27" s="73" t="s">
        <v>16</v>
      </c>
      <c r="C27" s="73" t="s">
        <v>679</v>
      </c>
      <c r="D27" s="23"/>
      <c r="E27" s="23"/>
      <c r="F27" s="23"/>
      <c r="G27" s="23"/>
      <c r="H27" s="24"/>
      <c r="I27" s="25"/>
      <c r="J27" s="26"/>
    </row>
    <row r="28" spans="2:10" x14ac:dyDescent="0.25">
      <c r="B28" s="71"/>
      <c r="C28" s="343" t="s">
        <v>737</v>
      </c>
      <c r="D28" s="23"/>
      <c r="E28" s="23"/>
      <c r="F28" s="23"/>
      <c r="G28" s="23"/>
      <c r="H28" s="24"/>
      <c r="I28" s="25">
        <f ca="1">+I25</f>
        <v>96.768000000000001</v>
      </c>
      <c r="J28" s="26" t="s">
        <v>45</v>
      </c>
    </row>
    <row r="29" spans="2:10" x14ac:dyDescent="0.25">
      <c r="B29" s="107" t="s">
        <v>770</v>
      </c>
      <c r="C29" s="343" t="s">
        <v>792</v>
      </c>
      <c r="D29" s="23"/>
      <c r="E29" s="23"/>
      <c r="F29" s="23"/>
      <c r="G29" s="23"/>
      <c r="H29" s="24"/>
      <c r="I29" s="25">
        <f ca="1">SUMIF($B$146:$J$3123,B29,$I$146:$I$3123)</f>
        <v>12</v>
      </c>
      <c r="J29" s="26" t="s">
        <v>45</v>
      </c>
    </row>
    <row r="30" spans="2:10" x14ac:dyDescent="0.25">
      <c r="B30" s="71"/>
      <c r="C30" s="28"/>
      <c r="D30" s="23"/>
      <c r="E30" s="23"/>
      <c r="F30" s="23"/>
      <c r="G30" s="23"/>
      <c r="H30" s="24"/>
      <c r="I30" s="25"/>
      <c r="J30" s="26"/>
    </row>
    <row r="31" spans="2:10" x14ac:dyDescent="0.25">
      <c r="B31" s="73" t="s">
        <v>18</v>
      </c>
      <c r="C31" s="73" t="s">
        <v>620</v>
      </c>
      <c r="D31" s="23"/>
      <c r="E31" s="23"/>
      <c r="F31" s="23"/>
      <c r="G31" s="23"/>
      <c r="H31" s="24"/>
      <c r="I31" s="25"/>
      <c r="J31" s="26"/>
    </row>
    <row r="32" spans="2:10" x14ac:dyDescent="0.25">
      <c r="B32" s="107" t="s">
        <v>771</v>
      </c>
      <c r="C32" s="370" t="s">
        <v>621</v>
      </c>
      <c r="D32" s="23"/>
      <c r="E32" s="23"/>
      <c r="F32" s="23"/>
      <c r="G32" s="23"/>
      <c r="H32" s="24"/>
      <c r="I32" s="25">
        <f>+I973</f>
        <v>30.3018</v>
      </c>
      <c r="J32" s="26" t="s">
        <v>4</v>
      </c>
    </row>
    <row r="33" spans="2:12" x14ac:dyDescent="0.25">
      <c r="B33" s="71"/>
      <c r="C33" s="28"/>
      <c r="D33" s="23"/>
      <c r="E33" s="23"/>
      <c r="F33" s="23"/>
      <c r="G33" s="23"/>
      <c r="H33" s="24"/>
      <c r="I33" s="25"/>
      <c r="J33" s="26"/>
    </row>
    <row r="34" spans="2:12" x14ac:dyDescent="0.25">
      <c r="B34" s="73" t="s">
        <v>22</v>
      </c>
      <c r="C34" s="73" t="s">
        <v>614</v>
      </c>
      <c r="D34" s="23"/>
      <c r="E34" s="23"/>
      <c r="F34" s="23"/>
      <c r="G34" s="23"/>
      <c r="H34" s="24"/>
      <c r="I34" s="25"/>
      <c r="J34" s="26"/>
    </row>
    <row r="35" spans="2:12" x14ac:dyDescent="0.25">
      <c r="B35" s="107" t="s">
        <v>23</v>
      </c>
      <c r="C35" s="370" t="s">
        <v>622</v>
      </c>
      <c r="D35" s="23"/>
      <c r="E35" s="23"/>
      <c r="F35" s="23"/>
      <c r="G35" s="23"/>
      <c r="H35" s="24"/>
      <c r="I35" s="25">
        <f t="shared" ref="I35:I40" ca="1" si="0">SUMIF($B$146:$J$3123,B35,$I$146:$I$3123)</f>
        <v>73.218430000000012</v>
      </c>
      <c r="J35" s="26" t="s">
        <v>4</v>
      </c>
    </row>
    <row r="36" spans="2:12" x14ac:dyDescent="0.25">
      <c r="B36" s="107" t="s">
        <v>24</v>
      </c>
      <c r="C36" s="370" t="s">
        <v>623</v>
      </c>
      <c r="D36" s="23"/>
      <c r="E36" s="23"/>
      <c r="F36" s="23"/>
      <c r="G36" s="23"/>
      <c r="H36" s="24"/>
      <c r="I36" s="25">
        <f t="shared" ca="1" si="0"/>
        <v>39.623200000000011</v>
      </c>
      <c r="J36" s="26" t="s">
        <v>4</v>
      </c>
    </row>
    <row r="37" spans="2:12" x14ac:dyDescent="0.25">
      <c r="B37" s="107" t="s">
        <v>630</v>
      </c>
      <c r="C37" s="370" t="s">
        <v>738</v>
      </c>
      <c r="D37" s="23"/>
      <c r="E37" s="23"/>
      <c r="F37" s="23"/>
      <c r="G37" s="23"/>
      <c r="H37" s="24"/>
      <c r="I37" s="25">
        <f t="shared" ca="1" si="0"/>
        <v>96</v>
      </c>
      <c r="J37" s="26" t="s">
        <v>4</v>
      </c>
    </row>
    <row r="38" spans="2:12" x14ac:dyDescent="0.25">
      <c r="B38" s="107" t="s">
        <v>777</v>
      </c>
      <c r="C38" s="370" t="s">
        <v>779</v>
      </c>
      <c r="D38" s="23"/>
      <c r="E38" s="23"/>
      <c r="F38" s="23"/>
      <c r="G38" s="23"/>
      <c r="H38" s="24"/>
      <c r="I38" s="25">
        <f t="shared" ca="1" si="0"/>
        <v>127.25600000000003</v>
      </c>
      <c r="J38" s="26" t="s">
        <v>45</v>
      </c>
    </row>
    <row r="39" spans="2:12" x14ac:dyDescent="0.25">
      <c r="B39" s="107" t="s">
        <v>778</v>
      </c>
      <c r="C39" s="370" t="s">
        <v>776</v>
      </c>
      <c r="D39" s="23"/>
      <c r="E39" s="23"/>
      <c r="F39" s="23"/>
      <c r="G39" s="23"/>
      <c r="H39" s="24"/>
      <c r="I39" s="25">
        <f t="shared" ca="1" si="0"/>
        <v>260.66910371843335</v>
      </c>
      <c r="J39" s="26" t="s">
        <v>4</v>
      </c>
    </row>
    <row r="40" spans="2:12" x14ac:dyDescent="0.25">
      <c r="B40" s="107" t="s">
        <v>631</v>
      </c>
      <c r="C40" s="343" t="s">
        <v>719</v>
      </c>
      <c r="D40" s="23"/>
      <c r="E40" s="23"/>
      <c r="F40" s="23"/>
      <c r="G40" s="23"/>
      <c r="H40" s="24"/>
      <c r="I40" s="25">
        <f t="shared" ca="1" si="0"/>
        <v>297.56200000000001</v>
      </c>
      <c r="J40" s="26" t="s">
        <v>45</v>
      </c>
    </row>
    <row r="41" spans="2:12" x14ac:dyDescent="0.25">
      <c r="B41" s="107" t="s">
        <v>709</v>
      </c>
      <c r="C41" s="343" t="s">
        <v>718</v>
      </c>
      <c r="D41" s="23"/>
      <c r="E41" s="23"/>
      <c r="F41" s="23"/>
      <c r="G41" s="23"/>
      <c r="H41" s="24"/>
      <c r="I41" s="25">
        <f ca="1">SUMIF($B$146:$J$3070,B41,$I$146:$I$3073)</f>
        <v>980.50514800000008</v>
      </c>
      <c r="J41" s="26" t="s">
        <v>45</v>
      </c>
    </row>
    <row r="42" spans="2:12" x14ac:dyDescent="0.25">
      <c r="B42" s="107" t="s">
        <v>632</v>
      </c>
      <c r="C42" s="343" t="s">
        <v>794</v>
      </c>
      <c r="D42" s="23"/>
      <c r="E42" s="23"/>
      <c r="F42" s="23"/>
      <c r="G42" s="23"/>
      <c r="H42" s="24"/>
      <c r="I42" s="25">
        <f ca="1">SUMIF($B$146:$J$3070,B42,$I$146:$I$3073)</f>
        <v>3849.6737952088156</v>
      </c>
      <c r="J42" s="26" t="s">
        <v>12</v>
      </c>
    </row>
    <row r="43" spans="2:12" x14ac:dyDescent="0.25">
      <c r="B43" s="107" t="s">
        <v>633</v>
      </c>
      <c r="C43" s="343" t="s">
        <v>625</v>
      </c>
      <c r="D43" s="23"/>
      <c r="E43" s="23"/>
      <c r="F43" s="23"/>
      <c r="G43" s="23"/>
      <c r="H43" s="24"/>
      <c r="I43" s="25">
        <f ca="1">SUMIF($B$146:$J$3123,B43,$I$146:$I$3123)</f>
        <v>56.607799999999997</v>
      </c>
      <c r="J43" s="26" t="s">
        <v>4</v>
      </c>
    </row>
    <row r="44" spans="2:12" x14ac:dyDescent="0.25">
      <c r="B44" s="107" t="s">
        <v>790</v>
      </c>
      <c r="C44" s="343" t="s">
        <v>789</v>
      </c>
      <c r="D44" s="23"/>
      <c r="E44" s="23"/>
      <c r="F44" s="23"/>
      <c r="G44" s="23"/>
      <c r="H44" s="24"/>
      <c r="I44" s="25">
        <f ca="1">SUMIF($B$146:$J$3143,B44,$I$146:$I$3143)</f>
        <v>152.36280296822446</v>
      </c>
      <c r="J44" s="26" t="s">
        <v>4</v>
      </c>
    </row>
    <row r="45" spans="2:12" x14ac:dyDescent="0.25">
      <c r="B45" s="107" t="s">
        <v>634</v>
      </c>
      <c r="C45" s="343" t="s">
        <v>624</v>
      </c>
      <c r="D45" s="23"/>
      <c r="E45" s="23"/>
      <c r="F45" s="23"/>
      <c r="G45" s="23"/>
      <c r="H45" s="24"/>
      <c r="I45" s="25">
        <f ca="1">SUMIF($B$146:$J$3143,B45,$I$146:$I$3143)</f>
        <v>95.518222489888444</v>
      </c>
      <c r="J45" s="26" t="s">
        <v>4</v>
      </c>
    </row>
    <row r="46" spans="2:12" x14ac:dyDescent="0.25">
      <c r="B46" s="71"/>
      <c r="C46" s="28"/>
      <c r="D46" s="23"/>
      <c r="E46" s="23"/>
      <c r="F46" s="23"/>
      <c r="G46" s="23"/>
      <c r="H46" s="24"/>
      <c r="I46" s="25"/>
      <c r="J46" s="26"/>
    </row>
    <row r="47" spans="2:12" x14ac:dyDescent="0.25">
      <c r="B47" s="73" t="s">
        <v>25</v>
      </c>
      <c r="C47" s="74" t="s">
        <v>626</v>
      </c>
      <c r="D47" s="23"/>
      <c r="E47" s="23"/>
      <c r="F47" s="23"/>
      <c r="G47" s="23"/>
      <c r="H47" s="24"/>
      <c r="I47" s="25"/>
      <c r="J47" s="26"/>
    </row>
    <row r="48" spans="2:12" x14ac:dyDescent="0.25">
      <c r="B48" s="107" t="s">
        <v>26</v>
      </c>
      <c r="C48" s="92" t="s">
        <v>627</v>
      </c>
      <c r="D48" s="23"/>
      <c r="E48" s="23"/>
      <c r="F48" s="23"/>
      <c r="G48" s="23"/>
      <c r="H48" s="24"/>
      <c r="I48" s="25">
        <f ca="1">+I63*0.4+I64*0.5+I65*0.7+I77*0.6+I78*0.64</f>
        <v>99.471000000000004</v>
      </c>
      <c r="J48" s="26" t="s">
        <v>45</v>
      </c>
      <c r="K48">
        <v>0</v>
      </c>
      <c r="L48" s="52">
        <f ca="1">+I48-K48</f>
        <v>99.471000000000004</v>
      </c>
    </row>
    <row r="49" spans="2:18" x14ac:dyDescent="0.25">
      <c r="B49" s="107" t="s">
        <v>654</v>
      </c>
      <c r="C49" s="343" t="s">
        <v>680</v>
      </c>
      <c r="D49" s="23"/>
      <c r="E49" s="23"/>
      <c r="F49" s="23"/>
      <c r="G49" s="23"/>
      <c r="H49" s="24"/>
      <c r="I49" s="25">
        <f ca="1">+I91*0.4*0.4+I92*0.9*0.7+I93*0.9*0.9+I94*0.9*1.2+I96*1.7*5.9</f>
        <v>33.64</v>
      </c>
      <c r="J49" s="26" t="s">
        <v>45</v>
      </c>
      <c r="K49">
        <v>0</v>
      </c>
      <c r="L49" s="52">
        <f ca="1">+I49-K49</f>
        <v>33.64</v>
      </c>
    </row>
    <row r="50" spans="2:18" x14ac:dyDescent="0.25">
      <c r="B50" s="71"/>
      <c r="C50" s="28"/>
      <c r="D50" s="23"/>
      <c r="E50" s="23"/>
      <c r="F50" s="23"/>
      <c r="G50" s="23"/>
      <c r="H50" s="24"/>
      <c r="I50" s="25"/>
      <c r="J50" s="26"/>
      <c r="M50" t="s">
        <v>773</v>
      </c>
      <c r="N50" t="s">
        <v>774</v>
      </c>
      <c r="O50" t="s">
        <v>775</v>
      </c>
    </row>
    <row r="51" spans="2:18" x14ac:dyDescent="0.25">
      <c r="B51" s="73" t="str">
        <f>+B211</f>
        <v>04.03.01</v>
      </c>
      <c r="C51" s="74" t="s">
        <v>225</v>
      </c>
      <c r="D51" s="23"/>
      <c r="E51" s="23"/>
      <c r="F51" s="23"/>
      <c r="G51" s="23"/>
      <c r="H51" s="24"/>
      <c r="I51" s="25"/>
      <c r="J51" s="26"/>
      <c r="Q51">
        <v>14.67</v>
      </c>
      <c r="R51">
        <v>40</v>
      </c>
    </row>
    <row r="52" spans="2:18" x14ac:dyDescent="0.25">
      <c r="B52" s="25" t="str">
        <f>+B212</f>
        <v>04.03.01.01</v>
      </c>
      <c r="C52" s="28" t="s">
        <v>359</v>
      </c>
      <c r="D52" s="23"/>
      <c r="E52" s="23"/>
      <c r="F52" s="23"/>
      <c r="G52" s="23"/>
      <c r="H52" s="24"/>
      <c r="I52" s="25">
        <f t="shared" ref="I52:I59" ca="1" si="1">SUMIF($B$146:$J$3070,B52,$I$146:$I$3073)</f>
        <v>80.100000000000009</v>
      </c>
      <c r="J52" s="26">
        <f>VLOOKUP(B52,$B$146:$J$3070,9)</f>
        <v>0</v>
      </c>
      <c r="K52">
        <v>28.099999999999998</v>
      </c>
      <c r="L52" s="52">
        <f t="shared" ref="L52:L59" ca="1" si="2">+I52-K52</f>
        <v>52.000000000000014</v>
      </c>
      <c r="M52">
        <v>28.1</v>
      </c>
      <c r="N52">
        <v>0</v>
      </c>
      <c r="R52">
        <v>50</v>
      </c>
    </row>
    <row r="53" spans="2:18" x14ac:dyDescent="0.25">
      <c r="B53" s="25" t="str">
        <f>+B214</f>
        <v>04.03.01.02</v>
      </c>
      <c r="C53" s="28" t="s">
        <v>235</v>
      </c>
      <c r="D53" s="23"/>
      <c r="E53" s="23"/>
      <c r="F53" s="23"/>
      <c r="G53" s="23"/>
      <c r="H53" s="24"/>
      <c r="I53" s="25">
        <f t="shared" ca="1" si="1"/>
        <v>552.29999999999995</v>
      </c>
      <c r="J53" s="26" t="str">
        <f>VLOOKUP(B53,$B$146:$J$3070,9)</f>
        <v>m2</v>
      </c>
      <c r="K53">
        <v>416.9</v>
      </c>
      <c r="L53" s="52">
        <f t="shared" ca="1" si="2"/>
        <v>135.39999999999998</v>
      </c>
      <c r="M53">
        <v>342.6</v>
      </c>
      <c r="N53">
        <v>74.299999999999955</v>
      </c>
      <c r="Q53">
        <v>25.67</v>
      </c>
      <c r="R53">
        <v>70</v>
      </c>
    </row>
    <row r="54" spans="2:18" x14ac:dyDescent="0.25">
      <c r="B54" s="25" t="str">
        <f>+B218</f>
        <v>04.03.01.03</v>
      </c>
      <c r="C54" s="28" t="s">
        <v>236</v>
      </c>
      <c r="D54" s="23"/>
      <c r="E54" s="23"/>
      <c r="F54" s="23"/>
      <c r="G54" s="23"/>
      <c r="H54" s="24"/>
      <c r="I54" s="25">
        <f t="shared" ca="1" si="1"/>
        <v>137.25</v>
      </c>
      <c r="J54" s="26" t="str">
        <f>VLOOKUP(B54,$B$146:$J$3070,9)</f>
        <v>m2</v>
      </c>
      <c r="K54">
        <v>103.6</v>
      </c>
      <c r="L54" s="52">
        <f t="shared" ca="1" si="2"/>
        <v>33.650000000000006</v>
      </c>
      <c r="M54">
        <v>0</v>
      </c>
      <c r="N54">
        <v>103.6</v>
      </c>
    </row>
    <row r="55" spans="2:18" x14ac:dyDescent="0.25">
      <c r="B55" s="25" t="str">
        <f>+B220</f>
        <v>04.03.01.04</v>
      </c>
      <c r="C55" s="28" t="s">
        <v>267</v>
      </c>
      <c r="D55" s="23"/>
      <c r="E55" s="23"/>
      <c r="F55" s="23"/>
      <c r="G55" s="23"/>
      <c r="H55" s="24"/>
      <c r="I55" s="112">
        <f t="shared" ca="1" si="1"/>
        <v>399.68000000000006</v>
      </c>
      <c r="J55" s="26" t="str">
        <f>VLOOKUP(B55,$B$146:$J$3070,9)</f>
        <v>m2</v>
      </c>
      <c r="K55">
        <v>440</v>
      </c>
      <c r="L55" s="52">
        <f t="shared" ca="1" si="2"/>
        <v>-40.319999999999936</v>
      </c>
      <c r="M55" s="376">
        <v>440</v>
      </c>
      <c r="N55">
        <v>0</v>
      </c>
      <c r="O55" s="376">
        <v>0</v>
      </c>
      <c r="Q55">
        <f>++(R53-R51)/(R52-R51)*(Q53-Q51)+Q51</f>
        <v>47.670000000000009</v>
      </c>
    </row>
    <row r="56" spans="2:18" x14ac:dyDescent="0.25">
      <c r="B56" s="25" t="str">
        <f>+B226</f>
        <v>04.03.01.05</v>
      </c>
      <c r="C56" s="28" t="s">
        <v>347</v>
      </c>
      <c r="D56" s="23"/>
      <c r="E56" s="23"/>
      <c r="F56" s="23"/>
      <c r="G56" s="23"/>
      <c r="H56" s="24"/>
      <c r="I56" s="25">
        <f t="shared" ca="1" si="1"/>
        <v>216.45</v>
      </c>
      <c r="J56" s="26" t="s">
        <v>345</v>
      </c>
      <c r="K56">
        <v>118</v>
      </c>
      <c r="L56" s="52">
        <f t="shared" ca="1" si="2"/>
        <v>98.449999999999989</v>
      </c>
      <c r="M56" s="1">
        <v>79.5</v>
      </c>
      <c r="N56">
        <v>38.5</v>
      </c>
      <c r="Q56">
        <f>+(R52-R51)/(R53-R51)*(Q53-Q51)+Q51</f>
        <v>18.336666666666666</v>
      </c>
    </row>
    <row r="57" spans="2:18" x14ac:dyDescent="0.25">
      <c r="B57" s="25" t="str">
        <f>+B228</f>
        <v>04.03.01.06</v>
      </c>
      <c r="C57" s="28" t="s">
        <v>269</v>
      </c>
      <c r="D57" s="23"/>
      <c r="E57" s="23"/>
      <c r="F57" s="23"/>
      <c r="G57" s="23"/>
      <c r="H57" s="24"/>
      <c r="I57" s="112">
        <f t="shared" ca="1" si="1"/>
        <v>459</v>
      </c>
      <c r="J57" s="26" t="s">
        <v>345</v>
      </c>
      <c r="K57">
        <v>510</v>
      </c>
      <c r="L57" s="52">
        <f t="shared" ca="1" si="2"/>
        <v>-51</v>
      </c>
      <c r="M57" s="374">
        <v>12</v>
      </c>
      <c r="N57">
        <v>498</v>
      </c>
      <c r="O57" s="377">
        <f ca="1">+-L57-M57</f>
        <v>39</v>
      </c>
    </row>
    <row r="58" spans="2:18" x14ac:dyDescent="0.25">
      <c r="B58" s="25" t="str">
        <f>+B230</f>
        <v>04.03.01.07</v>
      </c>
      <c r="C58" s="28" t="s">
        <v>271</v>
      </c>
      <c r="D58" s="23"/>
      <c r="E58" s="23"/>
      <c r="F58" s="23"/>
      <c r="G58" s="23"/>
      <c r="H58" s="24"/>
      <c r="I58" s="25">
        <f t="shared" ca="1" si="1"/>
        <v>63</v>
      </c>
      <c r="J58" s="26" t="str">
        <f>VLOOKUP(B58,$B$146:$J$3070,9)</f>
        <v>m2</v>
      </c>
      <c r="K58">
        <v>45</v>
      </c>
      <c r="L58" s="52">
        <f t="shared" ca="1" si="2"/>
        <v>18</v>
      </c>
      <c r="M58">
        <v>41</v>
      </c>
      <c r="N58">
        <v>4</v>
      </c>
    </row>
    <row r="59" spans="2:18" x14ac:dyDescent="0.25">
      <c r="B59" s="25" t="str">
        <f>+B234</f>
        <v>04.03.01.08</v>
      </c>
      <c r="C59" s="28" t="s">
        <v>348</v>
      </c>
      <c r="D59" s="23"/>
      <c r="E59" s="23"/>
      <c r="F59" s="23"/>
      <c r="G59" s="23"/>
      <c r="H59" s="24"/>
      <c r="I59" s="112">
        <f t="shared" ca="1" si="1"/>
        <v>46</v>
      </c>
      <c r="J59" s="26" t="str">
        <f>VLOOKUP(B59,$B$146:$J$3070,9)</f>
        <v>m2</v>
      </c>
      <c r="K59">
        <v>81</v>
      </c>
      <c r="L59" s="52">
        <f t="shared" ca="1" si="2"/>
        <v>-35</v>
      </c>
      <c r="M59" s="374">
        <v>2</v>
      </c>
      <c r="N59">
        <v>79</v>
      </c>
      <c r="O59" s="377">
        <f ca="1">+-L59-M59</f>
        <v>33</v>
      </c>
    </row>
    <row r="61" spans="2:18" x14ac:dyDescent="0.25">
      <c r="B61" s="73" t="str">
        <f>+B236</f>
        <v>04.03.02</v>
      </c>
      <c r="C61" s="74" t="s">
        <v>224</v>
      </c>
      <c r="D61" s="23"/>
      <c r="E61" s="23"/>
      <c r="F61" s="23"/>
      <c r="G61" s="23"/>
      <c r="H61" s="24"/>
      <c r="I61" s="25"/>
      <c r="J61" s="26"/>
      <c r="L61" s="52"/>
    </row>
    <row r="62" spans="2:18" x14ac:dyDescent="0.25">
      <c r="B62" s="25" t="str">
        <f>+B237</f>
        <v>04.03.02.01</v>
      </c>
      <c r="C62" s="28" t="str">
        <f t="shared" ref="C62:C69" si="3">LOOKUP(B62,$B$143:$B$2963,$C$143:$C$2963)</f>
        <v>CANAL RANURADO MODULAR</v>
      </c>
      <c r="D62" s="23"/>
      <c r="E62" s="23"/>
      <c r="F62" s="23"/>
      <c r="G62" s="23"/>
      <c r="H62" s="24"/>
      <c r="I62" s="112">
        <v>0</v>
      </c>
      <c r="J62" s="26" t="str">
        <f>VLOOKUP(B62,$B$146:$J$3070,9)</f>
        <v>m2</v>
      </c>
      <c r="K62">
        <v>91.5</v>
      </c>
      <c r="L62" s="52">
        <f t="shared" ref="L62:L94" si="4">+I62-K62</f>
        <v>-91.5</v>
      </c>
      <c r="M62">
        <v>0</v>
      </c>
      <c r="N62">
        <v>91.5</v>
      </c>
      <c r="O62" s="52">
        <f>+-L62-M62</f>
        <v>91.5</v>
      </c>
    </row>
    <row r="63" spans="2:18" x14ac:dyDescent="0.25">
      <c r="B63" s="25" t="str">
        <f>+B239</f>
        <v>04.03.02.02</v>
      </c>
      <c r="C63" s="28" t="str">
        <f t="shared" si="3"/>
        <v>CANAL DE CONCRETO EN PISO A=20 CM H=VARIABLE, E=10cm</v>
      </c>
      <c r="D63" s="23"/>
      <c r="E63" s="23"/>
      <c r="F63" s="23"/>
      <c r="G63" s="23"/>
      <c r="H63" s="24"/>
      <c r="I63" s="112">
        <f t="shared" ref="I63:I77" ca="1" si="5">SUMIF($B$146:$J$3070,B63,$I$146:$I$3073)</f>
        <v>71.5</v>
      </c>
      <c r="J63" s="26" t="str">
        <f>VLOOKUP(B63,$B$146:$J$3070,9)</f>
        <v>m2</v>
      </c>
      <c r="K63">
        <v>178.6</v>
      </c>
      <c r="L63" s="52">
        <f t="shared" ca="1" si="4"/>
        <v>-107.1</v>
      </c>
      <c r="M63" s="374">
        <v>39.799999999999997</v>
      </c>
      <c r="N63">
        <v>138.80000000000001</v>
      </c>
      <c r="O63" s="377">
        <f ca="1">+-L63-M63</f>
        <v>67.3</v>
      </c>
    </row>
    <row r="64" spans="2:18" x14ac:dyDescent="0.25">
      <c r="B64" s="25" t="str">
        <f>+B242</f>
        <v>04.03.02.03</v>
      </c>
      <c r="C64" s="28" t="str">
        <f t="shared" si="3"/>
        <v>CANAL DE CONCRETO EN PISO A=30 CM H=VARIABLE, E=10cm</v>
      </c>
      <c r="D64" s="23"/>
      <c r="E64" s="23"/>
      <c r="F64" s="23"/>
      <c r="G64" s="23"/>
      <c r="H64" s="24"/>
      <c r="I64" s="25">
        <f t="shared" ca="1" si="5"/>
        <v>43.85</v>
      </c>
      <c r="J64" s="26" t="s">
        <v>345</v>
      </c>
      <c r="K64">
        <v>23.4</v>
      </c>
      <c r="L64" s="52">
        <f t="shared" ca="1" si="4"/>
        <v>20.450000000000003</v>
      </c>
      <c r="M64">
        <v>20</v>
      </c>
      <c r="N64">
        <v>3.3999999999999986</v>
      </c>
    </row>
    <row r="65" spans="2:35" x14ac:dyDescent="0.25">
      <c r="B65" s="25" t="str">
        <f>+B245</f>
        <v>04.03.02.04</v>
      </c>
      <c r="C65" s="28" t="str">
        <f t="shared" si="3"/>
        <v>CANAL DE CONCRETO EN PISO A=50 CM H=VARIABLE, E=15cm</v>
      </c>
      <c r="D65" s="23"/>
      <c r="E65" s="23"/>
      <c r="F65" s="23"/>
      <c r="G65" s="23"/>
      <c r="H65" s="24"/>
      <c r="I65" s="112">
        <f t="shared" ca="1" si="5"/>
        <v>0</v>
      </c>
      <c r="J65" s="26" t="str">
        <f>VLOOKUP(B65,$B$146:$J$3070,9)</f>
        <v>m2</v>
      </c>
      <c r="K65">
        <v>7.55</v>
      </c>
      <c r="L65" s="52">
        <f t="shared" ca="1" si="4"/>
        <v>-7.55</v>
      </c>
      <c r="M65">
        <v>0</v>
      </c>
      <c r="N65">
        <v>7.55</v>
      </c>
      <c r="O65" s="52">
        <f ca="1">+-L65-M65</f>
        <v>7.55</v>
      </c>
    </row>
    <row r="66" spans="2:35" x14ac:dyDescent="0.25">
      <c r="B66" s="25" t="str">
        <f>+B248</f>
        <v>04.03.02.05</v>
      </c>
      <c r="C66" s="28" t="str">
        <f t="shared" si="3"/>
        <v>REJILLA METALICA TIPO I A=30cm</v>
      </c>
      <c r="D66" s="23"/>
      <c r="E66" s="23"/>
      <c r="F66" s="23"/>
      <c r="G66" s="23"/>
      <c r="H66" s="24"/>
      <c r="I66" s="112">
        <f t="shared" ca="1" si="5"/>
        <v>69.8</v>
      </c>
      <c r="J66" s="26" t="str">
        <f>VLOOKUP(B66,$B$146:$J$3070,9)</f>
        <v>m2</v>
      </c>
      <c r="K66">
        <v>158</v>
      </c>
      <c r="L66" s="52">
        <f t="shared" ca="1" si="4"/>
        <v>-88.2</v>
      </c>
      <c r="M66">
        <v>0</v>
      </c>
      <c r="N66">
        <v>158</v>
      </c>
      <c r="O66" s="52">
        <f ca="1">+-L66-M66</f>
        <v>88.2</v>
      </c>
      <c r="U66" t="s">
        <v>650</v>
      </c>
    </row>
    <row r="67" spans="2:35" x14ac:dyDescent="0.25">
      <c r="B67" s="25" t="str">
        <f>+B250</f>
        <v>04.03.02.06</v>
      </c>
      <c r="C67" s="28" t="str">
        <f t="shared" si="3"/>
        <v>REJILLA METALICA TIPO II A=40cm</v>
      </c>
      <c r="D67" s="23"/>
      <c r="E67" s="23"/>
      <c r="F67" s="23"/>
      <c r="G67" s="23"/>
      <c r="H67" s="24"/>
      <c r="I67" s="25">
        <f t="shared" ca="1" si="5"/>
        <v>83.9</v>
      </c>
      <c r="J67" s="26" t="s">
        <v>345</v>
      </c>
      <c r="K67">
        <v>23.4</v>
      </c>
      <c r="L67" s="52">
        <f t="shared" ca="1" si="4"/>
        <v>60.500000000000007</v>
      </c>
      <c r="M67">
        <v>0</v>
      </c>
      <c r="N67">
        <v>23.4</v>
      </c>
      <c r="U67" t="s">
        <v>651</v>
      </c>
      <c r="V67" t="s">
        <v>652</v>
      </c>
      <c r="W67" t="s">
        <v>653</v>
      </c>
    </row>
    <row r="68" spans="2:35" x14ac:dyDescent="0.25">
      <c r="B68" s="25" t="str">
        <f>+B252</f>
        <v>04.03.02.07</v>
      </c>
      <c r="C68" s="110" t="str">
        <f t="shared" si="3"/>
        <v>REJILLA METALICA TIPO III A=70cm</v>
      </c>
      <c r="D68" s="23"/>
      <c r="E68" s="23"/>
      <c r="F68" s="23"/>
      <c r="G68" s="23"/>
      <c r="H68" s="24"/>
      <c r="I68" s="112">
        <f t="shared" ca="1" si="5"/>
        <v>0</v>
      </c>
      <c r="J68" s="26" t="str">
        <f>VLOOKUP(B68,$B$146:$J$3070,9)</f>
        <v>m2</v>
      </c>
      <c r="K68">
        <v>7.55</v>
      </c>
      <c r="L68" s="52">
        <f t="shared" ca="1" si="4"/>
        <v>-7.55</v>
      </c>
      <c r="M68" s="1">
        <v>0</v>
      </c>
      <c r="N68">
        <v>7.55</v>
      </c>
      <c r="O68" s="52">
        <f ca="1">+-L68-M68</f>
        <v>7.55</v>
      </c>
    </row>
    <row r="69" spans="2:35" x14ac:dyDescent="0.25">
      <c r="B69" s="25" t="str">
        <f>+B254</f>
        <v>04.03.02.08</v>
      </c>
      <c r="C69" s="28" t="str">
        <f t="shared" si="3"/>
        <v>TAPA DE CONCRETO 70x50x5cm f'c=175kg/cm2</v>
      </c>
      <c r="D69" s="23"/>
      <c r="E69" s="23"/>
      <c r="F69" s="23"/>
      <c r="G69" s="23"/>
      <c r="H69" s="24"/>
      <c r="I69" s="112">
        <f t="shared" ca="1" si="5"/>
        <v>4.9000000000000004</v>
      </c>
      <c r="J69" s="26"/>
      <c r="K69">
        <v>20.6</v>
      </c>
      <c r="L69" s="52">
        <f t="shared" ca="1" si="4"/>
        <v>-15.700000000000001</v>
      </c>
      <c r="M69">
        <v>0</v>
      </c>
      <c r="N69">
        <v>20.6</v>
      </c>
      <c r="O69" s="52">
        <f ca="1">+-L69-M69</f>
        <v>15.700000000000001</v>
      </c>
      <c r="Q69" s="348">
        <v>2.5399999999999999E-2</v>
      </c>
    </row>
    <row r="70" spans="2:35" x14ac:dyDescent="0.25">
      <c r="B70" s="25" t="str">
        <f>+B629</f>
        <v>04.03.02.09</v>
      </c>
      <c r="C70" s="28" t="s">
        <v>705</v>
      </c>
      <c r="D70" s="23"/>
      <c r="E70" s="23"/>
      <c r="F70" s="23"/>
      <c r="G70" s="23"/>
      <c r="H70" s="24"/>
      <c r="I70" s="112">
        <f t="shared" ca="1" si="5"/>
        <v>37.21</v>
      </c>
      <c r="J70" s="26" t="str">
        <f>VLOOKUP(B70,$B$146:$J$3070,9)</f>
        <v>m2</v>
      </c>
      <c r="K70" s="129">
        <v>53.15</v>
      </c>
      <c r="L70" s="52">
        <f t="shared" ca="1" si="4"/>
        <v>-15.939999999999998</v>
      </c>
      <c r="M70" s="374">
        <v>9</v>
      </c>
      <c r="N70">
        <v>44.15</v>
      </c>
      <c r="O70" s="377">
        <f ca="1">+-L70-M70</f>
        <v>6.9399999999999977</v>
      </c>
      <c r="Q70" s="52">
        <f ca="1">+I70</f>
        <v>37.21</v>
      </c>
      <c r="R70">
        <v>8</v>
      </c>
      <c r="S70">
        <f ca="1">+Q70*R70*$Q$69</f>
        <v>7.5610720000000002</v>
      </c>
    </row>
    <row r="71" spans="2:35" x14ac:dyDescent="0.25">
      <c r="B71" s="25" t="str">
        <f>+B260</f>
        <v>04.03.02.10</v>
      </c>
      <c r="C71" s="28" t="str">
        <f>LOOKUP(B71,$B$143:$B$2963,$C$143:$C$2963)</f>
        <v>RED RECOLECTORA TUBERÍA PVC UF Ø DE 10"</v>
      </c>
      <c r="D71" s="23"/>
      <c r="E71" s="23"/>
      <c r="F71" s="23"/>
      <c r="G71" s="23"/>
      <c r="H71" s="24"/>
      <c r="I71" s="112">
        <f t="shared" ca="1" si="5"/>
        <v>71.930000000000007</v>
      </c>
      <c r="J71" s="26" t="str">
        <f>VLOOKUP(B71,$B$146:$J$3070,9)</f>
        <v>m2</v>
      </c>
      <c r="K71">
        <v>92.149999999999991</v>
      </c>
      <c r="L71" s="52">
        <f t="shared" ca="1" si="4"/>
        <v>-20.219999999999985</v>
      </c>
      <c r="M71">
        <v>0</v>
      </c>
      <c r="N71">
        <v>92.15</v>
      </c>
      <c r="O71" s="52">
        <f ca="1">+-L71-M71</f>
        <v>20.219999999999985</v>
      </c>
      <c r="Q71" s="52">
        <f ca="1">+I71</f>
        <v>71.930000000000007</v>
      </c>
      <c r="R71">
        <v>10</v>
      </c>
      <c r="S71">
        <f ca="1">+Q71*R71*$Q$69</f>
        <v>18.270220000000002</v>
      </c>
    </row>
    <row r="72" spans="2:35" x14ac:dyDescent="0.25">
      <c r="B72" s="25" t="str">
        <f>+B262</f>
        <v>04.03.02.11</v>
      </c>
      <c r="C72" s="28" t="str">
        <f>LOOKUP(B72,$B$143:$B$2963,$C$143:$C$2963)</f>
        <v>RED RECOLECTORA TUBERÍA PVC UF Ø DE 12"</v>
      </c>
      <c r="D72" s="23"/>
      <c r="E72" s="23"/>
      <c r="F72" s="23"/>
      <c r="G72" s="23"/>
      <c r="H72" s="24"/>
      <c r="I72" s="25">
        <f t="shared" ca="1" si="5"/>
        <v>24.15</v>
      </c>
      <c r="J72" s="26" t="str">
        <f>VLOOKUP(B72,$B$146:$J$3070,9)</f>
        <v>ml</v>
      </c>
      <c r="K72">
        <v>14.5</v>
      </c>
      <c r="L72" s="52">
        <f t="shared" ca="1" si="4"/>
        <v>9.6499999999999986</v>
      </c>
      <c r="M72">
        <v>0</v>
      </c>
      <c r="N72">
        <v>14.5</v>
      </c>
      <c r="O72" s="52"/>
      <c r="Q72" s="52">
        <f ca="1">+I72</f>
        <v>24.15</v>
      </c>
      <c r="R72">
        <v>12</v>
      </c>
      <c r="S72">
        <f ca="1">+Q72*R72*$Q$69</f>
        <v>7.3609199999999984</v>
      </c>
    </row>
    <row r="73" spans="2:35" x14ac:dyDescent="0.25">
      <c r="B73" s="25" t="str">
        <f>+B264</f>
        <v>04.03.02.12</v>
      </c>
      <c r="C73" s="28" t="str">
        <f>LOOKUP(B73,$B$143:$B$2963,$C$143:$C$2963)</f>
        <v>RED RECOLECTORA TUBERÍA PVC UF Ø DE 14"</v>
      </c>
      <c r="D73" s="23"/>
      <c r="E73" s="23"/>
      <c r="F73" s="23"/>
      <c r="G73" s="23"/>
      <c r="H73" s="24"/>
      <c r="I73" s="112">
        <f t="shared" ca="1" si="5"/>
        <v>92</v>
      </c>
      <c r="J73" s="26" t="str">
        <f>VLOOKUP(B73,$B$146:$J$3070,9)</f>
        <v>ml</v>
      </c>
      <c r="K73">
        <v>126.99000000000001</v>
      </c>
      <c r="L73" s="52">
        <f t="shared" ca="1" si="4"/>
        <v>-34.990000000000009</v>
      </c>
      <c r="M73" s="1">
        <v>0</v>
      </c>
      <c r="N73">
        <v>126.99</v>
      </c>
      <c r="O73" s="52">
        <f ca="1">+-L73-M73</f>
        <v>34.990000000000009</v>
      </c>
      <c r="Q73" s="52">
        <f ca="1">+I73</f>
        <v>92</v>
      </c>
      <c r="R73">
        <v>14</v>
      </c>
      <c r="S73">
        <f ca="1">+Q73*R73*$Q$69</f>
        <v>32.715199999999996</v>
      </c>
    </row>
    <row r="74" spans="2:35" x14ac:dyDescent="0.25">
      <c r="B74" s="43" t="s">
        <v>261</v>
      </c>
      <c r="C74" s="43" t="s">
        <v>253</v>
      </c>
      <c r="D74" s="23"/>
      <c r="E74" s="23"/>
      <c r="F74" s="23"/>
      <c r="G74" s="23"/>
      <c r="H74" s="24"/>
      <c r="I74" s="112">
        <f t="shared" ca="1" si="5"/>
        <v>0</v>
      </c>
      <c r="J74" s="26" t="s">
        <v>13</v>
      </c>
      <c r="K74">
        <v>9</v>
      </c>
      <c r="L74" s="52">
        <f t="shared" ca="1" si="4"/>
        <v>-9</v>
      </c>
      <c r="M74" s="374">
        <v>1</v>
      </c>
      <c r="N74">
        <v>8</v>
      </c>
      <c r="O74" s="377">
        <f ca="1">+-L74-M74</f>
        <v>8</v>
      </c>
      <c r="Q74" s="52"/>
    </row>
    <row r="75" spans="2:35" x14ac:dyDescent="0.25">
      <c r="B75" s="43" t="s">
        <v>262</v>
      </c>
      <c r="C75" s="43" t="s">
        <v>254</v>
      </c>
      <c r="D75" s="23"/>
      <c r="E75" s="23"/>
      <c r="F75" s="23"/>
      <c r="G75" s="23"/>
      <c r="H75" s="24"/>
      <c r="I75" s="112">
        <f t="shared" ca="1" si="5"/>
        <v>0</v>
      </c>
      <c r="J75" s="26" t="s">
        <v>13</v>
      </c>
      <c r="K75">
        <v>10</v>
      </c>
      <c r="L75" s="52">
        <f t="shared" ca="1" si="4"/>
        <v>-10</v>
      </c>
      <c r="M75" s="374">
        <v>1</v>
      </c>
      <c r="N75">
        <v>9</v>
      </c>
      <c r="O75" s="377">
        <f ca="1">+-L75-M75</f>
        <v>9</v>
      </c>
      <c r="Q75" s="52"/>
    </row>
    <row r="76" spans="2:35" x14ac:dyDescent="0.25">
      <c r="B76" s="25" t="str">
        <f>+B277</f>
        <v>04.03.02.15</v>
      </c>
      <c r="C76" s="28" t="str">
        <f>LOOKUP(B76,$B$146:$B$3076,$C$146:$C$3076)</f>
        <v>CAJAS DE INSPECCIÓN TIPO III A=1.45M L=4.50M H=VARIABLE</v>
      </c>
      <c r="D76" s="23"/>
      <c r="E76" s="23"/>
      <c r="F76" s="23"/>
      <c r="G76" s="23"/>
      <c r="H76" s="24"/>
      <c r="I76" s="112">
        <f t="shared" ca="1" si="5"/>
        <v>0</v>
      </c>
      <c r="J76" s="26" t="s">
        <v>13</v>
      </c>
      <c r="K76">
        <v>1</v>
      </c>
      <c r="L76" s="52">
        <f t="shared" ca="1" si="4"/>
        <v>-1</v>
      </c>
      <c r="M76">
        <v>0</v>
      </c>
      <c r="N76">
        <v>1</v>
      </c>
      <c r="O76" s="52">
        <f ca="1">+-L76-M76</f>
        <v>1</v>
      </c>
      <c r="S76">
        <f>+Q76*R76*$Q$69</f>
        <v>0</v>
      </c>
    </row>
    <row r="77" spans="2:35" x14ac:dyDescent="0.25">
      <c r="B77" s="93" t="str">
        <f>+B862</f>
        <v>04.03.02.16</v>
      </c>
      <c r="C77" s="92" t="s">
        <v>440</v>
      </c>
      <c r="D77" s="23"/>
      <c r="E77" s="23"/>
      <c r="F77" s="23"/>
      <c r="G77" s="23"/>
      <c r="H77" s="24"/>
      <c r="I77" s="25">
        <f t="shared" ca="1" si="5"/>
        <v>55.55</v>
      </c>
      <c r="J77" s="26" t="s">
        <v>345</v>
      </c>
      <c r="K77">
        <v>0</v>
      </c>
      <c r="L77" s="52">
        <f t="shared" ca="1" si="4"/>
        <v>55.55</v>
      </c>
      <c r="S77">
        <f>+Q77*R77*$Q$69</f>
        <v>0</v>
      </c>
      <c r="Y77" t="s">
        <v>753</v>
      </c>
      <c r="Z77" t="s">
        <v>752</v>
      </c>
      <c r="AA77" t="s">
        <v>754</v>
      </c>
      <c r="AB77" t="s">
        <v>765</v>
      </c>
      <c r="AD77" t="s">
        <v>760</v>
      </c>
      <c r="AE77" t="s">
        <v>761</v>
      </c>
      <c r="AF77" t="s">
        <v>762</v>
      </c>
      <c r="AG77" t="s">
        <v>763</v>
      </c>
      <c r="AH77" t="s">
        <v>764</v>
      </c>
      <c r="AI77" t="s">
        <v>765</v>
      </c>
    </row>
    <row r="78" spans="2:35" x14ac:dyDescent="0.25">
      <c r="B78" s="93" t="str">
        <f>+B2559</f>
        <v>04.03.02.17</v>
      </c>
      <c r="C78" s="92" t="s">
        <v>566</v>
      </c>
      <c r="D78" s="23"/>
      <c r="E78" s="23"/>
      <c r="F78" s="23"/>
      <c r="G78" s="23"/>
      <c r="H78" s="24"/>
      <c r="I78" s="25">
        <f ca="1">+SUMIF($B$146:$J$3070,B78,$I$146:$I$3073)</f>
        <v>24.4</v>
      </c>
      <c r="J78" s="26" t="s">
        <v>345</v>
      </c>
      <c r="K78">
        <v>0</v>
      </c>
      <c r="L78" s="52">
        <f t="shared" ca="1" si="4"/>
        <v>24.4</v>
      </c>
      <c r="S78">
        <f>+Q78*R78*$Q$69</f>
        <v>0</v>
      </c>
      <c r="Y78">
        <f>0.6*1</f>
        <v>0.6</v>
      </c>
      <c r="Z78">
        <f>1*1</f>
        <v>1</v>
      </c>
      <c r="AA78">
        <f>1.45*4.5</f>
        <v>6.5249999999999995</v>
      </c>
      <c r="AB78">
        <f>1.3*5.5</f>
        <v>7.15</v>
      </c>
      <c r="AD78">
        <v>4.0000000000000008E-2</v>
      </c>
      <c r="AE78">
        <v>0.24</v>
      </c>
      <c r="AF78">
        <v>0.36</v>
      </c>
      <c r="AG78">
        <v>0.54</v>
      </c>
      <c r="AH78">
        <v>0.72</v>
      </c>
      <c r="AI78">
        <v>7.15</v>
      </c>
    </row>
    <row r="79" spans="2:35" x14ac:dyDescent="0.25">
      <c r="B79" s="367" t="str">
        <f>+B2528</f>
        <v>04.03.02.06'</v>
      </c>
      <c r="C79" s="92" t="s">
        <v>690</v>
      </c>
      <c r="D79" s="23"/>
      <c r="E79" s="23"/>
      <c r="F79" s="23"/>
      <c r="G79" s="23"/>
      <c r="H79" s="24"/>
      <c r="I79" s="25">
        <f ca="1">+SUMIF($B$146:$J$3070,B79,$I$146:$I$3073)</f>
        <v>24.4</v>
      </c>
      <c r="J79" s="26" t="s">
        <v>345</v>
      </c>
      <c r="K79">
        <v>0</v>
      </c>
      <c r="L79" s="52">
        <f t="shared" ca="1" si="4"/>
        <v>24.4</v>
      </c>
    </row>
    <row r="80" spans="2:35" x14ac:dyDescent="0.25">
      <c r="B80" s="107" t="str">
        <f>+B868</f>
        <v>04.03.02.20'</v>
      </c>
      <c r="C80" s="93" t="s">
        <v>647</v>
      </c>
      <c r="D80" s="23"/>
      <c r="E80" s="23"/>
      <c r="F80" s="23"/>
      <c r="G80" s="23"/>
      <c r="H80" s="24"/>
      <c r="I80" s="25">
        <f t="shared" ref="I80:I98" ca="1" si="6">SUMIF($B$146:$J$3070,B80,$I$146:$I$3073)</f>
        <v>7.7</v>
      </c>
      <c r="J80" s="26" t="s">
        <v>13</v>
      </c>
      <c r="K80">
        <v>0</v>
      </c>
      <c r="L80" s="52">
        <f t="shared" ca="1" si="4"/>
        <v>7.7</v>
      </c>
      <c r="S80">
        <f>+Q80*R80*$Q$69</f>
        <v>0</v>
      </c>
      <c r="W80" t="s">
        <v>755</v>
      </c>
      <c r="Y80">
        <v>0.57410000000000005</v>
      </c>
      <c r="Z80">
        <v>0.73409999999999997</v>
      </c>
      <c r="AA80">
        <v>3.4666999999999999</v>
      </c>
      <c r="AB80">
        <f t="shared" ref="AB80:AB90" si="7">+(($AB$78-$Z$78)/($AA$78-$Z$78))*(AA80-Z80)+Z80</f>
        <v>3.7758176470588243</v>
      </c>
      <c r="AD80">
        <v>0.35010000000000019</v>
      </c>
      <c r="AE80">
        <v>0.43010000000000015</v>
      </c>
      <c r="AF80">
        <v>0.47810000000000008</v>
      </c>
      <c r="AG80">
        <v>0.55010000000000003</v>
      </c>
      <c r="AH80">
        <v>0.62209999999999999</v>
      </c>
      <c r="AI80">
        <v>3.7758176470588243</v>
      </c>
    </row>
    <row r="81" spans="2:35" x14ac:dyDescent="0.25">
      <c r="B81" s="107" t="str">
        <f>+B874</f>
        <v>04.03.02.20</v>
      </c>
      <c r="C81" s="93" t="s">
        <v>561</v>
      </c>
      <c r="D81" s="23"/>
      <c r="E81" s="23"/>
      <c r="F81" s="23"/>
      <c r="G81" s="23"/>
      <c r="H81" s="24"/>
      <c r="I81" s="25">
        <f t="shared" ca="1" si="6"/>
        <v>6</v>
      </c>
      <c r="J81" s="26" t="s">
        <v>13</v>
      </c>
      <c r="K81">
        <v>0</v>
      </c>
      <c r="L81" s="52">
        <f t="shared" ca="1" si="4"/>
        <v>6</v>
      </c>
      <c r="S81">
        <f>+Q81*R81*$Q$69</f>
        <v>0</v>
      </c>
      <c r="W81" t="s">
        <v>742</v>
      </c>
      <c r="Y81">
        <v>0.57410000000000005</v>
      </c>
      <c r="Z81">
        <v>0.73409999999999997</v>
      </c>
      <c r="AA81">
        <v>3.4666999999999999</v>
      </c>
      <c r="AB81">
        <f t="shared" si="7"/>
        <v>3.7758176470588243</v>
      </c>
      <c r="AD81">
        <v>0.35010000000000019</v>
      </c>
      <c r="AE81">
        <v>0.43010000000000015</v>
      </c>
      <c r="AF81">
        <v>0.47810000000000008</v>
      </c>
      <c r="AG81">
        <v>0.55010000000000003</v>
      </c>
      <c r="AH81">
        <v>0.62209999999999999</v>
      </c>
      <c r="AI81">
        <v>3.7758176470588243</v>
      </c>
    </row>
    <row r="82" spans="2:35" x14ac:dyDescent="0.25">
      <c r="B82" s="93" t="str">
        <f>+B2570</f>
        <v>04.03.02.21</v>
      </c>
      <c r="C82" s="93" t="s">
        <v>564</v>
      </c>
      <c r="D82" s="23"/>
      <c r="E82" s="23"/>
      <c r="F82" s="23"/>
      <c r="G82" s="23"/>
      <c r="H82" s="24"/>
      <c r="I82" s="25">
        <f t="shared" ca="1" si="6"/>
        <v>0.89999999999999991</v>
      </c>
      <c r="J82" s="26" t="s">
        <v>345</v>
      </c>
      <c r="K82">
        <v>0</v>
      </c>
      <c r="L82" s="52">
        <f t="shared" ca="1" si="4"/>
        <v>0.89999999999999991</v>
      </c>
      <c r="S82">
        <f>+Q82*R82*$Q$69</f>
        <v>0</v>
      </c>
      <c r="W82" t="s">
        <v>743</v>
      </c>
      <c r="Y82">
        <v>70.790000000000006</v>
      </c>
      <c r="Z82">
        <v>80.69</v>
      </c>
      <c r="AA82">
        <v>416.3</v>
      </c>
      <c r="AB82">
        <f t="shared" si="7"/>
        <v>454.26493212669692</v>
      </c>
      <c r="AD82">
        <v>56.930000000000021</v>
      </c>
      <c r="AE82">
        <v>61.880000000000017</v>
      </c>
      <c r="AF82">
        <v>64.850000000000009</v>
      </c>
      <c r="AG82">
        <v>69.305000000000007</v>
      </c>
      <c r="AH82">
        <v>73.760000000000005</v>
      </c>
      <c r="AI82">
        <v>454.26493212669692</v>
      </c>
    </row>
    <row r="83" spans="2:35" x14ac:dyDescent="0.25">
      <c r="B83" s="93" t="str">
        <f>+B440</f>
        <v>04.03.02.21'</v>
      </c>
      <c r="C83" s="93" t="s">
        <v>562</v>
      </c>
      <c r="D83" s="23"/>
      <c r="E83" s="23"/>
      <c r="F83" s="23"/>
      <c r="G83" s="23"/>
      <c r="H83" s="24"/>
      <c r="I83" s="25">
        <f t="shared" ca="1" si="6"/>
        <v>1.5</v>
      </c>
      <c r="J83" s="26" t="s">
        <v>345</v>
      </c>
      <c r="K83">
        <v>0</v>
      </c>
      <c r="L83" s="52">
        <f t="shared" ca="1" si="4"/>
        <v>1.5</v>
      </c>
      <c r="S83">
        <f>+Q83*R83*$Q$69</f>
        <v>0</v>
      </c>
      <c r="W83" t="s">
        <v>744</v>
      </c>
      <c r="Y83">
        <v>0.53959999999999997</v>
      </c>
      <c r="Z83">
        <v>0.69</v>
      </c>
      <c r="AA83">
        <v>3.2587000000000002</v>
      </c>
      <c r="AB83">
        <f t="shared" si="7"/>
        <v>3.5492769230769241</v>
      </c>
      <c r="AD83">
        <v>0.32904000000000005</v>
      </c>
      <c r="AE83">
        <v>0.40423999999999999</v>
      </c>
      <c r="AF83">
        <v>0.44935999999999998</v>
      </c>
      <c r="AG83">
        <v>0.51703999999999994</v>
      </c>
      <c r="AH83">
        <v>0.58471999999999991</v>
      </c>
      <c r="AI83">
        <v>3.5492769230769241</v>
      </c>
    </row>
    <row r="84" spans="2:35" s="1" customFormat="1" x14ac:dyDescent="0.25">
      <c r="B84" s="93" t="str">
        <f>B879</f>
        <v>04.03.02.22'</v>
      </c>
      <c r="C84" s="93" t="s">
        <v>704</v>
      </c>
      <c r="D84" s="60"/>
      <c r="E84" s="23"/>
      <c r="F84" s="23"/>
      <c r="G84" s="23"/>
      <c r="H84" s="23"/>
      <c r="I84" s="25">
        <f t="shared" ca="1" si="6"/>
        <v>0.5</v>
      </c>
      <c r="J84" s="26" t="s">
        <v>345</v>
      </c>
      <c r="K84" s="1">
        <v>0</v>
      </c>
      <c r="L84" s="1">
        <f t="shared" ca="1" si="4"/>
        <v>0.5</v>
      </c>
      <c r="M84"/>
      <c r="W84" t="s">
        <v>745</v>
      </c>
      <c r="Y84" s="1">
        <v>0.17449999999999999</v>
      </c>
      <c r="Z84" s="1">
        <v>0.22320000000000001</v>
      </c>
      <c r="AA84" s="1">
        <v>1.0539000000000001</v>
      </c>
      <c r="AB84">
        <f t="shared" si="7"/>
        <v>1.1478705882352944</v>
      </c>
      <c r="AD84" s="1">
        <v>0.10631999999999997</v>
      </c>
      <c r="AE84" s="1">
        <v>0.13066999999999998</v>
      </c>
      <c r="AF84" s="1">
        <v>0.14527999999999996</v>
      </c>
      <c r="AG84" s="1">
        <v>0.16719499999999998</v>
      </c>
      <c r="AH84" s="1">
        <v>0.18911</v>
      </c>
      <c r="AI84" s="1">
        <v>1.1478705882352944</v>
      </c>
    </row>
    <row r="85" spans="2:35" x14ac:dyDescent="0.25">
      <c r="B85" s="93" t="str">
        <f>+B2972</f>
        <v>04.03.02.23</v>
      </c>
      <c r="C85" s="93" t="s">
        <v>628</v>
      </c>
      <c r="D85" s="23"/>
      <c r="E85" s="23"/>
      <c r="F85" s="23"/>
      <c r="G85" s="23"/>
      <c r="H85" s="23"/>
      <c r="I85" s="25">
        <f t="shared" ca="1" si="6"/>
        <v>1.1000000000000001</v>
      </c>
      <c r="J85" s="26" t="s">
        <v>345</v>
      </c>
      <c r="K85">
        <v>0</v>
      </c>
      <c r="L85" s="52">
        <f t="shared" ca="1" si="4"/>
        <v>1.1000000000000001</v>
      </c>
      <c r="S85">
        <f t="shared" ref="S85:S94" si="8">+Q85*R85*$Q$69</f>
        <v>0</v>
      </c>
      <c r="W85" s="1" t="s">
        <v>746</v>
      </c>
      <c r="Y85">
        <v>0.49259999999999998</v>
      </c>
      <c r="Z85">
        <v>0.62980000000000003</v>
      </c>
      <c r="AA85">
        <v>2.9744000000000002</v>
      </c>
      <c r="AB85">
        <f t="shared" si="7"/>
        <v>3.2396262443438921</v>
      </c>
      <c r="AD85">
        <v>0.30051999999999995</v>
      </c>
      <c r="AE85">
        <v>0.36911999999999995</v>
      </c>
      <c r="AF85">
        <v>0.41027999999999998</v>
      </c>
      <c r="AG85">
        <v>0.47202</v>
      </c>
      <c r="AH85">
        <v>0.53376000000000001</v>
      </c>
      <c r="AI85">
        <v>3.2396262443438921</v>
      </c>
    </row>
    <row r="86" spans="2:35" x14ac:dyDescent="0.25">
      <c r="B86" s="93" t="str">
        <f>+B882</f>
        <v>04.03.02.24</v>
      </c>
      <c r="C86" s="93" t="s">
        <v>629</v>
      </c>
      <c r="D86" s="23"/>
      <c r="E86" s="23"/>
      <c r="F86" s="23"/>
      <c r="G86" s="23"/>
      <c r="H86" s="24"/>
      <c r="I86" s="25">
        <f t="shared" ca="1" si="6"/>
        <v>5.7</v>
      </c>
      <c r="J86" s="26" t="s">
        <v>345</v>
      </c>
      <c r="K86">
        <v>0</v>
      </c>
      <c r="L86" s="52">
        <f t="shared" ca="1" si="4"/>
        <v>5.7</v>
      </c>
      <c r="S86">
        <f t="shared" si="8"/>
        <v>0</v>
      </c>
      <c r="W86" t="s">
        <v>747</v>
      </c>
      <c r="Y86">
        <v>7.5968</v>
      </c>
      <c r="Z86">
        <v>9.7141000000000002</v>
      </c>
      <c r="AA86">
        <v>45.874400000000001</v>
      </c>
      <c r="AB86">
        <f t="shared" si="7"/>
        <v>49.964931674208152</v>
      </c>
      <c r="AD86">
        <v>4.6325800000000008</v>
      </c>
      <c r="AE86">
        <v>5.69123</v>
      </c>
      <c r="AF86">
        <v>6.3264199999999997</v>
      </c>
      <c r="AG86">
        <v>7.2792050000000001</v>
      </c>
      <c r="AH86">
        <v>8.2319899999999997</v>
      </c>
      <c r="AI86">
        <v>49.964931674208152</v>
      </c>
    </row>
    <row r="87" spans="2:35" x14ac:dyDescent="0.25">
      <c r="B87" s="107" t="str">
        <f>+B285</f>
        <v>04.03.02.25</v>
      </c>
      <c r="C87" s="107" t="s">
        <v>780</v>
      </c>
      <c r="D87" s="23"/>
      <c r="E87" s="23"/>
      <c r="F87" s="23"/>
      <c r="G87" s="23"/>
      <c r="H87" s="24"/>
      <c r="I87" s="25">
        <f t="shared" ca="1" si="6"/>
        <v>108.88000000000001</v>
      </c>
      <c r="J87" s="26" t="str">
        <f>VLOOKUP(B87,$B$146:$J$3070,9)</f>
        <v>ml</v>
      </c>
      <c r="K87">
        <v>0</v>
      </c>
      <c r="L87" s="52">
        <f t="shared" ca="1" si="4"/>
        <v>108.88000000000001</v>
      </c>
      <c r="Q87" s="52">
        <f ca="1">+I87</f>
        <v>108.88000000000001</v>
      </c>
      <c r="R87">
        <v>3</v>
      </c>
      <c r="S87">
        <f t="shared" ca="1" si="8"/>
        <v>8.2966560000000005</v>
      </c>
      <c r="W87" t="s">
        <v>748</v>
      </c>
      <c r="Y87">
        <v>24.0397</v>
      </c>
      <c r="Z87">
        <v>30.739699999999999</v>
      </c>
      <c r="AA87">
        <v>145.16669999999999</v>
      </c>
      <c r="AB87">
        <f t="shared" si="7"/>
        <v>158.11093076923078</v>
      </c>
      <c r="AD87">
        <v>14.659700000000003</v>
      </c>
      <c r="AE87">
        <v>18.009700000000002</v>
      </c>
      <c r="AF87">
        <v>20.0197</v>
      </c>
      <c r="AG87">
        <v>23.034700000000001</v>
      </c>
      <c r="AH87">
        <v>26.049700000000001</v>
      </c>
      <c r="AI87">
        <v>158.11093076923078</v>
      </c>
    </row>
    <row r="88" spans="2:35" x14ac:dyDescent="0.25">
      <c r="B88" s="107" t="s">
        <v>597</v>
      </c>
      <c r="C88" s="107" t="s">
        <v>781</v>
      </c>
      <c r="D88" s="23"/>
      <c r="E88" s="23"/>
      <c r="F88" s="23"/>
      <c r="G88" s="23"/>
      <c r="H88" s="24"/>
      <c r="I88" s="25">
        <f t="shared" ca="1" si="6"/>
        <v>57.9</v>
      </c>
      <c r="J88" s="26" t="str">
        <f>VLOOKUP(B88,$B$146:$J$3070,9)</f>
        <v>ml</v>
      </c>
      <c r="K88">
        <v>0</v>
      </c>
      <c r="L88" s="52">
        <f t="shared" ca="1" si="4"/>
        <v>57.9</v>
      </c>
      <c r="Q88" s="52">
        <f ca="1">+I88</f>
        <v>57.9</v>
      </c>
      <c r="R88">
        <v>4</v>
      </c>
      <c r="S88">
        <f t="shared" ca="1" si="8"/>
        <v>5.8826399999999994</v>
      </c>
      <c r="W88" t="s">
        <v>749</v>
      </c>
      <c r="Y88">
        <v>3</v>
      </c>
      <c r="Z88">
        <v>3</v>
      </c>
      <c r="AA88">
        <v>3</v>
      </c>
      <c r="AB88">
        <f t="shared" si="7"/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</row>
    <row r="89" spans="2:35" x14ac:dyDescent="0.25">
      <c r="B89" s="107" t="s">
        <v>598</v>
      </c>
      <c r="C89" s="108" t="s">
        <v>782</v>
      </c>
      <c r="D89" s="23"/>
      <c r="E89" s="23"/>
      <c r="F89" s="23"/>
      <c r="G89" s="23"/>
      <c r="H89" s="24"/>
      <c r="I89" s="25">
        <f t="shared" ca="1" si="6"/>
        <v>74.06</v>
      </c>
      <c r="J89" s="26" t="str">
        <f>VLOOKUP(B89,$B$146:$J$3070,9)</f>
        <v>ml</v>
      </c>
      <c r="K89">
        <v>0</v>
      </c>
      <c r="L89" s="52">
        <f t="shared" ca="1" si="4"/>
        <v>74.06</v>
      </c>
      <c r="Q89" s="52">
        <f ca="1">+I89</f>
        <v>74.06</v>
      </c>
      <c r="R89">
        <v>6</v>
      </c>
      <c r="S89">
        <f t="shared" ca="1" si="8"/>
        <v>11.286744000000001</v>
      </c>
      <c r="W89" t="s">
        <v>750</v>
      </c>
      <c r="Y89">
        <v>0.57140000000000002</v>
      </c>
      <c r="Z89">
        <v>0.2286</v>
      </c>
      <c r="AA89">
        <v>8</v>
      </c>
      <c r="AB89">
        <f t="shared" si="7"/>
        <v>8.8791176470588251</v>
      </c>
      <c r="AD89">
        <v>1.05132</v>
      </c>
      <c r="AE89">
        <v>0.87992000000000004</v>
      </c>
      <c r="AF89">
        <v>0.77707999999999999</v>
      </c>
      <c r="AG89">
        <v>0.62281999999999993</v>
      </c>
      <c r="AH89">
        <v>0.46856000000000003</v>
      </c>
      <c r="AI89">
        <v>8.8791176470588251</v>
      </c>
    </row>
    <row r="90" spans="2:35" x14ac:dyDescent="0.25">
      <c r="B90" s="107" t="str">
        <f>+B898</f>
        <v>04.03.02.18'</v>
      </c>
      <c r="C90" s="343" t="s">
        <v>783</v>
      </c>
      <c r="D90" s="23"/>
      <c r="E90" s="23"/>
      <c r="F90" s="23"/>
      <c r="G90" s="23"/>
      <c r="H90" s="24"/>
      <c r="I90" s="25">
        <f t="shared" ca="1" si="6"/>
        <v>125</v>
      </c>
      <c r="J90" s="26" t="s">
        <v>13</v>
      </c>
      <c r="K90">
        <v>0</v>
      </c>
      <c r="L90" s="52">
        <f t="shared" ca="1" si="4"/>
        <v>125</v>
      </c>
      <c r="M90" s="375"/>
      <c r="Q90" s="52">
        <f ca="1">+I90</f>
        <v>125</v>
      </c>
      <c r="R90">
        <v>16</v>
      </c>
      <c r="S90">
        <f t="shared" ca="1" si="8"/>
        <v>50.8</v>
      </c>
      <c r="W90" t="s">
        <v>751</v>
      </c>
      <c r="Y90">
        <v>0.57140000000000002</v>
      </c>
      <c r="Z90">
        <v>0.2286</v>
      </c>
      <c r="AA90">
        <v>8</v>
      </c>
      <c r="AB90">
        <f t="shared" si="7"/>
        <v>8.8791176470588251</v>
      </c>
      <c r="AD90">
        <v>1.05132</v>
      </c>
      <c r="AE90">
        <v>0.87992000000000004</v>
      </c>
      <c r="AF90">
        <v>0.77707999999999999</v>
      </c>
      <c r="AG90">
        <v>0.62281999999999993</v>
      </c>
      <c r="AH90">
        <v>0.46856000000000003</v>
      </c>
      <c r="AI90">
        <v>8.8791176470588251</v>
      </c>
    </row>
    <row r="91" spans="2:35" x14ac:dyDescent="0.25">
      <c r="B91" s="107" t="str">
        <f>+B2573</f>
        <v>04.03.02.29</v>
      </c>
      <c r="C91" s="93" t="s">
        <v>739</v>
      </c>
      <c r="D91" s="23"/>
      <c r="E91" s="23"/>
      <c r="F91" s="23"/>
      <c r="G91" s="23"/>
      <c r="H91" s="24"/>
      <c r="I91" s="25">
        <f t="shared" ca="1" si="6"/>
        <v>3</v>
      </c>
      <c r="J91" s="26" t="s">
        <v>13</v>
      </c>
      <c r="K91">
        <v>0</v>
      </c>
      <c r="L91" s="52">
        <f t="shared" ca="1" si="4"/>
        <v>3</v>
      </c>
      <c r="S91">
        <f t="shared" si="8"/>
        <v>0</v>
      </c>
    </row>
    <row r="92" spans="2:35" x14ac:dyDescent="0.25">
      <c r="B92" s="107" t="str">
        <f>+B281</f>
        <v>04.03.02.30</v>
      </c>
      <c r="C92" s="343" t="s">
        <v>695</v>
      </c>
      <c r="D92" s="23"/>
      <c r="E92" s="23"/>
      <c r="F92" s="23"/>
      <c r="G92" s="23"/>
      <c r="H92" s="24"/>
      <c r="I92" s="25">
        <f t="shared" ca="1" si="6"/>
        <v>11</v>
      </c>
      <c r="J92" s="26" t="str">
        <f>VLOOKUP(B92,$B$146:$J$3070,9)</f>
        <v>ml</v>
      </c>
      <c r="K92">
        <v>0</v>
      </c>
      <c r="L92" s="52">
        <f t="shared" ca="1" si="4"/>
        <v>11</v>
      </c>
      <c r="S92">
        <f t="shared" si="8"/>
        <v>0</v>
      </c>
      <c r="W92" t="s">
        <v>756</v>
      </c>
      <c r="AA92">
        <v>3</v>
      </c>
    </row>
    <row r="93" spans="2:35" x14ac:dyDescent="0.25">
      <c r="B93" s="107" t="s">
        <v>697</v>
      </c>
      <c r="C93" s="343" t="s">
        <v>655</v>
      </c>
      <c r="D93" s="23"/>
      <c r="E93" s="23"/>
      <c r="F93" s="23"/>
      <c r="G93" s="23"/>
      <c r="H93" s="24"/>
      <c r="I93" s="25">
        <f t="shared" ca="1" si="6"/>
        <v>12</v>
      </c>
      <c r="J93" s="26" t="str">
        <f>VLOOKUP(B93,$B$146:$J$3070,9)</f>
        <v>ml</v>
      </c>
      <c r="K93">
        <v>0</v>
      </c>
      <c r="L93" s="52">
        <f t="shared" ca="1" si="4"/>
        <v>12</v>
      </c>
      <c r="S93">
        <f t="shared" si="8"/>
        <v>0</v>
      </c>
      <c r="W93" t="s">
        <v>757</v>
      </c>
      <c r="AA93">
        <v>42</v>
      </c>
    </row>
    <row r="94" spans="2:35" x14ac:dyDescent="0.25">
      <c r="B94" s="107" t="s">
        <v>699</v>
      </c>
      <c r="C94" s="343" t="s">
        <v>740</v>
      </c>
      <c r="D94" s="23"/>
      <c r="E94" s="23"/>
      <c r="F94" s="23"/>
      <c r="G94" s="23"/>
      <c r="H94" s="24"/>
      <c r="I94" s="25">
        <f t="shared" ca="1" si="6"/>
        <v>6</v>
      </c>
      <c r="J94" s="26" t="str">
        <f>VLOOKUP(B94,$B$146:$J$3070,9)</f>
        <v>ml</v>
      </c>
      <c r="K94">
        <v>0</v>
      </c>
      <c r="L94" s="52">
        <f t="shared" ca="1" si="4"/>
        <v>6</v>
      </c>
      <c r="M94" s="1"/>
      <c r="S94">
        <f t="shared" si="8"/>
        <v>0</v>
      </c>
      <c r="W94" t="s">
        <v>758</v>
      </c>
      <c r="AA94">
        <v>22.8</v>
      </c>
    </row>
    <row r="95" spans="2:35" x14ac:dyDescent="0.25">
      <c r="B95" s="107" t="str">
        <f>+B2975</f>
        <v>04.03.02.33</v>
      </c>
      <c r="C95" s="343" t="s">
        <v>741</v>
      </c>
      <c r="D95" s="23"/>
      <c r="E95" s="23"/>
      <c r="F95" s="23"/>
      <c r="G95" s="23"/>
      <c r="H95" s="24"/>
      <c r="I95" s="25">
        <f t="shared" ca="1" si="6"/>
        <v>1</v>
      </c>
      <c r="J95" s="26"/>
      <c r="L95" s="52"/>
      <c r="W95" t="s">
        <v>756</v>
      </c>
      <c r="AA95">
        <v>8</v>
      </c>
    </row>
    <row r="96" spans="2:35" x14ac:dyDescent="0.25">
      <c r="B96" s="107" t="s">
        <v>702</v>
      </c>
      <c r="C96" s="93" t="s">
        <v>759</v>
      </c>
      <c r="D96" s="23"/>
      <c r="E96" s="23"/>
      <c r="F96" s="23"/>
      <c r="G96" s="23"/>
      <c r="H96" s="24"/>
      <c r="I96" s="25">
        <f t="shared" ca="1" si="6"/>
        <v>1</v>
      </c>
      <c r="J96" s="26" t="s">
        <v>13</v>
      </c>
      <c r="K96">
        <v>0</v>
      </c>
      <c r="L96" s="52">
        <f ca="1">+I96-K96</f>
        <v>1</v>
      </c>
      <c r="S96">
        <f>+Q96*R96*$Q$69</f>
        <v>0</v>
      </c>
    </row>
    <row r="97" spans="2:34" x14ac:dyDescent="0.25">
      <c r="B97" s="107" t="s">
        <v>717</v>
      </c>
      <c r="C97" s="343" t="s">
        <v>735</v>
      </c>
      <c r="D97" s="23"/>
      <c r="E97" s="23"/>
      <c r="F97" s="23"/>
      <c r="G97" s="23"/>
      <c r="H97" s="24"/>
      <c r="I97" s="25">
        <f t="shared" ca="1" si="6"/>
        <v>105.24000000000001</v>
      </c>
      <c r="J97" s="26" t="s">
        <v>45</v>
      </c>
      <c r="L97" s="52"/>
    </row>
    <row r="98" spans="2:34" x14ac:dyDescent="0.25">
      <c r="B98" s="107" t="s">
        <v>734</v>
      </c>
      <c r="C98" s="343" t="s">
        <v>736</v>
      </c>
      <c r="D98" s="23"/>
      <c r="E98" s="23"/>
      <c r="F98" s="23"/>
      <c r="G98" s="23"/>
      <c r="H98" s="24"/>
      <c r="I98" s="25">
        <f t="shared" ca="1" si="6"/>
        <v>256.66499999999996</v>
      </c>
      <c r="J98" s="26" t="s">
        <v>45</v>
      </c>
      <c r="L98" s="52"/>
      <c r="Z98" t="s">
        <v>796</v>
      </c>
    </row>
    <row r="99" spans="2:34" x14ac:dyDescent="0.25">
      <c r="B99" s="107"/>
      <c r="C99" s="343"/>
      <c r="D99" s="23"/>
      <c r="E99" s="23"/>
      <c r="F99" s="23"/>
      <c r="G99" s="23"/>
      <c r="H99" s="24"/>
      <c r="I99" s="25"/>
      <c r="J99" s="26"/>
      <c r="L99" s="52"/>
      <c r="Z99">
        <v>1.4</v>
      </c>
      <c r="AA99">
        <v>1.45</v>
      </c>
    </row>
    <row r="100" spans="2:34" x14ac:dyDescent="0.25">
      <c r="B100" s="73" t="str">
        <f>+B299</f>
        <v>04.03.03</v>
      </c>
      <c r="C100" s="74" t="str">
        <f t="shared" ref="C100:C107" si="9">LOOKUP(B100,$B$146:$B$3076,$C$146:$C$3076)</f>
        <v>ACCESORIOS</v>
      </c>
      <c r="D100" s="23"/>
      <c r="E100" s="23"/>
      <c r="F100" s="23"/>
      <c r="G100" s="23"/>
      <c r="H100" s="24"/>
      <c r="I100" s="25"/>
      <c r="J100" s="26"/>
      <c r="L100" s="52"/>
      <c r="Z100">
        <v>2.36</v>
      </c>
      <c r="AA100">
        <v>2.1</v>
      </c>
    </row>
    <row r="101" spans="2:34" x14ac:dyDescent="0.25">
      <c r="B101" s="25" t="str">
        <f>+B300</f>
        <v>04.03.03.01</v>
      </c>
      <c r="C101" s="28" t="str">
        <f t="shared" si="9"/>
        <v>SUMIDEROS SIFONICO INOXIDABLE 200X200 CON DIAMETRO DE SALIDA DE 3"</v>
      </c>
      <c r="D101" s="23"/>
      <c r="E101" s="23"/>
      <c r="F101" s="23"/>
      <c r="G101" s="23"/>
      <c r="H101" s="24"/>
      <c r="I101" s="112">
        <f ca="1">SUMIF($B$146:$J$3070,B101,$I$146:$I$3073)</f>
        <v>41</v>
      </c>
      <c r="J101" s="26" t="s">
        <v>13</v>
      </c>
      <c r="K101">
        <v>47</v>
      </c>
      <c r="L101" s="52">
        <f t="shared" ref="L101:L121" ca="1" si="10">+I101-K101</f>
        <v>-6</v>
      </c>
      <c r="M101" s="375">
        <v>0</v>
      </c>
      <c r="N101" s="375">
        <v>47</v>
      </c>
      <c r="O101" s="378">
        <f ca="1">+-L101-M101</f>
        <v>6</v>
      </c>
      <c r="Z101">
        <v>2.83</v>
      </c>
      <c r="AA101">
        <v>3.66</v>
      </c>
    </row>
    <row r="102" spans="2:34" x14ac:dyDescent="0.25">
      <c r="B102" s="25" t="str">
        <f>+B303</f>
        <v>04.03.03.02</v>
      </c>
      <c r="C102" s="28" t="str">
        <f t="shared" si="9"/>
        <v>ABRAZADERA DE FIJACION DE MONTANTE TUBO DE 3"</v>
      </c>
      <c r="D102" s="23"/>
      <c r="E102" s="23"/>
      <c r="F102" s="23"/>
      <c r="G102" s="23"/>
      <c r="H102" s="24"/>
      <c r="I102" s="25">
        <f ca="1">SUMIF($B$146:$J$3070,B102,$I$146:$I$3073)</f>
        <v>288</v>
      </c>
      <c r="J102" s="26" t="str">
        <f>VLOOKUP(B102,$B$146:$J$3070,9)</f>
        <v>und</v>
      </c>
      <c r="K102">
        <v>54</v>
      </c>
      <c r="L102" s="52">
        <f t="shared" ca="1" si="10"/>
        <v>234</v>
      </c>
      <c r="M102">
        <v>0</v>
      </c>
      <c r="N102">
        <v>54</v>
      </c>
      <c r="O102" s="52"/>
      <c r="Z102">
        <v>1.45</v>
      </c>
      <c r="AA102">
        <v>1.51</v>
      </c>
      <c r="AC102">
        <v>2.41</v>
      </c>
      <c r="AD102">
        <f>+AC102+0.56</f>
        <v>2.97</v>
      </c>
      <c r="AE102">
        <f>+AC102+0.4</f>
        <v>2.81</v>
      </c>
    </row>
    <row r="103" spans="2:34" x14ac:dyDescent="0.25">
      <c r="B103" s="25" t="str">
        <f>+B307</f>
        <v>04.03.03.03</v>
      </c>
      <c r="C103" s="28" t="str">
        <f t="shared" si="9"/>
        <v>ABRAZADERA DE FIJACION DE MONTANTE TUBO DE 4"</v>
      </c>
      <c r="D103" s="29"/>
      <c r="E103" s="29"/>
      <c r="F103" s="29"/>
      <c r="G103" s="29"/>
      <c r="H103" s="30"/>
      <c r="I103" s="112">
        <f ca="1">SUMIF($B$146:$J$3070,B103,$I$146:$I$3073)</f>
        <v>648</v>
      </c>
      <c r="J103" s="26" t="str">
        <f>VLOOKUP(B103,$B$146:$J$3070,9)</f>
        <v>und</v>
      </c>
      <c r="K103">
        <v>664</v>
      </c>
      <c r="L103" s="52">
        <f t="shared" ca="1" si="10"/>
        <v>-16</v>
      </c>
      <c r="M103">
        <v>0</v>
      </c>
      <c r="N103">
        <v>664</v>
      </c>
      <c r="O103" s="52">
        <f ca="1">+-L103-M103</f>
        <v>16</v>
      </c>
      <c r="Z103">
        <v>0.4</v>
      </c>
      <c r="AA103">
        <v>0.47</v>
      </c>
      <c r="AC103">
        <v>1.32</v>
      </c>
      <c r="AD103">
        <f>+AC103+0.56</f>
        <v>1.8800000000000001</v>
      </c>
      <c r="AE103">
        <f t="shared" ref="AE103:AE105" si="11">+AC103+0.4</f>
        <v>1.7200000000000002</v>
      </c>
    </row>
    <row r="104" spans="2:34" x14ac:dyDescent="0.25">
      <c r="B104" s="25" t="str">
        <f>+B309</f>
        <v>04.03.03.04</v>
      </c>
      <c r="C104" s="28" t="str">
        <f t="shared" si="9"/>
        <v>SOPORTE METALICO DE CANALETAS DE 15 cm</v>
      </c>
      <c r="D104" s="29"/>
      <c r="E104" s="29"/>
      <c r="F104" s="29"/>
      <c r="G104" s="29"/>
      <c r="H104" s="30"/>
      <c r="I104" s="25">
        <f ca="1">SUMIF($B$146:$J$3070,B104,$I$146:$I$3073)</f>
        <v>49</v>
      </c>
      <c r="J104" s="26" t="str">
        <f>VLOOKUP(B104,$B$146:$J$3070,9)</f>
        <v>und</v>
      </c>
      <c r="K104">
        <v>35</v>
      </c>
      <c r="L104" s="52">
        <f t="shared" ca="1" si="10"/>
        <v>14</v>
      </c>
      <c r="M104">
        <v>0</v>
      </c>
      <c r="N104">
        <v>35</v>
      </c>
      <c r="O104" s="52"/>
      <c r="Z104">
        <v>0.27</v>
      </c>
      <c r="AA104">
        <v>0.4</v>
      </c>
      <c r="AC104">
        <v>1.43</v>
      </c>
      <c r="AD104">
        <f>+AC104+0.56</f>
        <v>1.99</v>
      </c>
      <c r="AE104">
        <f t="shared" si="11"/>
        <v>1.83</v>
      </c>
    </row>
    <row r="105" spans="2:34" x14ac:dyDescent="0.25">
      <c r="B105" s="25" t="str">
        <f>+B311</f>
        <v>04.03.03.05</v>
      </c>
      <c r="C105" s="28" t="str">
        <f t="shared" si="9"/>
        <v>EMBUDO DE CONEXIÓN DE CANALETA Y MONTANTE</v>
      </c>
      <c r="D105" s="29"/>
      <c r="E105" s="29"/>
      <c r="F105" s="29"/>
      <c r="G105" s="29"/>
      <c r="H105" s="30"/>
      <c r="I105" s="112">
        <f ca="1">SUMIF($B$146:$J$3070,B105,$I$146:$I$3073)+18</f>
        <v>42</v>
      </c>
      <c r="J105" s="26" t="str">
        <f>VLOOKUP(B105,$B$146:$J$3070,9)</f>
        <v>und</v>
      </c>
      <c r="K105">
        <v>46</v>
      </c>
      <c r="L105" s="52">
        <f t="shared" ca="1" si="10"/>
        <v>-4</v>
      </c>
      <c r="M105">
        <v>0</v>
      </c>
      <c r="N105">
        <v>46</v>
      </c>
      <c r="O105" s="52">
        <f ca="1">+-L105-M105</f>
        <v>4</v>
      </c>
      <c r="Z105">
        <v>0.95</v>
      </c>
      <c r="AA105">
        <v>0.95</v>
      </c>
      <c r="AC105">
        <v>2.87</v>
      </c>
      <c r="AD105">
        <f>+AC105+0.56</f>
        <v>3.43</v>
      </c>
      <c r="AE105">
        <f t="shared" si="11"/>
        <v>3.27</v>
      </c>
    </row>
    <row r="106" spans="2:34" x14ac:dyDescent="0.25">
      <c r="B106" s="25" t="str">
        <f>+B313</f>
        <v>04.03.03.06</v>
      </c>
      <c r="C106" s="28" t="str">
        <f t="shared" si="9"/>
        <v>CONEXIONES A LA RED RECOLECTORA TUBERÍA PVC UF Ø DE 8"</v>
      </c>
      <c r="D106" s="29"/>
      <c r="E106" s="29"/>
      <c r="F106" s="29"/>
      <c r="G106" s="29"/>
      <c r="H106" s="30"/>
      <c r="I106" s="112">
        <f t="shared" ref="I106:I121" ca="1" si="12">SUMIF($B$146:$J$3070,B106,$I$146:$I$3073)</f>
        <v>1</v>
      </c>
      <c r="J106" s="26" t="s">
        <v>13</v>
      </c>
      <c r="K106">
        <v>9</v>
      </c>
      <c r="L106" s="52">
        <f t="shared" ca="1" si="10"/>
        <v>-8</v>
      </c>
      <c r="M106">
        <v>0</v>
      </c>
      <c r="N106">
        <v>9</v>
      </c>
      <c r="O106" s="52">
        <f ca="1">+-L106-M106</f>
        <v>8</v>
      </c>
      <c r="Z106" s="374">
        <f t="shared" ref="Z106:AE106" si="13">SUM(Z99:Z105)</f>
        <v>9.6599999999999984</v>
      </c>
      <c r="AA106" s="374">
        <f t="shared" si="13"/>
        <v>10.540000000000001</v>
      </c>
      <c r="AB106" s="374"/>
      <c r="AC106" s="374">
        <f t="shared" si="13"/>
        <v>8.0300000000000011</v>
      </c>
      <c r="AD106" s="374">
        <f t="shared" si="13"/>
        <v>10.270000000000001</v>
      </c>
      <c r="AE106" s="374">
        <f t="shared" si="13"/>
        <v>9.6300000000000008</v>
      </c>
    </row>
    <row r="107" spans="2:34" x14ac:dyDescent="0.25">
      <c r="B107" s="25" t="str">
        <f>+B315</f>
        <v>04.03.03.07</v>
      </c>
      <c r="C107" s="28" t="str">
        <f t="shared" si="9"/>
        <v>CONEXIONES A LA RED RECOLECTORA TUBERÍA PVC UF Ø DE 10"</v>
      </c>
      <c r="D107" s="29"/>
      <c r="E107" s="29"/>
      <c r="F107" s="29"/>
      <c r="G107" s="29"/>
      <c r="H107" s="30"/>
      <c r="I107" s="112">
        <f t="shared" ca="1" si="12"/>
        <v>1</v>
      </c>
      <c r="J107" s="26" t="s">
        <v>13</v>
      </c>
      <c r="K107">
        <v>4</v>
      </c>
      <c r="L107" s="52">
        <f t="shared" ca="1" si="10"/>
        <v>-3</v>
      </c>
      <c r="M107" s="1">
        <v>0</v>
      </c>
      <c r="N107">
        <v>4</v>
      </c>
      <c r="O107" s="52">
        <f ca="1">+-L107-M107</f>
        <v>3</v>
      </c>
      <c r="Z107">
        <v>10</v>
      </c>
      <c r="AA107">
        <v>10</v>
      </c>
      <c r="AC107">
        <v>12</v>
      </c>
      <c r="AD107">
        <v>14</v>
      </c>
      <c r="AE107">
        <v>7</v>
      </c>
      <c r="AF107" t="s">
        <v>345</v>
      </c>
      <c r="AG107" t="s">
        <v>682</v>
      </c>
      <c r="AH107" s="376" t="s">
        <v>806</v>
      </c>
    </row>
    <row r="108" spans="2:34" x14ac:dyDescent="0.25">
      <c r="B108" s="107" t="str">
        <f>+B681</f>
        <v>04.03.03.08'</v>
      </c>
      <c r="C108" s="372" t="s">
        <v>657</v>
      </c>
      <c r="D108" s="29"/>
      <c r="E108" s="29"/>
      <c r="F108" s="29"/>
      <c r="G108" s="29"/>
      <c r="H108" s="30"/>
      <c r="I108" s="25">
        <f t="shared" ca="1" si="12"/>
        <v>142</v>
      </c>
      <c r="J108" s="26" t="s">
        <v>13</v>
      </c>
      <c r="K108">
        <v>0</v>
      </c>
      <c r="L108" s="52">
        <f t="shared" ca="1" si="10"/>
        <v>142</v>
      </c>
      <c r="Z108">
        <f>+PRODUCT(Z106:Z107)</f>
        <v>96.59999999999998</v>
      </c>
      <c r="AA108">
        <f t="shared" ref="AA108:AE108" si="14">+PRODUCT(AA106:AA107)</f>
        <v>105.4</v>
      </c>
      <c r="AC108">
        <f t="shared" si="14"/>
        <v>96.360000000000014</v>
      </c>
      <c r="AD108">
        <f t="shared" si="14"/>
        <v>143.78000000000003</v>
      </c>
      <c r="AE108">
        <f t="shared" si="14"/>
        <v>67.410000000000011</v>
      </c>
      <c r="AF108">
        <f>SUM(Z108:AE108)</f>
        <v>509.55000000000007</v>
      </c>
      <c r="AG108">
        <v>0.99</v>
      </c>
      <c r="AH108" s="376">
        <f>+AF108*AG108</f>
        <v>504.45450000000005</v>
      </c>
    </row>
    <row r="109" spans="2:34" x14ac:dyDescent="0.25">
      <c r="B109" s="107" t="str">
        <f>+B3035</f>
        <v>04.03.03.09'</v>
      </c>
      <c r="C109" s="372" t="s">
        <v>670</v>
      </c>
      <c r="D109" s="29"/>
      <c r="E109" s="29"/>
      <c r="F109" s="29"/>
      <c r="G109" s="29"/>
      <c r="H109" s="30"/>
      <c r="I109" s="25">
        <f t="shared" ca="1" si="12"/>
        <v>57</v>
      </c>
      <c r="J109" s="26" t="s">
        <v>13</v>
      </c>
      <c r="K109">
        <v>0</v>
      </c>
      <c r="L109" s="52">
        <f t="shared" ca="1" si="10"/>
        <v>57</v>
      </c>
    </row>
    <row r="110" spans="2:34" x14ac:dyDescent="0.25">
      <c r="B110" s="107" t="str">
        <f>+B1299</f>
        <v>04.03.03.09</v>
      </c>
      <c r="C110" s="343" t="s">
        <v>539</v>
      </c>
      <c r="D110" s="29"/>
      <c r="E110" s="29"/>
      <c r="F110" s="29"/>
      <c r="G110" s="29"/>
      <c r="H110" s="30"/>
      <c r="I110" s="25">
        <f t="shared" ca="1" si="12"/>
        <v>5</v>
      </c>
      <c r="J110" s="26" t="s">
        <v>13</v>
      </c>
      <c r="K110">
        <v>0</v>
      </c>
      <c r="L110" s="52">
        <f t="shared" ca="1" si="10"/>
        <v>5</v>
      </c>
    </row>
    <row r="111" spans="2:34" x14ac:dyDescent="0.25">
      <c r="B111" s="107" t="str">
        <f>+B324</f>
        <v>04.03.03.10</v>
      </c>
      <c r="C111" s="343" t="s">
        <v>540</v>
      </c>
      <c r="D111" s="29"/>
      <c r="E111" s="29"/>
      <c r="F111" s="29"/>
      <c r="G111" s="29"/>
      <c r="H111" s="30"/>
      <c r="I111" s="25">
        <f t="shared" ca="1" si="12"/>
        <v>7</v>
      </c>
      <c r="J111" s="26" t="s">
        <v>13</v>
      </c>
      <c r="K111">
        <v>0</v>
      </c>
      <c r="L111" s="52">
        <f t="shared" ca="1" si="10"/>
        <v>7</v>
      </c>
      <c r="Z111" t="s">
        <v>797</v>
      </c>
    </row>
    <row r="112" spans="2:34" x14ac:dyDescent="0.25">
      <c r="B112" s="107" t="s">
        <v>602</v>
      </c>
      <c r="C112" s="343" t="s">
        <v>541</v>
      </c>
      <c r="D112" s="29"/>
      <c r="E112" s="29"/>
      <c r="F112" s="29"/>
      <c r="G112" s="29"/>
      <c r="H112" s="30"/>
      <c r="I112" s="25">
        <f t="shared" ca="1" si="12"/>
        <v>4</v>
      </c>
      <c r="J112" s="26" t="s">
        <v>13</v>
      </c>
      <c r="K112">
        <v>0</v>
      </c>
      <c r="L112" s="52">
        <f t="shared" ca="1" si="10"/>
        <v>4</v>
      </c>
    </row>
    <row r="113" spans="2:32" x14ac:dyDescent="0.25">
      <c r="B113" s="107" t="s">
        <v>603</v>
      </c>
      <c r="C113" s="343" t="s">
        <v>551</v>
      </c>
      <c r="D113" s="29"/>
      <c r="E113" s="29"/>
      <c r="F113" s="29"/>
      <c r="G113" s="29"/>
      <c r="H113" s="30"/>
      <c r="I113" s="25">
        <f t="shared" ca="1" si="12"/>
        <v>1</v>
      </c>
      <c r="J113" s="26" t="s">
        <v>13</v>
      </c>
      <c r="K113">
        <v>0</v>
      </c>
      <c r="L113" s="52">
        <f t="shared" ca="1" si="10"/>
        <v>1</v>
      </c>
      <c r="W113" t="s">
        <v>802</v>
      </c>
      <c r="Y113" t="s">
        <v>801</v>
      </c>
      <c r="Z113" t="s">
        <v>798</v>
      </c>
      <c r="AA113" t="s">
        <v>799</v>
      </c>
      <c r="AB113" t="s">
        <v>800</v>
      </c>
    </row>
    <row r="114" spans="2:32" x14ac:dyDescent="0.25">
      <c r="B114" s="107" t="str">
        <f>+B2015</f>
        <v>04.03.03.13</v>
      </c>
      <c r="C114" s="343" t="s">
        <v>559</v>
      </c>
      <c r="D114" s="29"/>
      <c r="E114" s="29"/>
      <c r="F114" s="29"/>
      <c r="G114" s="29"/>
      <c r="H114" s="30"/>
      <c r="I114" s="25">
        <f t="shared" ca="1" si="12"/>
        <v>2</v>
      </c>
      <c r="J114" s="26" t="s">
        <v>13</v>
      </c>
      <c r="K114">
        <v>0</v>
      </c>
      <c r="L114" s="52">
        <f t="shared" ca="1" si="10"/>
        <v>2</v>
      </c>
      <c r="Y114">
        <v>2</v>
      </c>
      <c r="Z114">
        <f>1.87+0.2</f>
        <v>2.0700000000000003</v>
      </c>
      <c r="AA114">
        <v>0.2</v>
      </c>
      <c r="AB114">
        <v>0.3</v>
      </c>
      <c r="AC114">
        <f>+PRODUCT(Y114:AB114)</f>
        <v>0.24840000000000004</v>
      </c>
    </row>
    <row r="115" spans="2:32" x14ac:dyDescent="0.25">
      <c r="B115" s="107" t="str">
        <f>+B1598</f>
        <v>04.03.03.14</v>
      </c>
      <c r="C115" s="343" t="s">
        <v>560</v>
      </c>
      <c r="D115" s="29"/>
      <c r="E115" s="29"/>
      <c r="F115" s="29"/>
      <c r="G115" s="29"/>
      <c r="H115" s="30"/>
      <c r="I115" s="25">
        <f t="shared" ca="1" si="12"/>
        <v>1</v>
      </c>
      <c r="J115" s="26" t="s">
        <v>13</v>
      </c>
      <c r="K115">
        <v>0</v>
      </c>
      <c r="L115" s="52">
        <f t="shared" ca="1" si="10"/>
        <v>1</v>
      </c>
      <c r="Y115">
        <v>2</v>
      </c>
      <c r="Z115">
        <v>1.3</v>
      </c>
      <c r="AA115">
        <v>0.2</v>
      </c>
      <c r="AB115">
        <v>0.3</v>
      </c>
      <c r="AC115">
        <f t="shared" ref="AC115:AC124" si="15">+PRODUCT(Y115:AB115)</f>
        <v>0.156</v>
      </c>
    </row>
    <row r="116" spans="2:32" x14ac:dyDescent="0.25">
      <c r="B116" s="107" t="str">
        <f>+B326</f>
        <v>04.03.03.15</v>
      </c>
      <c r="C116" s="343" t="s">
        <v>542</v>
      </c>
      <c r="D116" s="29"/>
      <c r="E116" s="29"/>
      <c r="F116" s="29"/>
      <c r="G116" s="29"/>
      <c r="H116" s="30"/>
      <c r="I116" s="25">
        <f t="shared" ca="1" si="12"/>
        <v>4</v>
      </c>
      <c r="J116" s="26" t="s">
        <v>13</v>
      </c>
      <c r="K116">
        <v>0</v>
      </c>
      <c r="L116" s="52">
        <f t="shared" ca="1" si="10"/>
        <v>4</v>
      </c>
      <c r="Y116">
        <v>2</v>
      </c>
      <c r="Z116">
        <v>2.8</v>
      </c>
      <c r="AA116">
        <v>0.2</v>
      </c>
      <c r="AB116">
        <v>0.3</v>
      </c>
      <c r="AC116">
        <f t="shared" si="15"/>
        <v>0.33599999999999997</v>
      </c>
    </row>
    <row r="117" spans="2:32" x14ac:dyDescent="0.25">
      <c r="B117" s="107" t="str">
        <f>+B1305</f>
        <v>04.03.03.16</v>
      </c>
      <c r="C117" s="343" t="s">
        <v>543</v>
      </c>
      <c r="D117" s="29"/>
      <c r="E117" s="29"/>
      <c r="F117" s="29"/>
      <c r="G117" s="29"/>
      <c r="H117" s="30"/>
      <c r="I117" s="25">
        <f t="shared" ca="1" si="12"/>
        <v>23</v>
      </c>
      <c r="J117" s="26" t="s">
        <v>13</v>
      </c>
      <c r="K117">
        <v>0</v>
      </c>
      <c r="L117" s="52">
        <f t="shared" ca="1" si="10"/>
        <v>23</v>
      </c>
      <c r="Y117">
        <v>2</v>
      </c>
      <c r="Z117">
        <v>1.55</v>
      </c>
      <c r="AA117">
        <v>0.2</v>
      </c>
      <c r="AB117">
        <v>0.3</v>
      </c>
      <c r="AC117">
        <f t="shared" si="15"/>
        <v>0.18600000000000003</v>
      </c>
    </row>
    <row r="118" spans="2:32" x14ac:dyDescent="0.25">
      <c r="B118" s="107" t="str">
        <f>+B329</f>
        <v>04.03.03.17</v>
      </c>
      <c r="C118" s="343" t="s">
        <v>544</v>
      </c>
      <c r="D118" s="29"/>
      <c r="E118" s="29"/>
      <c r="F118" s="29"/>
      <c r="G118" s="29"/>
      <c r="H118" s="30"/>
      <c r="I118" s="25">
        <f t="shared" ca="1" si="12"/>
        <v>9</v>
      </c>
      <c r="J118" s="26" t="s">
        <v>13</v>
      </c>
      <c r="K118">
        <v>0</v>
      </c>
      <c r="L118" s="52">
        <f t="shared" ca="1" si="10"/>
        <v>9</v>
      </c>
      <c r="Y118">
        <v>2</v>
      </c>
      <c r="Z118">
        <v>0.85</v>
      </c>
      <c r="AA118">
        <v>0.2</v>
      </c>
      <c r="AB118">
        <v>0.3</v>
      </c>
      <c r="AC118">
        <f t="shared" si="15"/>
        <v>0.10200000000000001</v>
      </c>
    </row>
    <row r="119" spans="2:32" x14ac:dyDescent="0.25">
      <c r="B119" s="107" t="str">
        <f>+B1312</f>
        <v>04.03.03.18</v>
      </c>
      <c r="C119" s="343" t="s">
        <v>545</v>
      </c>
      <c r="D119" s="29"/>
      <c r="E119" s="29"/>
      <c r="F119" s="29"/>
      <c r="G119" s="29"/>
      <c r="H119" s="30"/>
      <c r="I119" s="25">
        <f t="shared" ca="1" si="12"/>
        <v>5</v>
      </c>
      <c r="J119" s="26" t="s">
        <v>13</v>
      </c>
      <c r="K119">
        <v>0</v>
      </c>
      <c r="L119" s="52">
        <f t="shared" ca="1" si="10"/>
        <v>5</v>
      </c>
    </row>
    <row r="120" spans="2:32" x14ac:dyDescent="0.25">
      <c r="B120" s="107" t="str">
        <f>+B485</f>
        <v>04.03.03.19</v>
      </c>
      <c r="C120" s="343" t="s">
        <v>546</v>
      </c>
      <c r="D120" s="29"/>
      <c r="E120" s="29"/>
      <c r="F120" s="29"/>
      <c r="G120" s="29"/>
      <c r="H120" s="30"/>
      <c r="I120" s="25">
        <f t="shared" ca="1" si="12"/>
        <v>8</v>
      </c>
      <c r="J120" s="26" t="s">
        <v>13</v>
      </c>
      <c r="K120">
        <v>0</v>
      </c>
      <c r="L120" s="52">
        <f t="shared" ca="1" si="10"/>
        <v>8</v>
      </c>
    </row>
    <row r="121" spans="2:32" x14ac:dyDescent="0.25">
      <c r="B121" s="109" t="str">
        <f>+B335</f>
        <v>04.03.03.20</v>
      </c>
      <c r="C121" s="371" t="s">
        <v>547</v>
      </c>
      <c r="D121" s="34"/>
      <c r="E121" s="34"/>
      <c r="F121" s="34"/>
      <c r="G121" s="34"/>
      <c r="H121" s="35"/>
      <c r="I121" s="32">
        <f t="shared" ca="1" si="12"/>
        <v>3</v>
      </c>
      <c r="J121" s="26" t="s">
        <v>13</v>
      </c>
      <c r="K121">
        <v>0</v>
      </c>
      <c r="L121" s="52">
        <f t="shared" ca="1" si="10"/>
        <v>3</v>
      </c>
      <c r="W121" t="s">
        <v>803</v>
      </c>
      <c r="Y121">
        <v>1</v>
      </c>
      <c r="Z121">
        <v>1.31</v>
      </c>
      <c r="AA121">
        <v>1.3</v>
      </c>
      <c r="AB121">
        <v>0.3</v>
      </c>
      <c r="AC121">
        <f t="shared" si="15"/>
        <v>0.51090000000000002</v>
      </c>
    </row>
    <row r="122" spans="2:32" x14ac:dyDescent="0.25">
      <c r="D122" s="23"/>
      <c r="E122" s="23"/>
      <c r="F122" s="23"/>
      <c r="G122" s="23"/>
      <c r="H122" s="23"/>
      <c r="I122" s="23"/>
      <c r="J122" s="67"/>
      <c r="Y122">
        <v>1</v>
      </c>
      <c r="Z122">
        <v>0.96</v>
      </c>
      <c r="AA122">
        <v>1.3</v>
      </c>
      <c r="AB122">
        <v>0.3</v>
      </c>
      <c r="AC122">
        <f t="shared" si="15"/>
        <v>0.37440000000000001</v>
      </c>
    </row>
    <row r="123" spans="2:32" x14ac:dyDescent="0.25">
      <c r="D123" s="23"/>
      <c r="E123" s="23"/>
      <c r="F123" s="23"/>
      <c r="G123" s="23"/>
      <c r="H123" s="23"/>
      <c r="I123" s="23"/>
      <c r="J123" s="67"/>
    </row>
    <row r="124" spans="2:32" x14ac:dyDescent="0.25">
      <c r="D124" s="23"/>
      <c r="E124" s="23"/>
      <c r="F124" s="23"/>
      <c r="G124" s="23"/>
      <c r="H124" s="23"/>
      <c r="I124" s="23"/>
      <c r="J124" s="67"/>
      <c r="W124" t="s">
        <v>805</v>
      </c>
      <c r="Y124">
        <v>1</v>
      </c>
      <c r="Z124">
        <f>1.3+0.2+2.8+1.55</f>
        <v>5.85</v>
      </c>
      <c r="AA124">
        <v>1.3</v>
      </c>
      <c r="AB124">
        <v>0.3</v>
      </c>
      <c r="AC124">
        <f t="shared" si="15"/>
        <v>2.2814999999999999</v>
      </c>
    </row>
    <row r="125" spans="2:32" x14ac:dyDescent="0.25">
      <c r="D125" s="23"/>
      <c r="E125" s="23"/>
      <c r="F125" s="23"/>
      <c r="G125" s="23"/>
      <c r="H125" s="23"/>
      <c r="I125" s="23"/>
      <c r="J125" s="67"/>
      <c r="AC125" s="376">
        <f>+SUM(AC114:AC124)</f>
        <v>4.1951999999999998</v>
      </c>
      <c r="AD125" s="376" t="s">
        <v>804</v>
      </c>
      <c r="AE125" s="374">
        <f>+AC125*9.5</f>
        <v>39.854399999999998</v>
      </c>
      <c r="AF125" s="374" t="s">
        <v>815</v>
      </c>
    </row>
    <row r="126" spans="2:32" s="1" customFormat="1" ht="12.75" x14ac:dyDescent="0.2">
      <c r="B126" s="37"/>
      <c r="C126" s="38"/>
      <c r="D126" s="38"/>
      <c r="E126" s="38"/>
      <c r="F126" s="38"/>
      <c r="G126" s="38"/>
      <c r="H126" s="38"/>
      <c r="I126" s="38"/>
      <c r="J126" s="38"/>
    </row>
    <row r="127" spans="2:32" s="1" customFormat="1" x14ac:dyDescent="0.25">
      <c r="B127" s="37"/>
      <c r="C127" s="38"/>
      <c r="D127" s="38"/>
      <c r="E127" s="38"/>
      <c r="F127" s="38"/>
      <c r="G127" s="38"/>
      <c r="H127" s="38"/>
      <c r="I127" s="38"/>
      <c r="J127" s="38"/>
      <c r="W127" s="1" t="s">
        <v>816</v>
      </c>
      <c r="Y127" s="1">
        <v>1</v>
      </c>
      <c r="Z127" s="1">
        <v>5.9</v>
      </c>
      <c r="AA127" s="1">
        <v>0.5</v>
      </c>
      <c r="AB127" s="1">
        <v>0.2</v>
      </c>
      <c r="AC127">
        <f t="shared" ref="AC127" si="16">+PRODUCT(Y127:AB127)</f>
        <v>0.59000000000000008</v>
      </c>
    </row>
    <row r="128" spans="2:32" s="1" customFormat="1" x14ac:dyDescent="0.25">
      <c r="B128" s="37"/>
      <c r="C128" s="38"/>
      <c r="D128" s="38"/>
      <c r="E128" s="38"/>
      <c r="F128" s="38"/>
      <c r="G128" s="38"/>
      <c r="H128" s="38"/>
      <c r="I128" s="38"/>
      <c r="J128" s="38"/>
      <c r="AC128" s="1">
        <f>+SUM(AC125:AC127)</f>
        <v>4.7851999999999997</v>
      </c>
      <c r="AE128" s="374">
        <f>+AC128*9.5</f>
        <v>45.459399999999995</v>
      </c>
    </row>
    <row r="129" spans="2:34" s="1" customFormat="1" ht="12.75" x14ac:dyDescent="0.2">
      <c r="B129" s="37"/>
      <c r="C129" s="38"/>
      <c r="D129" s="38"/>
      <c r="E129" s="38"/>
      <c r="F129" s="38"/>
      <c r="G129" s="38"/>
      <c r="H129" s="38"/>
      <c r="I129" s="38"/>
      <c r="J129" s="38"/>
    </row>
    <row r="130" spans="2:34" s="1" customFormat="1" ht="12.75" x14ac:dyDescent="0.2">
      <c r="B130" s="37"/>
      <c r="C130" s="38"/>
      <c r="D130" s="38"/>
      <c r="E130" s="38"/>
      <c r="F130" s="38"/>
      <c r="G130" s="38"/>
      <c r="H130" s="38"/>
      <c r="I130" s="38"/>
      <c r="J130" s="38"/>
      <c r="Y130" s="1" t="s">
        <v>808</v>
      </c>
      <c r="Z130" s="1" t="s">
        <v>809</v>
      </c>
      <c r="AA130" s="1" t="s">
        <v>810</v>
      </c>
      <c r="AB130" s="1" t="s">
        <v>811</v>
      </c>
      <c r="AD130" s="1" t="s">
        <v>811</v>
      </c>
      <c r="AE130" s="1" t="s">
        <v>812</v>
      </c>
      <c r="AF130" s="1" t="s">
        <v>813</v>
      </c>
      <c r="AG130" s="1" t="s">
        <v>814</v>
      </c>
      <c r="AH130" s="1">
        <v>5.7</v>
      </c>
    </row>
    <row r="131" spans="2:34" s="1" customFormat="1" ht="12.75" x14ac:dyDescent="0.2">
      <c r="C131" s="499" t="s">
        <v>37</v>
      </c>
      <c r="D131" s="499"/>
      <c r="E131" s="499"/>
      <c r="F131" s="499"/>
      <c r="G131" s="499"/>
      <c r="H131" s="499"/>
      <c r="Y131" s="395">
        <f>0.3*1</f>
        <v>0.3</v>
      </c>
      <c r="Z131" s="1">
        <f>0.4*1</f>
        <v>0.4</v>
      </c>
      <c r="AA131" s="1">
        <f>0.7*1</f>
        <v>0.7</v>
      </c>
      <c r="AB131" s="1">
        <f>+AE131</f>
        <v>0.35</v>
      </c>
      <c r="AC131" s="1">
        <f>+AG131</f>
        <v>7.9799999999999995</v>
      </c>
      <c r="AD131" s="1">
        <f>0.3*0.3</f>
        <v>0.09</v>
      </c>
      <c r="AE131" s="1">
        <f>0.5*0.7</f>
        <v>0.35</v>
      </c>
      <c r="AF131" s="1">
        <f>0.7*1.1</f>
        <v>0.77</v>
      </c>
      <c r="AG131" s="1">
        <f>1.4*5.7</f>
        <v>7.9799999999999995</v>
      </c>
    </row>
    <row r="132" spans="2:34" s="1" customFormat="1" ht="12.75" x14ac:dyDescent="0.2">
      <c r="C132" s="499" t="s">
        <v>38</v>
      </c>
      <c r="D132" s="499"/>
      <c r="E132" s="499"/>
      <c r="F132" s="499"/>
      <c r="G132" s="499"/>
      <c r="H132" s="499"/>
    </row>
    <row r="133" spans="2:34" s="1" customFormat="1" x14ac:dyDescent="0.25">
      <c r="C133" s="499" t="s">
        <v>39</v>
      </c>
      <c r="D133" s="499"/>
      <c r="E133" s="499"/>
      <c r="F133" s="499"/>
      <c r="G133" s="499"/>
      <c r="H133" s="499"/>
      <c r="X133" s="1" t="s">
        <v>756</v>
      </c>
      <c r="Y133" s="1">
        <v>0.5</v>
      </c>
      <c r="Z133" s="1">
        <v>0.5</v>
      </c>
      <c r="AA133" s="1">
        <v>0.5</v>
      </c>
      <c r="AB133">
        <f>+(($AB$131-$Y$131)/($Z$131-$Y$131))*(Z133-Y133)+Y133</f>
        <v>0.5</v>
      </c>
      <c r="AC133">
        <f>+(($AC$131-$AA$131)/($AB$131-$AA$131))*(AB133-AA133)+AA133</f>
        <v>0.5</v>
      </c>
      <c r="AD133" s="1">
        <v>0.5</v>
      </c>
      <c r="AE133" s="1">
        <v>0.5</v>
      </c>
      <c r="AF133" s="1">
        <v>0.5</v>
      </c>
      <c r="AG133" s="1">
        <v>0.5</v>
      </c>
    </row>
    <row r="134" spans="2:34" s="1" customFormat="1" x14ac:dyDescent="0.25">
      <c r="C134" s="500" t="s">
        <v>40</v>
      </c>
      <c r="D134" s="500"/>
      <c r="E134" s="500"/>
      <c r="F134" s="500"/>
      <c r="G134" s="500"/>
      <c r="H134" s="500"/>
      <c r="X134" s="1" t="s">
        <v>757</v>
      </c>
      <c r="Y134" s="1">
        <v>10</v>
      </c>
      <c r="Z134" s="1">
        <v>14.67</v>
      </c>
      <c r="AA134" s="1">
        <v>25.67</v>
      </c>
      <c r="AB134">
        <f t="shared" ref="AB134:AB135" si="17">+(($AB$131-$Y$131)/($Z$131-$Y$131))*(Z134-Y134)+Y134</f>
        <v>12.334999999999999</v>
      </c>
      <c r="AC134">
        <f>+(($AC$131-$Z$131)/($AA$131-$Z$131))*(AA134-Z134)+Z134</f>
        <v>292.60333333333341</v>
      </c>
      <c r="AD134" s="1">
        <v>0.19300000000000317</v>
      </c>
      <c r="AE134" s="1">
        <v>12.334999999999999</v>
      </c>
      <c r="AF134" s="1">
        <v>28.236666666666672</v>
      </c>
      <c r="AG134" s="1">
        <v>292.60333333333341</v>
      </c>
    </row>
    <row r="135" spans="2:34" s="1" customFormat="1" x14ac:dyDescent="0.25">
      <c r="C135" s="80"/>
      <c r="D135" s="80"/>
      <c r="E135" s="80"/>
      <c r="F135" s="80"/>
      <c r="G135" s="80"/>
      <c r="H135" s="80"/>
      <c r="X135" s="1" t="s">
        <v>807</v>
      </c>
      <c r="Y135" s="1">
        <v>2.1</v>
      </c>
      <c r="Z135" s="1">
        <v>2.1</v>
      </c>
      <c r="AA135" s="1">
        <v>2.1</v>
      </c>
      <c r="AB135">
        <f t="shared" si="17"/>
        <v>2.1</v>
      </c>
      <c r="AC135">
        <f>+(($AC$131-$AA$131)/($AB$131-$AA$131))*(AB135-AA135)+AA135</f>
        <v>2.1</v>
      </c>
      <c r="AD135" s="1">
        <v>2.1</v>
      </c>
      <c r="AE135" s="1">
        <v>2.1</v>
      </c>
      <c r="AF135" s="1">
        <v>2.1</v>
      </c>
      <c r="AG135" s="1">
        <v>2.1</v>
      </c>
    </row>
    <row r="136" spans="2:34" s="1" customFormat="1" ht="15.75" x14ac:dyDescent="0.2">
      <c r="B136" s="501" t="s">
        <v>65</v>
      </c>
      <c r="C136" s="502"/>
      <c r="D136" s="502"/>
      <c r="E136" s="502"/>
      <c r="F136" s="502"/>
      <c r="G136" s="502"/>
      <c r="H136" s="502"/>
      <c r="I136" s="502"/>
      <c r="J136" s="503"/>
    </row>
    <row r="137" spans="2:34" s="1" customFormat="1" ht="20.25" x14ac:dyDescent="0.2">
      <c r="B137" s="543" t="s">
        <v>179</v>
      </c>
      <c r="C137" s="544"/>
      <c r="D137" s="544"/>
      <c r="E137" s="544"/>
      <c r="F137" s="544"/>
      <c r="G137" s="544"/>
      <c r="H137" s="544"/>
      <c r="I137" s="544"/>
      <c r="J137" s="545"/>
    </row>
    <row r="138" spans="2:34" s="1" customFormat="1" ht="13.5" thickBot="1" x14ac:dyDescent="0.25">
      <c r="B138" s="81"/>
      <c r="C138" s="81"/>
      <c r="D138" s="81"/>
      <c r="E138" s="81"/>
      <c r="F138" s="81"/>
      <c r="G138" s="81"/>
      <c r="H138" s="81"/>
      <c r="I138" s="81"/>
      <c r="J138" s="81"/>
    </row>
    <row r="139" spans="2:34" s="1" customFormat="1" ht="24.75" customHeight="1" x14ac:dyDescent="0.2">
      <c r="B139" s="494" t="s">
        <v>27</v>
      </c>
      <c r="C139" s="495"/>
      <c r="D139" s="495"/>
      <c r="E139" s="495"/>
      <c r="F139" s="495"/>
      <c r="G139" s="495"/>
      <c r="H139" s="495"/>
      <c r="I139" s="495"/>
      <c r="J139" s="496"/>
    </row>
    <row r="140" spans="2:34" s="1" customFormat="1" ht="12.75" x14ac:dyDescent="0.2">
      <c r="B140" s="2" t="s">
        <v>35</v>
      </c>
      <c r="C140" s="3" t="s">
        <v>36</v>
      </c>
      <c r="D140" s="3"/>
      <c r="E140" s="4"/>
      <c r="F140" s="5"/>
      <c r="G140" s="6" t="s">
        <v>8</v>
      </c>
      <c r="H140" s="497">
        <v>42879</v>
      </c>
      <c r="I140" s="497"/>
      <c r="J140" s="7"/>
    </row>
    <row r="141" spans="2:34" s="1" customFormat="1" ht="12.75" x14ac:dyDescent="0.2">
      <c r="B141" s="2" t="s">
        <v>33</v>
      </c>
      <c r="C141" s="3" t="s">
        <v>29</v>
      </c>
      <c r="D141" s="8"/>
      <c r="E141" s="8"/>
      <c r="F141" s="3"/>
      <c r="G141" s="9" t="s">
        <v>32</v>
      </c>
      <c r="H141" s="4" t="s">
        <v>29</v>
      </c>
      <c r="I141" s="10"/>
      <c r="J141" s="11"/>
    </row>
    <row r="142" spans="2:34" s="1" customFormat="1" ht="12.75" x14ac:dyDescent="0.2">
      <c r="B142" s="2" t="s">
        <v>34</v>
      </c>
      <c r="C142" s="3" t="s">
        <v>29</v>
      </c>
      <c r="D142" s="8"/>
      <c r="E142" s="8"/>
      <c r="F142" s="3"/>
      <c r="G142" s="9" t="s">
        <v>30</v>
      </c>
      <c r="H142" s="4" t="s">
        <v>31</v>
      </c>
      <c r="I142" s="10"/>
      <c r="J142" s="11"/>
    </row>
    <row r="143" spans="2:34" s="1" customFormat="1" ht="13.5" thickBot="1" x14ac:dyDescent="0.25">
      <c r="B143" s="12" t="s">
        <v>43</v>
      </c>
      <c r="C143" s="13" t="s">
        <v>44</v>
      </c>
      <c r="D143" s="14"/>
      <c r="E143" s="14"/>
      <c r="F143" s="13"/>
      <c r="G143" s="15" t="s">
        <v>41</v>
      </c>
      <c r="H143" s="16" t="s">
        <v>42</v>
      </c>
      <c r="I143" s="17"/>
      <c r="J143" s="18"/>
    </row>
    <row r="144" spans="2:34" s="1" customFormat="1" ht="12.75" x14ac:dyDescent="0.2">
      <c r="B144" s="81"/>
      <c r="C144" s="81"/>
      <c r="D144" s="81"/>
      <c r="E144" s="81"/>
      <c r="F144" s="81"/>
      <c r="G144" s="81"/>
      <c r="H144" s="81"/>
      <c r="I144" s="81"/>
      <c r="J144" s="81"/>
    </row>
    <row r="145" spans="2:10" s="1" customFormat="1" ht="12.75" x14ac:dyDescent="0.2">
      <c r="B145" s="21" t="s">
        <v>5</v>
      </c>
      <c r="C145" s="22" t="s">
        <v>0</v>
      </c>
      <c r="D145" s="22" t="s">
        <v>9</v>
      </c>
      <c r="E145" s="22" t="s">
        <v>10</v>
      </c>
      <c r="F145" s="22" t="s">
        <v>1</v>
      </c>
      <c r="G145" s="22" t="s">
        <v>2</v>
      </c>
      <c r="H145" s="22" t="s">
        <v>11</v>
      </c>
      <c r="I145" s="22" t="s">
        <v>6</v>
      </c>
      <c r="J145" s="22" t="s">
        <v>7</v>
      </c>
    </row>
    <row r="146" spans="2:10" s="1" customFormat="1" ht="12.75" x14ac:dyDescent="0.2">
      <c r="B146" s="55">
        <v>4.03</v>
      </c>
      <c r="C146" s="56" t="s">
        <v>222</v>
      </c>
      <c r="D146" s="60"/>
      <c r="E146" s="40"/>
      <c r="F146" s="40"/>
      <c r="G146" s="40"/>
      <c r="H146" s="40"/>
      <c r="I146" s="40"/>
      <c r="J146" s="41"/>
    </row>
    <row r="147" spans="2:10" s="1" customFormat="1" ht="12.75" x14ac:dyDescent="0.2">
      <c r="B147" s="73" t="s">
        <v>14</v>
      </c>
      <c r="C147" s="73" t="s">
        <v>615</v>
      </c>
      <c r="D147" s="60"/>
      <c r="E147" s="40"/>
      <c r="F147" s="40"/>
      <c r="G147" s="40"/>
      <c r="H147" s="40"/>
      <c r="I147" s="40"/>
      <c r="J147" s="41"/>
    </row>
    <row r="148" spans="2:10" s="1" customFormat="1" ht="12.75" x14ac:dyDescent="0.2">
      <c r="B148" s="25" t="s">
        <v>766</v>
      </c>
      <c r="C148" s="28" t="s">
        <v>616</v>
      </c>
      <c r="D148" s="60"/>
      <c r="E148" s="40"/>
      <c r="F148" s="40"/>
      <c r="G148" s="40"/>
      <c r="H148" s="40"/>
      <c r="I148" s="40">
        <f>+SUM(H149:H153)</f>
        <v>30.881999999999998</v>
      </c>
      <c r="J148" s="41" t="s">
        <v>45</v>
      </c>
    </row>
    <row r="149" spans="2:10" s="1" customFormat="1" ht="12.75" x14ac:dyDescent="0.2">
      <c r="B149" s="46"/>
      <c r="C149" s="39" t="s">
        <v>447</v>
      </c>
      <c r="D149" s="40">
        <v>1</v>
      </c>
      <c r="E149" s="40">
        <v>0.6</v>
      </c>
      <c r="F149" s="40">
        <v>0.8</v>
      </c>
      <c r="G149" s="40"/>
      <c r="H149" s="40">
        <f>IF(AND(F149=0,G149=0),D149*E149,IF(AND(E149=0,G149=0),D149*F149,IF(AND(E149=0,F149=0),D149*G149,IF(AND(E149=0),D149*F149*G149,IF(AND(F149=0),D149*E149*G149,IF(AND(G149=0),D149*E149*F149,D149*E149*F149*G149))))))</f>
        <v>0.48</v>
      </c>
      <c r="I149" s="40"/>
      <c r="J149" s="41"/>
    </row>
    <row r="150" spans="2:10" s="1" customFormat="1" ht="12.75" x14ac:dyDescent="0.2">
      <c r="B150" s="46"/>
      <c r="C150" s="39" t="s">
        <v>413</v>
      </c>
      <c r="D150" s="40">
        <v>1</v>
      </c>
      <c r="E150" s="40">
        <v>0.6</v>
      </c>
      <c r="F150" s="40">
        <v>0.8</v>
      </c>
      <c r="G150" s="40"/>
      <c r="H150" s="40">
        <f>IF(AND(F150=0,G150=0),D150*E150,IF(AND(E150=0,G150=0),D150*F150,IF(AND(E150=0,F150=0),D150*G150,IF(AND(E150=0),D150*F150*G150,IF(AND(F150=0),D150*E150*G150,IF(AND(G150=0),D150*E150*F150,D150*E150*F150*G150))))))</f>
        <v>0.48</v>
      </c>
      <c r="I150" s="40"/>
      <c r="J150" s="41"/>
    </row>
    <row r="151" spans="2:10" s="1" customFormat="1" ht="12.75" x14ac:dyDescent="0.2">
      <c r="B151" s="46"/>
      <c r="C151" s="43" t="s">
        <v>468</v>
      </c>
      <c r="D151" s="60"/>
      <c r="E151" s="40"/>
      <c r="F151" s="40"/>
      <c r="G151" s="40"/>
      <c r="H151" s="40"/>
      <c r="I151" s="40"/>
      <c r="J151" s="41"/>
    </row>
    <row r="152" spans="2:10" s="1" customFormat="1" ht="12.75" x14ac:dyDescent="0.2">
      <c r="B152" s="46"/>
      <c r="C152" s="39" t="s">
        <v>469</v>
      </c>
      <c r="D152" s="60">
        <v>1</v>
      </c>
      <c r="E152" s="40">
        <f>2.26+0.66+3.46</f>
        <v>6.38</v>
      </c>
      <c r="F152" s="40">
        <v>0.6</v>
      </c>
      <c r="G152" s="40"/>
      <c r="H152" s="40">
        <f>IF(AND(F152=0,G152=0),D152*E152,IF(AND(E152=0,G152=0),D152*F152,IF(AND(E152=0,F152=0),D152*G152,IF(AND(E152=0),D152*F152*G152,IF(AND(F152=0),D152*E152*G152,IF(AND(G152=0),D152*E152*F152,D152*E152*F152*G152))))))</f>
        <v>3.8279999999999998</v>
      </c>
      <c r="I152" s="40"/>
      <c r="J152" s="41"/>
    </row>
    <row r="153" spans="2:10" s="1" customFormat="1" ht="12.75" x14ac:dyDescent="0.2">
      <c r="B153" s="46"/>
      <c r="C153" s="39" t="s">
        <v>470</v>
      </c>
      <c r="D153" s="60">
        <v>1</v>
      </c>
      <c r="E153" s="40">
        <f>6.11+17.91+19.47</f>
        <v>43.489999999999995</v>
      </c>
      <c r="F153" s="40">
        <v>0.6</v>
      </c>
      <c r="G153" s="40"/>
      <c r="H153" s="40">
        <f>IF(AND(F153=0,G153=0),D153*E153,IF(AND(E153=0,G153=0),D153*F153,IF(AND(E153=0,F153=0),D153*G153,IF(AND(E153=0),D153*F153*G153,IF(AND(F153=0),D153*E153*G153,IF(AND(G153=0),D153*E153*F153,D153*E153*F153*G153))))))</f>
        <v>26.093999999999998</v>
      </c>
      <c r="I153" s="40"/>
      <c r="J153" s="41"/>
    </row>
    <row r="154" spans="2:10" s="1" customFormat="1" ht="12.75" x14ac:dyDescent="0.2">
      <c r="B154" s="46"/>
      <c r="C154" s="59"/>
      <c r="D154" s="60"/>
      <c r="E154" s="40"/>
      <c r="F154" s="40"/>
      <c r="G154" s="40"/>
      <c r="H154" s="40"/>
      <c r="I154" s="40"/>
      <c r="J154" s="41"/>
    </row>
    <row r="155" spans="2:10" x14ac:dyDescent="0.25">
      <c r="B155" s="25" t="s">
        <v>767</v>
      </c>
      <c r="C155" s="28" t="s">
        <v>617</v>
      </c>
      <c r="D155" s="23"/>
      <c r="E155" s="23"/>
      <c r="F155" s="23"/>
      <c r="G155" s="23"/>
      <c r="H155" s="24"/>
      <c r="I155" s="25">
        <f>+I148</f>
        <v>30.881999999999998</v>
      </c>
      <c r="J155" s="26" t="s">
        <v>45</v>
      </c>
    </row>
    <row r="156" spans="2:10" s="1" customFormat="1" ht="14.25" customHeight="1" x14ac:dyDescent="0.2">
      <c r="B156" s="46"/>
      <c r="C156" s="59"/>
      <c r="D156" s="60"/>
      <c r="E156" s="40"/>
      <c r="F156" s="40"/>
      <c r="G156" s="40"/>
      <c r="H156" s="40"/>
      <c r="I156" s="40"/>
      <c r="J156" s="41"/>
    </row>
    <row r="157" spans="2:10" x14ac:dyDescent="0.25">
      <c r="B157" s="73" t="s">
        <v>22</v>
      </c>
      <c r="C157" s="73" t="s">
        <v>614</v>
      </c>
      <c r="D157" s="23"/>
      <c r="E157" s="23"/>
      <c r="F157" s="23"/>
      <c r="G157" s="23"/>
      <c r="H157" s="24"/>
      <c r="I157" s="25"/>
      <c r="J157" s="26"/>
    </row>
    <row r="158" spans="2:10" x14ac:dyDescent="0.25">
      <c r="B158" s="25" t="s">
        <v>24</v>
      </c>
      <c r="C158" s="1" t="s">
        <v>623</v>
      </c>
      <c r="D158" s="23"/>
      <c r="E158" s="23"/>
      <c r="F158" s="23"/>
      <c r="G158" s="23"/>
      <c r="H158" s="24"/>
      <c r="I158" s="25">
        <f>+SUM(H159:H160)</f>
        <v>0.48</v>
      </c>
      <c r="J158" s="26" t="s">
        <v>4</v>
      </c>
    </row>
    <row r="159" spans="2:10" s="1" customFormat="1" ht="12.75" x14ac:dyDescent="0.2">
      <c r="C159" s="39" t="s">
        <v>447</v>
      </c>
      <c r="D159" s="40">
        <v>1</v>
      </c>
      <c r="E159" s="40">
        <v>0.6</v>
      </c>
      <c r="F159" s="40">
        <v>0.8</v>
      </c>
      <c r="G159" s="40">
        <f>0.3+0.2</f>
        <v>0.5</v>
      </c>
      <c r="H159" s="40">
        <f>IF(AND(F159=0,G159=0),D159*E159,IF(AND(E159=0,G159=0),D159*F159,IF(AND(E159=0,F159=0),D159*G159,IF(AND(E159=0),D159*F159*G159,IF(AND(F159=0),D159*E159*G159,IF(AND(G159=0),D159*E159*F159,D159*E159*F159*G159))))))</f>
        <v>0.24</v>
      </c>
      <c r="I159" s="40"/>
      <c r="J159" s="41"/>
    </row>
    <row r="160" spans="2:10" s="1" customFormat="1" ht="12.75" x14ac:dyDescent="0.2">
      <c r="C160" s="39" t="s">
        <v>413</v>
      </c>
      <c r="D160" s="40">
        <v>1</v>
      </c>
      <c r="E160" s="40">
        <v>0.6</v>
      </c>
      <c r="F160" s="40">
        <v>0.8</v>
      </c>
      <c r="G160" s="40">
        <f>0.3+0.2</f>
        <v>0.5</v>
      </c>
      <c r="H160" s="40">
        <f>IF(AND(F160=0,G160=0),D160*E160,IF(AND(E160=0,G160=0),D160*F160,IF(AND(E160=0,F160=0),D160*G160,IF(AND(E160=0),D160*F160*G160,IF(AND(F160=0),D160*E160*G160,IF(AND(G160=0),D160*E160*F160,D160*E160*F160*G160))))))</f>
        <v>0.24</v>
      </c>
      <c r="I160" s="40"/>
      <c r="J160" s="41"/>
    </row>
    <row r="161" spans="2:10" s="1" customFormat="1" ht="12.75" x14ac:dyDescent="0.2">
      <c r="B161" s="46"/>
      <c r="C161" s="59"/>
      <c r="D161" s="60"/>
      <c r="E161" s="40"/>
      <c r="F161" s="40"/>
      <c r="G161" s="40"/>
      <c r="H161" s="40"/>
      <c r="I161" s="40"/>
      <c r="J161" s="41"/>
    </row>
    <row r="162" spans="2:10" x14ac:dyDescent="0.25">
      <c r="B162" s="25" t="s">
        <v>777</v>
      </c>
      <c r="C162" s="1" t="s">
        <v>779</v>
      </c>
      <c r="D162" s="23"/>
      <c r="E162" s="23"/>
      <c r="F162" s="23"/>
      <c r="G162" s="23"/>
      <c r="I162" s="24">
        <f>+SUM(H163:H164)</f>
        <v>0.96</v>
      </c>
      <c r="J162" s="26" t="s">
        <v>45</v>
      </c>
    </row>
    <row r="163" spans="2:10" x14ac:dyDescent="0.25">
      <c r="B163" s="107"/>
      <c r="C163" s="39" t="s">
        <v>447</v>
      </c>
      <c r="D163" s="40">
        <v>1</v>
      </c>
      <c r="E163" s="40">
        <v>0.6</v>
      </c>
      <c r="F163" s="40">
        <v>0.8</v>
      </c>
      <c r="G163" s="40"/>
      <c r="H163" s="40">
        <f>IF(AND(F163=0,G163=0),D163*E163,IF(AND(E163=0,G163=0),D163*F163,IF(AND(E163=0,F163=0),D163*G163,IF(AND(E163=0),D163*F163*G163,IF(AND(F163=0),D163*E163*G163,IF(AND(G163=0),D163*E163*F163,D163*E163*F163*G163))))))</f>
        <v>0.48</v>
      </c>
      <c r="I163" s="25"/>
      <c r="J163" s="26"/>
    </row>
    <row r="164" spans="2:10" x14ac:dyDescent="0.25">
      <c r="B164" s="107"/>
      <c r="C164" s="39" t="s">
        <v>413</v>
      </c>
      <c r="D164" s="40">
        <v>1</v>
      </c>
      <c r="E164" s="40">
        <v>0.6</v>
      </c>
      <c r="F164" s="40">
        <v>0.8</v>
      </c>
      <c r="G164" s="40"/>
      <c r="H164" s="40">
        <f t="shared" ref="H164" si="18">IF(AND(F164=0,G164=0),D164*E164,IF(AND(E164=0,G164=0),D164*F164,IF(AND(E164=0,F164=0),D164*G164,IF(AND(E164=0),D164*F164*G164,IF(AND(F164=0),D164*E164*G164,IF(AND(G164=0),D164*E164*F164,D164*E164*F164*G164))))))</f>
        <v>0.48</v>
      </c>
      <c r="I164" s="25"/>
      <c r="J164" s="26"/>
    </row>
    <row r="165" spans="2:10" x14ac:dyDescent="0.25">
      <c r="B165" s="107"/>
      <c r="C165" s="370"/>
      <c r="D165" s="23"/>
      <c r="E165" s="23"/>
      <c r="F165" s="23"/>
      <c r="G165" s="23"/>
      <c r="H165" s="24"/>
      <c r="I165" s="25"/>
      <c r="J165" s="26"/>
    </row>
    <row r="166" spans="2:10" s="1" customFormat="1" ht="12.75" x14ac:dyDescent="0.2">
      <c r="B166" s="25" t="s">
        <v>778</v>
      </c>
      <c r="C166" s="1" t="s">
        <v>776</v>
      </c>
      <c r="D166" s="60"/>
      <c r="E166" s="40"/>
      <c r="F166" s="40"/>
      <c r="G166" s="40"/>
      <c r="H166" s="40"/>
      <c r="I166" s="40">
        <f>+SUM(H168:H169)-H171</f>
        <v>17.391197928626678</v>
      </c>
      <c r="J166" s="41" t="s">
        <v>4</v>
      </c>
    </row>
    <row r="167" spans="2:10" s="1" customFormat="1" ht="12.75" x14ac:dyDescent="0.2">
      <c r="B167" s="46"/>
      <c r="C167" s="43" t="s">
        <v>468</v>
      </c>
      <c r="D167" s="60"/>
      <c r="E167" s="40"/>
      <c r="F167" s="40"/>
      <c r="G167" s="40"/>
      <c r="H167" s="40"/>
      <c r="I167" s="40"/>
      <c r="J167" s="41"/>
    </row>
    <row r="168" spans="2:10" s="1" customFormat="1" ht="12.75" x14ac:dyDescent="0.2">
      <c r="B168" s="46"/>
      <c r="C168" s="39" t="s">
        <v>469</v>
      </c>
      <c r="D168" s="60">
        <v>1</v>
      </c>
      <c r="E168" s="40">
        <f>2.26+0.66+3.46</f>
        <v>6.38</v>
      </c>
      <c r="F168" s="40">
        <v>0.6</v>
      </c>
      <c r="G168" s="40">
        <v>0.35</v>
      </c>
      <c r="H168" s="40">
        <f>IF(AND(F168=0,G168=0),D168*E168,IF(AND(E168=0,G168=0),D168*F168,IF(AND(E168=0,F168=0),D168*G168,IF(AND(E168=0),D168*F168*G168,IF(AND(F168=0),D168*E168*G168,IF(AND(G168=0),D168*E168*F168,D168*E168*F168*G168))))))</f>
        <v>1.3397999999999999</v>
      </c>
      <c r="I168" s="40"/>
      <c r="J168" s="41"/>
    </row>
    <row r="169" spans="2:10" s="1" customFormat="1" ht="12.75" x14ac:dyDescent="0.2">
      <c r="B169" s="46"/>
      <c r="C169" s="39" t="s">
        <v>470</v>
      </c>
      <c r="D169" s="60">
        <v>1</v>
      </c>
      <c r="E169" s="40">
        <f>6.11+17.91+19.47</f>
        <v>43.489999999999995</v>
      </c>
      <c r="F169" s="40">
        <v>0.6</v>
      </c>
      <c r="G169" s="40">
        <v>0.65</v>
      </c>
      <c r="H169" s="40">
        <f>IF(AND(F169=0,G169=0),D169*E169,IF(AND(E169=0,G169=0),D169*F169,IF(AND(E169=0,F169=0),D169*G169,IF(AND(E169=0),D169*F169*G169,IF(AND(F169=0),D169*E169*G169,IF(AND(G169=0),D169*E169*F169,D169*E169*F169*G169))))))</f>
        <v>16.961099999999998</v>
      </c>
      <c r="I169" s="40"/>
      <c r="J169" s="41"/>
    </row>
    <row r="170" spans="2:10" s="1" customFormat="1" ht="12.75" x14ac:dyDescent="0.2">
      <c r="B170" s="46"/>
      <c r="F170" s="40" t="s">
        <v>786</v>
      </c>
      <c r="G170" s="40">
        <v>6</v>
      </c>
      <c r="I170" s="40"/>
      <c r="J170" s="41"/>
    </row>
    <row r="171" spans="2:10" s="1" customFormat="1" ht="12.75" x14ac:dyDescent="0.2">
      <c r="B171" s="46"/>
      <c r="C171" s="39" t="s">
        <v>784</v>
      </c>
      <c r="D171" s="60">
        <v>1</v>
      </c>
      <c r="E171" s="40">
        <f>+SUM(E168:E169)</f>
        <v>49.87</v>
      </c>
      <c r="F171" s="40" t="s">
        <v>785</v>
      </c>
      <c r="G171" s="40">
        <f>+PI()*((G170*0.0254)^2)/4</f>
        <v>1.8241469247509915E-2</v>
      </c>
      <c r="H171" s="40">
        <f>+E171*G171</f>
        <v>0.90970207137331938</v>
      </c>
      <c r="I171" s="40"/>
      <c r="J171" s="41"/>
    </row>
    <row r="172" spans="2:10" s="1" customFormat="1" ht="12.75" x14ac:dyDescent="0.2">
      <c r="B172" s="46"/>
      <c r="C172" s="59"/>
      <c r="D172" s="60"/>
      <c r="E172" s="40"/>
      <c r="F172" s="40"/>
      <c r="G172" s="40"/>
      <c r="H172" s="40"/>
      <c r="I172" s="40"/>
      <c r="J172" s="41"/>
    </row>
    <row r="173" spans="2:10" x14ac:dyDescent="0.25">
      <c r="B173" s="73"/>
      <c r="C173" s="368"/>
      <c r="D173" s="23"/>
      <c r="E173" s="23"/>
      <c r="F173" s="23"/>
      <c r="G173" s="23"/>
      <c r="H173" s="24"/>
      <c r="I173" s="25"/>
      <c r="J173" s="26"/>
    </row>
    <row r="174" spans="2:10" x14ac:dyDescent="0.25">
      <c r="B174" s="25" t="s">
        <v>709</v>
      </c>
      <c r="C174" s="28" t="s">
        <v>718</v>
      </c>
      <c r="D174" s="23"/>
      <c r="E174" s="23"/>
      <c r="F174" s="23"/>
      <c r="G174" s="23"/>
      <c r="H174" s="24"/>
      <c r="I174" s="25">
        <f>+SUM(H176:H177)</f>
        <v>90.924999999999983</v>
      </c>
      <c r="J174" s="26" t="s">
        <v>45</v>
      </c>
    </row>
    <row r="175" spans="2:10" s="1" customFormat="1" ht="12.75" x14ac:dyDescent="0.2">
      <c r="B175" s="46"/>
      <c r="C175" s="43" t="s">
        <v>468</v>
      </c>
      <c r="D175" s="60"/>
      <c r="E175" s="40"/>
      <c r="F175" s="40"/>
      <c r="G175" s="40"/>
      <c r="H175" s="40"/>
      <c r="I175" s="40"/>
      <c r="J175" s="41"/>
    </row>
    <row r="176" spans="2:10" s="1" customFormat="1" ht="12.75" x14ac:dyDescent="0.2">
      <c r="B176" s="46"/>
      <c r="C176" s="39" t="s">
        <v>469</v>
      </c>
      <c r="D176" s="60">
        <v>1</v>
      </c>
      <c r="E176" s="40">
        <f>2.26+0.66+3.46</f>
        <v>6.38</v>
      </c>
      <c r="F176" s="40">
        <v>0.6</v>
      </c>
      <c r="G176" s="40">
        <v>0.35</v>
      </c>
      <c r="H176" s="40">
        <f>+(F176+G176*2)*E176</f>
        <v>8.2939999999999987</v>
      </c>
      <c r="I176" s="40"/>
      <c r="J176" s="41"/>
    </row>
    <row r="177" spans="2:10" s="1" customFormat="1" ht="12.75" x14ac:dyDescent="0.2">
      <c r="B177" s="46"/>
      <c r="C177" s="39" t="s">
        <v>470</v>
      </c>
      <c r="D177" s="60">
        <v>1</v>
      </c>
      <c r="E177" s="40">
        <f>6.11+17.91+19.47</f>
        <v>43.489999999999995</v>
      </c>
      <c r="F177" s="40">
        <v>0.6</v>
      </c>
      <c r="G177" s="40">
        <v>0.65</v>
      </c>
      <c r="H177" s="40">
        <f>+(F177+G177*2)*E177</f>
        <v>82.630999999999986</v>
      </c>
      <c r="I177" s="40"/>
      <c r="J177" s="41"/>
    </row>
    <row r="178" spans="2:10" s="1" customFormat="1" ht="12.75" x14ac:dyDescent="0.2">
      <c r="B178" s="46"/>
      <c r="C178" s="59"/>
      <c r="D178" s="60"/>
      <c r="E178" s="40"/>
      <c r="F178" s="40"/>
      <c r="G178" s="40"/>
      <c r="H178" s="40"/>
      <c r="I178" s="40"/>
      <c r="J178" s="41"/>
    </row>
    <row r="179" spans="2:10" s="1" customFormat="1" ht="12.75" x14ac:dyDescent="0.2">
      <c r="B179" s="46"/>
      <c r="C179" s="59"/>
      <c r="D179" s="60"/>
      <c r="E179" s="40"/>
      <c r="F179" s="40"/>
      <c r="G179" s="40"/>
      <c r="H179" s="40"/>
      <c r="I179" s="40"/>
      <c r="J179" s="41"/>
    </row>
    <row r="180" spans="2:10" s="1" customFormat="1" ht="12.75" x14ac:dyDescent="0.2">
      <c r="B180" s="107" t="s">
        <v>632</v>
      </c>
      <c r="C180" s="343" t="s">
        <v>794</v>
      </c>
      <c r="D180" s="60"/>
      <c r="E180" s="40"/>
      <c r="F180" s="40" t="s">
        <v>795</v>
      </c>
      <c r="G180" s="40"/>
      <c r="H180" s="40"/>
      <c r="I180" s="40">
        <f>+SUM(H182:H191)</f>
        <v>239.27936809605484</v>
      </c>
      <c r="J180" s="41" t="s">
        <v>12</v>
      </c>
    </row>
    <row r="181" spans="2:10" s="1" customFormat="1" ht="12.75" x14ac:dyDescent="0.2">
      <c r="B181" s="380"/>
      <c r="C181" s="43" t="s">
        <v>267</v>
      </c>
      <c r="D181" s="60"/>
      <c r="E181" s="40"/>
      <c r="F181" s="40"/>
      <c r="G181" s="40"/>
      <c r="H181" s="40"/>
      <c r="J181" s="41"/>
    </row>
    <row r="182" spans="2:10" s="1" customFormat="1" ht="12.75" x14ac:dyDescent="0.2">
      <c r="B182" s="380"/>
      <c r="C182" s="39" t="s">
        <v>452</v>
      </c>
      <c r="D182" s="60">
        <v>1</v>
      </c>
      <c r="E182" s="40">
        <f>14+0.55</f>
        <v>14.55</v>
      </c>
      <c r="F182" s="40">
        <f>8.2/5</f>
        <v>1.64</v>
      </c>
      <c r="G182" s="40"/>
      <c r="H182" s="40">
        <f>IF(AND(F182=0,G182=0),D182*E182,IF(AND(E182=0,G182=0),D182*F182,IF(AND(E182=0,F182=0),D182*G182,IF(AND(E182=0),D182*F182*G182,IF(AND(F182=0),D182*E182*G182,IF(AND(G182=0),D182*E182*F182,D182*E182*F182*G182))))))</f>
        <v>23.861999999999998</v>
      </c>
      <c r="I182" s="40"/>
      <c r="J182" s="41"/>
    </row>
    <row r="183" spans="2:10" s="1" customFormat="1" ht="12.75" x14ac:dyDescent="0.2">
      <c r="B183" s="380"/>
      <c r="C183" s="39" t="s">
        <v>453</v>
      </c>
      <c r="D183" s="40">
        <v>1</v>
      </c>
      <c r="E183" s="40">
        <v>10.52</v>
      </c>
      <c r="F183" s="40">
        <f t="shared" ref="F183:F185" si="19">8.2/5</f>
        <v>1.64</v>
      </c>
      <c r="G183" s="40"/>
      <c r="H183" s="40">
        <f t="shared" ref="H183:H191" si="20">IF(AND(F183=0,G183=0),D183*E183,IF(AND(E183=0,G183=0),D183*F183,IF(AND(E183=0,F183=0),D183*G183,IF(AND(E183=0),D183*F183*G183,IF(AND(F183=0),D183*E183*G183,IF(AND(G183=0),D183*E183*F183,D183*E183*F183*G183))))))</f>
        <v>17.252799999999997</v>
      </c>
      <c r="I183" s="40"/>
      <c r="J183" s="41"/>
    </row>
    <row r="184" spans="2:10" s="1" customFormat="1" ht="12.75" x14ac:dyDescent="0.2">
      <c r="B184" s="380"/>
      <c r="C184" s="39" t="s">
        <v>369</v>
      </c>
      <c r="D184" s="40">
        <v>1</v>
      </c>
      <c r="E184" s="40">
        <f t="shared" ref="E184" si="21">14+0.55</f>
        <v>14.55</v>
      </c>
      <c r="F184" s="40">
        <f t="shared" si="19"/>
        <v>1.64</v>
      </c>
      <c r="G184" s="40"/>
      <c r="H184" s="40">
        <f t="shared" si="20"/>
        <v>23.861999999999998</v>
      </c>
      <c r="I184" s="40"/>
      <c r="J184" s="41"/>
    </row>
    <row r="185" spans="2:10" s="1" customFormat="1" ht="12.75" x14ac:dyDescent="0.2">
      <c r="B185" s="380"/>
      <c r="C185" s="39" t="s">
        <v>474</v>
      </c>
      <c r="D185" s="60">
        <v>1</v>
      </c>
      <c r="E185" s="40">
        <f>3.24+0.52</f>
        <v>3.7600000000000002</v>
      </c>
      <c r="F185" s="40">
        <f t="shared" si="19"/>
        <v>1.64</v>
      </c>
      <c r="G185" s="40"/>
      <c r="H185" s="40">
        <f t="shared" si="20"/>
        <v>6.1664000000000003</v>
      </c>
      <c r="I185" s="40"/>
      <c r="J185" s="41"/>
    </row>
    <row r="186" spans="2:10" s="1" customFormat="1" ht="12.75" x14ac:dyDescent="0.2">
      <c r="B186" s="380"/>
      <c r="C186" s="393" t="s">
        <v>780</v>
      </c>
      <c r="D186" s="60"/>
      <c r="E186" s="40"/>
      <c r="F186" s="40"/>
      <c r="G186" s="40"/>
      <c r="H186" s="40"/>
      <c r="I186" s="40"/>
      <c r="J186" s="41"/>
    </row>
    <row r="187" spans="2:10" s="1" customFormat="1" ht="12.75" x14ac:dyDescent="0.2">
      <c r="B187" s="380"/>
      <c r="C187" s="39" t="s">
        <v>473</v>
      </c>
      <c r="D187" s="60">
        <v>1</v>
      </c>
      <c r="E187" s="40">
        <f>5+0.7+0.15+0.17+0.33+0.2</f>
        <v>6.5500000000000007</v>
      </c>
      <c r="F187" s="40">
        <v>1.64</v>
      </c>
      <c r="G187" s="40"/>
      <c r="H187" s="40">
        <f t="shared" si="20"/>
        <v>10.742000000000001</v>
      </c>
      <c r="I187" s="40"/>
      <c r="J187" s="41"/>
    </row>
    <row r="188" spans="2:10" s="1" customFormat="1" ht="12.75" x14ac:dyDescent="0.2">
      <c r="B188" s="380"/>
      <c r="C188" s="39"/>
      <c r="D188" s="60"/>
      <c r="E188" s="40"/>
      <c r="F188" s="40"/>
      <c r="G188" s="40"/>
      <c r="H188" s="40"/>
      <c r="I188" s="40"/>
      <c r="J188" s="41"/>
    </row>
    <row r="189" spans="2:10" s="1" customFormat="1" ht="12.75" x14ac:dyDescent="0.2">
      <c r="B189" s="380"/>
      <c r="C189" s="43" t="s">
        <v>468</v>
      </c>
      <c r="D189" s="60"/>
      <c r="E189" s="40"/>
      <c r="F189" s="40"/>
      <c r="G189" s="40"/>
      <c r="H189" s="40"/>
      <c r="I189" s="40"/>
      <c r="J189" s="41"/>
    </row>
    <row r="190" spans="2:10" s="1" customFormat="1" ht="12.75" x14ac:dyDescent="0.2">
      <c r="B190" s="380"/>
      <c r="C190" s="39" t="s">
        <v>469</v>
      </c>
      <c r="D190" s="60">
        <v>1</v>
      </c>
      <c r="E190" s="40">
        <f>2.26+0.66+3.46</f>
        <v>6.38</v>
      </c>
      <c r="F190" s="40">
        <f>18.4/5.83</f>
        <v>3.1560891938250424</v>
      </c>
      <c r="G190" s="40"/>
      <c r="H190" s="40">
        <f t="shared" si="20"/>
        <v>20.135849056603771</v>
      </c>
      <c r="I190" s="40"/>
      <c r="J190" s="41"/>
    </row>
    <row r="191" spans="2:10" s="1" customFormat="1" ht="12.75" x14ac:dyDescent="0.2">
      <c r="B191" s="380"/>
      <c r="C191" s="39" t="s">
        <v>470</v>
      </c>
      <c r="D191" s="60">
        <v>1</v>
      </c>
      <c r="E191" s="40">
        <f>6.11+17.91+19.47</f>
        <v>43.489999999999995</v>
      </c>
      <c r="F191" s="40">
        <f>18.4/5.83</f>
        <v>3.1560891938250424</v>
      </c>
      <c r="G191" s="40"/>
      <c r="H191" s="40">
        <f t="shared" si="20"/>
        <v>137.25831903945107</v>
      </c>
      <c r="I191" s="40"/>
      <c r="J191" s="41"/>
    </row>
    <row r="192" spans="2:10" s="1" customFormat="1" ht="12.75" x14ac:dyDescent="0.2">
      <c r="B192" s="380"/>
      <c r="C192" s="111"/>
      <c r="D192" s="60"/>
      <c r="E192" s="40"/>
      <c r="F192" s="40"/>
      <c r="G192" s="40"/>
      <c r="H192" s="40"/>
      <c r="I192" s="40"/>
      <c r="J192" s="41"/>
    </row>
    <row r="193" spans="2:10" s="1" customFormat="1" ht="12.75" x14ac:dyDescent="0.2">
      <c r="B193" s="380"/>
      <c r="C193" s="111"/>
      <c r="D193" s="60"/>
      <c r="E193" s="40"/>
      <c r="F193" s="40"/>
      <c r="G193" s="40"/>
      <c r="H193" s="40"/>
      <c r="I193" s="40"/>
      <c r="J193" s="41"/>
    </row>
    <row r="194" spans="2:10" s="1" customFormat="1" ht="12.75" x14ac:dyDescent="0.2">
      <c r="B194" s="25" t="s">
        <v>633</v>
      </c>
      <c r="C194" s="28" t="s">
        <v>625</v>
      </c>
      <c r="D194" s="60"/>
      <c r="E194" s="40"/>
      <c r="F194" s="40"/>
      <c r="G194" s="40"/>
      <c r="H194" s="40"/>
      <c r="I194" s="40">
        <f>+SUM(H195:H198)</f>
        <v>0.19200000000000003</v>
      </c>
      <c r="J194" s="41" t="s">
        <v>4</v>
      </c>
    </row>
    <row r="195" spans="2:10" s="1" customFormat="1" ht="12.75" x14ac:dyDescent="0.2">
      <c r="B195" s="46"/>
      <c r="C195" s="39" t="s">
        <v>447</v>
      </c>
      <c r="D195" s="60">
        <v>2</v>
      </c>
      <c r="E195" s="40">
        <v>0.8</v>
      </c>
      <c r="F195" s="40">
        <v>0.1</v>
      </c>
      <c r="G195" s="40">
        <v>0.4</v>
      </c>
      <c r="H195" s="40">
        <f>IF(AND(F195=0,G195=0),D195*E195,IF(AND(E195=0,G195=0),D195*F195,IF(AND(E195=0,F195=0),D195*G195,IF(AND(E195=0),D195*F195*G195,IF(AND(F195=0),D195*E195*G195,IF(AND(G195=0),D195*E195*F195,D195*E195*F195*G195))))))</f>
        <v>6.4000000000000015E-2</v>
      </c>
      <c r="I195" s="40"/>
      <c r="J195" s="41"/>
    </row>
    <row r="196" spans="2:10" s="1" customFormat="1" ht="12.75" x14ac:dyDescent="0.2">
      <c r="B196" s="46"/>
      <c r="D196" s="1">
        <v>2</v>
      </c>
      <c r="E196" s="40">
        <v>0.4</v>
      </c>
      <c r="F196" s="40">
        <v>0.1</v>
      </c>
      <c r="G196" s="40">
        <v>0.4</v>
      </c>
      <c r="H196" s="40">
        <f>IF(AND(F196=0,G196=0),D196*E196,IF(AND(E196=0,G196=0),D196*F196,IF(AND(E196=0,F196=0),D196*G196,IF(AND(E196=0),D196*F196*G196,IF(AND(F196=0),D196*E196*G196,IF(AND(G196=0),D196*E196*F196,D196*E196*F196*G196))))))</f>
        <v>3.2000000000000008E-2</v>
      </c>
      <c r="I196" s="40"/>
      <c r="J196" s="41"/>
    </row>
    <row r="197" spans="2:10" s="1" customFormat="1" ht="12.75" x14ac:dyDescent="0.2">
      <c r="B197" s="46"/>
      <c r="C197" s="39" t="s">
        <v>413</v>
      </c>
      <c r="D197" s="60">
        <v>2</v>
      </c>
      <c r="E197" s="40">
        <v>0.8</v>
      </c>
      <c r="F197" s="40">
        <v>0.1</v>
      </c>
      <c r="G197" s="40">
        <v>0.4</v>
      </c>
      <c r="H197" s="40">
        <f t="shared" ref="H197:H198" si="22">IF(AND(F197=0,G197=0),D197*E197,IF(AND(E197=0,G197=0),D197*F197,IF(AND(E197=0,F197=0),D197*G197,IF(AND(E197=0),D197*F197*G197,IF(AND(F197=0),D197*E197*G197,IF(AND(G197=0),D197*E197*F197,D197*E197*F197*G197))))))</f>
        <v>6.4000000000000015E-2</v>
      </c>
      <c r="I197" s="40"/>
      <c r="J197" s="41"/>
    </row>
    <row r="198" spans="2:10" s="1" customFormat="1" ht="12.75" x14ac:dyDescent="0.2">
      <c r="B198" s="46"/>
      <c r="C198" s="59"/>
      <c r="D198" s="60">
        <v>2</v>
      </c>
      <c r="E198" s="40">
        <v>0.4</v>
      </c>
      <c r="F198" s="40">
        <v>0.1</v>
      </c>
      <c r="G198" s="40">
        <v>0.4</v>
      </c>
      <c r="H198" s="40">
        <f t="shared" si="22"/>
        <v>3.2000000000000008E-2</v>
      </c>
      <c r="I198" s="40"/>
      <c r="J198" s="41"/>
    </row>
    <row r="199" spans="2:10" s="1" customFormat="1" ht="12.75" x14ac:dyDescent="0.2">
      <c r="B199" s="46"/>
      <c r="C199" s="59"/>
      <c r="D199" s="60"/>
      <c r="E199" s="40"/>
      <c r="F199" s="40"/>
      <c r="G199" s="40"/>
      <c r="H199" s="40"/>
      <c r="I199" s="40"/>
      <c r="J199" s="41"/>
    </row>
    <row r="200" spans="2:10" s="1" customFormat="1" ht="12.75" x14ac:dyDescent="0.2">
      <c r="B200" s="46"/>
      <c r="C200" s="59"/>
      <c r="D200" s="60"/>
      <c r="E200" s="40"/>
      <c r="F200" s="40"/>
      <c r="G200" s="40"/>
      <c r="H200" s="40"/>
      <c r="I200" s="40"/>
      <c r="J200" s="41"/>
    </row>
    <row r="201" spans="2:10" s="1" customFormat="1" ht="12.75" x14ac:dyDescent="0.2">
      <c r="B201" s="25" t="s">
        <v>790</v>
      </c>
      <c r="C201" s="28" t="s">
        <v>789</v>
      </c>
      <c r="D201" s="60" t="s">
        <v>791</v>
      </c>
      <c r="E201" s="40"/>
      <c r="F201" s="40"/>
      <c r="G201" s="40"/>
      <c r="H201" s="40"/>
      <c r="I201" s="40">
        <f>+SUM(H202:H206)</f>
        <v>1.7371275892166493</v>
      </c>
      <c r="J201" s="41" t="s">
        <v>4</v>
      </c>
    </row>
    <row r="202" spans="2:10" s="1" customFormat="1" ht="12.75" x14ac:dyDescent="0.2">
      <c r="B202" s="107"/>
      <c r="C202" s="39" t="s">
        <v>447</v>
      </c>
      <c r="D202" s="40">
        <v>1.25</v>
      </c>
      <c r="E202" s="40">
        <v>0.6</v>
      </c>
      <c r="F202" s="40">
        <v>0.8</v>
      </c>
      <c r="G202" s="40">
        <f>0.3+0.2</f>
        <v>0.5</v>
      </c>
      <c r="H202" s="40">
        <f>IF(AND(F202=0,G202=0),D202*E202,IF(AND(E202=0,G202=0),D202*F202,IF(AND(E202=0,F202=0),D202*G202,IF(AND(E202=0),D202*F202*G202,IF(AND(F202=0),D202*E202*G202,IF(AND(G202=0),D202*E202*F202,D202*E202*F202*G202))))))</f>
        <v>0.30000000000000004</v>
      </c>
      <c r="I202" s="40"/>
      <c r="J202" s="41"/>
    </row>
    <row r="203" spans="2:10" s="1" customFormat="1" ht="12.75" x14ac:dyDescent="0.2">
      <c r="B203" s="107"/>
      <c r="C203" s="39" t="s">
        <v>413</v>
      </c>
      <c r="D203" s="40">
        <v>1.25</v>
      </c>
      <c r="E203" s="40">
        <v>0.6</v>
      </c>
      <c r="F203" s="40">
        <v>0.8</v>
      </c>
      <c r="G203" s="40">
        <f>0.3+0.2</f>
        <v>0.5</v>
      </c>
      <c r="H203" s="40">
        <f>IF(AND(F203=0,G203=0),D203*E203,IF(AND(E203=0,G203=0),D203*F203,IF(AND(E203=0,F203=0),D203*G203,IF(AND(E203=0),D203*F203*G203,IF(AND(F203=0),D203*E203*G203,IF(AND(G203=0),D203*E203*F203,D203*E203*F203*G203))))))</f>
        <v>0.30000000000000004</v>
      </c>
      <c r="I203" s="40"/>
      <c r="J203" s="41"/>
    </row>
    <row r="204" spans="2:10" s="1" customFormat="1" ht="12.75" x14ac:dyDescent="0.2">
      <c r="B204" s="107"/>
      <c r="C204" s="43" t="s">
        <v>468</v>
      </c>
      <c r="D204" s="60"/>
      <c r="E204" s="40"/>
      <c r="F204" s="40"/>
      <c r="G204" s="40"/>
      <c r="H204" s="40"/>
      <c r="I204" s="40"/>
      <c r="J204" s="41"/>
    </row>
    <row r="205" spans="2:10" s="1" customFormat="1" ht="12.75" x14ac:dyDescent="0.2">
      <c r="B205" s="107"/>
      <c r="F205" s="40" t="s">
        <v>786</v>
      </c>
      <c r="G205" s="40">
        <v>6</v>
      </c>
      <c r="I205" s="40"/>
      <c r="J205" s="41"/>
    </row>
    <row r="206" spans="2:10" s="1" customFormat="1" ht="12.75" x14ac:dyDescent="0.2">
      <c r="B206" s="107"/>
      <c r="C206" s="39" t="s">
        <v>784</v>
      </c>
      <c r="D206" s="60">
        <v>1.25</v>
      </c>
      <c r="E206" s="40">
        <f>+E171</f>
        <v>49.87</v>
      </c>
      <c r="F206" s="40" t="s">
        <v>785</v>
      </c>
      <c r="G206" s="40">
        <f>+PI()*((G205*0.0254)^2)/4</f>
        <v>1.8241469247509915E-2</v>
      </c>
      <c r="H206" s="40">
        <f>+D206*E206*G206</f>
        <v>1.1371275892166492</v>
      </c>
      <c r="I206" s="40"/>
      <c r="J206" s="41"/>
    </row>
    <row r="207" spans="2:10" s="1" customFormat="1" ht="12.75" x14ac:dyDescent="0.2">
      <c r="B207" s="107"/>
      <c r="C207" s="343"/>
      <c r="D207" s="60"/>
      <c r="E207" s="40"/>
      <c r="F207" s="40"/>
      <c r="G207" s="40"/>
      <c r="H207" s="40"/>
      <c r="I207" s="40"/>
      <c r="J207" s="41"/>
    </row>
    <row r="208" spans="2:10" s="1" customFormat="1" ht="12.75" x14ac:dyDescent="0.2">
      <c r="B208" s="107"/>
      <c r="C208" s="343"/>
      <c r="D208" s="60"/>
      <c r="E208" s="40"/>
      <c r="F208" s="40"/>
      <c r="G208" s="40"/>
      <c r="H208" s="40"/>
      <c r="I208" s="40"/>
      <c r="J208" s="41"/>
    </row>
    <row r="209" spans="2:10" s="1" customFormat="1" ht="12.75" x14ac:dyDescent="0.2">
      <c r="B209" s="393" t="s">
        <v>634</v>
      </c>
      <c r="C209" s="394" t="s">
        <v>624</v>
      </c>
      <c r="D209" s="60"/>
      <c r="E209" s="40"/>
      <c r="F209" s="40"/>
      <c r="G209" s="40"/>
      <c r="H209" s="40"/>
      <c r="I209" s="40">
        <f>+I201</f>
        <v>1.7371275892166493</v>
      </c>
      <c r="J209" s="41" t="s">
        <v>4</v>
      </c>
    </row>
    <row r="210" spans="2:10" s="1" customFormat="1" ht="12.75" x14ac:dyDescent="0.2">
      <c r="B210" s="46"/>
      <c r="C210" s="59"/>
      <c r="D210" s="60"/>
      <c r="E210" s="40"/>
      <c r="F210" s="40"/>
      <c r="G210" s="40"/>
      <c r="H210" s="40"/>
      <c r="I210" s="40"/>
      <c r="J210" s="41"/>
    </row>
    <row r="211" spans="2:10" s="1" customFormat="1" ht="14.25" customHeight="1" x14ac:dyDescent="0.2">
      <c r="B211" s="57" t="s">
        <v>14</v>
      </c>
      <c r="C211" s="58" t="s">
        <v>225</v>
      </c>
      <c r="D211" s="60"/>
      <c r="E211" s="40"/>
      <c r="F211" s="40"/>
      <c r="G211" s="40"/>
      <c r="H211" s="40"/>
      <c r="I211" s="40"/>
      <c r="J211" s="41"/>
    </row>
    <row r="212" spans="2:10" s="1" customFormat="1" ht="12.75" x14ac:dyDescent="0.2">
      <c r="B212" s="43" t="s">
        <v>15</v>
      </c>
      <c r="C212" s="43" t="s">
        <v>359</v>
      </c>
      <c r="D212" s="60"/>
      <c r="E212" s="40"/>
      <c r="F212" s="40"/>
      <c r="G212" s="40"/>
      <c r="H212" s="40"/>
      <c r="I212" s="44">
        <f>SUM(H213:H213)</f>
        <v>0</v>
      </c>
      <c r="J212" s="45" t="s">
        <v>345</v>
      </c>
    </row>
    <row r="213" spans="2:10" s="1" customFormat="1" ht="12.75" x14ac:dyDescent="0.2">
      <c r="B213" s="43"/>
      <c r="C213" s="39"/>
      <c r="D213" s="60"/>
      <c r="E213" s="40"/>
      <c r="F213" s="40"/>
      <c r="G213" s="40"/>
      <c r="H213" s="40">
        <f>IF(AND(F213=0,G213=0),D213*E213,IF(AND(E213=0,G213=0),D213*F213,IF(AND(E213=0,F213=0),D213*G213,IF(AND(E213=0),D213*F213*G213,IF(AND(F213=0),D213*E213*G213,IF(AND(G213=0),D213*E213*F213,D213*E213*F213*G213))))))</f>
        <v>0</v>
      </c>
      <c r="I213" s="40"/>
      <c r="J213" s="41"/>
    </row>
    <row r="214" spans="2:10" s="1" customFormat="1" ht="12.75" x14ac:dyDescent="0.2">
      <c r="B214" s="43" t="s">
        <v>232</v>
      </c>
      <c r="C214" s="43" t="s">
        <v>235</v>
      </c>
      <c r="D214" s="60"/>
      <c r="E214" s="40"/>
      <c r="F214" s="40"/>
      <c r="G214" s="40"/>
      <c r="H214" s="40"/>
      <c r="I214" s="44">
        <f>SUM(H215:H216)</f>
        <v>26.799999999999997</v>
      </c>
      <c r="J214" s="45" t="s">
        <v>345</v>
      </c>
    </row>
    <row r="215" spans="2:10" s="1" customFormat="1" ht="12.75" x14ac:dyDescent="0.2">
      <c r="B215" s="57"/>
      <c r="C215" s="39" t="s">
        <v>378</v>
      </c>
      <c r="D215" s="40">
        <v>2</v>
      </c>
      <c r="E215" s="40">
        <v>10.6</v>
      </c>
      <c r="F215" s="40"/>
      <c r="G215" s="40"/>
      <c r="H215" s="40">
        <f>IF(AND(F215=0,G215=0),D215*E215,IF(AND(E215=0,G215=0),D215*F215,IF(AND(E215=0,F215=0),D215*G215,IF(AND(E215=0),D215*F215*G215,IF(AND(F215=0),D215*E215*G215,IF(AND(G215=0),D215*E215*F215,D215*E215*F215*G215))))))</f>
        <v>21.2</v>
      </c>
      <c r="I215" s="40"/>
      <c r="J215" s="41"/>
    </row>
    <row r="216" spans="2:10" s="1" customFormat="1" ht="12.75" x14ac:dyDescent="0.2">
      <c r="B216" s="57"/>
      <c r="C216" s="39" t="s">
        <v>379</v>
      </c>
      <c r="D216" s="40">
        <v>1</v>
      </c>
      <c r="E216" s="40">
        <v>5.6</v>
      </c>
      <c r="F216" s="40"/>
      <c r="G216" s="40"/>
      <c r="H216" s="40">
        <f>IF(AND(F216=0,G216=0),D216*E216,IF(AND(E216=0,G216=0),D216*F216,IF(AND(E216=0,F216=0),D216*G216,IF(AND(E216=0),D216*F216*G216,IF(AND(F216=0),D216*E216*G216,IF(AND(G216=0),D216*E216*F216,D216*E216*F216*G216))))))</f>
        <v>5.6</v>
      </c>
      <c r="I216" s="40"/>
      <c r="J216" s="41"/>
    </row>
    <row r="217" spans="2:10" s="1" customFormat="1" ht="12.75" x14ac:dyDescent="0.2">
      <c r="B217" s="57"/>
      <c r="C217" s="39"/>
      <c r="D217" s="60"/>
      <c r="E217" s="40"/>
      <c r="F217" s="40"/>
      <c r="G217" s="40"/>
      <c r="H217" s="40"/>
      <c r="I217" s="40"/>
      <c r="J217" s="41"/>
    </row>
    <row r="218" spans="2:10" s="1" customFormat="1" ht="12.75" x14ac:dyDescent="0.2">
      <c r="B218" s="43" t="s">
        <v>233</v>
      </c>
      <c r="C218" s="43" t="s">
        <v>236</v>
      </c>
      <c r="D218" s="60"/>
      <c r="E218" s="40"/>
      <c r="F218" s="40"/>
      <c r="G218" s="40"/>
      <c r="H218" s="40"/>
      <c r="I218" s="44">
        <f>SUM(H219:H219)</f>
        <v>0</v>
      </c>
      <c r="J218" s="45" t="s">
        <v>345</v>
      </c>
    </row>
    <row r="219" spans="2:10" s="1" customFormat="1" ht="12.75" x14ac:dyDescent="0.2">
      <c r="B219" s="57"/>
      <c r="C219" s="39"/>
      <c r="D219" s="40"/>
      <c r="E219" s="40"/>
      <c r="F219" s="40"/>
      <c r="G219" s="40"/>
      <c r="H219" s="40">
        <f>IF(AND(F219=0,G219=0),D219*E219,IF(AND(E219=0,G219=0),D219*F219,IF(AND(E219=0,F219=0),D219*G219,IF(AND(E219=0),D219*F219*G219,IF(AND(F219=0),D219*E219*G219,IF(AND(G219=0),D219*E219*F219,D219*E219*F219*G219))))))</f>
        <v>0</v>
      </c>
      <c r="I219" s="40"/>
      <c r="J219" s="41"/>
    </row>
    <row r="220" spans="2:10" s="1" customFormat="1" ht="12.75" x14ac:dyDescent="0.2">
      <c r="B220" s="43" t="s">
        <v>234</v>
      </c>
      <c r="C220" s="43" t="s">
        <v>267</v>
      </c>
      <c r="D220" s="60"/>
      <c r="E220" s="40"/>
      <c r="F220" s="40"/>
      <c r="G220" s="40"/>
      <c r="H220" s="40"/>
      <c r="I220" s="44">
        <f>SUM(H221:H224)</f>
        <v>43.38</v>
      </c>
      <c r="J220" s="45" t="s">
        <v>345</v>
      </c>
    </row>
    <row r="221" spans="2:10" s="1" customFormat="1" ht="12.75" x14ac:dyDescent="0.2">
      <c r="B221" s="43"/>
      <c r="C221" s="39" t="s">
        <v>452</v>
      </c>
      <c r="D221" s="60">
        <v>1</v>
      </c>
      <c r="E221" s="40">
        <f>14+0.55</f>
        <v>14.55</v>
      </c>
      <c r="F221" s="40"/>
      <c r="G221" s="40"/>
      <c r="H221" s="40">
        <f>IF(AND(F221=0,G221=0),D221*E221,IF(AND(E221=0,G221=0),D221*F221,IF(AND(E221=0,F221=0),D221*G221,IF(AND(E221=0),D221*F221*G221,IF(AND(F221=0),D221*E221*G221,IF(AND(G221=0),D221*E221*F221,D221*E221*F221*G221))))))</f>
        <v>14.55</v>
      </c>
      <c r="I221" s="44"/>
      <c r="J221" s="45"/>
    </row>
    <row r="222" spans="2:10" s="1" customFormat="1" ht="12.75" x14ac:dyDescent="0.2">
      <c r="B222" s="43"/>
      <c r="C222" s="39" t="s">
        <v>453</v>
      </c>
      <c r="D222" s="40">
        <v>1</v>
      </c>
      <c r="E222" s="40">
        <v>10.52</v>
      </c>
      <c r="F222" s="40"/>
      <c r="G222" s="40"/>
      <c r="H222" s="40">
        <f>IF(AND(F222=0,G222=0),D222*E222,IF(AND(E222=0,G222=0),D222*F222,IF(AND(E222=0,F222=0),D222*G222,IF(AND(E222=0),D222*F222*G222,IF(AND(F222=0),D222*E222*G222,IF(AND(G222=0),D222*E222*F222,D222*E222*F222*G222))))))</f>
        <v>10.52</v>
      </c>
      <c r="I222" s="40"/>
      <c r="J222" s="41"/>
    </row>
    <row r="223" spans="2:10" s="1" customFormat="1" ht="12.75" x14ac:dyDescent="0.2">
      <c r="B223" s="43"/>
      <c r="C223" s="39" t="s">
        <v>369</v>
      </c>
      <c r="D223" s="40">
        <v>1</v>
      </c>
      <c r="E223" s="40">
        <f t="shared" ref="E223" si="23">14+0.55</f>
        <v>14.55</v>
      </c>
      <c r="F223" s="40"/>
      <c r="G223" s="40"/>
      <c r="H223" s="40">
        <f>IF(AND(F223=0,G223=0),D223*E223,IF(AND(E223=0,G223=0),D223*F223,IF(AND(E223=0,F223=0),D223*G223,IF(AND(E223=0),D223*F223*G223,IF(AND(F223=0),D223*E223*G223,IF(AND(G223=0),D223*E223*F223,D223*E223*F223*G223))))))</f>
        <v>14.55</v>
      </c>
      <c r="I223" s="40"/>
      <c r="J223" s="41"/>
    </row>
    <row r="224" spans="2:10" s="1" customFormat="1" ht="12.75" x14ac:dyDescent="0.2">
      <c r="B224" s="43"/>
      <c r="C224" s="39" t="s">
        <v>474</v>
      </c>
      <c r="D224" s="60">
        <v>1</v>
      </c>
      <c r="E224" s="40">
        <f>3.24+0.52</f>
        <v>3.7600000000000002</v>
      </c>
      <c r="F224" s="40"/>
      <c r="G224" s="40"/>
      <c r="H224" s="40">
        <f>IF(AND(F224=0,G224=0),D224*E224,IF(AND(E224=0,G224=0),D224*F224,IF(AND(E224=0,F224=0),D224*G224,IF(AND(E224=0),D224*F224*G224,IF(AND(F224=0),D224*E224*G224,IF(AND(G224=0),D224*E224*F224,D224*E224*F224*G224))))))</f>
        <v>3.7600000000000002</v>
      </c>
      <c r="I224" s="40"/>
      <c r="J224" s="41"/>
    </row>
    <row r="225" spans="2:10" s="1" customFormat="1" ht="12.75" x14ac:dyDescent="0.2">
      <c r="B225" s="43"/>
      <c r="C225" s="39"/>
      <c r="D225" s="60"/>
      <c r="E225" s="40"/>
      <c r="F225" s="40"/>
      <c r="G225" s="40"/>
      <c r="H225" s="40"/>
      <c r="I225" s="40"/>
      <c r="J225" s="41"/>
    </row>
    <row r="226" spans="2:10" s="1" customFormat="1" ht="12.75" x14ac:dyDescent="0.2">
      <c r="B226" s="43" t="s">
        <v>268</v>
      </c>
      <c r="C226" s="43" t="s">
        <v>347</v>
      </c>
      <c r="D226" s="60"/>
      <c r="E226" s="40"/>
      <c r="F226" s="40"/>
      <c r="G226" s="40"/>
      <c r="H226" s="40"/>
      <c r="I226" s="44">
        <f>SUM(H227:H227)</f>
        <v>0</v>
      </c>
      <c r="J226" s="45" t="s">
        <v>345</v>
      </c>
    </row>
    <row r="227" spans="2:10" s="1" customFormat="1" ht="12.75" x14ac:dyDescent="0.2">
      <c r="B227" s="43"/>
      <c r="C227" s="39"/>
      <c r="D227" s="40"/>
      <c r="E227" s="40"/>
      <c r="F227" s="40"/>
      <c r="G227" s="40"/>
      <c r="H227" s="40">
        <f>IF(AND(F227=0,G227=0),D227*E227,IF(AND(E227=0,G227=0),D227*F227,IF(AND(E227=0,F227=0),D227*G227,IF(AND(E227=0),D227*F227*G227,IF(AND(F227=0),D227*E227*G227,IF(AND(G227=0),D227*E227*F227,D227*E227*F227*G227))))))</f>
        <v>0</v>
      </c>
      <c r="I227" s="40"/>
      <c r="J227" s="41"/>
    </row>
    <row r="228" spans="2:10" s="1" customFormat="1" ht="12.75" x14ac:dyDescent="0.2">
      <c r="B228" s="43" t="s">
        <v>270</v>
      </c>
      <c r="C228" s="43" t="s">
        <v>269</v>
      </c>
      <c r="D228" s="60"/>
      <c r="E228" s="40"/>
      <c r="F228" s="40"/>
      <c r="G228" s="40"/>
      <c r="H228" s="40"/>
      <c r="I228" s="44">
        <f>SUM(H229:H229)</f>
        <v>0</v>
      </c>
      <c r="J228" s="45">
        <f>+J229</f>
        <v>0</v>
      </c>
    </row>
    <row r="229" spans="2:10" s="1" customFormat="1" ht="12.75" x14ac:dyDescent="0.2">
      <c r="B229" s="57"/>
      <c r="C229" s="39"/>
      <c r="D229" s="40"/>
      <c r="E229" s="40"/>
      <c r="F229" s="40"/>
      <c r="G229" s="40"/>
      <c r="H229" s="40"/>
      <c r="I229" s="40"/>
      <c r="J229" s="41"/>
    </row>
    <row r="230" spans="2:10" s="1" customFormat="1" ht="12.75" x14ac:dyDescent="0.2">
      <c r="B230" s="43" t="s">
        <v>342</v>
      </c>
      <c r="C230" s="43" t="s">
        <v>271</v>
      </c>
      <c r="D230" s="60"/>
      <c r="E230" s="40"/>
      <c r="F230" s="40"/>
      <c r="G230" s="40"/>
      <c r="H230" s="40"/>
      <c r="I230" s="44">
        <f>SUM(H231:H232)</f>
        <v>7</v>
      </c>
      <c r="J230" s="45" t="s">
        <v>13</v>
      </c>
    </row>
    <row r="231" spans="2:10" s="1" customFormat="1" ht="12.75" x14ac:dyDescent="0.2">
      <c r="B231" s="43"/>
      <c r="C231" s="39" t="s">
        <v>452</v>
      </c>
      <c r="D231" s="60">
        <v>3</v>
      </c>
      <c r="E231" s="40"/>
      <c r="F231" s="40"/>
      <c r="G231" s="40"/>
      <c r="H231" s="40">
        <f>+D231</f>
        <v>3</v>
      </c>
      <c r="I231" s="40"/>
      <c r="J231" s="45"/>
    </row>
    <row r="232" spans="2:10" s="1" customFormat="1" ht="12.75" x14ac:dyDescent="0.2">
      <c r="B232" s="43"/>
      <c r="C232" s="39" t="s">
        <v>453</v>
      </c>
      <c r="D232" s="40">
        <v>4</v>
      </c>
      <c r="E232" s="40"/>
      <c r="F232" s="40"/>
      <c r="G232" s="40"/>
      <c r="H232" s="40">
        <f>+D232</f>
        <v>4</v>
      </c>
      <c r="I232" s="44"/>
      <c r="J232" s="45"/>
    </row>
    <row r="233" spans="2:10" s="1" customFormat="1" ht="12.75" x14ac:dyDescent="0.2">
      <c r="B233" s="57"/>
      <c r="C233" s="39"/>
      <c r="D233" s="40"/>
      <c r="E233" s="40"/>
      <c r="F233" s="40"/>
      <c r="G233" s="40"/>
      <c r="H233" s="40"/>
      <c r="I233" s="40"/>
      <c r="J233" s="41"/>
    </row>
    <row r="234" spans="2:10" s="1" customFormat="1" ht="12.75" x14ac:dyDescent="0.2">
      <c r="B234" s="43" t="s">
        <v>346</v>
      </c>
      <c r="C234" s="43" t="s">
        <v>348</v>
      </c>
      <c r="D234" s="60"/>
      <c r="E234" s="40"/>
      <c r="F234" s="40"/>
      <c r="G234" s="40"/>
      <c r="H234" s="40"/>
      <c r="I234" s="44">
        <f>SUM(H235:H235)</f>
        <v>3</v>
      </c>
      <c r="J234" s="45" t="str">
        <f>+J235</f>
        <v>und</v>
      </c>
    </row>
    <row r="235" spans="2:10" s="1" customFormat="1" ht="12.75" x14ac:dyDescent="0.2">
      <c r="B235" s="57"/>
      <c r="C235" s="39" t="s">
        <v>349</v>
      </c>
      <c r="D235" s="40">
        <v>3</v>
      </c>
      <c r="E235" s="40"/>
      <c r="F235" s="40"/>
      <c r="G235" s="40"/>
      <c r="H235" s="40">
        <f>+D235</f>
        <v>3</v>
      </c>
      <c r="I235" s="40"/>
      <c r="J235" s="41" t="s">
        <v>13</v>
      </c>
    </row>
    <row r="236" spans="2:10" s="1" customFormat="1" ht="12.75" x14ac:dyDescent="0.2">
      <c r="B236" s="57" t="s">
        <v>16</v>
      </c>
      <c r="C236" s="58" t="s">
        <v>224</v>
      </c>
      <c r="D236" s="60"/>
      <c r="E236" s="40"/>
      <c r="F236" s="40"/>
      <c r="G236" s="40"/>
      <c r="H236" s="40"/>
      <c r="I236" s="40"/>
      <c r="J236" s="41"/>
    </row>
    <row r="237" spans="2:10" s="1" customFormat="1" ht="12.75" x14ac:dyDescent="0.2">
      <c r="B237" s="43" t="s">
        <v>17</v>
      </c>
      <c r="C237" s="43" t="s">
        <v>343</v>
      </c>
      <c r="D237" s="60"/>
      <c r="E237" s="40"/>
      <c r="F237" s="40"/>
      <c r="G237" s="40"/>
      <c r="H237" s="40"/>
      <c r="I237" s="44">
        <f>SUM(H238:H238)</f>
        <v>0</v>
      </c>
      <c r="J237" s="45" t="str">
        <f>+J238</f>
        <v>ml</v>
      </c>
    </row>
    <row r="238" spans="2:10" s="1" customFormat="1" ht="12.75" x14ac:dyDescent="0.2">
      <c r="B238" s="57"/>
      <c r="C238" s="39" t="s">
        <v>344</v>
      </c>
      <c r="D238" s="40"/>
      <c r="E238" s="40"/>
      <c r="F238" s="40"/>
      <c r="G238" s="40"/>
      <c r="H238" s="40">
        <f>IF(AND(F238=0,G238=0),D238*E238,IF(AND(E238=0,G238=0),D238*F238,IF(AND(E238=0,F238=0),D238*G238,IF(AND(E238=0),D238*F238*G238,IF(AND(F238=0),D238*E238*G238,IF(AND(G238=0),D238*E238*F238,D238*E238*F238*G238))))))</f>
        <v>0</v>
      </c>
      <c r="I238" s="40"/>
      <c r="J238" s="41" t="str">
        <f>IF(AND(E238=0,F238&lt;&gt;0,G238&lt;&gt;0),"m2",IF(AND(F238=0,E238&lt;&gt;0,G238&lt;&gt;0),"m2",IF(AND(G238=0,E238&lt;&gt;0,F238&lt;&gt;0),"m2",IF(AND(F238=0,G238=0),"ml",IF(AND(E238=0,G238=0),"ml",IF(AND(E238=0,F238=0),"ml",IF(AND(E238&lt;&gt;0,F238&lt;&gt;0,G238&lt;&gt;0),"m3",0)))))))</f>
        <v>ml</v>
      </c>
    </row>
    <row r="239" spans="2:10" s="1" customFormat="1" ht="12.75" x14ac:dyDescent="0.2">
      <c r="B239" s="43" t="s">
        <v>240</v>
      </c>
      <c r="C239" s="43" t="s">
        <v>237</v>
      </c>
      <c r="D239" s="60"/>
      <c r="E239" s="40"/>
      <c r="F239" s="40"/>
      <c r="G239" s="40"/>
      <c r="H239" s="40"/>
      <c r="I239" s="44">
        <f>SUM(H240:H240)</f>
        <v>0</v>
      </c>
      <c r="J239" s="45" t="s">
        <v>345</v>
      </c>
    </row>
    <row r="240" spans="2:10" s="1" customFormat="1" ht="12.75" x14ac:dyDescent="0.2">
      <c r="B240" s="57"/>
      <c r="C240" s="39"/>
      <c r="D240" s="40"/>
      <c r="E240" s="40"/>
      <c r="F240" s="40"/>
      <c r="G240" s="40"/>
      <c r="H240" s="40">
        <f>IF(AND(F240=0,G240=0),D240*E240,IF(AND(E240=0,G240=0),D240*F240,IF(AND(E240=0,F240=0),D240*G240,IF(AND(E240=0),D240*F240*G240,IF(AND(F240=0),D240*E240*G240,IF(AND(G240=0),D240*E240*F240,D240*E240*F240*G240))))))</f>
        <v>0</v>
      </c>
      <c r="I240" s="40"/>
      <c r="J240" s="41"/>
    </row>
    <row r="241" spans="2:10" s="1" customFormat="1" ht="12.75" x14ac:dyDescent="0.2">
      <c r="B241" s="57"/>
      <c r="C241" s="39"/>
      <c r="D241" s="60"/>
      <c r="E241" s="40"/>
      <c r="F241" s="40"/>
      <c r="G241" s="40"/>
      <c r="H241" s="40"/>
      <c r="I241" s="40"/>
      <c r="J241" s="41"/>
    </row>
    <row r="242" spans="2:10" s="1" customFormat="1" ht="12.75" x14ac:dyDescent="0.2">
      <c r="B242" s="43" t="s">
        <v>241</v>
      </c>
      <c r="C242" s="43" t="s">
        <v>239</v>
      </c>
      <c r="D242" s="60"/>
      <c r="E242" s="40"/>
      <c r="F242" s="40"/>
      <c r="G242" s="40"/>
      <c r="H242" s="40"/>
      <c r="I242" s="44">
        <f>SUM(H243:H243)</f>
        <v>0</v>
      </c>
      <c r="J242" s="45" t="s">
        <v>345</v>
      </c>
    </row>
    <row r="243" spans="2:10" s="1" customFormat="1" ht="12.75" x14ac:dyDescent="0.2">
      <c r="B243" s="57"/>
      <c r="C243" s="39"/>
      <c r="D243" s="40"/>
      <c r="E243" s="40"/>
      <c r="F243" s="40"/>
      <c r="G243" s="40"/>
      <c r="H243" s="40">
        <f>IF(AND(F244=0,G244=0),D244*E244,IF(AND(E244=0,G244=0),D244*F244,IF(AND(E244=0,F244=0),D244*G244,IF(AND(E244=0),D244*F244*G244,IF(AND(F244=0),D244*E244*G244,IF(AND(G244=0),D244*E244*F244,D244*E244*F244*G244))))))</f>
        <v>0</v>
      </c>
      <c r="I243" s="40"/>
      <c r="J243" s="41"/>
    </row>
    <row r="244" spans="2:10" s="1" customFormat="1" ht="12.75" x14ac:dyDescent="0.2">
      <c r="B244" s="57"/>
      <c r="C244" s="39"/>
      <c r="D244" s="60"/>
      <c r="E244" s="86"/>
      <c r="F244" s="40"/>
      <c r="G244" s="40"/>
      <c r="I244" s="40"/>
      <c r="J244" s="41"/>
    </row>
    <row r="245" spans="2:10" s="1" customFormat="1" ht="12.75" x14ac:dyDescent="0.2">
      <c r="B245" s="43" t="s">
        <v>243</v>
      </c>
      <c r="C245" s="43" t="s">
        <v>242</v>
      </c>
      <c r="D245" s="60"/>
      <c r="E245" s="40"/>
      <c r="F245" s="40"/>
      <c r="G245" s="40"/>
      <c r="H245" s="40"/>
      <c r="I245" s="44">
        <f>SUM(H246:H246)</f>
        <v>0</v>
      </c>
      <c r="J245" s="45" t="str">
        <f>+J246</f>
        <v>ml</v>
      </c>
    </row>
    <row r="246" spans="2:10" s="1" customFormat="1" ht="12.75" x14ac:dyDescent="0.2">
      <c r="B246" s="57"/>
      <c r="C246" s="39"/>
      <c r="D246" s="40"/>
      <c r="E246" s="40"/>
      <c r="F246" s="40"/>
      <c r="G246" s="40"/>
      <c r="H246" s="40">
        <f>IF(AND(F246=0,G246=0),D246*E246,IF(AND(E246=0,G246=0),D246*F246,IF(AND(E246=0,F246=0),D246*G246,IF(AND(E246=0),D246*F246*G246,IF(AND(F246=0),D246*E246*G246,IF(AND(G246=0),D246*E246*F246,D246*E246*F246*G246))))))</f>
        <v>0</v>
      </c>
      <c r="I246" s="40"/>
      <c r="J246" s="41" t="str">
        <f>IF(AND(E246=0,F246&lt;&gt;0,G246&lt;&gt;0),"m2",IF(AND(F246=0,E246&lt;&gt;0,G246&lt;&gt;0),"m2",IF(AND(G246=0,E246&lt;&gt;0,F246&lt;&gt;0),"m2",IF(AND(F246=0,G246=0),"ml",IF(AND(E246=0,G246=0),"ml",IF(AND(E246=0,F246=0),"ml",IF(AND(E246&lt;&gt;0,F246&lt;&gt;0,G246&lt;&gt;0),"m3",0)))))))</f>
        <v>ml</v>
      </c>
    </row>
    <row r="247" spans="2:10" s="1" customFormat="1" ht="12.75" x14ac:dyDescent="0.2">
      <c r="B247" s="57"/>
      <c r="C247" s="85"/>
      <c r="D247" s="8"/>
      <c r="E247" s="86"/>
      <c r="F247" s="40"/>
      <c r="G247" s="40"/>
      <c r="H247" s="40"/>
      <c r="I247" s="40"/>
      <c r="J247" s="41"/>
    </row>
    <row r="248" spans="2:10" s="1" customFormat="1" ht="12.75" x14ac:dyDescent="0.2">
      <c r="B248" s="43" t="s">
        <v>244</v>
      </c>
      <c r="C248" s="43" t="s">
        <v>245</v>
      </c>
      <c r="D248" s="60"/>
      <c r="F248" s="40"/>
      <c r="G248" s="40"/>
      <c r="H248" s="40"/>
      <c r="I248" s="44">
        <f>SUM(H249:H249)</f>
        <v>0</v>
      </c>
      <c r="J248" s="45">
        <f>+J249</f>
        <v>0</v>
      </c>
    </row>
    <row r="249" spans="2:10" s="1" customFormat="1" ht="12.75" x14ac:dyDescent="0.2">
      <c r="B249" s="57"/>
      <c r="C249" s="39"/>
      <c r="D249" s="60"/>
      <c r="E249" s="40"/>
      <c r="F249" s="40"/>
      <c r="H249" s="40">
        <f>IF(AND(F249=0,G252=0),D249*E249,IF(AND(E249=0,G252=0),D249*F249,IF(AND(E249=0,F249=0),D249*G252,IF(AND(E249=0),D249*F249*G252,IF(AND(F249=0),D249*E249*G252,IF(AND(G252=0),D249*E249*F249,D249*E249*F249*G252))))))</f>
        <v>0</v>
      </c>
      <c r="I249" s="40"/>
      <c r="J249" s="41"/>
    </row>
    <row r="250" spans="2:10" s="1" customFormat="1" ht="12.75" x14ac:dyDescent="0.2">
      <c r="B250" s="43" t="s">
        <v>248</v>
      </c>
      <c r="C250" s="43" t="s">
        <v>246</v>
      </c>
      <c r="D250" s="60"/>
      <c r="E250" s="40"/>
      <c r="F250" s="40"/>
      <c r="G250" s="40"/>
      <c r="H250" s="40"/>
      <c r="I250" s="44">
        <f>SUM(H251:H251)</f>
        <v>0</v>
      </c>
      <c r="J250" s="45" t="str">
        <f>+J251</f>
        <v>ml</v>
      </c>
    </row>
    <row r="251" spans="2:10" s="1" customFormat="1" ht="12.75" x14ac:dyDescent="0.2">
      <c r="B251" s="57"/>
      <c r="C251" s="39"/>
      <c r="D251" s="40"/>
      <c r="E251" s="40"/>
      <c r="F251" s="40"/>
      <c r="G251" s="40"/>
      <c r="H251" s="40">
        <f>IF(AND(F251=0,G251=0),D251*E251,IF(AND(E251=0,G251=0),D251*F251,IF(AND(E251=0,F251=0),D251*G251,IF(AND(E251=0),D251*F251*G251,IF(AND(F251=0),D251*E251*G251,IF(AND(G251=0),D251*E251*F251,D251*E251*F251*G251))))))</f>
        <v>0</v>
      </c>
      <c r="I251" s="40"/>
      <c r="J251" s="41" t="str">
        <f>IF(AND(E251=0,F251&lt;&gt;0,G251&lt;&gt;0),"m2",IF(AND(F251=0,E251&lt;&gt;0,G251&lt;&gt;0),"m2",IF(AND(G251=0,E251&lt;&gt;0,F251&lt;&gt;0),"m2",IF(AND(F251=0,G251=0),"ml",IF(AND(E251=0,G251=0),"ml",IF(AND(E251=0,F251=0),"ml",IF(AND(E251&lt;&gt;0,F251&lt;&gt;0,G251&lt;&gt;0),"m3",0)))))))</f>
        <v>ml</v>
      </c>
    </row>
    <row r="252" spans="2:10" s="1" customFormat="1" ht="12.75" x14ac:dyDescent="0.2">
      <c r="B252" s="43" t="s">
        <v>249</v>
      </c>
      <c r="C252" s="43" t="s">
        <v>247</v>
      </c>
      <c r="D252" s="60"/>
      <c r="E252" s="40"/>
      <c r="F252" s="40"/>
      <c r="G252" s="40"/>
      <c r="H252" s="40"/>
      <c r="I252" s="44">
        <f>SUM(H253:H253)</f>
        <v>0</v>
      </c>
      <c r="J252" s="45" t="str">
        <f>+J253</f>
        <v>ml</v>
      </c>
    </row>
    <row r="253" spans="2:10" s="1" customFormat="1" ht="12.75" x14ac:dyDescent="0.2">
      <c r="B253" s="57"/>
      <c r="C253" s="39"/>
      <c r="D253" s="40"/>
      <c r="E253" s="40"/>
      <c r="F253" s="40"/>
      <c r="G253" s="40"/>
      <c r="H253" s="40">
        <f>IF(AND(F253=0,G253=0),D253*E253,IF(AND(E253=0,G253=0),D253*F253,IF(AND(E253=0,F253=0),D253*G253,IF(AND(E253=0),D253*F253*G253,IF(AND(F253=0),D253*E253*G253,IF(AND(G253=0),D253*E253*F253,D253*E253*F253*G253))))))</f>
        <v>0</v>
      </c>
      <c r="I253" s="40"/>
      <c r="J253" s="41" t="str">
        <f>IF(AND(E253=0,F253&lt;&gt;0,G253&lt;&gt;0),"m2",IF(AND(F253=0,E253&lt;&gt;0,G253&lt;&gt;0),"m2",IF(AND(G253=0,E253&lt;&gt;0,F253&lt;&gt;0),"m2",IF(AND(F253=0,G253=0),"ml",IF(AND(E253=0,G253=0),"ml",IF(AND(E253=0,F253=0),"ml",IF(AND(E253&lt;&gt;0,F253&lt;&gt;0,G253&lt;&gt;0),"m3",0)))))))</f>
        <v>ml</v>
      </c>
    </row>
    <row r="254" spans="2:10" s="1" customFormat="1" ht="12.75" x14ac:dyDescent="0.2">
      <c r="B254" s="43" t="s">
        <v>256</v>
      </c>
      <c r="C254" s="43" t="s">
        <v>226</v>
      </c>
      <c r="D254" s="60"/>
      <c r="E254" s="40"/>
      <c r="F254" s="40"/>
      <c r="G254" s="40"/>
      <c r="H254" s="40"/>
      <c r="I254" s="44">
        <f>+SUM(H255:H256)</f>
        <v>1.4</v>
      </c>
      <c r="J254" s="45" t="s">
        <v>345</v>
      </c>
    </row>
    <row r="255" spans="2:10" s="1" customFormat="1" ht="12.75" x14ac:dyDescent="0.2">
      <c r="B255" s="57"/>
      <c r="C255" s="39" t="s">
        <v>447</v>
      </c>
      <c r="D255" s="40">
        <v>1</v>
      </c>
      <c r="E255" s="40">
        <v>0.7</v>
      </c>
      <c r="F255" s="40"/>
      <c r="G255" s="40"/>
      <c r="H255" s="40">
        <f>IF(AND(F255=0,G255=0),D255*E255,IF(AND(E255=0,G255=0),D255*F255,IF(AND(E255=0,F255=0),D255*G255,IF(AND(E255=0),D255*F255*G255,IF(AND(F255=0),D255*E255*G255,IF(AND(G255=0),D255*E255*F255,D255*E255*F255*G255))))))</f>
        <v>0.7</v>
      </c>
      <c r="I255" s="40"/>
      <c r="J255" s="41"/>
    </row>
    <row r="256" spans="2:10" x14ac:dyDescent="0.25">
      <c r="C256" s="39" t="s">
        <v>413</v>
      </c>
      <c r="D256" s="40">
        <v>1</v>
      </c>
      <c r="E256" s="40">
        <v>0.7</v>
      </c>
      <c r="F256" s="40"/>
      <c r="G256" s="40"/>
      <c r="H256" s="40">
        <f>IF(AND(F256=0,G256=0),D256*E256,IF(AND(E256=0,G256=0),D256*F256,IF(AND(E256=0,F256=0),D256*G256,IF(AND(E256=0),D256*F256*G256,IF(AND(F256=0),D256*E256*G256,IF(AND(G256=0),D256*E256*F256,D256*E256*F256*G256))))))</f>
        <v>0.7</v>
      </c>
    </row>
    <row r="257" spans="2:10" s="1" customFormat="1" ht="12.75" x14ac:dyDescent="0.2">
      <c r="B257" s="57"/>
      <c r="C257" s="39"/>
      <c r="D257" s="60"/>
      <c r="E257" s="40"/>
      <c r="F257" s="40"/>
      <c r="G257" s="40"/>
      <c r="H257" s="40"/>
      <c r="I257" s="40"/>
      <c r="J257" s="41"/>
    </row>
    <row r="258" spans="2:10" s="1" customFormat="1" ht="12.75" x14ac:dyDescent="0.2">
      <c r="B258" s="43" t="s">
        <v>257</v>
      </c>
      <c r="C258" s="43" t="s">
        <v>228</v>
      </c>
      <c r="D258" s="60"/>
      <c r="E258" s="40"/>
      <c r="F258" s="40"/>
      <c r="G258" s="40"/>
      <c r="H258" s="40"/>
      <c r="I258" s="44">
        <f>SUM(H259)</f>
        <v>0</v>
      </c>
      <c r="J258" s="45" t="str">
        <f>+J263</f>
        <v>ml</v>
      </c>
    </row>
    <row r="259" spans="2:10" s="1" customFormat="1" ht="12.75" x14ac:dyDescent="0.2">
      <c r="B259" s="43"/>
      <c r="C259" s="39"/>
      <c r="D259" s="60"/>
      <c r="E259" s="40"/>
      <c r="F259" s="40"/>
      <c r="G259" s="40"/>
      <c r="H259" s="40">
        <f>IF(AND(F259=0,G259=0),D259*E262,IF(AND(E262=0,G259=0),D259*F259,IF(AND(E262=0,F259=0),D259*G259,IF(AND(E262=0),D259*F259*G259,IF(AND(F259=0),D259*E262*G259,IF(AND(G259=0),D259*E262*F259,D259*E262*F259*G259))))))</f>
        <v>0</v>
      </c>
      <c r="I259" s="44"/>
      <c r="J259" s="45"/>
    </row>
    <row r="260" spans="2:10" s="1" customFormat="1" ht="12.75" x14ac:dyDescent="0.2">
      <c r="B260" s="43" t="s">
        <v>258</v>
      </c>
      <c r="C260" s="43" t="s">
        <v>250</v>
      </c>
      <c r="D260" s="60"/>
      <c r="E260" s="40"/>
      <c r="F260" s="40"/>
      <c r="G260" s="40"/>
      <c r="H260" s="40"/>
      <c r="I260" s="44">
        <f>SUM(H261:H261)</f>
        <v>0</v>
      </c>
      <c r="J260" s="45" t="str">
        <f>+J261</f>
        <v>ml</v>
      </c>
    </row>
    <row r="261" spans="2:10" s="1" customFormat="1" ht="12.75" x14ac:dyDescent="0.2">
      <c r="B261" s="57"/>
      <c r="C261" s="39"/>
      <c r="D261" s="40"/>
      <c r="F261" s="40"/>
      <c r="G261" s="40"/>
      <c r="H261" s="40">
        <f>IF(AND(F261=0,G261=0),D261*E264,IF(AND(E264=0,G261=0),D261*F261,IF(AND(E264=0,F261=0),D261*G261,IF(AND(E264=0),D261*F261*G261,IF(AND(F261=0),D261*E264*G261,IF(AND(G261=0),D261*E264*F261,D261*E264*F261*G261))))))</f>
        <v>0</v>
      </c>
      <c r="I261" s="40"/>
      <c r="J261" s="41" t="str">
        <f>IF(AND(E264=0,F261&lt;&gt;0,G261&lt;&gt;0),"m2",IF(AND(F261=0,E264&lt;&gt;0,G261&lt;&gt;0),"m2",IF(AND(G261=0,E264&lt;&gt;0,F261&lt;&gt;0),"m2",IF(AND(F261=0,G261=0),"ml",IF(AND(E264=0,G261=0),"ml",IF(AND(E264=0,F261=0),"ml",IF(AND(E264&lt;&gt;0,F261&lt;&gt;0,G261&lt;&gt;0),"m3",0)))))))</f>
        <v>ml</v>
      </c>
    </row>
    <row r="262" spans="2:10" s="1" customFormat="1" ht="12.75" x14ac:dyDescent="0.2">
      <c r="B262" s="43" t="s">
        <v>259</v>
      </c>
      <c r="C262" s="43" t="s">
        <v>251</v>
      </c>
      <c r="D262" s="60"/>
      <c r="E262" s="40"/>
      <c r="F262" s="40"/>
      <c r="G262" s="40"/>
      <c r="H262" s="40"/>
      <c r="I262" s="44">
        <f>SUM(H263:H263)</f>
        <v>0</v>
      </c>
      <c r="J262" s="45" t="str">
        <f>+J263</f>
        <v>ml</v>
      </c>
    </row>
    <row r="263" spans="2:10" s="1" customFormat="1" ht="12.75" x14ac:dyDescent="0.2">
      <c r="B263" s="57"/>
      <c r="C263" s="39"/>
      <c r="D263" s="40"/>
      <c r="E263" s="40"/>
      <c r="F263" s="40"/>
      <c r="G263" s="40"/>
      <c r="H263" s="40">
        <f>IF(AND(F263=0,G263=0),D263*E263,IF(AND(E263=0,G263=0),D263*F263,IF(AND(E263=0,F263=0),D263*G263,IF(AND(E263=0),D263*F263*G263,IF(AND(F263=0),D263*E263*G263,IF(AND(G263=0),D263*E263*F263,D263*E263*F263*G263))))))</f>
        <v>0</v>
      </c>
      <c r="I263" s="40"/>
      <c r="J263" s="41" t="str">
        <f>IF(AND(E263=0,F263&lt;&gt;0,G263&lt;&gt;0),"m2",IF(AND(F263=0,E263&lt;&gt;0,G263&lt;&gt;0),"m2",IF(AND(G263=0,E263&lt;&gt;0,F263&lt;&gt;0),"m2",IF(AND(F263=0,G263=0),"ml",IF(AND(E263=0,G263=0),"ml",IF(AND(E263=0,F263=0),"ml",IF(AND(E263&lt;&gt;0,F263&lt;&gt;0,G263&lt;&gt;0),"m3",0)))))))</f>
        <v>ml</v>
      </c>
    </row>
    <row r="264" spans="2:10" s="1" customFormat="1" ht="12.75" x14ac:dyDescent="0.2">
      <c r="B264" s="43" t="s">
        <v>260</v>
      </c>
      <c r="C264" s="43" t="s">
        <v>252</v>
      </c>
      <c r="D264" s="60"/>
      <c r="E264" s="40"/>
      <c r="F264" s="40"/>
      <c r="G264" s="40"/>
      <c r="H264" s="40"/>
      <c r="I264" s="44">
        <f>SUM(H265:H265)</f>
        <v>0</v>
      </c>
      <c r="J264" s="45" t="str">
        <f>+J265</f>
        <v>ml</v>
      </c>
    </row>
    <row r="265" spans="2:10" s="1" customFormat="1" ht="12.75" x14ac:dyDescent="0.2">
      <c r="B265" s="57"/>
      <c r="C265" s="39"/>
      <c r="D265" s="40"/>
      <c r="E265" s="40"/>
      <c r="F265" s="40"/>
      <c r="G265" s="40"/>
      <c r="H265" s="40">
        <f>IF(AND(F265=0,G265=0),D265*E265,IF(AND(E265=0,G265=0),D265*F265,IF(AND(E265=0,F265=0),D265*G265,IF(AND(E265=0),D265*F265*G265,IF(AND(F265=0),D265*E265*G265,IF(AND(G265=0),D265*E265*F265,D265*E265*F265*G265))))))</f>
        <v>0</v>
      </c>
      <c r="I265" s="40"/>
      <c r="J265" s="41" t="str">
        <f>IF(AND(E265=0,F265&lt;&gt;0,G265&lt;&gt;0),"m2",IF(AND(F265=0,E265&lt;&gt;0,G265&lt;&gt;0),"m2",IF(AND(G265=0,E265&lt;&gt;0,F265&lt;&gt;0),"m2",IF(AND(F265=0,G265=0),"ml",IF(AND(E265=0,G265=0),"ml",IF(AND(E265=0,F265=0),"ml",IF(AND(E265&lt;&gt;0,F265&lt;&gt;0,G265&lt;&gt;0),"m3",0)))))))</f>
        <v>ml</v>
      </c>
    </row>
    <row r="266" spans="2:10" s="1" customFormat="1" ht="12.75" x14ac:dyDescent="0.2">
      <c r="B266" s="43" t="s">
        <v>261</v>
      </c>
      <c r="C266" s="43" t="s">
        <v>253</v>
      </c>
      <c r="D266" s="60"/>
      <c r="E266" s="40"/>
      <c r="F266" s="40"/>
      <c r="G266" s="40"/>
      <c r="H266" s="40"/>
      <c r="I266" s="44">
        <f>SUM(H267:H272)</f>
        <v>0</v>
      </c>
      <c r="J266" s="45" t="s">
        <v>13</v>
      </c>
    </row>
    <row r="267" spans="2:10" s="1" customFormat="1" ht="12.75" x14ac:dyDescent="0.2">
      <c r="B267" s="43"/>
      <c r="C267" s="39" t="s">
        <v>374</v>
      </c>
      <c r="D267" s="40"/>
      <c r="E267" s="40"/>
      <c r="F267" s="40"/>
      <c r="G267" s="40"/>
      <c r="H267" s="40">
        <f t="shared" ref="H267:H272" si="24">+D267</f>
        <v>0</v>
      </c>
      <c r="I267" s="40"/>
      <c r="J267" s="41" t="s">
        <v>13</v>
      </c>
    </row>
    <row r="268" spans="2:10" s="1" customFormat="1" ht="12.75" x14ac:dyDescent="0.2">
      <c r="B268" s="43"/>
      <c r="C268" s="39" t="s">
        <v>391</v>
      </c>
      <c r="D268" s="40"/>
      <c r="E268" s="40"/>
      <c r="F268" s="40"/>
      <c r="G268" s="40"/>
      <c r="H268" s="40">
        <f t="shared" si="24"/>
        <v>0</v>
      </c>
      <c r="I268" s="40"/>
      <c r="J268" s="41"/>
    </row>
    <row r="269" spans="2:10" s="1" customFormat="1" ht="12.75" x14ac:dyDescent="0.2">
      <c r="B269" s="43"/>
      <c r="C269" s="39" t="s">
        <v>393</v>
      </c>
      <c r="D269" s="40"/>
      <c r="E269" s="40"/>
      <c r="F269" s="40"/>
      <c r="G269" s="40"/>
      <c r="H269" s="40">
        <f t="shared" si="24"/>
        <v>0</v>
      </c>
      <c r="I269" s="40"/>
      <c r="J269" s="41"/>
    </row>
    <row r="270" spans="2:10" s="1" customFormat="1" ht="12.75" x14ac:dyDescent="0.2">
      <c r="B270" s="43"/>
      <c r="C270" s="39" t="s">
        <v>412</v>
      </c>
      <c r="D270" s="40"/>
      <c r="E270" s="40"/>
      <c r="F270" s="40"/>
      <c r="G270" s="40"/>
      <c r="H270" s="40">
        <f t="shared" si="24"/>
        <v>0</v>
      </c>
      <c r="I270" s="40"/>
      <c r="J270" s="41"/>
    </row>
    <row r="271" spans="2:10" s="1" customFormat="1" ht="12.75" x14ac:dyDescent="0.2">
      <c r="B271" s="43"/>
      <c r="C271" s="39" t="s">
        <v>381</v>
      </c>
      <c r="D271" s="60"/>
      <c r="E271" s="40"/>
      <c r="F271" s="40"/>
      <c r="G271" s="40"/>
      <c r="H271" s="40">
        <f t="shared" si="24"/>
        <v>0</v>
      </c>
      <c r="I271" s="40"/>
      <c r="J271" s="41"/>
    </row>
    <row r="272" spans="2:10" s="1" customFormat="1" ht="12.75" x14ac:dyDescent="0.2">
      <c r="B272" s="43"/>
      <c r="C272" s="39" t="s">
        <v>382</v>
      </c>
      <c r="D272" s="40"/>
      <c r="E272" s="40"/>
      <c r="F272" s="40"/>
      <c r="G272" s="40"/>
      <c r="H272" s="40">
        <f t="shared" si="24"/>
        <v>0</v>
      </c>
      <c r="I272" s="40"/>
      <c r="J272" s="41"/>
    </row>
    <row r="273" spans="2:10" s="1" customFormat="1" ht="12.75" x14ac:dyDescent="0.2">
      <c r="B273" s="43"/>
      <c r="C273" s="39"/>
      <c r="D273" s="60"/>
      <c r="E273" s="40"/>
      <c r="F273" s="40"/>
      <c r="G273" s="40"/>
      <c r="H273" s="40"/>
      <c r="I273" s="40"/>
      <c r="J273" s="41"/>
    </row>
    <row r="274" spans="2:10" s="1" customFormat="1" ht="12.75" x14ac:dyDescent="0.2">
      <c r="B274" s="43" t="s">
        <v>262</v>
      </c>
      <c r="C274" s="43" t="s">
        <v>254</v>
      </c>
      <c r="D274" s="60"/>
      <c r="E274" s="40"/>
      <c r="F274" s="40"/>
      <c r="G274" s="40"/>
      <c r="H274" s="40"/>
      <c r="I274" s="44">
        <f>SUM(H275:H276)</f>
        <v>0</v>
      </c>
      <c r="J274" s="45" t="str">
        <f>+J275</f>
        <v>und</v>
      </c>
    </row>
    <row r="275" spans="2:10" s="1" customFormat="1" ht="12.75" x14ac:dyDescent="0.2">
      <c r="B275" s="57"/>
      <c r="C275" s="39"/>
      <c r="D275" s="40"/>
      <c r="E275" s="40"/>
      <c r="F275" s="40"/>
      <c r="G275" s="40"/>
      <c r="H275" s="40">
        <f>+D275</f>
        <v>0</v>
      </c>
      <c r="I275" s="40"/>
      <c r="J275" s="41" t="s">
        <v>13</v>
      </c>
    </row>
    <row r="276" spans="2:10" s="1" customFormat="1" ht="12.75" x14ac:dyDescent="0.2">
      <c r="B276" s="57"/>
      <c r="C276" s="39"/>
      <c r="D276" s="40"/>
      <c r="E276" s="40"/>
      <c r="F276" s="40"/>
      <c r="G276" s="40"/>
      <c r="H276" s="40">
        <f>+D276</f>
        <v>0</v>
      </c>
      <c r="I276" s="40"/>
      <c r="J276" s="41"/>
    </row>
    <row r="277" spans="2:10" s="1" customFormat="1" ht="12.75" x14ac:dyDescent="0.2">
      <c r="B277" s="43" t="s">
        <v>350</v>
      </c>
      <c r="C277" s="43" t="s">
        <v>255</v>
      </c>
      <c r="D277" s="60"/>
      <c r="E277" s="40"/>
      <c r="F277" s="40"/>
      <c r="G277" s="40"/>
      <c r="H277" s="40"/>
      <c r="I277" s="44">
        <f>SUM(H278:H278)</f>
        <v>0</v>
      </c>
      <c r="J277" s="45" t="str">
        <f>+J278</f>
        <v>und</v>
      </c>
    </row>
    <row r="278" spans="2:10" s="1" customFormat="1" ht="12.75" x14ac:dyDescent="0.2">
      <c r="B278" s="57"/>
      <c r="C278" s="39" t="s">
        <v>377</v>
      </c>
      <c r="D278" s="40">
        <v>0</v>
      </c>
      <c r="E278" s="40"/>
      <c r="F278" s="40"/>
      <c r="G278" s="40"/>
      <c r="H278" s="40">
        <f>+D278</f>
        <v>0</v>
      </c>
      <c r="I278" s="40"/>
      <c r="J278" s="41" t="s">
        <v>13</v>
      </c>
    </row>
    <row r="279" spans="2:10" s="1" customFormat="1" ht="12.75" x14ac:dyDescent="0.2">
      <c r="B279" s="57"/>
      <c r="C279" s="39"/>
      <c r="D279" s="60"/>
      <c r="E279" s="40"/>
      <c r="F279" s="40"/>
      <c r="G279" s="40"/>
      <c r="H279" s="40"/>
      <c r="I279" s="40"/>
      <c r="J279" s="41"/>
    </row>
    <row r="280" spans="2:10" s="1" customFormat="1" ht="12.75" x14ac:dyDescent="0.2">
      <c r="B280" s="43"/>
      <c r="C280" s="39"/>
      <c r="D280" s="60"/>
      <c r="E280" s="40"/>
      <c r="F280" s="40"/>
      <c r="G280" s="40"/>
      <c r="H280" s="40"/>
      <c r="I280" s="40"/>
      <c r="J280" s="41"/>
    </row>
    <row r="281" spans="2:10" s="1" customFormat="1" ht="12.75" x14ac:dyDescent="0.2">
      <c r="B281" s="93" t="s">
        <v>694</v>
      </c>
      <c r="C281" s="93" t="s">
        <v>695</v>
      </c>
      <c r="D281" s="60"/>
      <c r="E281" s="40"/>
      <c r="F281" s="40"/>
      <c r="G281" s="40"/>
      <c r="H281" s="40"/>
      <c r="I281" s="44">
        <f>SUM(H282:H283)</f>
        <v>2</v>
      </c>
      <c r="J281" s="45" t="s">
        <v>13</v>
      </c>
    </row>
    <row r="282" spans="2:10" s="1" customFormat="1" ht="12.75" x14ac:dyDescent="0.2">
      <c r="B282" s="57"/>
      <c r="C282" s="39" t="s">
        <v>447</v>
      </c>
      <c r="D282" s="40">
        <v>1</v>
      </c>
      <c r="E282" s="40"/>
      <c r="F282" s="40"/>
      <c r="G282" s="40"/>
      <c r="H282" s="40">
        <f>+D282</f>
        <v>1</v>
      </c>
      <c r="I282" s="40"/>
      <c r="J282" s="41"/>
    </row>
    <row r="283" spans="2:10" x14ac:dyDescent="0.25">
      <c r="C283" s="39" t="s">
        <v>413</v>
      </c>
      <c r="D283" s="40">
        <v>1</v>
      </c>
      <c r="F283" s="40"/>
      <c r="G283" s="40"/>
      <c r="H283" s="40">
        <f>+D283</f>
        <v>1</v>
      </c>
    </row>
    <row r="284" spans="2:10" s="1" customFormat="1" ht="12.75" x14ac:dyDescent="0.2">
      <c r="B284" s="57"/>
      <c r="C284" s="39"/>
      <c r="D284" s="60"/>
      <c r="E284" s="40"/>
      <c r="F284" s="40"/>
      <c r="G284" s="40"/>
      <c r="H284" s="40"/>
      <c r="I284" s="40"/>
      <c r="J284" s="41"/>
    </row>
    <row r="285" spans="2:10" s="1" customFormat="1" ht="12.75" x14ac:dyDescent="0.2">
      <c r="B285" s="43" t="s">
        <v>596</v>
      </c>
      <c r="C285" s="43" t="s">
        <v>472</v>
      </c>
      <c r="D285" s="60"/>
      <c r="E285" s="40"/>
      <c r="F285" s="40"/>
      <c r="G285" s="40"/>
      <c r="H285" s="40"/>
      <c r="I285" s="44">
        <f>+SUM(H286:H286)</f>
        <v>6.5500000000000007</v>
      </c>
      <c r="J285" s="45" t="s">
        <v>345</v>
      </c>
    </row>
    <row r="286" spans="2:10" s="1" customFormat="1" ht="12.75" x14ac:dyDescent="0.2">
      <c r="B286" s="43"/>
      <c r="C286" s="39" t="s">
        <v>473</v>
      </c>
      <c r="D286" s="60">
        <v>1</v>
      </c>
      <c r="E286" s="40">
        <f>5+0.7+0.15+0.17+0.33+0.2</f>
        <v>6.5500000000000007</v>
      </c>
      <c r="F286" s="40"/>
      <c r="G286" s="40"/>
      <c r="H286" s="40">
        <f>IF(AND(F286=0,G286=0),D286*E286,IF(AND(E286=0,G286=0),D286*F286,IF(AND(E286=0,F286=0),D286*G286,IF(AND(E286=0),D286*F286*G286,IF(AND(F286=0),D286*E286*G286,IF(AND(G286=0),D286*E286*F286,D286*E286*F286*G286))))))</f>
        <v>6.5500000000000007</v>
      </c>
      <c r="I286" s="44"/>
      <c r="J286" s="45"/>
    </row>
    <row r="287" spans="2:10" s="1" customFormat="1" ht="12.75" x14ac:dyDescent="0.2">
      <c r="B287" s="43"/>
      <c r="C287" s="39"/>
      <c r="D287" s="60"/>
      <c r="E287" s="40"/>
      <c r="F287" s="40"/>
      <c r="G287" s="40"/>
      <c r="H287" s="40"/>
      <c r="I287" s="44"/>
      <c r="J287" s="45"/>
    </row>
    <row r="288" spans="2:10" s="1" customFormat="1" ht="12.75" x14ac:dyDescent="0.2">
      <c r="B288" s="43" t="s">
        <v>598</v>
      </c>
      <c r="C288" s="43" t="s">
        <v>468</v>
      </c>
      <c r="D288" s="60"/>
      <c r="E288" s="40"/>
      <c r="F288" s="40"/>
      <c r="G288" s="40"/>
      <c r="H288" s="40"/>
      <c r="I288" s="44">
        <f>+SUM(H289:H290)</f>
        <v>49.87</v>
      </c>
      <c r="J288" s="45" t="s">
        <v>345</v>
      </c>
    </row>
    <row r="289" spans="2:10" s="1" customFormat="1" ht="12.75" x14ac:dyDescent="0.2">
      <c r="C289" s="39" t="s">
        <v>469</v>
      </c>
      <c r="D289" s="60">
        <v>1</v>
      </c>
      <c r="E289" s="40">
        <f>2.26+0.66+3.46</f>
        <v>6.38</v>
      </c>
      <c r="F289" s="40"/>
      <c r="G289" s="40"/>
      <c r="H289" s="40">
        <f>IF(AND(F289=0,G289=0),D289*E289,IF(AND(E289=0,G289=0),D289*F289,IF(AND(E289=0,F289=0),D289*G289,IF(AND(E289=0),D289*F289*G289,IF(AND(F289=0),D289*E289*G289,IF(AND(G289=0),D289*E289*F289,D289*E289*F289*G289))))))</f>
        <v>6.38</v>
      </c>
      <c r="I289" s="44"/>
      <c r="J289" s="45"/>
    </row>
    <row r="290" spans="2:10" s="1" customFormat="1" ht="12.75" x14ac:dyDescent="0.2">
      <c r="C290" s="39" t="s">
        <v>470</v>
      </c>
      <c r="D290" s="60">
        <v>1</v>
      </c>
      <c r="E290" s="40">
        <f>6.11+17.91+19.47</f>
        <v>43.489999999999995</v>
      </c>
      <c r="F290" s="40"/>
      <c r="G290" s="40"/>
      <c r="H290" s="40">
        <f>IF(AND(F290=0,G290=0),D290*E290,IF(AND(E290=0,G290=0),D290*F290,IF(AND(E290=0,F290=0),D290*G290,IF(AND(E290=0),D290*F290*G290,IF(AND(F290=0),D290*E290*G290,IF(AND(G290=0),D290*E290*F290,D290*E290*F290*G290))))))</f>
        <v>43.489999999999995</v>
      </c>
      <c r="I290" s="44"/>
      <c r="J290" s="45"/>
    </row>
    <row r="291" spans="2:10" s="1" customFormat="1" ht="12.75" x14ac:dyDescent="0.2">
      <c r="C291" s="39"/>
      <c r="D291" s="60"/>
      <c r="E291" s="40"/>
      <c r="F291" s="40"/>
      <c r="G291" s="40"/>
      <c r="H291" s="40"/>
      <c r="I291" s="40"/>
      <c r="J291" s="41"/>
    </row>
    <row r="292" spans="2:10" s="1" customFormat="1" ht="12.75" x14ac:dyDescent="0.2">
      <c r="B292" s="107" t="s">
        <v>717</v>
      </c>
      <c r="C292" s="343" t="s">
        <v>735</v>
      </c>
      <c r="D292" s="60"/>
      <c r="E292" s="40"/>
      <c r="F292" s="40"/>
      <c r="G292" s="40"/>
      <c r="H292" s="40"/>
      <c r="I292" s="40">
        <f>+SUM(H293:H296)</f>
        <v>2.76</v>
      </c>
      <c r="J292" s="41" t="s">
        <v>45</v>
      </c>
    </row>
    <row r="293" spans="2:10" s="1" customFormat="1" ht="12.75" x14ac:dyDescent="0.2">
      <c r="B293" s="107"/>
      <c r="C293" s="39" t="s">
        <v>447</v>
      </c>
      <c r="D293" s="40">
        <v>1</v>
      </c>
      <c r="E293" s="40">
        <v>2</v>
      </c>
      <c r="F293" s="40"/>
      <c r="G293" s="40">
        <f>0.3+0.15</f>
        <v>0.44999999999999996</v>
      </c>
      <c r="H293" s="40">
        <f>IF(AND(F293=0,G293=0),D293*E293,IF(AND(E293=0,G293=0),D293*F293,IF(AND(E293=0,F293=0),D293*G293,IF(AND(E293=0),D293*F293*G293,IF(AND(F293=0),D293*E293*G293,IF(AND(G293=0),D293*E293*F293,D293*E293*F293*G293))))))</f>
        <v>0.89999999999999991</v>
      </c>
      <c r="I293" s="40"/>
      <c r="J293" s="41"/>
    </row>
    <row r="294" spans="2:10" s="1" customFormat="1" ht="12.75" x14ac:dyDescent="0.2">
      <c r="B294" s="107"/>
      <c r="C294" s="39"/>
      <c r="D294" s="60">
        <v>1</v>
      </c>
      <c r="E294" s="40">
        <v>0.6</v>
      </c>
      <c r="F294" s="40"/>
      <c r="G294" s="40">
        <v>0.8</v>
      </c>
      <c r="H294" s="40">
        <f>IF(AND(F294=0,G294=0),D294*E294,IF(AND(E294=0,G294=0),D294*F294,IF(AND(E294=0,F294=0),D294*G294,IF(AND(E294=0),D294*F294*G294,IF(AND(F294=0),D294*E294*G294,IF(AND(G294=0),D294*E294*F294,D294*E294*F294*G294))))))</f>
        <v>0.48</v>
      </c>
      <c r="I294" s="40"/>
      <c r="J294" s="41"/>
    </row>
    <row r="295" spans="2:10" s="1" customFormat="1" ht="12.75" x14ac:dyDescent="0.2">
      <c r="B295" s="107"/>
      <c r="C295" s="39" t="s">
        <v>413</v>
      </c>
      <c r="D295" s="40">
        <v>1</v>
      </c>
      <c r="E295" s="40">
        <v>2</v>
      </c>
      <c r="F295" s="40"/>
      <c r="G295" s="40">
        <f>0.3+0.15</f>
        <v>0.44999999999999996</v>
      </c>
      <c r="H295" s="40">
        <f>IF(AND(F295=0,G295=0),D295*E295,IF(AND(E295=0,G295=0),D295*F295,IF(AND(E295=0,F295=0),D295*G295,IF(AND(E295=0),D295*F295*G295,IF(AND(F295=0),D295*E295*G295,IF(AND(G295=0),D295*E295*F295,D295*E295*F295*G295))))))</f>
        <v>0.89999999999999991</v>
      </c>
      <c r="I295" s="40"/>
      <c r="J295" s="41"/>
    </row>
    <row r="296" spans="2:10" s="1" customFormat="1" ht="12.75" x14ac:dyDescent="0.2">
      <c r="B296" s="107"/>
      <c r="C296" s="59"/>
      <c r="D296" s="60">
        <v>1</v>
      </c>
      <c r="E296" s="40">
        <v>0.6</v>
      </c>
      <c r="F296" s="40"/>
      <c r="G296" s="40">
        <v>0.8</v>
      </c>
      <c r="H296" s="40">
        <f>IF(AND(F296=0,G296=0),D296*E296,IF(AND(E296=0,G296=0),D296*F296,IF(AND(E296=0,F296=0),D296*G296,IF(AND(E296=0),D296*F296*G296,IF(AND(F296=0),D296*E296*G296,IF(AND(G296=0),D296*E296*F296,D296*E296*F296*G296))))))</f>
        <v>0.48</v>
      </c>
      <c r="I296" s="40"/>
      <c r="J296" s="41"/>
    </row>
    <row r="297" spans="2:10" s="1" customFormat="1" ht="12.75" x14ac:dyDescent="0.2">
      <c r="C297" s="39"/>
      <c r="D297" s="60"/>
      <c r="E297" s="40"/>
      <c r="F297" s="40"/>
      <c r="G297" s="40"/>
      <c r="H297" s="40"/>
      <c r="I297" s="40"/>
      <c r="J297" s="41"/>
    </row>
    <row r="298" spans="2:10" s="1" customFormat="1" ht="12.75" x14ac:dyDescent="0.2">
      <c r="C298" s="39"/>
      <c r="D298" s="60"/>
      <c r="E298" s="40"/>
      <c r="F298" s="40"/>
      <c r="G298" s="40"/>
      <c r="H298" s="40"/>
      <c r="I298" s="40"/>
      <c r="J298" s="41"/>
    </row>
    <row r="299" spans="2:10" s="1" customFormat="1" ht="12.75" x14ac:dyDescent="0.2">
      <c r="B299" s="57" t="s">
        <v>18</v>
      </c>
      <c r="C299" s="58" t="s">
        <v>223</v>
      </c>
      <c r="D299" s="60"/>
      <c r="E299" s="40"/>
      <c r="F299" s="40"/>
      <c r="G299" s="40"/>
      <c r="H299" s="40"/>
      <c r="I299" s="40"/>
      <c r="J299" s="41"/>
    </row>
    <row r="300" spans="2:10" s="1" customFormat="1" ht="12.75" x14ac:dyDescent="0.2">
      <c r="B300" s="43" t="s">
        <v>19</v>
      </c>
      <c r="C300" s="43" t="s">
        <v>265</v>
      </c>
      <c r="D300" s="60"/>
      <c r="E300" s="40"/>
      <c r="F300" s="40"/>
      <c r="G300" s="40"/>
      <c r="H300" s="40"/>
      <c r="I300" s="44">
        <f>SUM(H301:H302)</f>
        <v>5</v>
      </c>
      <c r="J300" s="45" t="str">
        <f>+J301</f>
        <v>und</v>
      </c>
    </row>
    <row r="301" spans="2:10" s="1" customFormat="1" ht="12.75" x14ac:dyDescent="0.2">
      <c r="B301" s="46"/>
      <c r="C301" s="39" t="s">
        <v>231</v>
      </c>
      <c r="D301" s="40">
        <v>3</v>
      </c>
      <c r="E301" s="40"/>
      <c r="F301" s="40"/>
      <c r="G301" s="40"/>
      <c r="H301" s="40">
        <f>+D301</f>
        <v>3</v>
      </c>
      <c r="I301" s="40"/>
      <c r="J301" s="41" t="s">
        <v>13</v>
      </c>
    </row>
    <row r="302" spans="2:10" s="1" customFormat="1" ht="12.75" x14ac:dyDescent="0.2">
      <c r="B302" s="46"/>
      <c r="C302" s="39" t="s">
        <v>476</v>
      </c>
      <c r="D302" s="60">
        <v>2</v>
      </c>
      <c r="E302" s="40"/>
      <c r="F302" s="40"/>
      <c r="G302" s="40"/>
      <c r="H302" s="40">
        <f>+D302</f>
        <v>2</v>
      </c>
      <c r="I302" s="40"/>
      <c r="J302" s="41"/>
    </row>
    <row r="303" spans="2:10" s="1" customFormat="1" ht="12.75" x14ac:dyDescent="0.2">
      <c r="B303" s="43" t="s">
        <v>20</v>
      </c>
      <c r="C303" s="43" t="s">
        <v>272</v>
      </c>
      <c r="D303" s="60"/>
      <c r="E303" s="40"/>
      <c r="F303" s="40"/>
      <c r="G303" s="40"/>
      <c r="H303" s="40"/>
      <c r="I303" s="44">
        <f>SUM(H304:H305)</f>
        <v>26</v>
      </c>
      <c r="J303" s="45" t="s">
        <v>13</v>
      </c>
    </row>
    <row r="304" spans="2:10" s="1" customFormat="1" ht="12.75" x14ac:dyDescent="0.2">
      <c r="B304" s="43"/>
      <c r="C304" s="39" t="s">
        <v>452</v>
      </c>
      <c r="D304" s="60">
        <v>1</v>
      </c>
      <c r="E304" s="40">
        <f>ROUNDUP((E221)/1,0)</f>
        <v>15</v>
      </c>
      <c r="F304" s="40"/>
      <c r="G304" s="40"/>
      <c r="H304" s="40">
        <f>IF(AND(F304=0,G304=0),D304*E304,IF(AND(E304=0,G304=0),D304*F304,IF(AND(E304=0,F304=0),D304*G304,IF(AND(E304=0),D304*F304*G304,IF(AND(F304=0),D304*E304*G304,IF(AND(G304=0),D304*E304*F304,D304*E304*F304*G304))))))</f>
        <v>15</v>
      </c>
      <c r="I304" s="44"/>
      <c r="J304" s="45"/>
    </row>
    <row r="305" spans="2:10" s="1" customFormat="1" ht="12.75" x14ac:dyDescent="0.2">
      <c r="B305" s="43"/>
      <c r="C305" s="39" t="s">
        <v>453</v>
      </c>
      <c r="D305" s="40">
        <v>1</v>
      </c>
      <c r="E305" s="40">
        <f>ROUNDUP((E222)/1,0)</f>
        <v>11</v>
      </c>
      <c r="F305" s="40"/>
      <c r="G305" s="40"/>
      <c r="H305" s="40">
        <f>IF(AND(F305=0,G305=0),D305*E305,IF(AND(E305=0,G305=0),D305*F305,IF(AND(E305=0,F305=0),D305*G305,IF(AND(E305=0),D305*F305*G305,IF(AND(F305=0),D305*E305*G305,IF(AND(G305=0),D305*E305*F305,D305*E305*F305*G305))))))</f>
        <v>11</v>
      </c>
      <c r="I305" s="40"/>
      <c r="J305" s="41"/>
    </row>
    <row r="306" spans="2:10" s="1" customFormat="1" ht="12.75" x14ac:dyDescent="0.2">
      <c r="B306" s="43"/>
      <c r="C306" s="43"/>
      <c r="D306" s="60"/>
      <c r="E306" s="40"/>
      <c r="F306" s="40"/>
      <c r="G306" s="40"/>
      <c r="H306" s="40"/>
      <c r="I306" s="44"/>
      <c r="J306" s="45"/>
    </row>
    <row r="307" spans="2:10" s="1" customFormat="1" ht="12.75" x14ac:dyDescent="0.2">
      <c r="B307" s="43" t="s">
        <v>21</v>
      </c>
      <c r="C307" s="43" t="s">
        <v>266</v>
      </c>
      <c r="D307" s="60"/>
      <c r="E307" s="40"/>
      <c r="F307" s="40"/>
      <c r="G307" s="40"/>
      <c r="H307" s="40"/>
      <c r="I307" s="44">
        <f>SUM(H308:H308)</f>
        <v>0</v>
      </c>
      <c r="J307" s="45" t="s">
        <v>13</v>
      </c>
    </row>
    <row r="308" spans="2:10" s="1" customFormat="1" ht="12.75" x14ac:dyDescent="0.2">
      <c r="B308" s="43"/>
      <c r="C308" s="43"/>
      <c r="D308" s="60"/>
      <c r="E308" s="40"/>
      <c r="F308" s="40"/>
      <c r="G308" s="40"/>
      <c r="H308" s="40">
        <f>+D308</f>
        <v>0</v>
      </c>
      <c r="I308" s="44"/>
      <c r="J308" s="45"/>
    </row>
    <row r="309" spans="2:10" s="1" customFormat="1" ht="12.75" x14ac:dyDescent="0.2">
      <c r="B309" s="43" t="s">
        <v>273</v>
      </c>
      <c r="C309" s="43" t="s">
        <v>354</v>
      </c>
      <c r="D309" s="60"/>
      <c r="E309" s="40"/>
      <c r="F309" s="40"/>
      <c r="G309" s="40"/>
      <c r="H309" s="40"/>
      <c r="I309" s="44">
        <f>SUM(H310:H310)</f>
        <v>0</v>
      </c>
      <c r="J309" s="45" t="s">
        <v>13</v>
      </c>
    </row>
    <row r="310" spans="2:10" s="1" customFormat="1" ht="12.75" x14ac:dyDescent="0.2">
      <c r="B310" s="43"/>
      <c r="C310" s="39"/>
      <c r="D310" s="60"/>
      <c r="E310" s="40"/>
      <c r="F310" s="40"/>
      <c r="G310" s="40"/>
      <c r="H310" s="40">
        <f>+D310</f>
        <v>0</v>
      </c>
      <c r="I310" s="44"/>
      <c r="J310" s="45"/>
    </row>
    <row r="311" spans="2:10" s="1" customFormat="1" ht="12.75" x14ac:dyDescent="0.2">
      <c r="B311" s="43" t="s">
        <v>274</v>
      </c>
      <c r="C311" s="43" t="s">
        <v>357</v>
      </c>
      <c r="D311" s="60"/>
      <c r="E311" s="40"/>
      <c r="F311" s="40"/>
      <c r="G311" s="40"/>
      <c r="H311" s="40"/>
      <c r="I311" s="44">
        <f>SUM(H312:H312)</f>
        <v>0</v>
      </c>
      <c r="J311" s="45">
        <f>+J312</f>
        <v>0</v>
      </c>
    </row>
    <row r="312" spans="2:10" s="1" customFormat="1" ht="12.75" x14ac:dyDescent="0.2">
      <c r="B312" s="43"/>
      <c r="C312" s="39"/>
      <c r="D312" s="40"/>
      <c r="E312" s="40"/>
      <c r="F312" s="40"/>
      <c r="G312" s="40"/>
      <c r="H312" s="40">
        <f>+D312</f>
        <v>0</v>
      </c>
      <c r="I312" s="40"/>
      <c r="J312" s="41"/>
    </row>
    <row r="313" spans="2:10" s="1" customFormat="1" ht="12.75" x14ac:dyDescent="0.2">
      <c r="B313" s="43" t="s">
        <v>355</v>
      </c>
      <c r="C313" s="43" t="s">
        <v>263</v>
      </c>
      <c r="D313" s="60"/>
      <c r="E313" s="40"/>
      <c r="F313" s="40"/>
      <c r="G313" s="40"/>
      <c r="H313" s="40"/>
      <c r="I313" s="44">
        <f>SUM(H314:H314)</f>
        <v>0</v>
      </c>
      <c r="J313" s="45" t="str">
        <f>+J314</f>
        <v>und</v>
      </c>
    </row>
    <row r="314" spans="2:10" s="1" customFormat="1" ht="12.75" x14ac:dyDescent="0.2">
      <c r="B314" s="46"/>
      <c r="C314" s="39"/>
      <c r="D314" s="40"/>
      <c r="E314" s="40"/>
      <c r="F314" s="40"/>
      <c r="G314" s="40"/>
      <c r="H314" s="40">
        <f>+D314</f>
        <v>0</v>
      </c>
      <c r="I314" s="40"/>
      <c r="J314" s="41" t="s">
        <v>13</v>
      </c>
    </row>
    <row r="315" spans="2:10" s="1" customFormat="1" ht="12.75" x14ac:dyDescent="0.2">
      <c r="B315" s="43" t="s">
        <v>356</v>
      </c>
      <c r="C315" s="43" t="s">
        <v>264</v>
      </c>
      <c r="D315" s="60"/>
      <c r="E315" s="40"/>
      <c r="F315" s="40"/>
      <c r="G315" s="40"/>
      <c r="H315" s="40"/>
      <c r="I315" s="44">
        <f>SUM(H316:H316)</f>
        <v>0</v>
      </c>
      <c r="J315" s="45">
        <f>+J316</f>
        <v>0</v>
      </c>
    </row>
    <row r="316" spans="2:10" s="1" customFormat="1" ht="12.75" x14ac:dyDescent="0.2">
      <c r="B316" s="46"/>
      <c r="C316" s="39"/>
      <c r="D316" s="40"/>
      <c r="E316" s="40"/>
      <c r="F316" s="40"/>
      <c r="G316" s="40"/>
      <c r="H316" s="40">
        <f>+D316</f>
        <v>0</v>
      </c>
      <c r="I316" s="40"/>
      <c r="J316" s="41"/>
    </row>
    <row r="317" spans="2:10" s="1" customFormat="1" ht="12.75" x14ac:dyDescent="0.2">
      <c r="B317" s="93" t="s">
        <v>659</v>
      </c>
      <c r="C317" s="372" t="s">
        <v>657</v>
      </c>
      <c r="D317" s="60"/>
      <c r="E317" s="40"/>
      <c r="F317" s="40"/>
      <c r="G317" s="40"/>
      <c r="H317" s="40"/>
      <c r="I317" s="44">
        <f>+SUM(H318:H322)</f>
        <v>19</v>
      </c>
      <c r="J317" s="45" t="s">
        <v>13</v>
      </c>
    </row>
    <row r="318" spans="2:10" s="1" customFormat="1" ht="12.75" x14ac:dyDescent="0.2">
      <c r="B318" s="46"/>
      <c r="C318" s="39" t="s">
        <v>454</v>
      </c>
      <c r="D318" s="60">
        <v>3</v>
      </c>
      <c r="E318" s="40"/>
      <c r="F318" s="40"/>
      <c r="G318" s="40"/>
      <c r="H318" s="40">
        <f>+D318</f>
        <v>3</v>
      </c>
      <c r="I318" s="40"/>
      <c r="J318" s="41"/>
    </row>
    <row r="319" spans="2:10" s="1" customFormat="1" ht="12.75" x14ac:dyDescent="0.2">
      <c r="B319" s="46"/>
      <c r="C319" s="39" t="s">
        <v>455</v>
      </c>
      <c r="D319" s="60">
        <v>2</v>
      </c>
      <c r="E319" s="40"/>
      <c r="F319" s="40"/>
      <c r="G319" s="40"/>
      <c r="H319" s="40">
        <f>+D319</f>
        <v>2</v>
      </c>
      <c r="I319" s="40"/>
      <c r="J319" s="41"/>
    </row>
    <row r="320" spans="2:10" s="1" customFormat="1" ht="12.75" x14ac:dyDescent="0.2">
      <c r="B320" s="46"/>
      <c r="C320" s="39" t="s">
        <v>456</v>
      </c>
      <c r="D320" s="60">
        <v>2</v>
      </c>
      <c r="E320" s="40"/>
      <c r="F320" s="40"/>
      <c r="G320" s="40"/>
      <c r="H320" s="40">
        <f>+D320</f>
        <v>2</v>
      </c>
      <c r="I320" s="40"/>
      <c r="J320" s="41"/>
    </row>
    <row r="321" spans="2:10" s="1" customFormat="1" ht="12.75" x14ac:dyDescent="0.2">
      <c r="B321" s="46"/>
      <c r="C321" s="59" t="s">
        <v>72</v>
      </c>
      <c r="D321" s="60">
        <v>10</v>
      </c>
      <c r="E321" s="40"/>
      <c r="F321" s="40"/>
      <c r="G321" s="40"/>
      <c r="H321" s="40">
        <f>+D321</f>
        <v>10</v>
      </c>
      <c r="I321" s="40"/>
      <c r="J321" s="41"/>
    </row>
    <row r="322" spans="2:10" s="1" customFormat="1" ht="12.75" x14ac:dyDescent="0.2">
      <c r="B322" s="46"/>
      <c r="C322" s="59" t="s">
        <v>475</v>
      </c>
      <c r="D322" s="60">
        <v>2</v>
      </c>
      <c r="E322" s="40"/>
      <c r="F322" s="40"/>
      <c r="G322" s="40"/>
      <c r="H322" s="40">
        <f>+D322</f>
        <v>2</v>
      </c>
      <c r="I322" s="40"/>
      <c r="J322" s="41"/>
    </row>
    <row r="323" spans="2:10" s="1" customFormat="1" ht="12.75" x14ac:dyDescent="0.2">
      <c r="B323" s="46"/>
      <c r="C323" s="59"/>
      <c r="D323" s="60"/>
      <c r="E323" s="40"/>
      <c r="F323" s="40"/>
      <c r="G323" s="40"/>
      <c r="H323" s="40"/>
      <c r="I323" s="40"/>
      <c r="J323" s="41"/>
    </row>
    <row r="324" spans="2:10" s="1" customFormat="1" ht="12.75" x14ac:dyDescent="0.2">
      <c r="B324" s="93" t="s">
        <v>601</v>
      </c>
      <c r="C324" s="93" t="s">
        <v>477</v>
      </c>
      <c r="D324" s="60"/>
      <c r="E324" s="40"/>
      <c r="F324" s="40"/>
      <c r="G324" s="40"/>
      <c r="H324" s="40"/>
      <c r="I324" s="44">
        <f>+SUM(H325)</f>
        <v>2</v>
      </c>
      <c r="J324" s="45" t="s">
        <v>13</v>
      </c>
    </row>
    <row r="325" spans="2:10" s="1" customFormat="1" ht="12.75" x14ac:dyDescent="0.2">
      <c r="B325" s="46"/>
      <c r="C325" s="39" t="s">
        <v>478</v>
      </c>
      <c r="D325" s="60">
        <v>2</v>
      </c>
      <c r="E325" s="40"/>
      <c r="F325" s="40"/>
      <c r="G325" s="40"/>
      <c r="H325" s="40">
        <f>+D325</f>
        <v>2</v>
      </c>
      <c r="I325" s="40"/>
      <c r="J325" s="41"/>
    </row>
    <row r="326" spans="2:10" s="1" customFormat="1" ht="12.75" x14ac:dyDescent="0.2">
      <c r="B326" s="93" t="s">
        <v>606</v>
      </c>
      <c r="C326" s="93" t="s">
        <v>479</v>
      </c>
      <c r="D326" s="60"/>
      <c r="E326" s="40"/>
      <c r="F326" s="40"/>
      <c r="G326" s="40"/>
      <c r="H326" s="40"/>
      <c r="I326" s="44">
        <f>+SUM(H327:H328)</f>
        <v>2</v>
      </c>
      <c r="J326" s="45" t="s">
        <v>13</v>
      </c>
    </row>
    <row r="327" spans="2:10" s="1" customFormat="1" ht="12.75" x14ac:dyDescent="0.2">
      <c r="B327" s="46"/>
      <c r="C327" s="59" t="s">
        <v>480</v>
      </c>
      <c r="D327" s="60">
        <v>2</v>
      </c>
      <c r="E327" s="40"/>
      <c r="F327" s="40"/>
      <c r="G327" s="40"/>
      <c r="H327" s="40">
        <f>+D327</f>
        <v>2</v>
      </c>
      <c r="I327" s="40"/>
      <c r="J327" s="41"/>
    </row>
    <row r="328" spans="2:10" s="1" customFormat="1" ht="12.75" x14ac:dyDescent="0.2">
      <c r="B328" s="46"/>
      <c r="C328" s="59"/>
      <c r="D328" s="60"/>
      <c r="E328" s="40"/>
      <c r="F328" s="40"/>
      <c r="G328" s="40"/>
      <c r="H328" s="40"/>
      <c r="I328" s="40"/>
      <c r="J328" s="41"/>
    </row>
    <row r="329" spans="2:10" s="1" customFormat="1" ht="12.75" x14ac:dyDescent="0.2">
      <c r="B329" s="93" t="s">
        <v>608</v>
      </c>
      <c r="C329" s="93" t="s">
        <v>534</v>
      </c>
      <c r="D329" s="60"/>
      <c r="E329" s="40"/>
      <c r="F329" s="40"/>
      <c r="G329" s="40"/>
      <c r="H329" s="40"/>
      <c r="I329" s="44">
        <f>+SUM(H330:H331)</f>
        <v>1</v>
      </c>
      <c r="J329" s="45" t="s">
        <v>13</v>
      </c>
    </row>
    <row r="330" spans="2:10" s="1" customFormat="1" ht="12.75" x14ac:dyDescent="0.2">
      <c r="B330" s="46"/>
      <c r="C330" s="59" t="s">
        <v>481</v>
      </c>
      <c r="D330" s="60">
        <v>1</v>
      </c>
      <c r="E330" s="40"/>
      <c r="F330" s="40"/>
      <c r="G330" s="40"/>
      <c r="H330" s="40">
        <f>+D330</f>
        <v>1</v>
      </c>
      <c r="I330" s="40"/>
      <c r="J330" s="41"/>
    </row>
    <row r="331" spans="2:10" s="1" customFormat="1" ht="12.75" x14ac:dyDescent="0.2">
      <c r="B331" s="46"/>
      <c r="C331" s="59"/>
      <c r="D331" s="60"/>
      <c r="E331" s="40"/>
      <c r="F331" s="40"/>
      <c r="G331" s="40"/>
      <c r="H331" s="40"/>
      <c r="I331" s="40"/>
      <c r="J331" s="41"/>
    </row>
    <row r="332" spans="2:10" s="1" customFormat="1" ht="12.75" x14ac:dyDescent="0.2">
      <c r="B332" s="93" t="s">
        <v>610</v>
      </c>
      <c r="C332" s="93" t="s">
        <v>536</v>
      </c>
      <c r="D332" s="60"/>
      <c r="E332" s="40"/>
      <c r="F332" s="40"/>
      <c r="G332" s="40"/>
      <c r="H332" s="40"/>
      <c r="I332" s="44">
        <f>+SUM(H333:H333)</f>
        <v>1</v>
      </c>
      <c r="J332" s="45" t="s">
        <v>13</v>
      </c>
    </row>
    <row r="333" spans="2:10" s="1" customFormat="1" ht="12.75" x14ac:dyDescent="0.2">
      <c r="B333" s="46"/>
      <c r="C333" s="59" t="s">
        <v>481</v>
      </c>
      <c r="D333" s="60">
        <v>1</v>
      </c>
      <c r="E333" s="40"/>
      <c r="F333" s="40"/>
      <c r="G333" s="40"/>
      <c r="H333" s="40">
        <f>+D333</f>
        <v>1</v>
      </c>
      <c r="I333" s="40"/>
      <c r="J333" s="41"/>
    </row>
    <row r="334" spans="2:10" s="1" customFormat="1" ht="12.75" x14ac:dyDescent="0.2">
      <c r="B334" s="46"/>
      <c r="C334" s="59"/>
      <c r="D334" s="60"/>
      <c r="E334" s="40"/>
      <c r="F334" s="40"/>
      <c r="G334" s="40"/>
      <c r="H334" s="40"/>
      <c r="I334" s="40"/>
      <c r="J334" s="41"/>
    </row>
    <row r="335" spans="2:10" s="1" customFormat="1" ht="12.75" x14ac:dyDescent="0.2">
      <c r="B335" s="93" t="s">
        <v>611</v>
      </c>
      <c r="C335" s="93" t="s">
        <v>535</v>
      </c>
      <c r="D335" s="60"/>
      <c r="E335" s="40"/>
      <c r="F335" s="40"/>
      <c r="G335" s="40"/>
      <c r="H335" s="40"/>
      <c r="I335" s="44">
        <f>+SUM(H336:H337)</f>
        <v>1</v>
      </c>
      <c r="J335" s="45" t="s">
        <v>13</v>
      </c>
    </row>
    <row r="336" spans="2:10" s="1" customFormat="1" ht="12.75" x14ac:dyDescent="0.2">
      <c r="B336" s="46"/>
      <c r="C336" s="59" t="s">
        <v>481</v>
      </c>
      <c r="D336" s="60">
        <v>1</v>
      </c>
      <c r="E336" s="40"/>
      <c r="F336" s="40"/>
      <c r="G336" s="40"/>
      <c r="H336" s="40">
        <f>+D336</f>
        <v>1</v>
      </c>
      <c r="I336" s="40"/>
      <c r="J336" s="41"/>
    </row>
    <row r="337" spans="2:10" s="1" customFormat="1" ht="12.75" x14ac:dyDescent="0.2">
      <c r="B337" s="46"/>
      <c r="C337" s="59"/>
      <c r="D337" s="60"/>
      <c r="E337" s="40"/>
      <c r="F337" s="40"/>
      <c r="G337" s="40"/>
      <c r="H337" s="40"/>
      <c r="I337" s="40"/>
      <c r="J337" s="41"/>
    </row>
    <row r="338" spans="2:10" s="1" customFormat="1" ht="12.75" x14ac:dyDescent="0.2">
      <c r="B338" s="46"/>
      <c r="C338" s="59"/>
      <c r="D338" s="60"/>
      <c r="E338" s="40"/>
      <c r="F338" s="40"/>
      <c r="G338" s="40"/>
      <c r="H338" s="40"/>
      <c r="I338" s="44"/>
      <c r="J338" s="41"/>
    </row>
    <row r="339" spans="2:10" s="1" customFormat="1" ht="12.75" x14ac:dyDescent="0.2">
      <c r="B339" s="46"/>
      <c r="C339" s="59"/>
      <c r="D339" s="60"/>
      <c r="E339" s="40"/>
      <c r="F339" s="40"/>
      <c r="G339" s="40"/>
      <c r="H339" s="40"/>
      <c r="I339" s="40"/>
      <c r="J339" s="41"/>
    </row>
    <row r="340" spans="2:10" s="1" customFormat="1" ht="12.75" x14ac:dyDescent="0.2">
      <c r="B340" s="46"/>
      <c r="C340" s="59"/>
      <c r="D340" s="60"/>
      <c r="E340" s="40"/>
      <c r="F340" s="40"/>
      <c r="G340" s="40"/>
      <c r="H340" s="40"/>
      <c r="I340" s="40"/>
      <c r="J340" s="41"/>
    </row>
    <row r="341" spans="2:10" s="1" customFormat="1" ht="12.75" x14ac:dyDescent="0.2">
      <c r="B341" s="46"/>
      <c r="C341" s="59"/>
      <c r="D341" s="60"/>
      <c r="E341" s="40"/>
      <c r="F341" s="40"/>
      <c r="G341" s="40"/>
      <c r="H341" s="40"/>
      <c r="I341" s="40"/>
      <c r="J341" s="41"/>
    </row>
    <row r="342" spans="2:10" s="1" customFormat="1" ht="12.75" x14ac:dyDescent="0.2">
      <c r="B342" s="46"/>
      <c r="C342" s="59"/>
      <c r="D342" s="60"/>
      <c r="E342" s="40"/>
      <c r="F342" s="40"/>
      <c r="G342" s="40"/>
      <c r="H342" s="40"/>
      <c r="I342" s="40"/>
      <c r="J342" s="41"/>
    </row>
    <row r="343" spans="2:10" s="1" customFormat="1" ht="12.75" x14ac:dyDescent="0.2">
      <c r="B343" s="46"/>
      <c r="C343" s="59"/>
      <c r="D343" s="60"/>
      <c r="E343" s="40"/>
      <c r="F343" s="40"/>
      <c r="G343" s="40"/>
      <c r="H343" s="40"/>
      <c r="I343" s="40"/>
      <c r="J343" s="41"/>
    </row>
    <row r="344" spans="2:10" s="1" customFormat="1" ht="12.75" x14ac:dyDescent="0.2">
      <c r="B344" s="46"/>
      <c r="C344" s="59"/>
      <c r="D344" s="60"/>
      <c r="E344" s="40"/>
      <c r="F344" s="40"/>
      <c r="G344" s="40"/>
      <c r="H344" s="40"/>
      <c r="I344" s="40"/>
      <c r="J344" s="41"/>
    </row>
    <row r="345" spans="2:10" s="1" customFormat="1" ht="12.75" x14ac:dyDescent="0.2">
      <c r="B345" s="46"/>
      <c r="C345" s="59"/>
      <c r="D345" s="60"/>
      <c r="E345" s="40"/>
      <c r="F345" s="40"/>
      <c r="G345" s="40"/>
      <c r="H345" s="40"/>
      <c r="I345" s="40"/>
      <c r="J345" s="41"/>
    </row>
    <row r="346" spans="2:10" s="1" customFormat="1" ht="12.75" x14ac:dyDescent="0.2">
      <c r="B346" s="46"/>
      <c r="C346" s="59"/>
      <c r="D346" s="60"/>
      <c r="E346" s="40"/>
      <c r="F346" s="40"/>
      <c r="G346" s="40"/>
      <c r="H346" s="40"/>
      <c r="I346" s="40"/>
      <c r="J346" s="41"/>
    </row>
    <row r="347" spans="2:10" s="1" customFormat="1" ht="12.75" x14ac:dyDescent="0.2">
      <c r="B347" s="46"/>
      <c r="C347" s="59"/>
      <c r="D347" s="60"/>
      <c r="E347" s="40"/>
      <c r="F347" s="40"/>
      <c r="G347" s="40"/>
      <c r="H347" s="40"/>
      <c r="I347" s="40"/>
      <c r="J347" s="41"/>
    </row>
    <row r="348" spans="2:10" s="1" customFormat="1" ht="12.75" x14ac:dyDescent="0.2">
      <c r="B348" s="46"/>
      <c r="C348" s="59"/>
      <c r="D348" s="60"/>
      <c r="E348" s="40"/>
      <c r="F348" s="40"/>
      <c r="G348" s="40"/>
      <c r="H348" s="40"/>
      <c r="I348" s="40"/>
      <c r="J348" s="41"/>
    </row>
    <row r="349" spans="2:10" s="1" customFormat="1" ht="12.75" x14ac:dyDescent="0.2">
      <c r="B349" s="46"/>
      <c r="C349" s="59"/>
      <c r="D349" s="60"/>
      <c r="E349" s="40"/>
      <c r="F349" s="40"/>
      <c r="G349" s="40"/>
      <c r="H349" s="40"/>
      <c r="I349" s="40"/>
      <c r="J349" s="41"/>
    </row>
    <row r="350" spans="2:10" s="1" customFormat="1" ht="12.75" x14ac:dyDescent="0.2">
      <c r="B350" s="46"/>
      <c r="C350" s="59"/>
      <c r="D350" s="60"/>
      <c r="E350" s="40"/>
      <c r="F350" s="40"/>
      <c r="G350" s="40"/>
      <c r="H350" s="40"/>
      <c r="I350" s="40"/>
      <c r="J350" s="41"/>
    </row>
    <row r="351" spans="2:10" s="1" customFormat="1" ht="12.75" x14ac:dyDescent="0.2">
      <c r="B351" s="46"/>
      <c r="C351" s="59"/>
      <c r="D351" s="60"/>
      <c r="E351" s="40"/>
      <c r="F351" s="40"/>
      <c r="G351" s="40"/>
      <c r="H351" s="40"/>
      <c r="I351" s="40"/>
      <c r="J351" s="41"/>
    </row>
    <row r="352" spans="2:10" s="1" customFormat="1" ht="12.75" x14ac:dyDescent="0.2">
      <c r="B352" s="46"/>
      <c r="C352" s="59"/>
      <c r="D352" s="60"/>
      <c r="E352" s="40"/>
      <c r="F352" s="40"/>
      <c r="G352" s="40"/>
      <c r="H352" s="40"/>
      <c r="I352" s="40"/>
      <c r="J352" s="41"/>
    </row>
    <row r="353" spans="2:10" s="1" customFormat="1" ht="12.75" x14ac:dyDescent="0.2">
      <c r="B353" s="46"/>
      <c r="C353" s="59"/>
      <c r="D353" s="60"/>
      <c r="E353" s="40"/>
      <c r="F353" s="40"/>
      <c r="G353" s="40"/>
      <c r="H353" s="40"/>
      <c r="I353" s="40"/>
      <c r="J353" s="41"/>
    </row>
    <row r="354" spans="2:10" s="1" customFormat="1" ht="12.75" x14ac:dyDescent="0.2">
      <c r="B354" s="46"/>
      <c r="C354" s="59"/>
      <c r="D354" s="60"/>
      <c r="E354" s="40"/>
      <c r="F354" s="40"/>
      <c r="G354" s="40"/>
      <c r="H354" s="40"/>
      <c r="I354" s="40"/>
      <c r="J354" s="41"/>
    </row>
    <row r="355" spans="2:10" s="1" customFormat="1" ht="12.75" x14ac:dyDescent="0.2">
      <c r="B355" s="46"/>
      <c r="C355" s="59"/>
      <c r="D355" s="60"/>
      <c r="E355" s="40"/>
      <c r="F355" s="40"/>
      <c r="G355" s="40"/>
      <c r="H355" s="40"/>
      <c r="I355" s="40"/>
      <c r="J355" s="41"/>
    </row>
    <row r="356" spans="2:10" s="1" customFormat="1" ht="12.75" x14ac:dyDescent="0.2">
      <c r="B356" s="46"/>
      <c r="C356" s="59"/>
      <c r="D356" s="60"/>
      <c r="E356" s="40"/>
      <c r="F356" s="40"/>
      <c r="G356" s="40"/>
      <c r="H356" s="40"/>
      <c r="I356" s="40"/>
      <c r="J356" s="41"/>
    </row>
    <row r="357" spans="2:10" s="1" customFormat="1" ht="12.75" x14ac:dyDescent="0.2">
      <c r="B357" s="46"/>
      <c r="C357" s="59"/>
      <c r="D357" s="60"/>
      <c r="E357" s="40"/>
      <c r="F357" s="40"/>
      <c r="G357" s="40"/>
      <c r="H357" s="40"/>
      <c r="I357" s="40"/>
      <c r="J357" s="41"/>
    </row>
    <row r="358" spans="2:10" s="1" customFormat="1" ht="12.75" x14ac:dyDescent="0.2">
      <c r="B358" s="46"/>
      <c r="C358" s="59"/>
      <c r="D358" s="60"/>
      <c r="E358" s="40"/>
      <c r="F358" s="40"/>
      <c r="G358" s="40"/>
      <c r="H358" s="40"/>
      <c r="I358" s="40"/>
      <c r="J358" s="41"/>
    </row>
    <row r="359" spans="2:10" s="1" customFormat="1" ht="12.75" x14ac:dyDescent="0.2">
      <c r="B359" s="46"/>
      <c r="C359" s="59"/>
      <c r="D359" s="60"/>
      <c r="E359" s="40"/>
      <c r="F359" s="40"/>
      <c r="G359" s="40"/>
      <c r="H359" s="40"/>
      <c r="I359" s="40"/>
      <c r="J359" s="41"/>
    </row>
    <row r="360" spans="2:10" s="1" customFormat="1" ht="12.75" x14ac:dyDescent="0.2">
      <c r="B360" s="46"/>
      <c r="C360" s="59"/>
      <c r="D360" s="60"/>
      <c r="E360" s="40"/>
      <c r="F360" s="40"/>
      <c r="G360" s="40"/>
      <c r="H360" s="40"/>
      <c r="I360" s="40"/>
      <c r="J360" s="41"/>
    </row>
    <row r="361" spans="2:10" s="1" customFormat="1" ht="12.75" x14ac:dyDescent="0.2">
      <c r="B361" s="46"/>
      <c r="C361" s="59"/>
      <c r="D361" s="60"/>
      <c r="E361" s="40"/>
      <c r="F361" s="40"/>
      <c r="G361" s="40"/>
      <c r="H361" s="40"/>
      <c r="I361" s="40"/>
      <c r="J361" s="41"/>
    </row>
    <row r="362" spans="2:10" s="1" customFormat="1" ht="12.75" x14ac:dyDescent="0.2">
      <c r="B362" s="46"/>
      <c r="C362" s="59"/>
      <c r="D362" s="60"/>
      <c r="E362" s="40"/>
      <c r="F362" s="40"/>
      <c r="G362" s="40"/>
      <c r="H362" s="40"/>
      <c r="I362" s="40"/>
      <c r="J362" s="41"/>
    </row>
    <row r="363" spans="2:10" s="1" customFormat="1" ht="12.75" x14ac:dyDescent="0.2">
      <c r="B363" s="46"/>
      <c r="C363" s="59"/>
      <c r="D363" s="60"/>
      <c r="E363" s="40"/>
      <c r="F363" s="40"/>
      <c r="G363" s="40"/>
      <c r="H363" s="40"/>
      <c r="I363" s="40"/>
      <c r="J363" s="41"/>
    </row>
    <row r="364" spans="2:10" s="1" customFormat="1" ht="12.75" x14ac:dyDescent="0.2">
      <c r="B364" s="46"/>
      <c r="C364" s="59"/>
      <c r="D364" s="60"/>
      <c r="E364" s="40"/>
      <c r="F364" s="40"/>
      <c r="G364" s="40"/>
      <c r="H364" s="40"/>
      <c r="I364" s="40"/>
      <c r="J364" s="41"/>
    </row>
    <row r="365" spans="2:10" s="1" customFormat="1" ht="12.75" x14ac:dyDescent="0.2">
      <c r="B365" s="37"/>
      <c r="C365" s="38"/>
      <c r="D365" s="38"/>
      <c r="E365" s="38"/>
      <c r="F365" s="38"/>
      <c r="G365" s="38"/>
      <c r="H365" s="38"/>
      <c r="I365" s="38"/>
      <c r="J365" s="38"/>
    </row>
    <row r="366" spans="2:10" s="1" customFormat="1" ht="12.75" x14ac:dyDescent="0.2">
      <c r="C366" s="499" t="s">
        <v>37</v>
      </c>
      <c r="D366" s="499"/>
      <c r="E366" s="499"/>
      <c r="F366" s="499"/>
      <c r="G366" s="499"/>
      <c r="H366" s="499"/>
    </row>
    <row r="367" spans="2:10" s="1" customFormat="1" ht="12.75" x14ac:dyDescent="0.2">
      <c r="C367" s="499" t="s">
        <v>38</v>
      </c>
      <c r="D367" s="499"/>
      <c r="E367" s="499"/>
      <c r="F367" s="499"/>
      <c r="G367" s="499"/>
      <c r="H367" s="499"/>
    </row>
    <row r="368" spans="2:10" s="1" customFormat="1" ht="12.75" x14ac:dyDescent="0.2">
      <c r="C368" s="499" t="s">
        <v>39</v>
      </c>
      <c r="D368" s="499"/>
      <c r="E368" s="499"/>
      <c r="F368" s="499"/>
      <c r="G368" s="499"/>
      <c r="H368" s="499"/>
    </row>
    <row r="369" spans="2:10" s="1" customFormat="1" ht="12.75" x14ac:dyDescent="0.2">
      <c r="C369" s="500" t="s">
        <v>40</v>
      </c>
      <c r="D369" s="500"/>
      <c r="E369" s="500"/>
      <c r="F369" s="500"/>
      <c r="G369" s="500"/>
      <c r="H369" s="500"/>
    </row>
    <row r="370" spans="2:10" s="1" customFormat="1" ht="12.75" x14ac:dyDescent="0.2">
      <c r="C370" s="80"/>
      <c r="D370" s="80"/>
      <c r="E370" s="80"/>
      <c r="F370" s="80"/>
      <c r="G370" s="80"/>
      <c r="H370" s="80"/>
    </row>
    <row r="371" spans="2:10" s="1" customFormat="1" ht="27" customHeight="1" x14ac:dyDescent="0.2">
      <c r="B371" s="354" t="s">
        <v>65</v>
      </c>
      <c r="C371" s="355"/>
      <c r="D371" s="355"/>
      <c r="E371" s="355"/>
      <c r="F371" s="355"/>
      <c r="G371" s="355"/>
      <c r="H371" s="355"/>
      <c r="I371" s="355"/>
      <c r="J371" s="356"/>
    </row>
    <row r="372" spans="2:10" s="1" customFormat="1" ht="20.25" x14ac:dyDescent="0.2">
      <c r="B372" s="357" t="s">
        <v>360</v>
      </c>
      <c r="C372" s="358"/>
      <c r="D372" s="358"/>
      <c r="E372" s="358"/>
      <c r="F372" s="358"/>
      <c r="G372" s="358"/>
      <c r="H372" s="358"/>
      <c r="I372" s="358"/>
      <c r="J372" s="359"/>
    </row>
    <row r="373" spans="2:10" s="1" customFormat="1" ht="13.5" thickBot="1" x14ac:dyDescent="0.25">
      <c r="B373" s="81"/>
      <c r="C373" s="81"/>
      <c r="D373" s="81"/>
      <c r="E373" s="81"/>
      <c r="F373" s="81"/>
      <c r="G373" s="81"/>
      <c r="H373" s="81"/>
      <c r="I373" s="81"/>
      <c r="J373" s="81"/>
    </row>
    <row r="374" spans="2:10" s="1" customFormat="1" ht="165.75" x14ac:dyDescent="0.2">
      <c r="B374" s="350" t="s">
        <v>27</v>
      </c>
      <c r="C374" s="351"/>
      <c r="D374" s="351"/>
      <c r="E374" s="351"/>
      <c r="F374" s="351"/>
      <c r="G374" s="351"/>
      <c r="H374" s="351"/>
      <c r="I374" s="351"/>
      <c r="J374" s="352"/>
    </row>
    <row r="375" spans="2:10" s="1" customFormat="1" ht="12.75" x14ac:dyDescent="0.2">
      <c r="B375" s="2" t="s">
        <v>35</v>
      </c>
      <c r="C375" s="3" t="s">
        <v>36</v>
      </c>
      <c r="D375" s="3"/>
      <c r="E375" s="4"/>
      <c r="F375" s="5"/>
      <c r="G375" s="6" t="s">
        <v>8</v>
      </c>
      <c r="H375" s="353">
        <v>42879</v>
      </c>
      <c r="I375" s="353"/>
      <c r="J375" s="7"/>
    </row>
    <row r="376" spans="2:10" s="1" customFormat="1" ht="12.75" x14ac:dyDescent="0.2">
      <c r="B376" s="2" t="s">
        <v>33</v>
      </c>
      <c r="C376" s="3" t="s">
        <v>29</v>
      </c>
      <c r="D376" s="8"/>
      <c r="E376" s="8"/>
      <c r="F376" s="3"/>
      <c r="G376" s="9" t="s">
        <v>32</v>
      </c>
      <c r="H376" s="4" t="s">
        <v>29</v>
      </c>
      <c r="I376" s="10"/>
      <c r="J376" s="11"/>
    </row>
    <row r="377" spans="2:10" s="1" customFormat="1" ht="12.75" x14ac:dyDescent="0.2">
      <c r="B377" s="2" t="s">
        <v>34</v>
      </c>
      <c r="C377" s="3" t="s">
        <v>29</v>
      </c>
      <c r="D377" s="8"/>
      <c r="E377" s="8"/>
      <c r="F377" s="3"/>
      <c r="G377" s="9" t="s">
        <v>30</v>
      </c>
      <c r="H377" s="4" t="s">
        <v>31</v>
      </c>
      <c r="I377" s="10"/>
      <c r="J377" s="11"/>
    </row>
    <row r="378" spans="2:10" s="1" customFormat="1" ht="13.5" thickBot="1" x14ac:dyDescent="0.25">
      <c r="B378" s="12" t="s">
        <v>43</v>
      </c>
      <c r="C378" s="13" t="s">
        <v>44</v>
      </c>
      <c r="D378" s="14"/>
      <c r="E378" s="14"/>
      <c r="F378" s="13"/>
      <c r="G378" s="15" t="s">
        <v>41</v>
      </c>
      <c r="H378" s="16" t="s">
        <v>42</v>
      </c>
      <c r="I378" s="17"/>
      <c r="J378" s="18"/>
    </row>
    <row r="379" spans="2:10" s="1" customFormat="1" ht="12.75" x14ac:dyDescent="0.2">
      <c r="B379" s="81"/>
      <c r="C379" s="81"/>
      <c r="D379" s="81"/>
      <c r="E379" s="81"/>
      <c r="F379" s="81"/>
      <c r="G379" s="81"/>
      <c r="H379" s="81"/>
      <c r="I379" s="81"/>
      <c r="J379" s="81"/>
    </row>
    <row r="380" spans="2:10" s="1" customFormat="1" ht="12.75" x14ac:dyDescent="0.2">
      <c r="B380" s="21" t="s">
        <v>5</v>
      </c>
      <c r="C380" s="22" t="s">
        <v>0</v>
      </c>
      <c r="D380" s="22" t="s">
        <v>9</v>
      </c>
      <c r="E380" s="22" t="s">
        <v>10</v>
      </c>
      <c r="F380" s="22" t="s">
        <v>1</v>
      </c>
      <c r="G380" s="22" t="s">
        <v>2</v>
      </c>
      <c r="H380" s="22" t="s">
        <v>11</v>
      </c>
      <c r="I380" s="22" t="s">
        <v>6</v>
      </c>
      <c r="J380" s="22" t="s">
        <v>7</v>
      </c>
    </row>
    <row r="381" spans="2:10" s="1" customFormat="1" ht="12.75" x14ac:dyDescent="0.2">
      <c r="B381" s="55">
        <v>4.03</v>
      </c>
      <c r="C381" s="56" t="s">
        <v>222</v>
      </c>
      <c r="D381" s="60"/>
      <c r="E381" s="40"/>
      <c r="F381" s="40"/>
      <c r="G381" s="40"/>
      <c r="H381" s="40"/>
      <c r="I381" s="40"/>
      <c r="J381" s="41"/>
    </row>
    <row r="382" spans="2:10" s="1" customFormat="1" ht="12.75" x14ac:dyDescent="0.2">
      <c r="B382" s="57" t="s">
        <v>14</v>
      </c>
      <c r="C382" s="58" t="s">
        <v>225</v>
      </c>
      <c r="D382" s="60"/>
      <c r="E382" s="40"/>
      <c r="F382" s="40"/>
      <c r="G382" s="40"/>
      <c r="H382" s="40"/>
      <c r="I382" s="40"/>
      <c r="J382" s="41"/>
    </row>
    <row r="383" spans="2:10" s="1" customFormat="1" ht="12.75" x14ac:dyDescent="0.2">
      <c r="B383" s="43" t="s">
        <v>15</v>
      </c>
      <c r="C383" s="43" t="s">
        <v>359</v>
      </c>
      <c r="D383" s="60"/>
      <c r="E383" s="40"/>
      <c r="F383" s="40"/>
      <c r="G383" s="40"/>
      <c r="H383" s="40"/>
      <c r="I383" s="44">
        <f>SUM(H384:H384)</f>
        <v>0</v>
      </c>
      <c r="J383" s="45" t="s">
        <v>345</v>
      </c>
    </row>
    <row r="384" spans="2:10" s="1" customFormat="1" ht="12.75" x14ac:dyDescent="0.2">
      <c r="B384" s="43"/>
      <c r="C384" s="39"/>
      <c r="D384" s="60"/>
      <c r="E384" s="40"/>
      <c r="F384" s="40"/>
      <c r="G384" s="40"/>
      <c r="H384" s="40">
        <f>IF(AND(F384=0,G384=0),D384*E384,IF(AND(E384=0,G384=0),D384*F384,IF(AND(E384=0,F384=0),D384*G384,IF(AND(E384=0),D384*F384*G384,IF(AND(F384=0),D384*E384*G384,IF(AND(G384=0),D384*E384*F384,D384*E384*F384*G384))))))</f>
        <v>0</v>
      </c>
      <c r="I384" s="40"/>
      <c r="J384" s="41"/>
    </row>
    <row r="385" spans="2:10" s="1" customFormat="1" ht="12.75" x14ac:dyDescent="0.2">
      <c r="B385" s="43" t="s">
        <v>232</v>
      </c>
      <c r="C385" s="43" t="s">
        <v>235</v>
      </c>
      <c r="D385" s="60"/>
      <c r="E385" s="40"/>
      <c r="F385" s="40"/>
      <c r="G385" s="40"/>
      <c r="H385" s="40"/>
      <c r="I385" s="44">
        <f>SUM(H386:H387)</f>
        <v>103</v>
      </c>
      <c r="J385" s="45" t="str">
        <f>+J386</f>
        <v>ml</v>
      </c>
    </row>
    <row r="386" spans="2:10" s="1" customFormat="1" ht="12.75" x14ac:dyDescent="0.2">
      <c r="B386" s="57"/>
      <c r="C386" s="39" t="s">
        <v>378</v>
      </c>
      <c r="D386" s="40">
        <v>7</v>
      </c>
      <c r="E386" s="40">
        <v>10.6</v>
      </c>
      <c r="F386" s="40"/>
      <c r="G386" s="40"/>
      <c r="H386" s="40">
        <f>IF(AND(F386=0,G386=0),D386*E386,IF(AND(E386=0,G386=0),D386*F386,IF(AND(E386=0,F386=0),D386*G386,IF(AND(E386=0),D386*F386*G386,IF(AND(F386=0),D386*E386*G386,IF(AND(G386=0),D386*E386*F386,D386*E386*F386*G386))))))</f>
        <v>74.2</v>
      </c>
      <c r="I386" s="40"/>
      <c r="J386" s="41" t="str">
        <f>IF(AND(E386=0,F386&lt;&gt;0,G386&lt;&gt;0),"m2",IF(AND(F386=0,E386&lt;&gt;0,G386&lt;&gt;0),"m2",IF(AND(G386=0,E386&lt;&gt;0,F386&lt;&gt;0),"m2",IF(AND(F386=0,G386=0),"ml",IF(AND(E386=0,G386=0),"ml",IF(AND(E386=0,F386=0),"ml",IF(AND(E386&lt;&gt;0,F386&lt;&gt;0,G386&lt;&gt;0),"m3",0)))))))</f>
        <v>ml</v>
      </c>
    </row>
    <row r="387" spans="2:10" s="1" customFormat="1" ht="12.75" x14ac:dyDescent="0.2">
      <c r="B387" s="57"/>
      <c r="C387" s="39" t="s">
        <v>379</v>
      </c>
      <c r="D387" s="40">
        <v>1</v>
      </c>
      <c r="E387" s="40">
        <v>28.8</v>
      </c>
      <c r="F387" s="40"/>
      <c r="G387" s="40"/>
      <c r="H387" s="40">
        <f>IF(AND(F387=0,G387=0),D387*E387,IF(AND(E387=0,G387=0),D387*F387,IF(AND(E387=0,F387=0),D387*G387,IF(AND(E387=0),D387*F387*G387,IF(AND(F387=0),D387*E387*G387,IF(AND(G387=0),D387*E387*F387,D387*E387*F387*G387))))))</f>
        <v>28.8</v>
      </c>
      <c r="I387" s="40"/>
      <c r="J387" s="41" t="str">
        <f>IF(AND(E387=0,F387&lt;&gt;0,G387&lt;&gt;0),"m2",IF(AND(F387=0,E387&lt;&gt;0,G387&lt;&gt;0),"m2",IF(AND(G387=0,E387&lt;&gt;0,F387&lt;&gt;0),"m2",IF(AND(F387=0,G387=0),"ml",IF(AND(E387=0,G387=0),"ml",IF(AND(E387=0,F387=0),"ml",IF(AND(E387&lt;&gt;0,F387&lt;&gt;0,G387&lt;&gt;0),"m3",0)))))))</f>
        <v>ml</v>
      </c>
    </row>
    <row r="388" spans="2:10" s="1" customFormat="1" ht="12.75" x14ac:dyDescent="0.2">
      <c r="B388" s="43" t="s">
        <v>233</v>
      </c>
      <c r="C388" s="43" t="s">
        <v>236</v>
      </c>
      <c r="D388" s="60"/>
      <c r="E388" s="40"/>
      <c r="F388" s="40"/>
      <c r="G388" s="40"/>
      <c r="H388" s="40"/>
      <c r="I388" s="44">
        <f>SUM(H389:H389)</f>
        <v>0</v>
      </c>
      <c r="J388" s="45" t="str">
        <f>+J389</f>
        <v>ml</v>
      </c>
    </row>
    <row r="389" spans="2:10" s="1" customFormat="1" ht="12.75" x14ac:dyDescent="0.2">
      <c r="B389" s="57"/>
      <c r="C389" s="39"/>
      <c r="D389" s="40"/>
      <c r="E389" s="40"/>
      <c r="F389" s="40"/>
      <c r="G389" s="40"/>
      <c r="H389" s="40">
        <f>IF(AND(F389=0,G389=0),D389*E389,IF(AND(E389=0,G389=0),D389*F389,IF(AND(E389=0,F389=0),D389*G389,IF(AND(E389=0),D389*F389*G389,IF(AND(F389=0),D389*E389*G389,IF(AND(G389=0),D389*E389*F389,D389*E389*F389*G389))))))</f>
        <v>0</v>
      </c>
      <c r="I389" s="40"/>
      <c r="J389" s="41" t="str">
        <f>IF(AND(E389=0,F389&lt;&gt;0,G389&lt;&gt;0),"m2",IF(AND(F389=0,E389&lt;&gt;0,G389&lt;&gt;0),"m2",IF(AND(G389=0,E389&lt;&gt;0,F389&lt;&gt;0),"m2",IF(AND(F389=0,G389=0),"ml",IF(AND(E389=0,G389=0),"ml",IF(AND(E389=0,F389=0),"ml",IF(AND(E389&lt;&gt;0,F389&lt;&gt;0,G389&lt;&gt;0),"m3",0)))))))</f>
        <v>ml</v>
      </c>
    </row>
    <row r="390" spans="2:10" s="1" customFormat="1" ht="12.75" x14ac:dyDescent="0.2">
      <c r="B390" s="43" t="s">
        <v>234</v>
      </c>
      <c r="C390" s="43" t="s">
        <v>267</v>
      </c>
      <c r="D390" s="60"/>
      <c r="E390" s="40"/>
      <c r="F390" s="40"/>
      <c r="G390" s="40"/>
      <c r="H390" s="40"/>
      <c r="I390" s="44">
        <f>SUM(H391:H391)</f>
        <v>101.85000000000001</v>
      </c>
      <c r="J390" s="45" t="s">
        <v>345</v>
      </c>
    </row>
    <row r="391" spans="2:10" s="1" customFormat="1" ht="12.75" x14ac:dyDescent="0.2">
      <c r="B391" s="43"/>
      <c r="C391" s="39" t="s">
        <v>456</v>
      </c>
      <c r="D391" s="60">
        <v>7</v>
      </c>
      <c r="E391" s="40">
        <v>14.55</v>
      </c>
      <c r="F391" s="40"/>
      <c r="G391" s="40"/>
      <c r="H391" s="40">
        <f>IF(AND(F391=0,G391=0),D391*E391,IF(AND(E391=0,G391=0),D391*F391,IF(AND(E391=0,F391=0),D391*G391,IF(AND(E391=0),D391*F391*G391,IF(AND(F391=0),D391*E391*G391,IF(AND(G391=0),D391*E391*F391,D391*E391*F391*G391))))))</f>
        <v>101.85000000000001</v>
      </c>
      <c r="I391" s="44"/>
      <c r="J391" s="45"/>
    </row>
    <row r="392" spans="2:10" s="1" customFormat="1" ht="12.75" x14ac:dyDescent="0.2">
      <c r="B392" s="43" t="s">
        <v>268</v>
      </c>
      <c r="C392" s="43" t="s">
        <v>347</v>
      </c>
      <c r="D392" s="60"/>
      <c r="E392" s="40"/>
      <c r="F392" s="40"/>
      <c r="G392" s="40"/>
      <c r="H392" s="40"/>
      <c r="I392" s="44">
        <f>SUM(H393:H393)</f>
        <v>0</v>
      </c>
      <c r="J392" s="45" t="str">
        <f>+J393</f>
        <v>ml</v>
      </c>
    </row>
    <row r="393" spans="2:10" s="1" customFormat="1" ht="12.75" x14ac:dyDescent="0.2">
      <c r="B393" s="57"/>
      <c r="C393" s="39"/>
      <c r="D393" s="40"/>
      <c r="E393" s="40"/>
      <c r="F393" s="40"/>
      <c r="G393" s="40"/>
      <c r="H393" s="40">
        <f>IF(AND(F393=0,G393=0),D393*E393,IF(AND(E393=0,G393=0),D393*F393,IF(AND(E393=0,F393=0),D393*G393,IF(AND(E393=0),D393*F393*G393,IF(AND(F393=0),D393*E393*G393,IF(AND(G393=0),D393*E393*F393,D393*E393*F393*G393))))))</f>
        <v>0</v>
      </c>
      <c r="I393" s="40"/>
      <c r="J393" s="41" t="str">
        <f>IF(AND(E393=0,F393&lt;&gt;0,G393&lt;&gt;0),"m2",IF(AND(F393=0,E393&lt;&gt;0,G393&lt;&gt;0),"m2",IF(AND(G393=0,E393&lt;&gt;0,F393&lt;&gt;0),"m2",IF(AND(F393=0,G393=0),"ml",IF(AND(E393=0,G393=0),"ml",IF(AND(E393=0,F393=0),"ml",IF(AND(E393&lt;&gt;0,F393&lt;&gt;0,G393&lt;&gt;0),"m3",0)))))))</f>
        <v>ml</v>
      </c>
    </row>
    <row r="394" spans="2:10" s="1" customFormat="1" ht="12.75" x14ac:dyDescent="0.2">
      <c r="B394" s="43" t="s">
        <v>270</v>
      </c>
      <c r="C394" s="43" t="s">
        <v>269</v>
      </c>
      <c r="D394" s="60"/>
      <c r="E394" s="40"/>
      <c r="F394" s="40"/>
      <c r="G394" s="40"/>
      <c r="H394" s="40"/>
      <c r="I394" s="44">
        <f>SUM(H395:H395)</f>
        <v>0</v>
      </c>
      <c r="J394" s="45" t="str">
        <f>+J395</f>
        <v>ml</v>
      </c>
    </row>
    <row r="395" spans="2:10" s="1" customFormat="1" ht="12.75" x14ac:dyDescent="0.2">
      <c r="B395" s="57"/>
      <c r="C395" s="39"/>
      <c r="D395" s="40"/>
      <c r="E395" s="40"/>
      <c r="F395" s="40"/>
      <c r="G395" s="40"/>
      <c r="H395" s="40">
        <f>IF(AND(F395=0,G395=0),D395*E395,IF(AND(E395=0,G395=0),D395*F395,IF(AND(E395=0,F395=0),D395*G395,IF(AND(E395=0),D395*F395*G395,IF(AND(F395=0),D395*E395*G395,IF(AND(G395=0),D395*E395*F395,D395*E395*F395*G395))))))</f>
        <v>0</v>
      </c>
      <c r="I395" s="40"/>
      <c r="J395" s="41" t="str">
        <f>IF(AND(E395=0,F395&lt;&gt;0,G395&lt;&gt;0),"m2",IF(AND(F395=0,E395&lt;&gt;0,G395&lt;&gt;0),"m2",IF(AND(G395=0,E395&lt;&gt;0,F395&lt;&gt;0),"m2",IF(AND(F395=0,G395=0),"ml",IF(AND(E395=0,G395=0),"ml",IF(AND(E395=0,F395=0),"ml",IF(AND(E395&lt;&gt;0,F395&lt;&gt;0,G395&lt;&gt;0),"m3",0)))))))</f>
        <v>ml</v>
      </c>
    </row>
    <row r="396" spans="2:10" s="1" customFormat="1" ht="12.75" x14ac:dyDescent="0.2">
      <c r="B396" s="43" t="s">
        <v>342</v>
      </c>
      <c r="C396" s="43" t="s">
        <v>271</v>
      </c>
      <c r="D396" s="60"/>
      <c r="E396" s="40"/>
      <c r="F396" s="40"/>
      <c r="G396" s="40"/>
      <c r="H396" s="40"/>
      <c r="I396" s="44">
        <f>SUM(H397)</f>
        <v>0</v>
      </c>
      <c r="J396" s="45" t="s">
        <v>13</v>
      </c>
    </row>
    <row r="397" spans="2:10" s="1" customFormat="1" ht="12.75" x14ac:dyDescent="0.2">
      <c r="B397" s="57"/>
      <c r="C397" s="39"/>
      <c r="D397" s="60"/>
      <c r="E397" s="40"/>
      <c r="F397" s="40"/>
      <c r="G397" s="40"/>
      <c r="H397" s="40">
        <f>IF(AND(F397=0,G397=0),D397*E397,IF(AND(E397=0,G397=0),D397*F397,IF(AND(E397=0,F397=0),D397*G397,IF(AND(E397=0),D397*F397*G397,IF(AND(F397=0),D397*E397*G397,IF(AND(G397=0),D397*E397*F397,D397*E397*F397*G397))))))</f>
        <v>0</v>
      </c>
      <c r="I397" s="40"/>
      <c r="J397" s="41"/>
    </row>
    <row r="398" spans="2:10" s="1" customFormat="1" ht="12.75" x14ac:dyDescent="0.2">
      <c r="B398" s="43" t="s">
        <v>346</v>
      </c>
      <c r="C398" s="43" t="s">
        <v>348</v>
      </c>
      <c r="D398" s="60"/>
      <c r="E398" s="40"/>
      <c r="F398" s="40"/>
      <c r="G398" s="40"/>
      <c r="H398" s="40"/>
      <c r="I398" s="44">
        <f>SUM(H399:H399)</f>
        <v>0</v>
      </c>
      <c r="J398" s="45" t="str">
        <f>+J399</f>
        <v>und</v>
      </c>
    </row>
    <row r="399" spans="2:10" s="1" customFormat="1" ht="12.75" x14ac:dyDescent="0.2">
      <c r="B399" s="57"/>
      <c r="C399" s="39" t="s">
        <v>349</v>
      </c>
      <c r="D399" s="40">
        <v>0</v>
      </c>
      <c r="E399" s="40"/>
      <c r="F399" s="40"/>
      <c r="G399" s="40"/>
      <c r="H399" s="40">
        <f>+D399</f>
        <v>0</v>
      </c>
      <c r="I399" s="40"/>
      <c r="J399" s="41" t="s">
        <v>13</v>
      </c>
    </row>
    <row r="400" spans="2:10" s="1" customFormat="1" ht="12.75" x14ac:dyDescent="0.2">
      <c r="B400" s="57" t="s">
        <v>16</v>
      </c>
      <c r="C400" s="58" t="s">
        <v>224</v>
      </c>
      <c r="D400" s="60"/>
      <c r="E400" s="40"/>
      <c r="F400" s="40"/>
      <c r="G400" s="40"/>
      <c r="H400" s="40"/>
      <c r="I400" s="40"/>
      <c r="J400" s="41"/>
    </row>
    <row r="401" spans="2:10" s="1" customFormat="1" ht="12.75" x14ac:dyDescent="0.2">
      <c r="B401" s="43" t="s">
        <v>17</v>
      </c>
      <c r="C401" s="43" t="s">
        <v>343</v>
      </c>
      <c r="D401" s="60"/>
      <c r="E401" s="40"/>
      <c r="F401" s="40"/>
      <c r="G401" s="40"/>
      <c r="H401" s="40"/>
      <c r="I401" s="44">
        <f>SUM(H402:H402)</f>
        <v>30.5</v>
      </c>
      <c r="J401" s="45" t="str">
        <f>+J402</f>
        <v>ml</v>
      </c>
    </row>
    <row r="402" spans="2:10" s="1" customFormat="1" ht="12.75" x14ac:dyDescent="0.2">
      <c r="B402" s="57"/>
      <c r="C402" s="115" t="s">
        <v>344</v>
      </c>
      <c r="D402" s="113">
        <v>1</v>
      </c>
      <c r="E402" s="113">
        <v>30.5</v>
      </c>
      <c r="F402" s="113"/>
      <c r="G402" s="113"/>
      <c r="H402" s="113">
        <f>IF(AND(F402=0,G402=0),D402*E402,IF(AND(E402=0,G402=0),D402*F402,IF(AND(E402=0,F402=0),D402*G402,IF(AND(E402=0),D402*F402*G402,IF(AND(F402=0),D402*E402*G402,IF(AND(G402=0),D402*E402*F402,D402*E402*F402*G402))))))</f>
        <v>30.5</v>
      </c>
      <c r="I402" s="40"/>
      <c r="J402" s="41" t="str">
        <f>IF(AND(E402=0,F402&lt;&gt;0,G402&lt;&gt;0),"m2",IF(AND(F402=0,E402&lt;&gt;0,G402&lt;&gt;0),"m2",IF(AND(G402=0,E402&lt;&gt;0,F402&lt;&gt;0),"m2",IF(AND(F402=0,G402=0),"ml",IF(AND(E402=0,G402=0),"ml",IF(AND(E402=0,F402=0),"ml",IF(AND(E402&lt;&gt;0,F402&lt;&gt;0,G402&lt;&gt;0),"m3",0)))))))</f>
        <v>ml</v>
      </c>
    </row>
    <row r="403" spans="2:10" s="1" customFormat="1" ht="12.75" x14ac:dyDescent="0.2">
      <c r="B403" s="43" t="s">
        <v>240</v>
      </c>
      <c r="C403" s="43" t="s">
        <v>237</v>
      </c>
      <c r="D403" s="60"/>
      <c r="E403" s="40"/>
      <c r="F403" s="40"/>
      <c r="G403" s="40"/>
      <c r="H403" s="40"/>
      <c r="I403" s="44">
        <f>SUM(H404:H404)</f>
        <v>0</v>
      </c>
      <c r="J403" s="45" t="str">
        <f>+J404</f>
        <v>ml</v>
      </c>
    </row>
    <row r="404" spans="2:10" s="1" customFormat="1" ht="12.75" x14ac:dyDescent="0.2">
      <c r="B404" s="57"/>
      <c r="C404" s="39"/>
      <c r="D404" s="40"/>
      <c r="E404" s="40"/>
      <c r="F404" s="40"/>
      <c r="G404" s="40"/>
      <c r="H404" s="40">
        <f>IF(AND(F404=0,G404=0),D404*E404,IF(AND(E404=0,G404=0),D404*F404,IF(AND(E404=0,F404=0),D404*G404,IF(AND(E404=0),D404*F404*G404,IF(AND(F404=0),D404*E404*G404,IF(AND(G404=0),D404*E404*F404,D404*E404*F404*G404))))))</f>
        <v>0</v>
      </c>
      <c r="I404" s="40"/>
      <c r="J404" s="41" t="str">
        <f>IF(AND(E404=0,F404&lt;&gt;0,G404&lt;&gt;0),"m2",IF(AND(F404=0,E404&lt;&gt;0,G404&lt;&gt;0),"m2",IF(AND(G404=0,E404&lt;&gt;0,F404&lt;&gt;0),"m2",IF(AND(F404=0,G404=0),"ml",IF(AND(E404=0,G404=0),"ml",IF(AND(E404=0,F404=0),"ml",IF(AND(E404&lt;&gt;0,F404&lt;&gt;0,G404&lt;&gt;0),"m3",0)))))))</f>
        <v>ml</v>
      </c>
    </row>
    <row r="405" spans="2:10" s="1" customFormat="1" ht="12.75" x14ac:dyDescent="0.2">
      <c r="B405" s="43" t="s">
        <v>241</v>
      </c>
      <c r="C405" s="43" t="s">
        <v>239</v>
      </c>
      <c r="D405" s="60"/>
      <c r="E405" s="40"/>
      <c r="F405" s="40"/>
      <c r="G405" s="40"/>
      <c r="H405" s="40"/>
      <c r="I405" s="44">
        <f>SUM(H406:H406)</f>
        <v>4.1500000000000004</v>
      </c>
      <c r="J405" s="45" t="s">
        <v>345</v>
      </c>
    </row>
    <row r="406" spans="2:10" s="1" customFormat="1" ht="12.75" x14ac:dyDescent="0.2">
      <c r="B406" s="57"/>
      <c r="C406" s="39" t="s">
        <v>439</v>
      </c>
      <c r="D406" s="60">
        <v>1</v>
      </c>
      <c r="E406" s="40">
        <v>4.1500000000000004</v>
      </c>
      <c r="F406" s="40"/>
      <c r="G406" s="40"/>
      <c r="H406" s="40">
        <f>+E406</f>
        <v>4.1500000000000004</v>
      </c>
      <c r="I406" s="40"/>
      <c r="J406" s="41"/>
    </row>
    <row r="407" spans="2:10" s="1" customFormat="1" ht="12.75" x14ac:dyDescent="0.2">
      <c r="B407" s="43" t="s">
        <v>243</v>
      </c>
      <c r="C407" s="43" t="s">
        <v>242</v>
      </c>
      <c r="D407" s="60"/>
      <c r="E407" s="40"/>
      <c r="F407" s="40"/>
      <c r="G407" s="40"/>
      <c r="H407" s="40"/>
      <c r="I407" s="44">
        <f>SUM(H408:H408)</f>
        <v>0</v>
      </c>
      <c r="J407" s="45" t="str">
        <f>+J408</f>
        <v>ml</v>
      </c>
    </row>
    <row r="408" spans="2:10" s="1" customFormat="1" ht="12.75" x14ac:dyDescent="0.2">
      <c r="B408" s="57"/>
      <c r="C408" s="39"/>
      <c r="D408" s="40"/>
      <c r="E408" s="40"/>
      <c r="F408" s="40"/>
      <c r="G408" s="40"/>
      <c r="H408" s="40">
        <f>IF(AND(F408=0,G408=0),D408*E408,IF(AND(E408=0,G408=0),D408*F408,IF(AND(E408=0,F408=0),D408*G408,IF(AND(E408=0),D408*F408*G408,IF(AND(F408=0),D408*E408*G408,IF(AND(G408=0),D408*E408*F408,D408*E408*F408*G408))))))</f>
        <v>0</v>
      </c>
      <c r="I408" s="40"/>
      <c r="J408" s="41" t="str">
        <f>IF(AND(E408=0,F408&lt;&gt;0,G408&lt;&gt;0),"m2",IF(AND(F408=0,E408&lt;&gt;0,G408&lt;&gt;0),"m2",IF(AND(G408=0,E408&lt;&gt;0,F408&lt;&gt;0),"m2",IF(AND(F408=0,G408=0),"ml",IF(AND(E408=0,G408=0),"ml",IF(AND(E408=0,F408=0),"ml",IF(AND(E408&lt;&gt;0,F408&lt;&gt;0,G408&lt;&gt;0),"m3",0)))))))</f>
        <v>ml</v>
      </c>
    </row>
    <row r="409" spans="2:10" s="1" customFormat="1" ht="12.75" x14ac:dyDescent="0.2">
      <c r="B409" s="43" t="s">
        <v>244</v>
      </c>
      <c r="C409" s="43" t="s">
        <v>245</v>
      </c>
      <c r="D409" s="60"/>
      <c r="E409" s="40"/>
      <c r="F409" s="40"/>
      <c r="G409" s="40"/>
      <c r="H409" s="40"/>
      <c r="I409" s="44">
        <f>SUM(H410:H410)</f>
        <v>0</v>
      </c>
      <c r="J409" s="45" t="str">
        <f>+J410</f>
        <v>ml</v>
      </c>
    </row>
    <row r="410" spans="2:10" s="1" customFormat="1" ht="12.75" x14ac:dyDescent="0.2">
      <c r="B410" s="57"/>
      <c r="C410" s="39"/>
      <c r="D410" s="40"/>
      <c r="E410" s="40"/>
      <c r="F410" s="40"/>
      <c r="G410" s="40"/>
      <c r="H410" s="40">
        <f>IF(AND(F410=0,G410=0),D410*E410,IF(AND(E410=0,G410=0),D410*F410,IF(AND(E410=0,F410=0),D410*G410,IF(AND(E410=0),D410*F410*G410,IF(AND(F410=0),D410*E410*G410,IF(AND(G410=0),D410*E410*F410,D410*E410*F410*G410))))))</f>
        <v>0</v>
      </c>
      <c r="I410" s="40"/>
      <c r="J410" s="41" t="str">
        <f>IF(AND(E410=0,F410&lt;&gt;0,G410&lt;&gt;0),"m2",IF(AND(F410=0,E410&lt;&gt;0,G410&lt;&gt;0),"m2",IF(AND(G410=0,E410&lt;&gt;0,F410&lt;&gt;0),"m2",IF(AND(F410=0,G410=0),"ml",IF(AND(E410=0,G410=0),"ml",IF(AND(E410=0,F410=0),"ml",IF(AND(E410&lt;&gt;0,F410&lt;&gt;0,G410&lt;&gt;0),"m3",0)))))))</f>
        <v>ml</v>
      </c>
    </row>
    <row r="411" spans="2:10" s="1" customFormat="1" ht="12.75" x14ac:dyDescent="0.2">
      <c r="B411" s="43" t="s">
        <v>248</v>
      </c>
      <c r="C411" s="43" t="s">
        <v>246</v>
      </c>
      <c r="D411" s="60"/>
      <c r="E411" s="40"/>
      <c r="F411" s="40"/>
      <c r="G411" s="40"/>
      <c r="H411" s="40"/>
      <c r="I411" s="44">
        <f>SUM(H412:H412)</f>
        <v>4.1500000000000004</v>
      </c>
      <c r="J411" s="45" t="str">
        <f>+J412</f>
        <v>ml</v>
      </c>
    </row>
    <row r="412" spans="2:10" s="1" customFormat="1" ht="12.75" x14ac:dyDescent="0.2">
      <c r="B412" s="57"/>
      <c r="C412" s="39" t="s">
        <v>439</v>
      </c>
      <c r="D412" s="60">
        <v>1</v>
      </c>
      <c r="E412" s="40">
        <v>4.1500000000000004</v>
      </c>
      <c r="F412" s="40"/>
      <c r="G412" s="40"/>
      <c r="H412" s="40">
        <f>IF(AND(F412=0,G412=0),D412*E412,IF(AND(E412=0,G412=0),D412*F412,IF(AND(E412=0,F412=0),D412*G412,IF(AND(E412=0),D412*F412*G412,IF(AND(F412=0),D412*E412*G412,IF(AND(G412=0),D412*E412*F412,D412*E412*F412*G412))))))</f>
        <v>4.1500000000000004</v>
      </c>
      <c r="I412" s="40"/>
      <c r="J412" s="41" t="str">
        <f>IF(AND(E412=0,F412&lt;&gt;0,G412&lt;&gt;0),"m2",IF(AND(F412=0,E412&lt;&gt;0,G412&lt;&gt;0),"m2",IF(AND(G412=0,E412&lt;&gt;0,F412&lt;&gt;0),"m2",IF(AND(F412=0,G412=0),"ml",IF(AND(E412=0,G412=0),"ml",IF(AND(E412=0,F412=0),"ml",IF(AND(E412&lt;&gt;0,F412&lt;&gt;0,G412&lt;&gt;0),"m3",0)))))))</f>
        <v>ml</v>
      </c>
    </row>
    <row r="413" spans="2:10" s="1" customFormat="1" ht="12.75" x14ac:dyDescent="0.2">
      <c r="B413" s="43" t="s">
        <v>249</v>
      </c>
      <c r="C413" s="43" t="s">
        <v>247</v>
      </c>
      <c r="D413" s="60"/>
      <c r="E413" s="40"/>
      <c r="F413" s="40"/>
      <c r="G413" s="40"/>
      <c r="H413" s="40"/>
      <c r="I413" s="44">
        <f>SUM(H414:H417)</f>
        <v>0</v>
      </c>
      <c r="J413" s="45" t="str">
        <f>+J414</f>
        <v>ml</v>
      </c>
    </row>
    <row r="414" spans="2:10" s="1" customFormat="1" ht="12.75" x14ac:dyDescent="0.2">
      <c r="B414" s="57"/>
      <c r="C414" s="39" t="s">
        <v>450</v>
      </c>
      <c r="D414" s="40"/>
      <c r="E414" s="40"/>
      <c r="F414" s="40"/>
      <c r="G414" s="40"/>
      <c r="H414" s="40">
        <f>IF(AND(F414=0,G414=0),D414*E414,IF(AND(E414=0,G414=0),D414*F414,IF(AND(E414=0,F414=0),D414*G414,IF(AND(E414=0),D414*F414*G414,IF(AND(F414=0),D414*E414*G414,IF(AND(G414=0),D414*E414*F414,D414*E414*F414*G414))))))</f>
        <v>0</v>
      </c>
      <c r="I414" s="40"/>
      <c r="J414" s="41" t="str">
        <f>IF(AND(E414=0,F414&lt;&gt;0,G414&lt;&gt;0),"m2",IF(AND(F414=0,E414&lt;&gt;0,G414&lt;&gt;0),"m2",IF(AND(G414=0,E414&lt;&gt;0,F414&lt;&gt;0),"m2",IF(AND(F414=0,G414=0),"ml",IF(AND(E414=0,G414=0),"ml",IF(AND(E414=0,F414=0),"ml",IF(AND(E414&lt;&gt;0,F414&lt;&gt;0,G414&lt;&gt;0),"m3",0)))))))</f>
        <v>ml</v>
      </c>
    </row>
    <row r="415" spans="2:10" s="1" customFormat="1" ht="12.75" x14ac:dyDescent="0.2">
      <c r="B415" s="57"/>
      <c r="C415" s="39" t="s">
        <v>448</v>
      </c>
      <c r="D415" s="60"/>
      <c r="E415" s="40"/>
      <c r="F415" s="40"/>
      <c r="G415" s="40"/>
      <c r="H415" s="40">
        <f t="shared" ref="H415:H417" si="25">IF(AND(F415=0,G415=0),D415*E415,IF(AND(E415=0,G415=0),D415*F415,IF(AND(E415=0,F415=0),D415*G415,IF(AND(E415=0),D415*F415*G415,IF(AND(F415=0),D415*E415*G415,IF(AND(G415=0),D415*E415*F415,D415*E415*F415*G415))))))</f>
        <v>0</v>
      </c>
      <c r="I415" s="40"/>
      <c r="J415" s="41"/>
    </row>
    <row r="416" spans="2:10" s="1" customFormat="1" ht="12.75" x14ac:dyDescent="0.2">
      <c r="B416" s="57"/>
      <c r="C416" s="39" t="s">
        <v>449</v>
      </c>
      <c r="D416" s="60"/>
      <c r="E416" s="40"/>
      <c r="F416" s="40"/>
      <c r="G416" s="40"/>
      <c r="H416" s="40">
        <f t="shared" si="25"/>
        <v>0</v>
      </c>
      <c r="I416" s="40"/>
      <c r="J416" s="41"/>
    </row>
    <row r="417" spans="2:10" s="1" customFormat="1" ht="12.75" x14ac:dyDescent="0.2">
      <c r="B417" s="57"/>
      <c r="C417" s="39" t="s">
        <v>554</v>
      </c>
      <c r="D417" s="60"/>
      <c r="E417" s="40"/>
      <c r="F417" s="40"/>
      <c r="G417" s="40"/>
      <c r="H417" s="40">
        <f t="shared" si="25"/>
        <v>0</v>
      </c>
      <c r="I417" s="40"/>
      <c r="J417" s="41"/>
    </row>
    <row r="418" spans="2:10" s="1" customFormat="1" ht="12.75" x14ac:dyDescent="0.2">
      <c r="B418" s="43" t="s">
        <v>256</v>
      </c>
      <c r="C418" s="43" t="s">
        <v>226</v>
      </c>
      <c r="D418" s="60"/>
      <c r="E418" s="40"/>
      <c r="F418" s="40"/>
      <c r="G418" s="40"/>
      <c r="H418" s="40"/>
      <c r="I418" s="44">
        <f>+SUM(H419)</f>
        <v>0.7</v>
      </c>
      <c r="J418" s="45" t="s">
        <v>13</v>
      </c>
    </row>
    <row r="419" spans="2:10" s="1" customFormat="1" ht="12.75" x14ac:dyDescent="0.2">
      <c r="B419" s="57"/>
      <c r="C419" s="39" t="s">
        <v>394</v>
      </c>
      <c r="D419" s="40">
        <v>1</v>
      </c>
      <c r="E419" s="40">
        <v>0.7</v>
      </c>
      <c r="F419" s="40"/>
      <c r="G419" s="40"/>
      <c r="H419" s="40">
        <f>IF(AND(F419=0,G419=0),D419*E419,IF(AND(E419=0,G419=0),D419*F419,IF(AND(E419=0,F419=0),D419*G419,IF(AND(E419=0),D419*F419*G419,IF(AND(F419=0),D419*E419*G419,IF(AND(G419=0),D419*E419*F419,D419*E419*F419*G419))))))</f>
        <v>0.7</v>
      </c>
      <c r="I419" s="40"/>
      <c r="J419" s="41"/>
    </row>
    <row r="420" spans="2:10" s="1" customFormat="1" ht="12.75" x14ac:dyDescent="0.2">
      <c r="B420" s="57"/>
      <c r="C420" s="39"/>
      <c r="D420" s="60"/>
      <c r="E420" s="40"/>
      <c r="F420" s="40"/>
      <c r="G420" s="40"/>
      <c r="H420" s="40"/>
      <c r="I420" s="40"/>
      <c r="J420" s="41"/>
    </row>
    <row r="421" spans="2:10" s="1" customFormat="1" ht="12.75" x14ac:dyDescent="0.2">
      <c r="C421" s="39"/>
      <c r="D421" s="60"/>
      <c r="E421" s="40"/>
      <c r="F421" s="40"/>
      <c r="G421" s="40"/>
      <c r="H421" s="40"/>
      <c r="I421" s="44">
        <f>SUM(H423)</f>
        <v>24.949999999999996</v>
      </c>
      <c r="J421" s="45" t="s">
        <v>345</v>
      </c>
    </row>
    <row r="422" spans="2:10" s="1" customFormat="1" ht="12.75" x14ac:dyDescent="0.2">
      <c r="B422" s="93" t="s">
        <v>598</v>
      </c>
      <c r="C422" s="93" t="s">
        <v>468</v>
      </c>
      <c r="D422" s="60"/>
      <c r="E422" s="40"/>
      <c r="F422" s="40"/>
      <c r="G422" s="40"/>
      <c r="H422" s="40"/>
      <c r="I422" s="40"/>
      <c r="J422" s="41"/>
    </row>
    <row r="423" spans="2:10" s="1" customFormat="1" ht="12.75" x14ac:dyDescent="0.2">
      <c r="B423" s="43"/>
      <c r="C423" s="43" t="s">
        <v>471</v>
      </c>
      <c r="D423" s="60">
        <v>1</v>
      </c>
      <c r="E423" s="40">
        <f>7.6+8.7+8.15+0.1*5</f>
        <v>24.949999999999996</v>
      </c>
      <c r="F423" s="40"/>
      <c r="G423" s="40"/>
      <c r="H423" s="40">
        <f>IF(AND(F423=0,G423=0),D423*E423,IF(AND(E423=0,G423=0),D423*F423,IF(AND(E423=0,F423=0),D423*G423,IF(AND(E423=0),D423*F423*G423,IF(AND(F423=0),D423*E423*G423,IF(AND(G423=0),D423*E423*F423,D423*E423*F423*G423))))))</f>
        <v>24.949999999999996</v>
      </c>
      <c r="I423" s="44"/>
      <c r="J423" s="45"/>
    </row>
    <row r="424" spans="2:10" s="1" customFormat="1" ht="12.75" x14ac:dyDescent="0.2">
      <c r="B424" s="43"/>
      <c r="C424" s="43"/>
      <c r="D424" s="60"/>
      <c r="E424" s="40"/>
      <c r="F424" s="40"/>
      <c r="G424" s="40"/>
      <c r="H424" s="40"/>
      <c r="I424" s="44"/>
      <c r="J424" s="45"/>
    </row>
    <row r="425" spans="2:10" s="1" customFormat="1" ht="12.75" x14ac:dyDescent="0.2">
      <c r="B425" s="43" t="s">
        <v>257</v>
      </c>
      <c r="C425" s="43" t="s">
        <v>228</v>
      </c>
      <c r="D425" s="60"/>
      <c r="E425" s="40"/>
      <c r="F425" s="40"/>
      <c r="G425" s="40"/>
      <c r="H425" s="40"/>
      <c r="I425" s="44">
        <f>SUM(H426)</f>
        <v>0</v>
      </c>
      <c r="J425" s="45" t="str">
        <f>+J429</f>
        <v>ml</v>
      </c>
    </row>
    <row r="426" spans="2:10" s="1" customFormat="1" ht="12.75" x14ac:dyDescent="0.2">
      <c r="B426" s="43"/>
      <c r="C426" s="43"/>
      <c r="D426" s="60"/>
      <c r="E426" s="40"/>
      <c r="F426" s="40"/>
      <c r="G426" s="40"/>
      <c r="H426" s="40">
        <f>IF(AND(F426=0,G426=0),D426*E426,IF(AND(E426=0,G426=0),D426*F426,IF(AND(E426=0,F426=0),D426*G426,IF(AND(E426=0),D426*F426*G426,IF(AND(F426=0),D426*E426*G426,IF(AND(G426=0),D426*E426*F426,D426*E426*F426*G426))))))</f>
        <v>0</v>
      </c>
      <c r="I426" s="44"/>
      <c r="J426" s="45"/>
    </row>
    <row r="427" spans="2:10" s="1" customFormat="1" ht="12.75" x14ac:dyDescent="0.2">
      <c r="B427" s="43" t="s">
        <v>258</v>
      </c>
      <c r="C427" s="43" t="s">
        <v>250</v>
      </c>
      <c r="D427" s="60"/>
      <c r="E427" s="40"/>
      <c r="F427" s="40"/>
      <c r="G427" s="40"/>
      <c r="H427" s="40"/>
      <c r="I427" s="44">
        <f>SUM(H428:H428)</f>
        <v>0</v>
      </c>
      <c r="J427" s="45" t="str">
        <f>+J428</f>
        <v>ml</v>
      </c>
    </row>
    <row r="428" spans="2:10" s="1" customFormat="1" ht="12.75" x14ac:dyDescent="0.2">
      <c r="B428" s="57"/>
      <c r="C428" s="39"/>
      <c r="D428" s="40"/>
      <c r="E428" s="40"/>
      <c r="F428" s="40"/>
      <c r="G428" s="40"/>
      <c r="H428" s="40">
        <f>IF(AND(F428=0,G428=0),D428*E428,IF(AND(E428=0,G428=0),D428*F428,IF(AND(E428=0,F428=0),D428*G428,IF(AND(E428=0),D428*F428*G428,IF(AND(F428=0),D428*E428*G428,IF(AND(G428=0),D428*E428*F428,D428*E428*F428*G428))))))</f>
        <v>0</v>
      </c>
      <c r="I428" s="40"/>
      <c r="J428" s="41" t="str">
        <f>IF(AND(E428=0,F428&lt;&gt;0,G428&lt;&gt;0),"m2",IF(AND(F428=0,E428&lt;&gt;0,G428&lt;&gt;0),"m2",IF(AND(G428=0,E428&lt;&gt;0,F428&lt;&gt;0),"m2",IF(AND(F428=0,G428=0),"ml",IF(AND(E428=0,G428=0),"ml",IF(AND(E428=0,F428=0),"ml",IF(AND(E428&lt;&gt;0,F428&lt;&gt;0,G428&lt;&gt;0),"m3",0)))))))</f>
        <v>ml</v>
      </c>
    </row>
    <row r="429" spans="2:10" s="1" customFormat="1" ht="12.75" x14ac:dyDescent="0.2">
      <c r="B429" s="43" t="s">
        <v>259</v>
      </c>
      <c r="C429" s="43" t="s">
        <v>251</v>
      </c>
      <c r="D429" s="60"/>
      <c r="E429" s="40"/>
      <c r="F429" s="40"/>
      <c r="G429" s="40"/>
      <c r="H429" s="40"/>
      <c r="I429" s="44">
        <f>SUM(H430:H430)</f>
        <v>0</v>
      </c>
      <c r="J429" s="45" t="str">
        <f>+J430</f>
        <v>ml</v>
      </c>
    </row>
    <row r="430" spans="2:10" s="1" customFormat="1" ht="12.75" x14ac:dyDescent="0.2">
      <c r="B430" s="57"/>
      <c r="C430" s="39"/>
      <c r="D430" s="40"/>
      <c r="E430" s="40"/>
      <c r="F430" s="40"/>
      <c r="G430" s="40"/>
      <c r="H430" s="40">
        <f>IF(AND(F430=0,G430=0),D430*E430,IF(AND(E430=0,G430=0),D430*F430,IF(AND(E430=0,F430=0),D430*G430,IF(AND(E430=0),D430*F430*G430,IF(AND(F430=0),D430*E430*G430,IF(AND(G430=0),D430*E430*F430,D430*E430*F430*G430))))))</f>
        <v>0</v>
      </c>
      <c r="I430" s="40"/>
      <c r="J430" s="41" t="str">
        <f>IF(AND(E430=0,F430&lt;&gt;0,G430&lt;&gt;0),"m2",IF(AND(F430=0,E430&lt;&gt;0,G430&lt;&gt;0),"m2",IF(AND(G430=0,E430&lt;&gt;0,F430&lt;&gt;0),"m2",IF(AND(F430=0,G430=0),"ml",IF(AND(E430=0,G430=0),"ml",IF(AND(E430=0,F430=0),"ml",IF(AND(E430&lt;&gt;0,F430&lt;&gt;0,G430&lt;&gt;0),"m3",0)))))))</f>
        <v>ml</v>
      </c>
    </row>
    <row r="431" spans="2:10" s="1" customFormat="1" ht="12.75" x14ac:dyDescent="0.2">
      <c r="B431" s="43" t="s">
        <v>260</v>
      </c>
      <c r="C431" s="43" t="s">
        <v>252</v>
      </c>
      <c r="D431" s="60"/>
      <c r="E431" s="40"/>
      <c r="F431" s="40"/>
      <c r="G431" s="40"/>
      <c r="H431" s="40"/>
      <c r="I431" s="44">
        <f>SUM(H432:H432)</f>
        <v>0</v>
      </c>
      <c r="J431" s="45" t="str">
        <f>+J432</f>
        <v>ml</v>
      </c>
    </row>
    <row r="432" spans="2:10" s="1" customFormat="1" ht="12.75" x14ac:dyDescent="0.2">
      <c r="B432" s="57"/>
      <c r="C432" s="39"/>
      <c r="D432" s="40"/>
      <c r="E432" s="40"/>
      <c r="F432" s="40"/>
      <c r="G432" s="40"/>
      <c r="H432" s="40">
        <f>IF(AND(F432=0,G432=0),D432*E432,IF(AND(E432=0,G432=0),D432*F432,IF(AND(E432=0,F432=0),D432*G432,IF(AND(E432=0),D432*F432*G432,IF(AND(F432=0),D432*E432*G432,IF(AND(G432=0),D432*E432*F432,D432*E432*F432*G432))))))</f>
        <v>0</v>
      </c>
      <c r="I432" s="40"/>
      <c r="J432" s="41" t="str">
        <f>IF(AND(E432=0,F432&lt;&gt;0,G432&lt;&gt;0),"m2",IF(AND(F432=0,E432&lt;&gt;0,G432&lt;&gt;0),"m2",IF(AND(G432=0,E432&lt;&gt;0,F432&lt;&gt;0),"m2",IF(AND(F432=0,G432=0),"ml",IF(AND(E432=0,G432=0),"ml",IF(AND(E432=0,F432=0),"ml",IF(AND(E432&lt;&gt;0,F432&lt;&gt;0,G432&lt;&gt;0),"m3",0)))))))</f>
        <v>ml</v>
      </c>
    </row>
    <row r="433" spans="2:10" s="1" customFormat="1" ht="12.75" x14ac:dyDescent="0.2">
      <c r="B433" s="57"/>
      <c r="C433" s="39"/>
      <c r="D433" s="60"/>
      <c r="E433" s="40"/>
      <c r="F433" s="40"/>
      <c r="G433" s="40"/>
      <c r="H433" s="40"/>
      <c r="I433" s="40"/>
      <c r="J433" s="41"/>
    </row>
    <row r="434" spans="2:10" s="1" customFormat="1" ht="12.75" x14ac:dyDescent="0.2">
      <c r="B434" s="43" t="s">
        <v>261</v>
      </c>
      <c r="C434" s="43" t="s">
        <v>253</v>
      </c>
      <c r="D434" s="60"/>
      <c r="E434" s="40"/>
      <c r="F434" s="40"/>
      <c r="G434" s="40"/>
      <c r="H434" s="40"/>
      <c r="I434" s="44">
        <f>SUM(H435:H435)</f>
        <v>0</v>
      </c>
      <c r="J434" s="45" t="s">
        <v>13</v>
      </c>
    </row>
    <row r="435" spans="2:10" s="1" customFormat="1" ht="12.75" x14ac:dyDescent="0.2">
      <c r="B435" s="43"/>
      <c r="C435" s="39"/>
      <c r="D435" s="40"/>
      <c r="E435" s="40"/>
      <c r="F435" s="40"/>
      <c r="G435" s="40"/>
      <c r="H435" s="40">
        <f t="shared" ref="H435" si="26">+D435</f>
        <v>0</v>
      </c>
      <c r="I435" s="40"/>
      <c r="J435" s="41" t="s">
        <v>13</v>
      </c>
    </row>
    <row r="436" spans="2:10" s="1" customFormat="1" ht="12.75" x14ac:dyDescent="0.2">
      <c r="B436" s="43" t="s">
        <v>262</v>
      </c>
      <c r="C436" s="43" t="s">
        <v>254</v>
      </c>
      <c r="D436" s="60"/>
      <c r="E436" s="40"/>
      <c r="F436" s="40"/>
      <c r="G436" s="40"/>
      <c r="H436" s="40"/>
      <c r="I436" s="44">
        <f>SUM(H437:H437)</f>
        <v>0</v>
      </c>
      <c r="J436" s="45" t="str">
        <f>+J437</f>
        <v>und</v>
      </c>
    </row>
    <row r="437" spans="2:10" s="1" customFormat="1" ht="12.75" x14ac:dyDescent="0.2">
      <c r="B437" s="57"/>
      <c r="C437" s="39"/>
      <c r="D437" s="40"/>
      <c r="E437" s="40"/>
      <c r="F437" s="40"/>
      <c r="G437" s="40"/>
      <c r="H437" s="40">
        <f>+D437</f>
        <v>0</v>
      </c>
      <c r="I437" s="40"/>
      <c r="J437" s="41" t="s">
        <v>13</v>
      </c>
    </row>
    <row r="438" spans="2:10" s="1" customFormat="1" ht="12.75" x14ac:dyDescent="0.2">
      <c r="B438" s="43" t="s">
        <v>350</v>
      </c>
      <c r="C438" s="43" t="s">
        <v>255</v>
      </c>
      <c r="D438" s="60"/>
      <c r="E438" s="40"/>
      <c r="F438" s="40"/>
      <c r="G438" s="40"/>
      <c r="H438" s="40"/>
      <c r="I438" s="44">
        <f>SUM(H444:H444)</f>
        <v>0</v>
      </c>
      <c r="J438" s="45" t="str">
        <f>+J444</f>
        <v>und</v>
      </c>
    </row>
    <row r="439" spans="2:10" s="1" customFormat="1" ht="12.75" x14ac:dyDescent="0.2">
      <c r="B439" s="43"/>
      <c r="C439" s="43"/>
      <c r="D439" s="60"/>
      <c r="E439" s="40"/>
      <c r="F439" s="40"/>
      <c r="G439" s="40"/>
      <c r="H439" s="40"/>
      <c r="I439" s="44"/>
      <c r="J439" s="45"/>
    </row>
    <row r="440" spans="2:10" x14ac:dyDescent="0.25">
      <c r="B440" s="93" t="s">
        <v>703</v>
      </c>
      <c r="C440" s="93" t="s">
        <v>562</v>
      </c>
      <c r="D440" s="60"/>
      <c r="E440" s="40"/>
      <c r="F440" s="40"/>
      <c r="G440" s="40"/>
      <c r="H440" s="40"/>
      <c r="I440" s="44">
        <f>SUM(H441:H442)</f>
        <v>1</v>
      </c>
      <c r="J440" s="45" t="s">
        <v>345</v>
      </c>
    </row>
    <row r="441" spans="2:10" s="1" customFormat="1" ht="12.75" x14ac:dyDescent="0.2">
      <c r="B441" s="57"/>
      <c r="C441" s="39" t="s">
        <v>448</v>
      </c>
      <c r="D441" s="60">
        <v>1</v>
      </c>
      <c r="E441" s="40">
        <v>0.5</v>
      </c>
      <c r="F441" s="40"/>
      <c r="G441" s="40"/>
      <c r="H441" s="40">
        <f t="shared" ref="H441:H442" si="27">IF(AND(F441=0,G441=0),D441*E441,IF(AND(E441=0,G441=0),D441*F441,IF(AND(E441=0,F441=0),D441*G441,IF(AND(E441=0),D441*F441*G441,IF(AND(F441=0),D441*E441*G441,IF(AND(G441=0),D441*E441*F441,D441*E441*F441*G441))))))</f>
        <v>0.5</v>
      </c>
      <c r="I441" s="40"/>
      <c r="J441" s="41"/>
    </row>
    <row r="442" spans="2:10" s="1" customFormat="1" ht="12.75" x14ac:dyDescent="0.2">
      <c r="B442" s="57"/>
      <c r="C442" s="39" t="s">
        <v>449</v>
      </c>
      <c r="D442" s="60">
        <v>1</v>
      </c>
      <c r="E442" s="40">
        <v>0.5</v>
      </c>
      <c r="F442" s="40"/>
      <c r="G442" s="40"/>
      <c r="H442" s="40">
        <f t="shared" si="27"/>
        <v>0.5</v>
      </c>
      <c r="I442" s="40"/>
      <c r="J442" s="41"/>
    </row>
    <row r="443" spans="2:10" s="1" customFormat="1" ht="12.75" x14ac:dyDescent="0.2">
      <c r="B443" s="43"/>
      <c r="C443" s="43"/>
      <c r="D443" s="60"/>
      <c r="E443" s="40"/>
      <c r="F443" s="40"/>
      <c r="G443" s="40"/>
      <c r="H443" s="40"/>
      <c r="I443" s="44"/>
      <c r="J443" s="45"/>
    </row>
    <row r="444" spans="2:10" s="1" customFormat="1" ht="12.75" x14ac:dyDescent="0.2">
      <c r="B444" s="93" t="s">
        <v>694</v>
      </c>
      <c r="C444" s="93" t="s">
        <v>695</v>
      </c>
      <c r="D444" s="60"/>
      <c r="E444" s="40"/>
      <c r="F444" s="40"/>
      <c r="G444" s="40"/>
      <c r="H444" s="40"/>
      <c r="I444" s="44">
        <f>SUM(H445:H447)</f>
        <v>3</v>
      </c>
      <c r="J444" s="45" t="s">
        <v>13</v>
      </c>
    </row>
    <row r="445" spans="2:10" s="1" customFormat="1" ht="12.75" x14ac:dyDescent="0.2">
      <c r="B445" s="57"/>
      <c r="C445" s="39" t="s">
        <v>394</v>
      </c>
      <c r="D445" s="40">
        <v>1</v>
      </c>
      <c r="E445" s="40"/>
      <c r="F445" s="40"/>
      <c r="G445" s="40"/>
      <c r="H445" s="40">
        <f>+D445</f>
        <v>1</v>
      </c>
      <c r="I445" s="40"/>
      <c r="J445" s="41"/>
    </row>
    <row r="446" spans="2:10" s="1" customFormat="1" ht="12.75" x14ac:dyDescent="0.2">
      <c r="B446" s="57"/>
      <c r="C446" s="39" t="s">
        <v>448</v>
      </c>
      <c r="D446" s="60">
        <v>1</v>
      </c>
      <c r="E446" s="40"/>
      <c r="F446" s="40"/>
      <c r="G446" s="40"/>
      <c r="H446" s="40">
        <f>+D446</f>
        <v>1</v>
      </c>
      <c r="I446" s="40"/>
      <c r="J446" s="41"/>
    </row>
    <row r="447" spans="2:10" s="1" customFormat="1" ht="12.75" x14ac:dyDescent="0.2">
      <c r="B447" s="57"/>
      <c r="C447" s="39" t="s">
        <v>449</v>
      </c>
      <c r="D447" s="60">
        <v>1</v>
      </c>
      <c r="E447" s="40"/>
      <c r="G447" s="40"/>
      <c r="H447" s="40">
        <f>+D447</f>
        <v>1</v>
      </c>
      <c r="I447" s="40"/>
      <c r="J447" s="41"/>
    </row>
    <row r="448" spans="2:10" s="1" customFormat="1" ht="12.75" x14ac:dyDescent="0.2">
      <c r="B448" s="57"/>
      <c r="C448" s="39"/>
      <c r="D448" s="60"/>
      <c r="E448" s="40"/>
      <c r="F448" s="40"/>
      <c r="G448" s="40"/>
      <c r="H448" s="40"/>
      <c r="I448" s="40"/>
      <c r="J448" s="41"/>
    </row>
    <row r="449" spans="2:10" s="1" customFormat="1" ht="12.75" x14ac:dyDescent="0.2">
      <c r="B449" s="46"/>
      <c r="C449" s="59"/>
      <c r="D449" s="60"/>
      <c r="E449" s="40"/>
      <c r="F449" s="40"/>
      <c r="G449" s="40"/>
      <c r="H449" s="40"/>
      <c r="I449" s="40"/>
      <c r="J449" s="41"/>
    </row>
    <row r="450" spans="2:10" s="1" customFormat="1" ht="12.75" x14ac:dyDescent="0.2">
      <c r="B450" s="107" t="s">
        <v>717</v>
      </c>
      <c r="C450" s="343" t="s">
        <v>735</v>
      </c>
      <c r="D450" s="60"/>
      <c r="E450" s="40"/>
      <c r="F450" s="40"/>
      <c r="G450" s="40"/>
      <c r="H450" s="40"/>
      <c r="I450" s="40">
        <f>+SUM(H451:H456)</f>
        <v>5.76</v>
      </c>
      <c r="J450" s="41" t="s">
        <v>45</v>
      </c>
    </row>
    <row r="451" spans="2:10" s="1" customFormat="1" ht="12.75" x14ac:dyDescent="0.2">
      <c r="B451" s="107"/>
      <c r="C451" s="39" t="s">
        <v>394</v>
      </c>
      <c r="D451" s="40">
        <v>1</v>
      </c>
      <c r="E451" s="40">
        <v>2</v>
      </c>
      <c r="F451" s="40"/>
      <c r="G451" s="40">
        <f>0.93+0.15</f>
        <v>1.08</v>
      </c>
      <c r="H451" s="40">
        <f t="shared" ref="H451:H459" si="28">IF(AND(F451=0,G451=0),D451*E451,IF(AND(E451=0,G451=0),D451*F451,IF(AND(E451=0,F451=0),D451*G451,IF(AND(E451=0),D451*F451*G451,IF(AND(F451=0),D451*E451*G451,IF(AND(G451=0),D451*E451*F451,D451*E451*F451*G451))))))</f>
        <v>2.16</v>
      </c>
      <c r="I451" s="40"/>
      <c r="J451" s="41"/>
    </row>
    <row r="452" spans="2:10" s="1" customFormat="1" ht="12.75" x14ac:dyDescent="0.2">
      <c r="B452" s="107"/>
      <c r="C452" s="39"/>
      <c r="D452" s="60">
        <v>1</v>
      </c>
      <c r="E452" s="40">
        <v>0.6</v>
      </c>
      <c r="F452" s="40"/>
      <c r="G452" s="40">
        <v>0.8</v>
      </c>
      <c r="H452" s="40">
        <f t="shared" si="28"/>
        <v>0.48</v>
      </c>
      <c r="I452" s="40"/>
      <c r="J452" s="41"/>
    </row>
    <row r="453" spans="2:10" s="1" customFormat="1" ht="12.75" x14ac:dyDescent="0.2">
      <c r="B453" s="107"/>
      <c r="C453" s="39" t="s">
        <v>448</v>
      </c>
      <c r="D453" s="40">
        <v>1</v>
      </c>
      <c r="E453" s="40">
        <v>2</v>
      </c>
      <c r="F453" s="40"/>
      <c r="G453" s="40">
        <f>0.35+0.15</f>
        <v>0.5</v>
      </c>
      <c r="H453" s="40">
        <f t="shared" si="28"/>
        <v>1</v>
      </c>
      <c r="I453" s="40"/>
      <c r="J453" s="41"/>
    </row>
    <row r="454" spans="2:10" s="1" customFormat="1" ht="12.75" x14ac:dyDescent="0.2">
      <c r="B454" s="107"/>
      <c r="C454" s="39"/>
      <c r="D454" s="60">
        <v>1</v>
      </c>
      <c r="E454" s="40">
        <v>0.6</v>
      </c>
      <c r="F454" s="40"/>
      <c r="G454" s="40">
        <v>0.8</v>
      </c>
      <c r="H454" s="40">
        <f t="shared" si="28"/>
        <v>0.48</v>
      </c>
      <c r="I454" s="40"/>
      <c r="J454" s="41"/>
    </row>
    <row r="455" spans="2:10" s="1" customFormat="1" ht="12.75" x14ac:dyDescent="0.2">
      <c r="B455" s="107"/>
      <c r="C455" s="39" t="s">
        <v>449</v>
      </c>
      <c r="D455" s="40">
        <v>1</v>
      </c>
      <c r="E455" s="40">
        <v>2</v>
      </c>
      <c r="F455" s="40"/>
      <c r="G455" s="40">
        <f>0.43+0.15</f>
        <v>0.57999999999999996</v>
      </c>
      <c r="H455" s="40">
        <f t="shared" si="28"/>
        <v>1.1599999999999999</v>
      </c>
      <c r="I455" s="40"/>
      <c r="J455" s="41"/>
    </row>
    <row r="456" spans="2:10" s="1" customFormat="1" ht="12.75" x14ac:dyDescent="0.2">
      <c r="B456" s="107"/>
      <c r="C456" s="59"/>
      <c r="D456" s="60">
        <v>1</v>
      </c>
      <c r="E456" s="40">
        <v>0.6</v>
      </c>
      <c r="F456" s="40"/>
      <c r="G456" s="40">
        <v>0.8</v>
      </c>
      <c r="H456" s="40">
        <f t="shared" si="28"/>
        <v>0.48</v>
      </c>
      <c r="I456" s="40"/>
      <c r="J456" s="41"/>
    </row>
    <row r="457" spans="2:10" s="1" customFormat="1" ht="12.75" x14ac:dyDescent="0.2">
      <c r="B457" s="107" t="s">
        <v>734</v>
      </c>
      <c r="C457" s="343" t="s">
        <v>736</v>
      </c>
      <c r="D457" s="60"/>
      <c r="E457" s="40"/>
      <c r="F457" s="40"/>
      <c r="G457" s="40"/>
      <c r="H457" s="40"/>
      <c r="I457" s="40">
        <f>+SUM(H458:H459)</f>
        <v>5.3950000000000005</v>
      </c>
      <c r="J457" s="41" t="s">
        <v>45</v>
      </c>
    </row>
    <row r="458" spans="2:10" s="1" customFormat="1" ht="12.75" x14ac:dyDescent="0.2">
      <c r="B458" s="46"/>
      <c r="C458" s="39" t="s">
        <v>720</v>
      </c>
      <c r="D458" s="60">
        <v>2</v>
      </c>
      <c r="E458" s="40">
        <v>4.1500000000000004</v>
      </c>
      <c r="F458" s="40"/>
      <c r="G458" s="40">
        <f>0.35+0.15</f>
        <v>0.5</v>
      </c>
      <c r="H458" s="40">
        <f t="shared" si="28"/>
        <v>4.1500000000000004</v>
      </c>
      <c r="I458" s="40"/>
      <c r="J458" s="41"/>
    </row>
    <row r="459" spans="2:10" s="1" customFormat="1" ht="12.75" x14ac:dyDescent="0.2">
      <c r="B459" s="46"/>
      <c r="C459" s="59"/>
      <c r="D459" s="60">
        <v>1</v>
      </c>
      <c r="E459" s="40">
        <v>4.1500000000000004</v>
      </c>
      <c r="F459" s="40"/>
      <c r="G459" s="40">
        <v>0.3</v>
      </c>
      <c r="H459" s="40">
        <f t="shared" si="28"/>
        <v>1.2450000000000001</v>
      </c>
      <c r="I459" s="40"/>
      <c r="J459" s="41"/>
    </row>
    <row r="460" spans="2:10" s="1" customFormat="1" ht="12.75" x14ac:dyDescent="0.2">
      <c r="B460" s="46"/>
      <c r="C460" s="59"/>
      <c r="D460" s="60"/>
      <c r="E460" s="40"/>
      <c r="F460" s="40"/>
      <c r="G460" s="40"/>
      <c r="H460" s="40"/>
      <c r="I460" s="40"/>
      <c r="J460" s="41"/>
    </row>
    <row r="461" spans="2:10" s="1" customFormat="1" ht="12.75" x14ac:dyDescent="0.2">
      <c r="B461" s="57"/>
      <c r="C461" s="39"/>
      <c r="D461" s="60"/>
      <c r="E461" s="40"/>
      <c r="F461" s="40"/>
      <c r="G461" s="40"/>
      <c r="H461" s="40"/>
      <c r="I461" s="40"/>
      <c r="J461" s="41"/>
    </row>
    <row r="462" spans="2:10" s="1" customFormat="1" ht="12.75" x14ac:dyDescent="0.2">
      <c r="B462" s="57" t="s">
        <v>18</v>
      </c>
      <c r="C462" s="58" t="s">
        <v>223</v>
      </c>
      <c r="D462" s="60"/>
      <c r="E462" s="40"/>
      <c r="F462" s="40"/>
      <c r="G462" s="40"/>
      <c r="H462" s="40"/>
      <c r="I462" s="40"/>
      <c r="J462" s="41"/>
    </row>
    <row r="463" spans="2:10" s="1" customFormat="1" ht="12.75" x14ac:dyDescent="0.2">
      <c r="B463" s="43" t="s">
        <v>19</v>
      </c>
      <c r="C463" s="43" t="s">
        <v>527</v>
      </c>
      <c r="D463" s="60"/>
      <c r="E463" s="40"/>
      <c r="F463" s="40"/>
      <c r="G463" s="40"/>
      <c r="H463" s="40"/>
      <c r="I463" s="44">
        <f>SUM(H464:H464)</f>
        <v>0</v>
      </c>
      <c r="J463" s="45" t="str">
        <f>+J464</f>
        <v>und</v>
      </c>
    </row>
    <row r="464" spans="2:10" s="1" customFormat="1" ht="12.75" x14ac:dyDescent="0.2">
      <c r="B464" s="46"/>
      <c r="C464" s="39" t="s">
        <v>231</v>
      </c>
      <c r="D464" s="40">
        <f>+D399</f>
        <v>0</v>
      </c>
      <c r="E464" s="40"/>
      <c r="F464" s="40"/>
      <c r="G464" s="40"/>
      <c r="H464" s="40">
        <f>+D464</f>
        <v>0</v>
      </c>
      <c r="I464" s="40"/>
      <c r="J464" s="41" t="s">
        <v>13</v>
      </c>
    </row>
    <row r="465" spans="2:10" s="1" customFormat="1" ht="12.75" x14ac:dyDescent="0.2">
      <c r="B465" s="43" t="s">
        <v>20</v>
      </c>
      <c r="C465" s="43" t="s">
        <v>272</v>
      </c>
      <c r="D465" s="60"/>
      <c r="E465" s="40"/>
      <c r="F465" s="40"/>
      <c r="G465" s="40"/>
      <c r="H465" s="40"/>
      <c r="I465" s="44">
        <f>SUM(H466:H466)</f>
        <v>0</v>
      </c>
      <c r="J465" s="45" t="str">
        <f>+J466</f>
        <v>und</v>
      </c>
    </row>
    <row r="466" spans="2:10" s="1" customFormat="1" ht="12.75" x14ac:dyDescent="0.2">
      <c r="B466" s="46"/>
      <c r="C466" s="39"/>
      <c r="D466" s="40"/>
      <c r="E466" s="40"/>
      <c r="F466" s="40"/>
      <c r="G466" s="40"/>
      <c r="H466" s="40"/>
      <c r="I466" s="40"/>
      <c r="J466" s="41" t="s">
        <v>13</v>
      </c>
    </row>
    <row r="467" spans="2:10" s="1" customFormat="1" ht="12.75" x14ac:dyDescent="0.2">
      <c r="B467" s="43" t="s">
        <v>21</v>
      </c>
      <c r="C467" s="43" t="s">
        <v>266</v>
      </c>
      <c r="D467" s="60"/>
      <c r="E467" s="40"/>
      <c r="F467" s="40"/>
      <c r="G467" s="40"/>
      <c r="H467" s="40"/>
      <c r="I467" s="44">
        <f>SUM(H468:H468)</f>
        <v>0</v>
      </c>
      <c r="J467" s="45" t="str">
        <f>+J468</f>
        <v>und</v>
      </c>
    </row>
    <row r="468" spans="2:10" s="1" customFormat="1" ht="12.75" x14ac:dyDescent="0.2">
      <c r="B468" s="43"/>
      <c r="C468" s="39"/>
      <c r="D468" s="40"/>
      <c r="E468" s="40"/>
      <c r="F468" s="40"/>
      <c r="G468" s="40"/>
      <c r="H468" s="40">
        <f>IF(AND(F468=0,G468=0),D468*E468,IF(AND(E468=0,G468=0),D468*F468,IF(AND(E468=0,F468=0),D468*G468,IF(AND(E468=0),D468*F468*G468,IF(AND(F468=0),D468*E468*G468,IF(AND(G468=0),D468*E468*F468,D468*E468*F468*G468))))))</f>
        <v>0</v>
      </c>
      <c r="I468" s="40"/>
      <c r="J468" s="41" t="s">
        <v>13</v>
      </c>
    </row>
    <row r="469" spans="2:10" s="1" customFormat="1" ht="12.75" x14ac:dyDescent="0.2">
      <c r="B469" s="43" t="s">
        <v>273</v>
      </c>
      <c r="C469" s="43" t="s">
        <v>354</v>
      </c>
      <c r="D469" s="60"/>
      <c r="E469" s="40"/>
      <c r="F469" s="40"/>
      <c r="G469" s="40"/>
      <c r="H469" s="40"/>
      <c r="I469" s="44">
        <f>SUM(H470:H470)</f>
        <v>0</v>
      </c>
      <c r="J469" s="45" t="str">
        <f>+J470</f>
        <v>und</v>
      </c>
    </row>
    <row r="470" spans="2:10" s="1" customFormat="1" ht="12.75" x14ac:dyDescent="0.2">
      <c r="B470" s="43"/>
      <c r="C470" s="39"/>
      <c r="D470" s="40"/>
      <c r="E470" s="40"/>
      <c r="F470" s="40"/>
      <c r="G470" s="40"/>
      <c r="H470" s="40">
        <f>IF(AND(F470=0,G470=0),D470*E470,IF(AND(E470=0,G470=0),D470*F470,IF(AND(E470=0,F470=0),D470*G470,IF(AND(E470=0),D470*F470*G470,IF(AND(F470=0),D470*E470*G470,IF(AND(G470=0),D470*E470*F470,D470*E470*F470*G470))))))</f>
        <v>0</v>
      </c>
      <c r="I470" s="40"/>
      <c r="J470" s="41" t="s">
        <v>13</v>
      </c>
    </row>
    <row r="471" spans="2:10" s="1" customFormat="1" ht="12.75" x14ac:dyDescent="0.2">
      <c r="B471" s="43" t="s">
        <v>274</v>
      </c>
      <c r="C471" s="43" t="s">
        <v>357</v>
      </c>
      <c r="D471" s="60"/>
      <c r="E471" s="40"/>
      <c r="F471" s="40"/>
      <c r="G471" s="40"/>
      <c r="H471" s="40"/>
      <c r="I471" s="44">
        <f>SUM(H472:H472)</f>
        <v>0</v>
      </c>
      <c r="J471" s="45" t="str">
        <f>+J472</f>
        <v>und</v>
      </c>
    </row>
    <row r="472" spans="2:10" s="1" customFormat="1" ht="12.75" x14ac:dyDescent="0.2">
      <c r="B472" s="43"/>
      <c r="C472" s="39"/>
      <c r="D472" s="40"/>
      <c r="E472" s="40"/>
      <c r="F472" s="40"/>
      <c r="G472" s="40"/>
      <c r="H472" s="40">
        <f>IF(AND(F472=0,G472=0),D472*E472,IF(AND(E472=0,G472=0),D472*F472,IF(AND(E472=0,F472=0),D472*G472,IF(AND(E472=0),D472*F472*G472,IF(AND(F472=0),D472*E472*G472,IF(AND(G472=0),D472*E472*F472,D472*E472*F472*G472))))))</f>
        <v>0</v>
      </c>
      <c r="I472" s="40"/>
      <c r="J472" s="41" t="s">
        <v>13</v>
      </c>
    </row>
    <row r="473" spans="2:10" s="1" customFormat="1" ht="12.75" x14ac:dyDescent="0.2">
      <c r="B473" s="43" t="s">
        <v>355</v>
      </c>
      <c r="C473" s="43" t="s">
        <v>522</v>
      </c>
      <c r="D473" s="60"/>
      <c r="E473" s="40"/>
      <c r="F473" s="40"/>
      <c r="G473" s="40"/>
      <c r="H473" s="40"/>
      <c r="I473" s="44">
        <f>SUM(H474:H474)</f>
        <v>0</v>
      </c>
      <c r="J473" s="45" t="str">
        <f>+J474</f>
        <v>und</v>
      </c>
    </row>
    <row r="474" spans="2:10" s="1" customFormat="1" ht="12.75" x14ac:dyDescent="0.2">
      <c r="B474" s="43"/>
      <c r="C474" s="39"/>
      <c r="D474" s="40"/>
      <c r="E474" s="40"/>
      <c r="F474" s="40"/>
      <c r="G474" s="40"/>
      <c r="H474" s="40">
        <f>+D474</f>
        <v>0</v>
      </c>
      <c r="I474" s="40"/>
      <c r="J474" s="41" t="s">
        <v>13</v>
      </c>
    </row>
    <row r="475" spans="2:10" s="1" customFormat="1" ht="12.75" x14ac:dyDescent="0.2">
      <c r="B475" s="43" t="s">
        <v>355</v>
      </c>
      <c r="C475" s="43" t="s">
        <v>263</v>
      </c>
      <c r="D475" s="60"/>
      <c r="E475" s="40"/>
      <c r="F475" s="40"/>
      <c r="G475" s="40"/>
      <c r="H475" s="40"/>
      <c r="I475" s="44">
        <f>SUM(H476:H476)</f>
        <v>0</v>
      </c>
      <c r="J475" s="45" t="str">
        <f>+J476</f>
        <v>und</v>
      </c>
    </row>
    <row r="476" spans="2:10" s="1" customFormat="1" ht="12.75" x14ac:dyDescent="0.2">
      <c r="B476" s="46"/>
      <c r="C476" s="39"/>
      <c r="D476" s="40"/>
      <c r="E476" s="40"/>
      <c r="F476" s="40"/>
      <c r="G476" s="40"/>
      <c r="H476" s="40">
        <f>+D476</f>
        <v>0</v>
      </c>
      <c r="I476" s="40"/>
      <c r="J476" s="41" t="s">
        <v>13</v>
      </c>
    </row>
    <row r="477" spans="2:10" s="1" customFormat="1" ht="12.75" x14ac:dyDescent="0.2">
      <c r="B477" s="43" t="s">
        <v>356</v>
      </c>
      <c r="C477" s="43" t="s">
        <v>264</v>
      </c>
      <c r="D477" s="60"/>
      <c r="E477" s="40"/>
      <c r="F477" s="40"/>
      <c r="G477" s="40"/>
      <c r="H477" s="40"/>
      <c r="I477" s="44">
        <f>SUM(H478:H478)</f>
        <v>0</v>
      </c>
      <c r="J477" s="45" t="str">
        <f>+J478</f>
        <v>und</v>
      </c>
    </row>
    <row r="478" spans="2:10" s="1" customFormat="1" ht="12.75" x14ac:dyDescent="0.2">
      <c r="B478" s="46"/>
      <c r="C478" s="39"/>
      <c r="D478" s="40"/>
      <c r="E478" s="40"/>
      <c r="F478" s="40"/>
      <c r="G478" s="40"/>
      <c r="H478" s="40">
        <f>+D478</f>
        <v>0</v>
      </c>
      <c r="I478" s="40"/>
      <c r="J478" s="41" t="s">
        <v>13</v>
      </c>
    </row>
    <row r="479" spans="2:10" s="1" customFormat="1" ht="12.75" x14ac:dyDescent="0.2">
      <c r="B479" s="93" t="s">
        <v>659</v>
      </c>
      <c r="C479" s="372" t="s">
        <v>657</v>
      </c>
      <c r="D479" s="60"/>
      <c r="E479" s="40"/>
      <c r="F479" s="40"/>
      <c r="G479" s="40"/>
      <c r="H479" s="40"/>
      <c r="I479" s="44">
        <f>+SUM(H480:H480)</f>
        <v>14</v>
      </c>
      <c r="J479" s="45" t="s">
        <v>13</v>
      </c>
    </row>
    <row r="480" spans="2:10" s="1" customFormat="1" ht="12.75" x14ac:dyDescent="0.2">
      <c r="B480" s="46"/>
      <c r="C480" s="39" t="s">
        <v>456</v>
      </c>
      <c r="D480" s="60">
        <f>7*2</f>
        <v>14</v>
      </c>
      <c r="E480" s="40"/>
      <c r="F480" s="40"/>
      <c r="G480" s="40"/>
      <c r="H480" s="40">
        <f t="shared" ref="H480" si="29">+D480</f>
        <v>14</v>
      </c>
      <c r="I480" s="40"/>
      <c r="J480" s="41"/>
    </row>
    <row r="481" spans="2:10" s="1" customFormat="1" ht="12.75" x14ac:dyDescent="0.2">
      <c r="B481" s="46"/>
      <c r="C481" s="59"/>
      <c r="D481" s="60"/>
      <c r="E481" s="40"/>
      <c r="F481" s="40"/>
      <c r="G481" s="40"/>
      <c r="H481" s="40"/>
      <c r="I481" s="40"/>
      <c r="J481" s="41"/>
    </row>
    <row r="482" spans="2:10" s="1" customFormat="1" ht="12.75" x14ac:dyDescent="0.2">
      <c r="B482" s="93" t="s">
        <v>608</v>
      </c>
      <c r="C482" s="93" t="s">
        <v>534</v>
      </c>
      <c r="D482" s="60"/>
      <c r="E482" s="40"/>
      <c r="F482" s="40"/>
      <c r="G482" s="40"/>
      <c r="H482" s="40"/>
      <c r="I482" s="44">
        <f>+SUM(H483:H484)</f>
        <v>7</v>
      </c>
      <c r="J482" s="45" t="s">
        <v>13</v>
      </c>
    </row>
    <row r="483" spans="2:10" s="1" customFormat="1" ht="12.75" x14ac:dyDescent="0.2">
      <c r="B483" s="46"/>
      <c r="C483" s="59" t="s">
        <v>471</v>
      </c>
      <c r="D483" s="60">
        <v>7</v>
      </c>
      <c r="E483" s="40"/>
      <c r="F483" s="40"/>
      <c r="G483" s="40"/>
      <c r="H483" s="40">
        <f>+D483</f>
        <v>7</v>
      </c>
      <c r="I483" s="40"/>
      <c r="J483" s="41"/>
    </row>
    <row r="484" spans="2:10" s="1" customFormat="1" ht="12.75" x14ac:dyDescent="0.2">
      <c r="B484" s="46"/>
      <c r="C484" s="59"/>
      <c r="D484" s="60"/>
      <c r="E484" s="40"/>
      <c r="F484" s="40"/>
      <c r="G484" s="40"/>
      <c r="H484" s="40"/>
      <c r="I484" s="40"/>
      <c r="J484" s="41"/>
    </row>
    <row r="485" spans="2:10" s="1" customFormat="1" ht="12.75" x14ac:dyDescent="0.2">
      <c r="B485" s="93" t="s">
        <v>610</v>
      </c>
      <c r="C485" s="93" t="s">
        <v>536</v>
      </c>
      <c r="D485" s="60"/>
      <c r="E485" s="40"/>
      <c r="F485" s="40"/>
      <c r="G485" s="40"/>
      <c r="H485" s="40"/>
      <c r="I485" s="44">
        <f>+SUM(H486:H487)</f>
        <v>7</v>
      </c>
      <c r="J485" s="45" t="s">
        <v>13</v>
      </c>
    </row>
    <row r="486" spans="2:10" s="1" customFormat="1" ht="12.75" x14ac:dyDescent="0.2">
      <c r="B486" s="46"/>
      <c r="C486" s="59" t="s">
        <v>471</v>
      </c>
      <c r="D486" s="60">
        <v>7</v>
      </c>
      <c r="E486" s="40"/>
      <c r="F486" s="40"/>
      <c r="G486" s="40"/>
      <c r="H486" s="40">
        <f>+D486</f>
        <v>7</v>
      </c>
      <c r="I486" s="40"/>
      <c r="J486" s="41"/>
    </row>
    <row r="487" spans="2:10" s="1" customFormat="1" ht="12.75" x14ac:dyDescent="0.2">
      <c r="B487" s="46"/>
      <c r="C487" s="59"/>
      <c r="D487" s="60"/>
      <c r="E487" s="40"/>
      <c r="F487" s="40"/>
      <c r="G487" s="40"/>
      <c r="H487" s="40"/>
      <c r="I487" s="40"/>
      <c r="J487" s="41"/>
    </row>
    <row r="488" spans="2:10" s="1" customFormat="1" ht="12.75" x14ac:dyDescent="0.2">
      <c r="B488" s="46"/>
      <c r="C488" s="59"/>
      <c r="D488" s="60"/>
      <c r="E488" s="40"/>
      <c r="F488" s="40"/>
      <c r="G488" s="40"/>
      <c r="H488" s="40"/>
      <c r="I488" s="40"/>
      <c r="J488" s="41"/>
    </row>
    <row r="489" spans="2:10" s="1" customFormat="1" ht="12.75" x14ac:dyDescent="0.2">
      <c r="B489" s="73" t="s">
        <v>14</v>
      </c>
      <c r="C489" s="73" t="s">
        <v>615</v>
      </c>
      <c r="D489" s="60"/>
      <c r="E489" s="40"/>
      <c r="F489" s="40"/>
      <c r="G489" s="40"/>
      <c r="H489" s="40"/>
      <c r="I489" s="40"/>
      <c r="J489" s="41"/>
    </row>
    <row r="490" spans="2:10" s="1" customFormat="1" ht="12.75" x14ac:dyDescent="0.2">
      <c r="B490" s="25" t="s">
        <v>766</v>
      </c>
      <c r="C490" s="28" t="s">
        <v>616</v>
      </c>
      <c r="D490" s="60"/>
      <c r="E490" s="40"/>
      <c r="F490" s="40"/>
      <c r="G490" s="40"/>
      <c r="H490" s="40"/>
      <c r="I490" s="40">
        <f>+SUM(H491:H496)</f>
        <v>17.297379999999997</v>
      </c>
      <c r="J490" s="41" t="s">
        <v>45</v>
      </c>
    </row>
    <row r="491" spans="2:10" s="1" customFormat="1" ht="12.75" x14ac:dyDescent="0.2">
      <c r="B491" s="46"/>
      <c r="C491" s="39" t="s">
        <v>720</v>
      </c>
      <c r="D491" s="60">
        <v>1</v>
      </c>
      <c r="E491" s="40">
        <v>4.1500000000000004</v>
      </c>
      <c r="F491" s="40">
        <v>0.5</v>
      </c>
      <c r="G491" s="40"/>
      <c r="H491" s="40">
        <f t="shared" ref="H491:H496" si="30">IF(AND(F491=0,G491=0),D491*E491,IF(AND(E491=0,G491=0),D491*F491,IF(AND(E491=0,F491=0),D491*G491,IF(AND(E491=0),D491*F491*G491,IF(AND(F491=0),D491*E491*G491,IF(AND(G491=0),D491*E491*F491,D491*E491*F491*G491))))))</f>
        <v>2.0750000000000002</v>
      </c>
      <c r="I491" s="40"/>
      <c r="J491" s="41"/>
    </row>
    <row r="492" spans="2:10" s="1" customFormat="1" ht="12.75" x14ac:dyDescent="0.2">
      <c r="B492" s="46"/>
      <c r="C492" s="39" t="s">
        <v>394</v>
      </c>
      <c r="D492" s="40">
        <v>1</v>
      </c>
      <c r="E492" s="40">
        <v>0.6</v>
      </c>
      <c r="F492" s="40">
        <v>0.8</v>
      </c>
      <c r="G492" s="40"/>
      <c r="H492" s="40">
        <f t="shared" si="30"/>
        <v>0.48</v>
      </c>
      <c r="I492" s="40"/>
      <c r="J492" s="41"/>
    </row>
    <row r="493" spans="2:10" s="1" customFormat="1" ht="12.75" x14ac:dyDescent="0.2">
      <c r="B493" s="46"/>
      <c r="C493" s="39" t="s">
        <v>448</v>
      </c>
      <c r="D493" s="60">
        <v>1</v>
      </c>
      <c r="E493" s="40">
        <v>0.6</v>
      </c>
      <c r="F493" s="40">
        <v>0.8</v>
      </c>
      <c r="G493" s="40"/>
      <c r="H493" s="40">
        <f t="shared" si="30"/>
        <v>0.48</v>
      </c>
      <c r="I493" s="40"/>
      <c r="J493" s="41"/>
    </row>
    <row r="494" spans="2:10" s="1" customFormat="1" ht="12.75" x14ac:dyDescent="0.2">
      <c r="B494" s="46"/>
      <c r="C494" s="39" t="s">
        <v>449</v>
      </c>
      <c r="D494" s="60">
        <v>1</v>
      </c>
      <c r="E494" s="40">
        <v>0.6</v>
      </c>
      <c r="F494" s="40">
        <v>0.8</v>
      </c>
      <c r="G494" s="40"/>
      <c r="H494" s="40">
        <f t="shared" si="30"/>
        <v>0.48</v>
      </c>
      <c r="I494" s="40"/>
      <c r="J494" s="41"/>
    </row>
    <row r="495" spans="2:10" s="1" customFormat="1" ht="12.75" x14ac:dyDescent="0.2">
      <c r="B495" s="46"/>
      <c r="C495" s="93" t="s">
        <v>468</v>
      </c>
      <c r="D495" s="60"/>
      <c r="E495" s="40"/>
      <c r="F495" s="40"/>
      <c r="G495" s="40"/>
      <c r="H495" s="40"/>
      <c r="I495" s="40"/>
      <c r="J495" s="41"/>
    </row>
    <row r="496" spans="2:10" s="1" customFormat="1" ht="12.75" x14ac:dyDescent="0.2">
      <c r="B496" s="46"/>
      <c r="C496" s="43" t="s">
        <v>471</v>
      </c>
      <c r="D496" s="60">
        <v>1</v>
      </c>
      <c r="E496" s="40">
        <f>7.6+8.7+8.15+0.1*5</f>
        <v>24.949999999999996</v>
      </c>
      <c r="F496" s="40">
        <f>6*0.0254+0.4</f>
        <v>0.5524</v>
      </c>
      <c r="G496" s="40"/>
      <c r="H496" s="40">
        <f t="shared" si="30"/>
        <v>13.782379999999998</v>
      </c>
      <c r="I496" s="40"/>
      <c r="J496" s="41"/>
    </row>
    <row r="497" spans="2:10" s="1" customFormat="1" ht="12.75" x14ac:dyDescent="0.2">
      <c r="B497" s="46"/>
      <c r="C497" s="59"/>
      <c r="D497" s="60"/>
      <c r="E497" s="40"/>
      <c r="F497" s="40"/>
      <c r="G497" s="40"/>
      <c r="H497" s="40"/>
      <c r="I497" s="40"/>
      <c r="J497" s="41"/>
    </row>
    <row r="498" spans="2:10" s="1" customFormat="1" ht="12.75" x14ac:dyDescent="0.2">
      <c r="B498" s="25" t="s">
        <v>633</v>
      </c>
      <c r="C498" s="28" t="s">
        <v>625</v>
      </c>
      <c r="D498" s="60"/>
      <c r="E498" s="40"/>
      <c r="F498" s="40"/>
      <c r="G498" s="40"/>
      <c r="H498" s="40"/>
      <c r="I498" s="40">
        <f>+SUM(H499:H506)</f>
        <v>0.98040000000000016</v>
      </c>
      <c r="J498" s="41" t="s">
        <v>4</v>
      </c>
    </row>
    <row r="499" spans="2:10" s="1" customFormat="1" ht="12.75" x14ac:dyDescent="0.2">
      <c r="B499" s="46"/>
      <c r="C499" s="39" t="s">
        <v>720</v>
      </c>
      <c r="D499" s="60">
        <v>2</v>
      </c>
      <c r="E499" s="40">
        <v>4.1500000000000004</v>
      </c>
      <c r="F499" s="40">
        <v>0.1</v>
      </c>
      <c r="G499" s="40">
        <v>0.35</v>
      </c>
      <c r="H499" s="40">
        <f t="shared" ref="H499:H506" si="31">IF(AND(F499=0,G499=0),D499*E499,IF(AND(E499=0,G499=0),D499*F499,IF(AND(E499=0,F499=0),D499*G499,IF(AND(E499=0),D499*F499*G499,IF(AND(F499=0),D499*E499*G499,IF(AND(G499=0),D499*E499*F499,D499*E499*F499*G499))))))</f>
        <v>0.29049999999999998</v>
      </c>
      <c r="I499" s="40"/>
      <c r="J499" s="41"/>
    </row>
    <row r="500" spans="2:10" s="1" customFormat="1" ht="12.75" x14ac:dyDescent="0.2">
      <c r="B500" s="46"/>
      <c r="C500" s="59"/>
      <c r="D500" s="60">
        <v>1</v>
      </c>
      <c r="E500" s="40">
        <v>4.1500000000000004</v>
      </c>
      <c r="F500" s="40">
        <v>0.5</v>
      </c>
      <c r="G500" s="40">
        <v>0.1</v>
      </c>
      <c r="H500" s="40">
        <f t="shared" si="31"/>
        <v>0.20750000000000002</v>
      </c>
      <c r="I500" s="40"/>
      <c r="J500" s="41"/>
    </row>
    <row r="501" spans="2:10" s="1" customFormat="1" ht="12.75" x14ac:dyDescent="0.2">
      <c r="B501" s="46"/>
      <c r="C501" s="39" t="s">
        <v>394</v>
      </c>
      <c r="D501" s="40">
        <v>2</v>
      </c>
      <c r="E501" s="40">
        <v>0.8</v>
      </c>
      <c r="F501" s="40">
        <v>0.1</v>
      </c>
      <c r="G501" s="40">
        <v>1.03</v>
      </c>
      <c r="H501" s="40">
        <f t="shared" si="31"/>
        <v>0.16480000000000003</v>
      </c>
      <c r="I501" s="40"/>
      <c r="J501" s="41"/>
    </row>
    <row r="502" spans="2:10" s="1" customFormat="1" ht="12.75" x14ac:dyDescent="0.2">
      <c r="B502" s="46"/>
      <c r="C502" s="39"/>
      <c r="D502" s="60">
        <v>2</v>
      </c>
      <c r="E502" s="40">
        <v>0.4</v>
      </c>
      <c r="F502" s="40">
        <v>0.1</v>
      </c>
      <c r="G502" s="40">
        <v>1.03</v>
      </c>
      <c r="H502" s="40">
        <f t="shared" si="31"/>
        <v>8.2400000000000015E-2</v>
      </c>
      <c r="I502" s="40"/>
      <c r="J502" s="41"/>
    </row>
    <row r="503" spans="2:10" s="1" customFormat="1" ht="12.75" x14ac:dyDescent="0.2">
      <c r="B503" s="46"/>
      <c r="C503" s="39" t="s">
        <v>448</v>
      </c>
      <c r="D503" s="40">
        <v>2</v>
      </c>
      <c r="E503" s="40">
        <v>0.8</v>
      </c>
      <c r="F503" s="40">
        <v>0.1</v>
      </c>
      <c r="G503" s="40">
        <v>0.45</v>
      </c>
      <c r="H503" s="40">
        <f t="shared" si="31"/>
        <v>7.2000000000000022E-2</v>
      </c>
      <c r="I503" s="40"/>
      <c r="J503" s="41"/>
    </row>
    <row r="504" spans="2:10" s="1" customFormat="1" ht="12.75" x14ac:dyDescent="0.2">
      <c r="B504" s="46"/>
      <c r="C504" s="39"/>
      <c r="D504" s="60">
        <v>2</v>
      </c>
      <c r="E504" s="40">
        <v>0.4</v>
      </c>
      <c r="F504" s="40">
        <v>0.1</v>
      </c>
      <c r="G504" s="40">
        <v>0.45</v>
      </c>
      <c r="H504" s="40">
        <f t="shared" si="31"/>
        <v>3.6000000000000011E-2</v>
      </c>
      <c r="I504" s="40"/>
      <c r="J504" s="41"/>
    </row>
    <row r="505" spans="2:10" s="1" customFormat="1" ht="12.75" x14ac:dyDescent="0.2">
      <c r="B505" s="46"/>
      <c r="C505" s="39" t="s">
        <v>449</v>
      </c>
      <c r="D505" s="40">
        <v>2</v>
      </c>
      <c r="E505" s="40">
        <v>0.8</v>
      </c>
      <c r="F505" s="40">
        <v>0.1</v>
      </c>
      <c r="G505" s="40">
        <v>0.53</v>
      </c>
      <c r="H505" s="40">
        <f t="shared" si="31"/>
        <v>8.4800000000000014E-2</v>
      </c>
      <c r="I505" s="40"/>
      <c r="J505" s="41"/>
    </row>
    <row r="506" spans="2:10" s="1" customFormat="1" ht="12.75" x14ac:dyDescent="0.2">
      <c r="B506" s="46"/>
      <c r="C506" s="59"/>
      <c r="D506" s="60">
        <v>2</v>
      </c>
      <c r="E506" s="40">
        <v>0.4</v>
      </c>
      <c r="F506" s="40">
        <v>0.1</v>
      </c>
      <c r="G506" s="40">
        <v>0.53</v>
      </c>
      <c r="H506" s="40">
        <f t="shared" si="31"/>
        <v>4.2400000000000007E-2</v>
      </c>
      <c r="I506" s="40"/>
      <c r="J506" s="41"/>
    </row>
    <row r="507" spans="2:10" s="1" customFormat="1" ht="12.75" x14ac:dyDescent="0.2">
      <c r="B507" s="46"/>
      <c r="C507" s="59"/>
      <c r="D507" s="60"/>
      <c r="E507" s="40"/>
      <c r="F507" s="40"/>
      <c r="G507" s="40"/>
      <c r="H507" s="40"/>
      <c r="I507" s="40"/>
      <c r="J507" s="41"/>
    </row>
    <row r="508" spans="2:10" s="1" customFormat="1" ht="12.75" x14ac:dyDescent="0.2">
      <c r="B508" s="46"/>
      <c r="C508" s="59"/>
      <c r="D508" s="60"/>
      <c r="E508" s="40"/>
      <c r="F508" s="40"/>
      <c r="G508" s="40"/>
      <c r="H508" s="40"/>
      <c r="I508" s="40"/>
      <c r="J508" s="41"/>
    </row>
    <row r="509" spans="2:10" x14ac:dyDescent="0.25">
      <c r="B509" s="73" t="s">
        <v>22</v>
      </c>
      <c r="C509" s="73" t="s">
        <v>614</v>
      </c>
      <c r="D509" s="23"/>
      <c r="E509" s="23"/>
      <c r="F509" s="23"/>
      <c r="G509" s="23"/>
      <c r="H509" s="24"/>
      <c r="I509" s="25"/>
      <c r="J509" s="26"/>
    </row>
    <row r="510" spans="2:10" s="1" customFormat="1" ht="15.75" customHeight="1" x14ac:dyDescent="0.2">
      <c r="B510" s="25" t="s">
        <v>23</v>
      </c>
      <c r="C510" s="1" t="s">
        <v>622</v>
      </c>
      <c r="D510" s="60"/>
      <c r="E510" s="40"/>
      <c r="F510" s="40"/>
      <c r="G510" s="40"/>
      <c r="H510" s="24"/>
      <c r="I510" s="25">
        <f>+SUM(H511)</f>
        <v>1.1412500000000001</v>
      </c>
      <c r="J510" s="26" t="s">
        <v>4</v>
      </c>
    </row>
    <row r="511" spans="2:10" s="1" customFormat="1" ht="15.75" customHeight="1" x14ac:dyDescent="0.2">
      <c r="B511" s="25"/>
      <c r="C511" s="39" t="s">
        <v>439</v>
      </c>
      <c r="D511" s="60">
        <v>1</v>
      </c>
      <c r="E511" s="40">
        <v>4.1500000000000004</v>
      </c>
      <c r="F511" s="40">
        <v>0.5</v>
      </c>
      <c r="G511" s="40">
        <f>0.35+0.2</f>
        <v>0.55000000000000004</v>
      </c>
      <c r="H511" s="40">
        <f>IF(AND(F511=0,G511=0),D511*E511,IF(AND(E511=0,G511=0),D511*F511,IF(AND(E511=0,F511=0),D511*G511,IF(AND(E511=0),D511*F511*G511,IF(AND(F511=0),D511*E511*G511,IF(AND(G511=0),D511*E511*F511,D511*E511*F511*G511))))))</f>
        <v>1.1412500000000001</v>
      </c>
      <c r="I511" s="40"/>
      <c r="J511" s="41"/>
    </row>
    <row r="512" spans="2:10" s="1" customFormat="1" ht="12.75" x14ac:dyDescent="0.2">
      <c r="B512" s="25"/>
      <c r="D512" s="60"/>
      <c r="E512" s="40"/>
      <c r="F512" s="40"/>
      <c r="G512" s="40"/>
      <c r="H512" s="40"/>
      <c r="I512" s="40"/>
      <c r="J512" s="41"/>
    </row>
    <row r="513" spans="2:10" s="1" customFormat="1" ht="12.75" x14ac:dyDescent="0.2">
      <c r="B513" s="25" t="s">
        <v>24</v>
      </c>
      <c r="C513" s="1" t="s">
        <v>623</v>
      </c>
      <c r="D513" s="60"/>
      <c r="E513" s="40"/>
      <c r="F513" s="40"/>
      <c r="G513" s="40"/>
      <c r="H513" s="24"/>
      <c r="I513" s="25">
        <f>+SUM(H514:H516)</f>
        <v>1.1088</v>
      </c>
      <c r="J513" s="26" t="s">
        <v>4</v>
      </c>
    </row>
    <row r="514" spans="2:10" s="1" customFormat="1" ht="12.75" x14ac:dyDescent="0.2">
      <c r="B514" s="57"/>
      <c r="C514" s="39" t="s">
        <v>394</v>
      </c>
      <c r="D514" s="40">
        <v>1</v>
      </c>
      <c r="E514" s="40">
        <v>0.6</v>
      </c>
      <c r="F514" s="40">
        <v>0.8</v>
      </c>
      <c r="G514" s="40">
        <f>0.93+0.2</f>
        <v>1.1300000000000001</v>
      </c>
      <c r="H514" s="40">
        <f>IF(AND(F514=0,G514=0),D514*E514,IF(AND(E514=0,G514=0),D514*F514,IF(AND(E514=0,F514=0),D514*G514,IF(AND(E514=0),D514*F514*G514,IF(AND(F514=0),D514*E514*G514,IF(AND(G514=0),D514*E514*F514,D514*E514*F514*G514))))))</f>
        <v>0.54239999999999999</v>
      </c>
      <c r="I514" s="40"/>
      <c r="J514" s="41"/>
    </row>
    <row r="515" spans="2:10" s="1" customFormat="1" ht="12.75" x14ac:dyDescent="0.2">
      <c r="B515" s="57"/>
      <c r="C515" s="39" t="s">
        <v>448</v>
      </c>
      <c r="D515" s="60">
        <v>1</v>
      </c>
      <c r="E515" s="40">
        <v>0.6</v>
      </c>
      <c r="F515" s="40">
        <v>0.8</v>
      </c>
      <c r="G515" s="40">
        <f>0.35+0.2</f>
        <v>0.55000000000000004</v>
      </c>
      <c r="H515" s="40">
        <f>IF(AND(F515=0,G515=0),D515*E515,IF(AND(E515=0,G515=0),D515*F515,IF(AND(E515=0,F515=0),D515*G515,IF(AND(E515=0),D515*F515*G515,IF(AND(F515=0),D515*E515*G515,IF(AND(G515=0),D515*E515*F515,D515*E515*F515*G515))))))</f>
        <v>0.26400000000000001</v>
      </c>
      <c r="I515" s="40"/>
      <c r="J515" s="41"/>
    </row>
    <row r="516" spans="2:10" s="1" customFormat="1" ht="12.75" x14ac:dyDescent="0.2">
      <c r="B516" s="57"/>
      <c r="C516" s="39" t="s">
        <v>449</v>
      </c>
      <c r="D516" s="60">
        <v>1</v>
      </c>
      <c r="E516" s="40">
        <v>0.6</v>
      </c>
      <c r="F516" s="40">
        <v>0.8</v>
      </c>
      <c r="G516" s="40">
        <f>0.43+0.2</f>
        <v>0.63</v>
      </c>
      <c r="H516" s="40">
        <f>IF(AND(F516=0,G516=0),D516*E516,IF(AND(E516=0,G516=0),D516*F516,IF(AND(E516=0,F516=0),D516*G516,IF(AND(E516=0),D516*F516*G516,IF(AND(F516=0),D516*E516*G516,IF(AND(G516=0),D516*E516*F516,D516*E516*F516*G516))))))</f>
        <v>0.3024</v>
      </c>
      <c r="I516" s="40"/>
      <c r="J516" s="41"/>
    </row>
    <row r="517" spans="2:10" s="1" customFormat="1" ht="12.75" x14ac:dyDescent="0.2">
      <c r="B517" s="46"/>
      <c r="C517" s="59"/>
      <c r="D517" s="60"/>
      <c r="E517" s="40"/>
      <c r="F517" s="40"/>
      <c r="G517" s="40"/>
      <c r="H517" s="40"/>
      <c r="I517" s="40"/>
      <c r="J517" s="41"/>
    </row>
    <row r="518" spans="2:10" x14ac:dyDescent="0.25">
      <c r="B518" s="107" t="s">
        <v>777</v>
      </c>
      <c r="C518" s="370" t="s">
        <v>779</v>
      </c>
      <c r="D518" s="23"/>
      <c r="E518" s="23"/>
      <c r="F518" s="23"/>
      <c r="G518" s="23"/>
      <c r="I518" s="24">
        <f>+SUM(H519:H522)</f>
        <v>3.5150000000000001</v>
      </c>
      <c r="J518" s="26" t="s">
        <v>45</v>
      </c>
    </row>
    <row r="519" spans="2:10" x14ac:dyDescent="0.25">
      <c r="B519" s="107"/>
      <c r="C519" s="39" t="s">
        <v>394</v>
      </c>
      <c r="D519" s="40">
        <v>1</v>
      </c>
      <c r="E519" s="40">
        <v>0.6</v>
      </c>
      <c r="F519" s="40">
        <v>0.8</v>
      </c>
      <c r="G519" s="40"/>
      <c r="H519" s="40">
        <f>IF(AND(F519=0,G519=0),D519*E519,IF(AND(E519=0,G519=0),D519*F519,IF(AND(E519=0,F519=0),D519*G519,IF(AND(E519=0),D519*F519*G519,IF(AND(F519=0),D519*E519*G519,IF(AND(G519=0),D519*E519*F519,D519*E519*F519*G519))))))</f>
        <v>0.48</v>
      </c>
      <c r="I519" s="25"/>
      <c r="J519" s="26"/>
    </row>
    <row r="520" spans="2:10" x14ac:dyDescent="0.25">
      <c r="B520" s="107"/>
      <c r="C520" s="39" t="s">
        <v>448</v>
      </c>
      <c r="D520" s="60">
        <v>1</v>
      </c>
      <c r="E520" s="40">
        <v>0.6</v>
      </c>
      <c r="F520" s="40">
        <v>0.8</v>
      </c>
      <c r="G520" s="40"/>
      <c r="H520" s="40">
        <f>IF(AND(F520=0,G520=0),D520*E520,IF(AND(E520=0,G520=0),D520*F520,IF(AND(E520=0,F520=0),D520*G520,IF(AND(E520=0),D520*F520*G520,IF(AND(F520=0),D520*E520*G520,IF(AND(G520=0),D520*E520*F520,D520*E520*F520*G520))))))</f>
        <v>0.48</v>
      </c>
      <c r="I520" s="25"/>
      <c r="J520" s="26"/>
    </row>
    <row r="521" spans="2:10" x14ac:dyDescent="0.25">
      <c r="B521" s="107"/>
      <c r="C521" s="39" t="s">
        <v>449</v>
      </c>
      <c r="D521" s="60">
        <v>1</v>
      </c>
      <c r="E521" s="40">
        <v>0.6</v>
      </c>
      <c r="F521" s="40">
        <v>0.8</v>
      </c>
      <c r="G521" s="40"/>
      <c r="H521" s="40">
        <f>IF(AND(F521=0,G521=0),D521*E521,IF(AND(E521=0,G521=0),D521*F521,IF(AND(E521=0,F521=0),D521*G521,IF(AND(E521=0),D521*F521*G521,IF(AND(F521=0),D521*E521*G521,IF(AND(G521=0),D521*E521*F521,D521*E521*F521*G521))))))</f>
        <v>0.48</v>
      </c>
      <c r="I521" s="25"/>
      <c r="J521" s="26"/>
    </row>
    <row r="522" spans="2:10" x14ac:dyDescent="0.25">
      <c r="B522" s="107"/>
      <c r="C522" s="39" t="s">
        <v>720</v>
      </c>
      <c r="D522" s="60">
        <v>1</v>
      </c>
      <c r="E522" s="40">
        <v>4.1500000000000004</v>
      </c>
      <c r="F522" s="40">
        <v>0.5</v>
      </c>
      <c r="G522" s="40"/>
      <c r="H522" s="40">
        <f>+(F522+G522*2)*E522</f>
        <v>2.0750000000000002</v>
      </c>
      <c r="I522" s="25"/>
      <c r="J522" s="26"/>
    </row>
    <row r="523" spans="2:10" x14ac:dyDescent="0.25">
      <c r="B523" s="107"/>
      <c r="C523" s="370"/>
      <c r="D523" s="23"/>
      <c r="E523" s="23"/>
      <c r="F523" s="23"/>
      <c r="G523" s="23"/>
      <c r="H523" s="24"/>
      <c r="I523" s="25"/>
      <c r="J523" s="26"/>
    </row>
    <row r="524" spans="2:10" s="1" customFormat="1" ht="12.75" x14ac:dyDescent="0.2">
      <c r="B524" s="107" t="s">
        <v>778</v>
      </c>
      <c r="C524" s="370" t="s">
        <v>776</v>
      </c>
      <c r="D524" s="60"/>
      <c r="E524" s="40"/>
      <c r="F524" s="40"/>
      <c r="G524" s="40"/>
      <c r="H524" s="40"/>
      <c r="I524" s="40">
        <f>+SUM(H526:H526)-H528</f>
        <v>6.2813753422746261</v>
      </c>
      <c r="J524" s="41" t="s">
        <v>4</v>
      </c>
    </row>
    <row r="525" spans="2:10" s="1" customFormat="1" ht="12.75" x14ac:dyDescent="0.2">
      <c r="B525" s="46"/>
      <c r="C525" s="93" t="s">
        <v>468</v>
      </c>
      <c r="D525" s="60"/>
      <c r="E525" s="40"/>
      <c r="F525" s="40"/>
      <c r="G525" s="40"/>
      <c r="H525" s="40"/>
      <c r="I525" s="40"/>
      <c r="J525" s="41"/>
    </row>
    <row r="526" spans="2:10" s="1" customFormat="1" ht="12.75" x14ac:dyDescent="0.2">
      <c r="B526" s="46"/>
      <c r="C526" s="43" t="s">
        <v>471</v>
      </c>
      <c r="D526" s="60">
        <v>1</v>
      </c>
      <c r="E526" s="40">
        <f>7.6+8.7+8.15+0.1*5</f>
        <v>24.949999999999996</v>
      </c>
      <c r="F526" s="40">
        <v>0.6</v>
      </c>
      <c r="G526" s="40">
        <v>0.45</v>
      </c>
      <c r="H526" s="40">
        <f>IF(AND(F526=0,G526=0),D526*E526,IF(AND(E526=0,G526=0),D526*F526,IF(AND(E526=0,F526=0),D526*G526,IF(AND(E526=0),D526*F526*G526,IF(AND(F526=0),D526*E526*G526,IF(AND(G526=0),D526*E526*F526,D526*E526*F526*G526))))))</f>
        <v>6.7364999999999986</v>
      </c>
      <c r="I526" s="40"/>
      <c r="J526" s="41"/>
    </row>
    <row r="527" spans="2:10" s="1" customFormat="1" ht="12.75" x14ac:dyDescent="0.2">
      <c r="B527" s="46"/>
      <c r="F527" s="40" t="s">
        <v>786</v>
      </c>
      <c r="G527" s="40">
        <v>6</v>
      </c>
      <c r="I527" s="40"/>
      <c r="J527" s="41"/>
    </row>
    <row r="528" spans="2:10" s="1" customFormat="1" ht="12.75" x14ac:dyDescent="0.2">
      <c r="B528" s="46"/>
      <c r="C528" s="39" t="s">
        <v>784</v>
      </c>
      <c r="D528" s="60">
        <v>1</v>
      </c>
      <c r="E528" s="40">
        <f>+SUM(E526:E526)</f>
        <v>24.949999999999996</v>
      </c>
      <c r="F528" s="40" t="s">
        <v>785</v>
      </c>
      <c r="G528" s="40">
        <f>+PI()*((G527*0.0254)^2)/4</f>
        <v>1.8241469247509915E-2</v>
      </c>
      <c r="H528" s="40">
        <f>+E528*G528</f>
        <v>0.45512465772537231</v>
      </c>
      <c r="I528" s="40"/>
      <c r="J528" s="41"/>
    </row>
    <row r="529" spans="2:10" s="1" customFormat="1" ht="12.75" x14ac:dyDescent="0.2">
      <c r="B529" s="46"/>
      <c r="C529" s="59"/>
      <c r="D529" s="60"/>
      <c r="E529" s="40"/>
      <c r="F529" s="40"/>
      <c r="G529" s="40"/>
      <c r="H529" s="40"/>
      <c r="I529" s="40"/>
      <c r="J529" s="41"/>
    </row>
    <row r="530" spans="2:10" s="1" customFormat="1" ht="12.75" x14ac:dyDescent="0.2">
      <c r="B530" s="46"/>
      <c r="C530" s="59"/>
      <c r="D530" s="60"/>
      <c r="E530" s="40"/>
      <c r="F530" s="40"/>
      <c r="G530" s="40"/>
      <c r="H530" s="40"/>
      <c r="I530" s="40"/>
      <c r="J530" s="41"/>
    </row>
    <row r="531" spans="2:10" s="1" customFormat="1" ht="12.75" x14ac:dyDescent="0.2">
      <c r="B531" s="25" t="s">
        <v>631</v>
      </c>
      <c r="C531" s="28" t="s">
        <v>719</v>
      </c>
      <c r="D531" s="60"/>
      <c r="E531" s="40"/>
      <c r="F531" s="40"/>
      <c r="G531" s="40"/>
      <c r="H531" s="40"/>
      <c r="I531" s="40">
        <f>+SUM(H532)</f>
        <v>6.6400000000000006</v>
      </c>
      <c r="J531" s="41" t="s">
        <v>45</v>
      </c>
    </row>
    <row r="532" spans="2:10" s="1" customFormat="1" ht="12.75" x14ac:dyDescent="0.2">
      <c r="B532" s="25"/>
      <c r="C532" s="39" t="s">
        <v>439</v>
      </c>
      <c r="D532" s="60">
        <v>1</v>
      </c>
      <c r="E532" s="40">
        <v>4.1500000000000004</v>
      </c>
      <c r="F532" s="40">
        <v>0.5</v>
      </c>
      <c r="G532" s="40">
        <f>0.35+0.2</f>
        <v>0.55000000000000004</v>
      </c>
      <c r="H532" s="40">
        <f>+(F532+G532*2)*E532</f>
        <v>6.6400000000000006</v>
      </c>
      <c r="I532" s="40"/>
      <c r="J532" s="41"/>
    </row>
    <row r="533" spans="2:10" s="1" customFormat="1" ht="12.75" x14ac:dyDescent="0.2">
      <c r="B533" s="25"/>
      <c r="C533" s="366"/>
      <c r="D533" s="60"/>
      <c r="E533" s="40"/>
      <c r="F533" s="40"/>
      <c r="G533" s="40"/>
      <c r="H533" s="40"/>
      <c r="I533" s="40"/>
      <c r="J533" s="41"/>
    </row>
    <row r="534" spans="2:10" s="1" customFormat="1" ht="12.75" x14ac:dyDescent="0.2">
      <c r="B534" s="25"/>
      <c r="C534" s="28"/>
      <c r="D534" s="60"/>
      <c r="E534" s="40"/>
      <c r="F534" s="40"/>
      <c r="G534" s="40"/>
      <c r="H534" s="40"/>
      <c r="I534" s="40"/>
      <c r="J534" s="41"/>
    </row>
    <row r="535" spans="2:10" s="1" customFormat="1" ht="12.75" x14ac:dyDescent="0.2">
      <c r="B535" s="25" t="s">
        <v>709</v>
      </c>
      <c r="C535" s="28" t="s">
        <v>718</v>
      </c>
      <c r="D535" s="60"/>
      <c r="E535" s="40"/>
      <c r="F535" s="40"/>
      <c r="G535" s="40"/>
      <c r="H535" s="40"/>
      <c r="I535" s="40">
        <f>+SUM(H537)</f>
        <v>37.424999999999997</v>
      </c>
      <c r="J535" s="41" t="s">
        <v>45</v>
      </c>
    </row>
    <row r="536" spans="2:10" s="1" customFormat="1" ht="12.75" x14ac:dyDescent="0.2">
      <c r="B536" s="46"/>
      <c r="C536" s="93" t="s">
        <v>468</v>
      </c>
      <c r="D536" s="60"/>
      <c r="E536" s="40"/>
      <c r="F536" s="40"/>
      <c r="G536" s="40"/>
      <c r="H536" s="40"/>
    </row>
    <row r="537" spans="2:10" s="1" customFormat="1" ht="12.75" x14ac:dyDescent="0.2">
      <c r="B537" s="46"/>
      <c r="C537" s="43" t="s">
        <v>471</v>
      </c>
      <c r="D537" s="60">
        <v>1</v>
      </c>
      <c r="E537" s="40">
        <f>7.6+8.7+8.15+0.1*5</f>
        <v>24.949999999999996</v>
      </c>
      <c r="F537" s="40">
        <v>0.6</v>
      </c>
      <c r="G537" s="40">
        <v>0.45</v>
      </c>
      <c r="H537" s="40">
        <f>+(F537+G537*2)*E537</f>
        <v>37.424999999999997</v>
      </c>
      <c r="I537" s="40"/>
      <c r="J537" s="41"/>
    </row>
    <row r="538" spans="2:10" s="1" customFormat="1" ht="12.75" x14ac:dyDescent="0.2">
      <c r="B538" s="46"/>
      <c r="C538" s="59"/>
      <c r="D538" s="60"/>
      <c r="E538" s="40"/>
      <c r="F538" s="40"/>
      <c r="G538" s="40"/>
      <c r="H538" s="40"/>
      <c r="I538" s="40"/>
      <c r="J538" s="41"/>
    </row>
    <row r="539" spans="2:10" s="1" customFormat="1" ht="12.75" x14ac:dyDescent="0.2">
      <c r="B539" s="46"/>
      <c r="C539" s="59"/>
      <c r="D539" s="60"/>
      <c r="E539" s="40"/>
      <c r="F539" s="40"/>
      <c r="G539" s="40"/>
      <c r="H539" s="40"/>
      <c r="I539" s="40"/>
      <c r="J539" s="41"/>
    </row>
    <row r="540" spans="2:10" s="1" customFormat="1" ht="12.75" x14ac:dyDescent="0.2">
      <c r="B540" s="46"/>
      <c r="C540" s="59"/>
      <c r="D540" s="60"/>
      <c r="E540" s="40"/>
      <c r="F540" s="40"/>
      <c r="G540" s="40"/>
      <c r="H540" s="40"/>
      <c r="I540" s="40"/>
      <c r="J540" s="41"/>
    </row>
    <row r="541" spans="2:10" s="1" customFormat="1" ht="12.75" x14ac:dyDescent="0.2">
      <c r="B541" s="46"/>
      <c r="C541" s="59"/>
      <c r="D541" s="60"/>
      <c r="E541" s="40"/>
      <c r="F541" s="40"/>
      <c r="G541" s="40"/>
      <c r="H541" s="40"/>
      <c r="I541" s="40"/>
      <c r="J541" s="41"/>
    </row>
    <row r="542" spans="2:10" s="1" customFormat="1" ht="12.75" x14ac:dyDescent="0.2">
      <c r="B542" s="107" t="s">
        <v>632</v>
      </c>
      <c r="C542" s="343" t="s">
        <v>794</v>
      </c>
      <c r="D542" s="60"/>
      <c r="E542" s="40"/>
      <c r="F542" s="40" t="s">
        <v>795</v>
      </c>
      <c r="G542" s="40"/>
      <c r="H542" s="40"/>
      <c r="I542" s="40">
        <f>+SUM(H543:H545)</f>
        <v>244.66573241852484</v>
      </c>
      <c r="J542" s="41" t="s">
        <v>12</v>
      </c>
    </row>
    <row r="543" spans="2:10" s="1" customFormat="1" ht="12.75" x14ac:dyDescent="0.2">
      <c r="B543" s="380"/>
      <c r="C543" s="39" t="s">
        <v>456</v>
      </c>
      <c r="D543" s="60">
        <v>7</v>
      </c>
      <c r="E543" s="40">
        <v>14.55</v>
      </c>
      <c r="F543" s="40">
        <v>1.64</v>
      </c>
      <c r="G543" s="40"/>
      <c r="H543" s="40">
        <f>IF(AND(F543=0,G543=0),D543*E543,IF(AND(E543=0,G543=0),D543*F543,IF(AND(E543=0,F543=0),D543*G543,IF(AND(E543=0),D543*F543*G543,IF(AND(F543=0),D543*E543*G543,IF(AND(G543=0),D543*E543*F543,D543*E543*F543*G543))))))</f>
        <v>167.03399999999999</v>
      </c>
      <c r="I543" s="40"/>
      <c r="J543" s="41"/>
    </row>
    <row r="544" spans="2:10" s="1" customFormat="1" ht="12.75" x14ac:dyDescent="0.2">
      <c r="B544" s="380"/>
      <c r="C544" s="93" t="s">
        <v>468</v>
      </c>
      <c r="D544" s="60"/>
      <c r="E544" s="40"/>
      <c r="F544" s="40"/>
      <c r="G544" s="40"/>
      <c r="H544" s="40"/>
      <c r="I544" s="40"/>
      <c r="J544" s="41"/>
    </row>
    <row r="545" spans="2:10" s="1" customFormat="1" ht="12.75" x14ac:dyDescent="0.2">
      <c r="B545" s="380"/>
      <c r="C545" s="43" t="s">
        <v>471</v>
      </c>
      <c r="D545" s="60">
        <v>1</v>
      </c>
      <c r="E545" s="40">
        <f>7.6+8.7+8.15+0.1*5</f>
        <v>24.949999999999996</v>
      </c>
      <c r="F545" s="40">
        <f>18.14/5.83</f>
        <v>3.1114922813036023</v>
      </c>
      <c r="G545" s="40"/>
      <c r="H545" s="40">
        <f t="shared" ref="H545" si="32">IF(AND(F545=0,G545=0),D545*E545,IF(AND(E545=0,G545=0),D545*F545,IF(AND(E545=0,F545=0),D545*G545,IF(AND(E545=0),D545*F545*G545,IF(AND(F545=0),D545*E545*G545,IF(AND(G545=0),D545*E545*F545,D545*E545*F545*G545))))))</f>
        <v>77.631732418524862</v>
      </c>
      <c r="I545" s="40"/>
      <c r="J545" s="41"/>
    </row>
    <row r="546" spans="2:10" s="1" customFormat="1" ht="12.75" x14ac:dyDescent="0.2">
      <c r="B546" s="380"/>
      <c r="C546" s="111"/>
      <c r="D546" s="60"/>
      <c r="E546" s="40"/>
      <c r="F546" s="40"/>
      <c r="G546" s="40"/>
      <c r="H546" s="40"/>
      <c r="I546" s="40"/>
      <c r="J546" s="41"/>
    </row>
    <row r="547" spans="2:10" s="1" customFormat="1" ht="12.75" x14ac:dyDescent="0.2">
      <c r="B547" s="380"/>
      <c r="C547" s="111"/>
      <c r="D547" s="60"/>
      <c r="E547" s="40"/>
      <c r="F547" s="40"/>
      <c r="G547" s="40"/>
      <c r="H547" s="40"/>
      <c r="I547" s="40"/>
      <c r="J547" s="41"/>
    </row>
    <row r="548" spans="2:10" s="1" customFormat="1" ht="12.75" x14ac:dyDescent="0.2">
      <c r="B548" s="107" t="s">
        <v>790</v>
      </c>
      <c r="C548" s="343" t="s">
        <v>789</v>
      </c>
      <c r="D548" s="60" t="s">
        <v>791</v>
      </c>
      <c r="E548" s="40"/>
      <c r="F548" s="40"/>
      <c r="G548" s="40"/>
      <c r="H548" s="40"/>
      <c r="I548" s="40">
        <f>+SUM(H549:H555)</f>
        <v>8.5949058221567149</v>
      </c>
      <c r="J548" s="41" t="s">
        <v>4</v>
      </c>
    </row>
    <row r="549" spans="2:10" s="1" customFormat="1" ht="12.75" x14ac:dyDescent="0.2">
      <c r="B549" s="107"/>
      <c r="C549" s="39" t="s">
        <v>720</v>
      </c>
      <c r="D549" s="60">
        <v>1.25</v>
      </c>
      <c r="E549" s="40">
        <v>4.1500000000000004</v>
      </c>
      <c r="F549" s="40">
        <v>0.5</v>
      </c>
      <c r="G549" s="40">
        <v>0.55000000000000004</v>
      </c>
      <c r="H549" s="40">
        <f>+(F549+G549*2)*E549</f>
        <v>6.6400000000000006</v>
      </c>
      <c r="I549" s="40"/>
      <c r="J549" s="41"/>
    </row>
    <row r="550" spans="2:10" s="1" customFormat="1" ht="12.75" x14ac:dyDescent="0.2">
      <c r="B550" s="107"/>
      <c r="C550" s="39" t="s">
        <v>394</v>
      </c>
      <c r="D550" s="60">
        <v>1.25</v>
      </c>
      <c r="E550" s="40">
        <v>0.6</v>
      </c>
      <c r="F550" s="40">
        <v>0.8</v>
      </c>
      <c r="G550" s="40">
        <f>0.93+0.2</f>
        <v>1.1300000000000001</v>
      </c>
      <c r="H550" s="40">
        <f>IF(AND(F550=0,G550=0),D550*E550,IF(AND(E550=0,G550=0),D550*F550,IF(AND(E550=0,F550=0),D550*G550,IF(AND(E550=0),D550*F550*G550,IF(AND(F550=0),D550*E550*G550,IF(AND(G550=0),D550*E550*F550,D550*E550*F550*G550))))))</f>
        <v>0.67800000000000016</v>
      </c>
      <c r="I550" s="40"/>
      <c r="J550" s="41"/>
    </row>
    <row r="551" spans="2:10" s="1" customFormat="1" ht="12.75" x14ac:dyDescent="0.2">
      <c r="B551" s="107"/>
      <c r="C551" s="39" t="s">
        <v>448</v>
      </c>
      <c r="D551" s="60">
        <v>1.25</v>
      </c>
      <c r="E551" s="40">
        <v>0.6</v>
      </c>
      <c r="F551" s="40">
        <v>0.8</v>
      </c>
      <c r="G551" s="40">
        <f>0.35+0.2</f>
        <v>0.55000000000000004</v>
      </c>
      <c r="H551" s="40">
        <f>IF(AND(F551=0,G551=0),D551*E551,IF(AND(E551=0,G551=0),D551*F551,IF(AND(E551=0,F551=0),D551*G551,IF(AND(E551=0),D551*F551*G551,IF(AND(F551=0),D551*E551*G551,IF(AND(G551=0),D551*E551*F551,D551*E551*F551*G551))))))</f>
        <v>0.33000000000000007</v>
      </c>
      <c r="I551" s="40"/>
      <c r="J551" s="41"/>
    </row>
    <row r="552" spans="2:10" s="1" customFormat="1" ht="12.75" x14ac:dyDescent="0.2">
      <c r="B552" s="107"/>
      <c r="C552" s="39" t="s">
        <v>449</v>
      </c>
      <c r="D552" s="60">
        <v>1.25</v>
      </c>
      <c r="E552" s="40">
        <v>0.6</v>
      </c>
      <c r="F552" s="40">
        <v>0.8</v>
      </c>
      <c r="G552" s="40">
        <f>0.43+0.2</f>
        <v>0.63</v>
      </c>
      <c r="H552" s="40">
        <f>IF(AND(F552=0,G552=0),D552*E552,IF(AND(E552=0,G552=0),D552*F552,IF(AND(E552=0,F552=0),D552*G552,IF(AND(E552=0),D552*F552*G552,IF(AND(F552=0),D552*E552*G552,IF(AND(G552=0),D552*E552*F552,D552*E552*F552*G552))))))</f>
        <v>0.37800000000000006</v>
      </c>
      <c r="I552" s="40"/>
      <c r="J552" s="41"/>
    </row>
    <row r="553" spans="2:10" s="1" customFormat="1" ht="12.75" x14ac:dyDescent="0.2">
      <c r="B553" s="107"/>
      <c r="C553" s="43" t="s">
        <v>468</v>
      </c>
      <c r="D553" s="60"/>
      <c r="E553" s="40"/>
      <c r="F553" s="40"/>
      <c r="G553" s="40"/>
      <c r="H553" s="40"/>
      <c r="I553" s="40"/>
      <c r="J553" s="41"/>
    </row>
    <row r="554" spans="2:10" s="1" customFormat="1" ht="12.75" x14ac:dyDescent="0.2">
      <c r="B554" s="107"/>
      <c r="F554" s="40" t="s">
        <v>786</v>
      </c>
      <c r="G554" s="40">
        <v>6</v>
      </c>
      <c r="I554" s="40"/>
      <c r="J554" s="41"/>
    </row>
    <row r="555" spans="2:10" s="1" customFormat="1" ht="12.75" x14ac:dyDescent="0.2">
      <c r="B555" s="107"/>
      <c r="C555" s="39" t="s">
        <v>784</v>
      </c>
      <c r="D555" s="60">
        <v>1.25</v>
      </c>
      <c r="E555" s="40">
        <f>+E496</f>
        <v>24.949999999999996</v>
      </c>
      <c r="F555" s="40" t="s">
        <v>785</v>
      </c>
      <c r="G555" s="40">
        <f>+PI()*((G554*0.0254)^2)/4</f>
        <v>1.8241469247509915E-2</v>
      </c>
      <c r="H555" s="40">
        <f>+D555*E555*G555</f>
        <v>0.56890582215671537</v>
      </c>
      <c r="I555" s="40"/>
      <c r="J555" s="41"/>
    </row>
    <row r="556" spans="2:10" s="1" customFormat="1" ht="12.75" x14ac:dyDescent="0.2">
      <c r="B556" s="107"/>
      <c r="C556" s="343"/>
      <c r="D556" s="60"/>
      <c r="E556" s="40"/>
      <c r="F556" s="40"/>
      <c r="G556" s="40"/>
      <c r="H556" s="40"/>
      <c r="I556" s="40"/>
      <c r="J556" s="41"/>
    </row>
    <row r="557" spans="2:10" s="1" customFormat="1" ht="12.75" x14ac:dyDescent="0.2">
      <c r="B557" s="107"/>
      <c r="C557" s="343"/>
      <c r="D557" s="60"/>
      <c r="E557" s="40"/>
      <c r="F557" s="40"/>
      <c r="G557" s="40"/>
      <c r="H557" s="40"/>
      <c r="I557" s="40"/>
      <c r="J557" s="41"/>
    </row>
    <row r="558" spans="2:10" s="1" customFormat="1" ht="12.75" x14ac:dyDescent="0.2">
      <c r="B558" s="107" t="s">
        <v>634</v>
      </c>
      <c r="C558" s="343" t="s">
        <v>624</v>
      </c>
      <c r="D558" s="60"/>
      <c r="E558" s="40"/>
      <c r="F558" s="40"/>
      <c r="G558" s="40"/>
      <c r="H558" s="40"/>
      <c r="I558" s="40">
        <f>+I548</f>
        <v>8.5949058221567149</v>
      </c>
      <c r="J558" s="41" t="s">
        <v>4</v>
      </c>
    </row>
    <row r="559" spans="2:10" s="1" customFormat="1" ht="12.75" x14ac:dyDescent="0.2">
      <c r="B559" s="46"/>
      <c r="C559" s="59"/>
      <c r="D559" s="60"/>
      <c r="E559" s="40"/>
      <c r="F559" s="40"/>
      <c r="G559" s="40"/>
      <c r="H559" s="40"/>
      <c r="I559" s="40"/>
      <c r="J559" s="41"/>
    </row>
    <row r="560" spans="2:10" s="1" customFormat="1" ht="12.75" x14ac:dyDescent="0.2">
      <c r="B560" s="46"/>
      <c r="C560" s="59"/>
      <c r="D560" s="60"/>
      <c r="E560" s="40"/>
      <c r="F560" s="40"/>
      <c r="G560" s="40"/>
      <c r="H560" s="40"/>
      <c r="I560" s="40"/>
      <c r="J560" s="41"/>
    </row>
    <row r="561" spans="2:10" s="1" customFormat="1" ht="12.75" x14ac:dyDescent="0.2">
      <c r="B561" s="46"/>
      <c r="C561" s="59"/>
      <c r="D561" s="60"/>
      <c r="E561" s="40"/>
      <c r="F561" s="40"/>
      <c r="G561" s="40"/>
      <c r="H561" s="40"/>
      <c r="I561" s="40"/>
      <c r="J561" s="41"/>
    </row>
    <row r="562" spans="2:10" s="1" customFormat="1" ht="12.75" x14ac:dyDescent="0.2">
      <c r="B562" s="46"/>
      <c r="C562" s="59"/>
      <c r="D562" s="60"/>
      <c r="E562" s="40"/>
      <c r="F562" s="40"/>
      <c r="G562" s="40"/>
      <c r="H562" s="40"/>
      <c r="I562" s="40"/>
      <c r="J562" s="41"/>
    </row>
    <row r="563" spans="2:10" s="1" customFormat="1" ht="12.75" x14ac:dyDescent="0.2">
      <c r="B563" s="46"/>
      <c r="C563" s="59"/>
      <c r="D563" s="60"/>
      <c r="E563" s="40"/>
      <c r="F563" s="40"/>
      <c r="G563" s="40"/>
      <c r="H563" s="40"/>
      <c r="I563" s="40"/>
      <c r="J563" s="41"/>
    </row>
    <row r="564" spans="2:10" s="1" customFormat="1" ht="12.75" x14ac:dyDescent="0.2">
      <c r="B564" s="46"/>
      <c r="C564" s="59"/>
      <c r="D564" s="60"/>
      <c r="E564" s="40"/>
      <c r="F564" s="40"/>
      <c r="G564" s="40"/>
      <c r="H564" s="40"/>
      <c r="I564" s="40"/>
      <c r="J564" s="41"/>
    </row>
    <row r="565" spans="2:10" s="1" customFormat="1" ht="12.75" x14ac:dyDescent="0.2">
      <c r="B565" s="46"/>
      <c r="C565" s="59"/>
      <c r="D565" s="60"/>
      <c r="E565" s="40"/>
      <c r="F565" s="40"/>
      <c r="G565" s="40"/>
      <c r="H565" s="40"/>
      <c r="I565" s="40"/>
      <c r="J565" s="41"/>
    </row>
    <row r="566" spans="2:10" s="1" customFormat="1" ht="12.75" x14ac:dyDescent="0.2">
      <c r="B566" s="46"/>
      <c r="C566" s="59"/>
      <c r="D566" s="60"/>
      <c r="E566" s="40"/>
      <c r="F566" s="40"/>
      <c r="G566" s="40"/>
      <c r="H566" s="40"/>
      <c r="I566" s="40"/>
      <c r="J566" s="41"/>
    </row>
    <row r="567" spans="2:10" s="1" customFormat="1" ht="12.75" x14ac:dyDescent="0.2">
      <c r="B567" s="46"/>
      <c r="C567" s="59"/>
      <c r="D567" s="60"/>
      <c r="E567" s="40"/>
      <c r="F567" s="40"/>
      <c r="G567" s="40"/>
      <c r="H567" s="40"/>
      <c r="I567" s="40"/>
      <c r="J567" s="41"/>
    </row>
    <row r="568" spans="2:10" s="1" customFormat="1" ht="12.75" x14ac:dyDescent="0.2">
      <c r="B568" s="37"/>
      <c r="C568" s="38"/>
      <c r="D568" s="38"/>
      <c r="E568" s="38"/>
      <c r="F568" s="38"/>
      <c r="G568" s="38"/>
      <c r="H568" s="38"/>
      <c r="I568" s="38"/>
      <c r="J568" s="38"/>
    </row>
    <row r="569" spans="2:10" s="1" customFormat="1" ht="12.75" x14ac:dyDescent="0.2">
      <c r="C569" s="499" t="s">
        <v>37</v>
      </c>
      <c r="D569" s="499"/>
      <c r="E569" s="499"/>
      <c r="F569" s="499"/>
      <c r="G569" s="499"/>
      <c r="H569" s="499"/>
    </row>
    <row r="570" spans="2:10" s="1" customFormat="1" ht="12.75" x14ac:dyDescent="0.2">
      <c r="C570" s="499" t="s">
        <v>38</v>
      </c>
      <c r="D570" s="499"/>
      <c r="E570" s="499"/>
      <c r="F570" s="499"/>
      <c r="G570" s="499"/>
      <c r="H570" s="499"/>
    </row>
    <row r="571" spans="2:10" s="1" customFormat="1" ht="12.75" x14ac:dyDescent="0.2">
      <c r="C571" s="499" t="s">
        <v>39</v>
      </c>
      <c r="D571" s="499"/>
      <c r="E571" s="499"/>
      <c r="F571" s="499"/>
      <c r="G571" s="499"/>
      <c r="H571" s="499"/>
    </row>
    <row r="572" spans="2:10" s="1" customFormat="1" ht="12.75" x14ac:dyDescent="0.2">
      <c r="C572" s="500" t="s">
        <v>40</v>
      </c>
      <c r="D572" s="500"/>
      <c r="E572" s="500"/>
      <c r="F572" s="500"/>
      <c r="G572" s="500"/>
      <c r="H572" s="500"/>
    </row>
    <row r="573" spans="2:10" s="1" customFormat="1" ht="12.75" x14ac:dyDescent="0.2">
      <c r="C573" s="80"/>
      <c r="D573" s="80"/>
      <c r="E573" s="80"/>
      <c r="F573" s="80"/>
      <c r="G573" s="80"/>
      <c r="H573" s="80"/>
    </row>
    <row r="574" spans="2:10" s="1" customFormat="1" ht="33.75" customHeight="1" x14ac:dyDescent="0.2">
      <c r="B574" s="354" t="s">
        <v>65</v>
      </c>
      <c r="C574" s="355"/>
      <c r="D574" s="355"/>
      <c r="E574" s="355"/>
      <c r="F574" s="355"/>
      <c r="G574" s="355"/>
      <c r="H574" s="355"/>
      <c r="I574" s="355"/>
      <c r="J574" s="356"/>
    </row>
    <row r="575" spans="2:10" s="1" customFormat="1" ht="20.25" x14ac:dyDescent="0.2">
      <c r="B575" s="357" t="s">
        <v>362</v>
      </c>
      <c r="C575" s="358"/>
      <c r="D575" s="358"/>
      <c r="E575" s="358"/>
      <c r="F575" s="358"/>
      <c r="G575" s="358"/>
      <c r="H575" s="358"/>
      <c r="I575" s="358"/>
      <c r="J575" s="359"/>
    </row>
    <row r="576" spans="2:10" s="1" customFormat="1" ht="13.5" thickBot="1" x14ac:dyDescent="0.25">
      <c r="B576" s="81"/>
      <c r="C576" s="81"/>
      <c r="D576" s="81"/>
      <c r="E576" s="81"/>
      <c r="F576" s="81"/>
      <c r="G576" s="81"/>
      <c r="H576" s="81"/>
      <c r="I576" s="81"/>
      <c r="J576" s="81"/>
    </row>
    <row r="577" spans="2:10" s="1" customFormat="1" ht="165.75" x14ac:dyDescent="0.2">
      <c r="B577" s="350" t="s">
        <v>27</v>
      </c>
      <c r="C577" s="351"/>
      <c r="D577" s="351"/>
      <c r="E577" s="351"/>
      <c r="F577" s="351"/>
      <c r="G577" s="351"/>
      <c r="H577" s="351"/>
      <c r="I577" s="351"/>
      <c r="J577" s="352"/>
    </row>
    <row r="578" spans="2:10" s="1" customFormat="1" ht="12.75" x14ac:dyDescent="0.2">
      <c r="B578" s="2" t="s">
        <v>35</v>
      </c>
      <c r="C578" s="3" t="s">
        <v>36</v>
      </c>
      <c r="D578" s="3"/>
      <c r="E578" s="4"/>
      <c r="F578" s="5"/>
      <c r="G578" s="6" t="s">
        <v>8</v>
      </c>
      <c r="H578" s="353">
        <v>42879</v>
      </c>
      <c r="I578" s="353"/>
      <c r="J578" s="7"/>
    </row>
    <row r="579" spans="2:10" s="1" customFormat="1" ht="12.75" x14ac:dyDescent="0.2">
      <c r="B579" s="2" t="s">
        <v>33</v>
      </c>
      <c r="C579" s="3" t="s">
        <v>29</v>
      </c>
      <c r="D579" s="8"/>
      <c r="E579" s="8"/>
      <c r="F579" s="3"/>
      <c r="G579" s="9" t="s">
        <v>32</v>
      </c>
      <c r="H579" s="4" t="s">
        <v>29</v>
      </c>
      <c r="I579" s="10"/>
      <c r="J579" s="11"/>
    </row>
    <row r="580" spans="2:10" s="1" customFormat="1" ht="12.75" x14ac:dyDescent="0.2">
      <c r="B580" s="2" t="s">
        <v>34</v>
      </c>
      <c r="C580" s="3" t="s">
        <v>29</v>
      </c>
      <c r="D580" s="8"/>
      <c r="E580" s="8"/>
      <c r="F580" s="3"/>
      <c r="G580" s="9" t="s">
        <v>30</v>
      </c>
      <c r="H580" s="4" t="s">
        <v>31</v>
      </c>
      <c r="I580" s="10"/>
      <c r="J580" s="11"/>
    </row>
    <row r="581" spans="2:10" s="1" customFormat="1" ht="13.5" thickBot="1" x14ac:dyDescent="0.25">
      <c r="B581" s="12" t="s">
        <v>43</v>
      </c>
      <c r="C581" s="13" t="s">
        <v>44</v>
      </c>
      <c r="D581" s="14"/>
      <c r="E581" s="14"/>
      <c r="F581" s="13"/>
      <c r="G581" s="15" t="s">
        <v>41</v>
      </c>
      <c r="H581" s="16" t="s">
        <v>42</v>
      </c>
      <c r="I581" s="17"/>
      <c r="J581" s="18"/>
    </row>
    <row r="582" spans="2:10" s="1" customFormat="1" ht="12.75" x14ac:dyDescent="0.2">
      <c r="B582" s="81"/>
      <c r="C582" s="81"/>
      <c r="D582" s="81"/>
      <c r="E582" s="81"/>
      <c r="F582" s="81"/>
      <c r="G582" s="81"/>
      <c r="H582" s="81"/>
      <c r="I582" s="81"/>
      <c r="J582" s="81"/>
    </row>
    <row r="583" spans="2:10" s="1" customFormat="1" ht="12.75" x14ac:dyDescent="0.2">
      <c r="B583" s="21" t="s">
        <v>5</v>
      </c>
      <c r="C583" s="22" t="s">
        <v>0</v>
      </c>
      <c r="D583" s="22" t="s">
        <v>9</v>
      </c>
      <c r="E583" s="22" t="s">
        <v>10</v>
      </c>
      <c r="F583" s="22" t="s">
        <v>1</v>
      </c>
      <c r="G583" s="22" t="s">
        <v>2</v>
      </c>
      <c r="H583" s="22" t="s">
        <v>11</v>
      </c>
      <c r="I583" s="22" t="s">
        <v>6</v>
      </c>
      <c r="J583" s="22" t="s">
        <v>7</v>
      </c>
    </row>
    <row r="584" spans="2:10" s="1" customFormat="1" ht="12.75" x14ac:dyDescent="0.2">
      <c r="B584" s="55">
        <v>4.03</v>
      </c>
      <c r="C584" s="56" t="s">
        <v>222</v>
      </c>
      <c r="D584" s="60"/>
      <c r="E584" s="40"/>
      <c r="F584" s="40"/>
      <c r="G584" s="40"/>
      <c r="H584" s="40"/>
      <c r="I584" s="40"/>
      <c r="J584" s="41"/>
    </row>
    <row r="585" spans="2:10" s="1" customFormat="1" ht="12.75" x14ac:dyDescent="0.2">
      <c r="B585" s="57" t="s">
        <v>14</v>
      </c>
      <c r="C585" s="58" t="s">
        <v>225</v>
      </c>
      <c r="D585" s="60"/>
      <c r="E585" s="40"/>
      <c r="F585" s="40"/>
      <c r="G585" s="40"/>
      <c r="H585" s="40"/>
      <c r="I585" s="40"/>
      <c r="J585" s="41"/>
    </row>
    <row r="586" spans="2:10" s="1" customFormat="1" ht="12.75" x14ac:dyDescent="0.2">
      <c r="B586" s="43" t="s">
        <v>15</v>
      </c>
      <c r="C586" s="43" t="s">
        <v>359</v>
      </c>
      <c r="D586" s="60"/>
      <c r="E586" s="40"/>
      <c r="F586" s="40"/>
      <c r="G586" s="40"/>
      <c r="H586" s="40"/>
      <c r="I586" s="44">
        <f>SUM(H587:H587)</f>
        <v>14</v>
      </c>
      <c r="J586" s="45" t="str">
        <f>+J587</f>
        <v>ml</v>
      </c>
    </row>
    <row r="587" spans="2:10" s="1" customFormat="1" ht="12.75" x14ac:dyDescent="0.2">
      <c r="B587" s="43"/>
      <c r="C587" s="39" t="s">
        <v>457</v>
      </c>
      <c r="D587" s="60">
        <v>1</v>
      </c>
      <c r="E587" s="40">
        <v>14</v>
      </c>
      <c r="F587" s="40"/>
      <c r="G587" s="40"/>
      <c r="H587" s="40">
        <f>IF(AND(F587=0,G587=0),D587*E587,IF(AND(E587=0,G587=0),D587*F587,IF(AND(E587=0,F587=0),D587*G587,IF(AND(E587=0),D587*F587*G587,IF(AND(F587=0),D587*E587*G587,IF(AND(G587=0),D587*E587*F587,D587*E587*F587*G587))))))</f>
        <v>14</v>
      </c>
      <c r="I587" s="40"/>
      <c r="J587" s="41" t="str">
        <f>IF(AND(E587=0,F587&lt;&gt;0,G587&lt;&gt;0),"m2",IF(AND(F587=0,E587&lt;&gt;0,G587&lt;&gt;0),"m2",IF(AND(G587=0,E587&lt;&gt;0,F587&lt;&gt;0),"m2",IF(AND(F587=0,G587=0),"ml",IF(AND(E587=0,G587=0),"ml",IF(AND(E587=0,F587=0),"ml",IF(AND(E587&lt;&gt;0,F587&lt;&gt;0,G587&lt;&gt;0),"m3",0)))))))</f>
        <v>ml</v>
      </c>
    </row>
    <row r="588" spans="2:10" s="1" customFormat="1" ht="12.75" x14ac:dyDescent="0.2">
      <c r="B588" s="43" t="s">
        <v>232</v>
      </c>
      <c r="C588" s="43" t="s">
        <v>235</v>
      </c>
      <c r="D588" s="60"/>
      <c r="E588" s="40"/>
      <c r="F588" s="40"/>
      <c r="G588" s="40"/>
      <c r="H588" s="40"/>
      <c r="I588" s="44">
        <f>SUM(H589:H590)</f>
        <v>11</v>
      </c>
      <c r="J588" s="45" t="str">
        <f>+J589</f>
        <v>ml</v>
      </c>
    </row>
    <row r="589" spans="2:10" s="1" customFormat="1" ht="12.75" x14ac:dyDescent="0.2">
      <c r="B589" s="57"/>
      <c r="C589" s="39" t="s">
        <v>378</v>
      </c>
      <c r="D589" s="40">
        <v>2</v>
      </c>
      <c r="E589" s="40">
        <v>3.5</v>
      </c>
      <c r="F589" s="40"/>
      <c r="G589" s="40"/>
      <c r="H589" s="40">
        <f>IF(AND(F589=0,G589=0),D589*E589,IF(AND(E589=0,G589=0),D589*F589,IF(AND(E589=0,F589=0),D589*G589,IF(AND(E589=0),D589*F589*G589,IF(AND(F589=0),D589*E589*G589,IF(AND(G589=0),D589*E589*F589,D589*E589*F589*G589))))))</f>
        <v>7</v>
      </c>
      <c r="I589" s="40"/>
      <c r="J589" s="41" t="str">
        <f>IF(AND(E589=0,F589&lt;&gt;0,G589&lt;&gt;0),"m2",IF(AND(F589=0,E589&lt;&gt;0,G589&lt;&gt;0),"m2",IF(AND(G589=0,E589&lt;&gt;0,F589&lt;&gt;0),"m2",IF(AND(F589=0,G589=0),"ml",IF(AND(E589=0,G589=0),"ml",IF(AND(E589=0,F589=0),"ml",IF(AND(E589&lt;&gt;0,F589&lt;&gt;0,G589&lt;&gt;0),"m3",0)))))))</f>
        <v>ml</v>
      </c>
    </row>
    <row r="590" spans="2:10" s="1" customFormat="1" ht="12.75" x14ac:dyDescent="0.2">
      <c r="B590" s="57"/>
      <c r="C590" s="39" t="s">
        <v>379</v>
      </c>
      <c r="D590" s="40">
        <v>1</v>
      </c>
      <c r="E590" s="40">
        <v>4</v>
      </c>
      <c r="F590" s="40"/>
      <c r="G590" s="40"/>
      <c r="H590" s="40">
        <f>IF(AND(F590=0,G590=0),D590*E590,IF(AND(E590=0,G590=0),D590*F590,IF(AND(E590=0,F590=0),D590*G590,IF(AND(E590=0),D590*F590*G590,IF(AND(F590=0),D590*E590*G590,IF(AND(G590=0),D590*E590*F590,D590*E590*F590*G590))))))</f>
        <v>4</v>
      </c>
      <c r="I590" s="40"/>
      <c r="J590" s="41" t="str">
        <f>IF(AND(E590=0,F590&lt;&gt;0,G590&lt;&gt;0),"m2",IF(AND(F590=0,E590&lt;&gt;0,G590&lt;&gt;0),"m2",IF(AND(G590=0,E590&lt;&gt;0,F590&lt;&gt;0),"m2",IF(AND(F590=0,G590=0),"ml",IF(AND(E590=0,G590=0),"ml",IF(AND(E590=0,F590=0),"ml",IF(AND(E590&lt;&gt;0,F590&lt;&gt;0,G590&lt;&gt;0),"m3",0)))))))</f>
        <v>ml</v>
      </c>
    </row>
    <row r="591" spans="2:10" s="1" customFormat="1" ht="12.75" x14ac:dyDescent="0.2">
      <c r="B591" s="43" t="s">
        <v>233</v>
      </c>
      <c r="C591" s="43" t="s">
        <v>236</v>
      </c>
      <c r="D591" s="60"/>
      <c r="E591" s="40"/>
      <c r="F591" s="40"/>
      <c r="G591" s="40"/>
      <c r="H591" s="40"/>
      <c r="I591" s="44">
        <f>SUM(H592:H592)</f>
        <v>0</v>
      </c>
      <c r="J591" s="45" t="str">
        <f>+J592</f>
        <v>ml</v>
      </c>
    </row>
    <row r="592" spans="2:10" s="1" customFormat="1" ht="12.75" x14ac:dyDescent="0.2">
      <c r="B592" s="57"/>
      <c r="C592" s="39"/>
      <c r="D592" s="40"/>
      <c r="E592" s="40"/>
      <c r="F592" s="40"/>
      <c r="G592" s="40"/>
      <c r="H592" s="40">
        <f>IF(AND(F592=0,G592=0),D592*E592,IF(AND(E592=0,G592=0),D592*F592,IF(AND(E592=0,F592=0),D592*G592,IF(AND(E592=0),D592*F592*G592,IF(AND(F592=0),D592*E592*G592,IF(AND(G592=0),D592*E592*F592,D592*E592*F592*G592))))))</f>
        <v>0</v>
      </c>
      <c r="I592" s="40"/>
      <c r="J592" s="41" t="str">
        <f>IF(AND(E592=0,F592&lt;&gt;0,G592&lt;&gt;0),"m2",IF(AND(F592=0,E592&lt;&gt;0,G592&lt;&gt;0),"m2",IF(AND(G592=0,E592&lt;&gt;0,F592&lt;&gt;0),"m2",IF(AND(F592=0,G592=0),"ml",IF(AND(E592=0,G592=0),"ml",IF(AND(E592=0,F592=0),"ml",IF(AND(E592&lt;&gt;0,F592&lt;&gt;0,G592&lt;&gt;0),"m3",0)))))))</f>
        <v>ml</v>
      </c>
    </row>
    <row r="593" spans="2:10" s="1" customFormat="1" ht="12.75" x14ac:dyDescent="0.2">
      <c r="B593" s="43" t="s">
        <v>234</v>
      </c>
      <c r="C593" s="43" t="s">
        <v>267</v>
      </c>
      <c r="D593" s="60"/>
      <c r="E593" s="40"/>
      <c r="F593" s="40"/>
      <c r="G593" s="40"/>
      <c r="H593" s="40"/>
      <c r="I593" s="44">
        <f>+SUM(H594)</f>
        <v>14.55</v>
      </c>
      <c r="J593" s="45" t="s">
        <v>345</v>
      </c>
    </row>
    <row r="594" spans="2:10" s="1" customFormat="1" ht="12.75" x14ac:dyDescent="0.2">
      <c r="B594" s="43"/>
      <c r="C594" s="39" t="s">
        <v>456</v>
      </c>
      <c r="D594" s="60">
        <v>1</v>
      </c>
      <c r="E594" s="40">
        <v>14.55</v>
      </c>
      <c r="F594" s="40"/>
      <c r="G594" s="40"/>
      <c r="H594" s="40">
        <f>IF(AND(F594=0,G594=0),D594*E594,IF(AND(E594=0,G594=0),D594*F594,IF(AND(E594=0,F594=0),D594*G594,IF(AND(E594=0),D594*F594*G594,IF(AND(F594=0),D594*E594*G594,IF(AND(G594=0),D594*E594*F594,D594*E594*F594*G594))))))</f>
        <v>14.55</v>
      </c>
      <c r="I594" s="44"/>
      <c r="J594" s="45"/>
    </row>
    <row r="595" spans="2:10" s="1" customFormat="1" ht="12.75" x14ac:dyDescent="0.2">
      <c r="B595" s="43" t="s">
        <v>268</v>
      </c>
      <c r="C595" s="43" t="s">
        <v>347</v>
      </c>
      <c r="D595" s="60"/>
      <c r="E595" s="40"/>
      <c r="F595" s="40"/>
      <c r="G595" s="40"/>
      <c r="H595" s="40"/>
      <c r="I595" s="44">
        <f>SUM(H596:H597)</f>
        <v>16.05</v>
      </c>
      <c r="J595" s="45" t="s">
        <v>345</v>
      </c>
    </row>
    <row r="596" spans="2:10" s="1" customFormat="1" ht="12.75" x14ac:dyDescent="0.2">
      <c r="B596" s="43"/>
      <c r="C596" s="39" t="s">
        <v>528</v>
      </c>
      <c r="D596" s="60">
        <v>1</v>
      </c>
      <c r="E596" s="89">
        <v>14.55</v>
      </c>
      <c r="F596" s="40"/>
      <c r="G596" s="40"/>
      <c r="H596" s="40">
        <f>IF(AND(F596=0,G596=0),D596*E596,IF(AND(E596=0,G596=0),D596*F596,IF(AND(E596=0,F596=0),D596*G596,IF(AND(E596=0),D596*F596*G596,IF(AND(F596=0),D596*E596*G596,IF(AND(G596=0),D596*E596*F596,D596*E596*F596*G596))))))</f>
        <v>14.55</v>
      </c>
      <c r="I596" s="40"/>
      <c r="J596" s="41"/>
    </row>
    <row r="597" spans="2:10" s="1" customFormat="1" ht="12.75" x14ac:dyDescent="0.2">
      <c r="B597" s="57"/>
      <c r="C597" s="39" t="s">
        <v>656</v>
      </c>
      <c r="D597" s="40">
        <v>1</v>
      </c>
      <c r="E597" s="40">
        <v>1.5</v>
      </c>
      <c r="F597" s="40"/>
      <c r="G597" s="40"/>
      <c r="H597" s="40">
        <f>IF(AND(F597=0,G597=0),D597*E597,IF(AND(E597=0,G597=0),D597*F597,IF(AND(E597=0,F597=0),D597*G597,IF(AND(E597=0),D597*F597*G597,IF(AND(F597=0),D597*E597*G597,IF(AND(G597=0),D597*E597*F597,D597*E597*F597*G597))))))</f>
        <v>1.5</v>
      </c>
      <c r="I597" s="40"/>
      <c r="J597" s="41"/>
    </row>
    <row r="598" spans="2:10" s="1" customFormat="1" ht="12.75" x14ac:dyDescent="0.2">
      <c r="B598" s="57"/>
      <c r="C598" s="39"/>
      <c r="D598" s="60"/>
      <c r="E598" s="40"/>
      <c r="F598" s="40"/>
      <c r="G598" s="40"/>
      <c r="H598" s="40"/>
      <c r="I598" s="40"/>
      <c r="J598" s="41"/>
    </row>
    <row r="599" spans="2:10" s="1" customFormat="1" ht="12.75" x14ac:dyDescent="0.2">
      <c r="B599" s="43" t="s">
        <v>270</v>
      </c>
      <c r="C599" s="43" t="s">
        <v>269</v>
      </c>
      <c r="D599" s="60"/>
      <c r="E599" s="40"/>
      <c r="F599" s="40"/>
      <c r="G599" s="40"/>
      <c r="H599" s="40"/>
      <c r="I599" s="44">
        <f>SUM(H600:H601)</f>
        <v>0</v>
      </c>
      <c r="J599" s="45">
        <f>+J596</f>
        <v>0</v>
      </c>
    </row>
    <row r="600" spans="2:10" s="1" customFormat="1" ht="12.75" x14ac:dyDescent="0.2">
      <c r="B600" s="57"/>
      <c r="C600" s="39"/>
      <c r="D600" s="60"/>
      <c r="E600" s="40"/>
      <c r="F600" s="40"/>
      <c r="G600" s="40"/>
      <c r="H600" s="40">
        <f>IF(AND(F600=0,G600=0),D600*E600,IF(AND(E600=0,G600=0),D600*F600,IF(AND(E600=0,F600=0),D600*G600,IF(AND(E600=0),D600*F600*G600,IF(AND(F600=0),D600*E600*G600,IF(AND(G600=0),D600*E600*F600,D600*E600*F600*G600))))))</f>
        <v>0</v>
      </c>
      <c r="I600" s="40"/>
      <c r="J600" s="41"/>
    </row>
    <row r="601" spans="2:10" s="1" customFormat="1" ht="12.75" x14ac:dyDescent="0.2">
      <c r="B601" s="43" t="s">
        <v>342</v>
      </c>
      <c r="C601" s="43" t="s">
        <v>271</v>
      </c>
      <c r="D601" s="60"/>
      <c r="E601" s="40"/>
      <c r="F601" s="40"/>
      <c r="G601" s="40"/>
      <c r="H601" s="40"/>
      <c r="I601" s="44">
        <f>SUM(H602:H603)</f>
        <v>5</v>
      </c>
      <c r="J601" s="45" t="str">
        <f>+J602</f>
        <v>und</v>
      </c>
    </row>
    <row r="602" spans="2:10" s="1" customFormat="1" ht="12.75" x14ac:dyDescent="0.2">
      <c r="B602" s="57"/>
      <c r="C602" s="39" t="s">
        <v>370</v>
      </c>
      <c r="D602" s="40">
        <v>4</v>
      </c>
      <c r="E602" s="40"/>
      <c r="F602" s="40"/>
      <c r="G602" s="40"/>
      <c r="H602" s="40">
        <f>+D602</f>
        <v>4</v>
      </c>
      <c r="I602" s="40"/>
      <c r="J602" s="41" t="s">
        <v>13</v>
      </c>
    </row>
    <row r="603" spans="2:10" s="1" customFormat="1" ht="12.75" x14ac:dyDescent="0.2">
      <c r="B603" s="57"/>
      <c r="C603" s="39" t="s">
        <v>640</v>
      </c>
      <c r="D603" s="60">
        <v>1</v>
      </c>
      <c r="E603" s="40"/>
      <c r="F603" s="40"/>
      <c r="G603" s="40"/>
      <c r="H603" s="40">
        <f>+D603</f>
        <v>1</v>
      </c>
      <c r="I603" s="40"/>
      <c r="J603" s="41"/>
    </row>
    <row r="604" spans="2:10" s="1" customFormat="1" ht="12.75" x14ac:dyDescent="0.2">
      <c r="B604" s="43" t="s">
        <v>346</v>
      </c>
      <c r="C604" s="43" t="s">
        <v>348</v>
      </c>
      <c r="D604" s="60"/>
      <c r="E604" s="40"/>
      <c r="F604" s="40"/>
      <c r="H604" s="40"/>
      <c r="I604" s="44">
        <f>SUM(H605:H606)</f>
        <v>2</v>
      </c>
      <c r="J604" s="45" t="str">
        <f>+J605</f>
        <v>und</v>
      </c>
    </row>
    <row r="605" spans="2:10" s="1" customFormat="1" ht="12.75" x14ac:dyDescent="0.2">
      <c r="B605" s="57"/>
      <c r="C605" s="39" t="s">
        <v>349</v>
      </c>
      <c r="D605" s="40">
        <v>1</v>
      </c>
      <c r="E605" s="40"/>
      <c r="F605" s="40"/>
      <c r="G605" s="40"/>
      <c r="H605" s="40">
        <f>+D605</f>
        <v>1</v>
      </c>
      <c r="I605" s="40"/>
      <c r="J605" s="41" t="s">
        <v>13</v>
      </c>
    </row>
    <row r="606" spans="2:10" s="1" customFormat="1" ht="12.75" x14ac:dyDescent="0.2">
      <c r="B606" s="57"/>
      <c r="C606" s="39" t="s">
        <v>640</v>
      </c>
      <c r="D606" s="60">
        <v>1</v>
      </c>
      <c r="E606" s="40"/>
      <c r="F606" s="40"/>
      <c r="G606" s="40"/>
      <c r="H606" s="40">
        <f>+D606</f>
        <v>1</v>
      </c>
      <c r="I606" s="40"/>
      <c r="J606" s="41"/>
    </row>
    <row r="607" spans="2:10" s="1" customFormat="1" ht="12.75" x14ac:dyDescent="0.2">
      <c r="B607" s="57" t="s">
        <v>16</v>
      </c>
      <c r="C607" s="58" t="s">
        <v>224</v>
      </c>
      <c r="D607" s="60"/>
      <c r="E607" s="40"/>
      <c r="F607" s="40"/>
      <c r="G607" s="40"/>
      <c r="H607" s="40"/>
      <c r="I607" s="40"/>
      <c r="J607" s="41"/>
    </row>
    <row r="608" spans="2:10" s="1" customFormat="1" ht="12.75" x14ac:dyDescent="0.2">
      <c r="B608" s="43" t="s">
        <v>17</v>
      </c>
      <c r="C608" s="43" t="s">
        <v>343</v>
      </c>
      <c r="D608" s="60"/>
      <c r="E608" s="40"/>
      <c r="F608" s="40"/>
      <c r="G608" s="40"/>
      <c r="H608" s="40"/>
      <c r="I608" s="44">
        <f>SUM(H609:H609)</f>
        <v>0</v>
      </c>
      <c r="J608" s="45" t="str">
        <f>+J609</f>
        <v>ml</v>
      </c>
    </row>
    <row r="609" spans="2:10" s="1" customFormat="1" ht="12.75" x14ac:dyDescent="0.2">
      <c r="B609" s="57"/>
      <c r="C609" s="39" t="s">
        <v>344</v>
      </c>
      <c r="D609" s="40"/>
      <c r="E609" s="40"/>
      <c r="F609" s="40"/>
      <c r="G609" s="40"/>
      <c r="H609" s="40">
        <f>IF(AND(F609=0,G609=0),D609*E609,IF(AND(E609=0,G609=0),D609*F609,IF(AND(E609=0,F609=0),D609*G609,IF(AND(E609=0),D609*F609*G609,IF(AND(F609=0),D609*E609*G609,IF(AND(G609=0),D609*E609*F609,D609*E609*F609*G609))))))</f>
        <v>0</v>
      </c>
      <c r="I609" s="40"/>
      <c r="J609" s="41" t="str">
        <f>IF(AND(E609=0,F609&lt;&gt;0,G609&lt;&gt;0),"m2",IF(AND(F609=0,E609&lt;&gt;0,G609&lt;&gt;0),"m2",IF(AND(G609=0,E609&lt;&gt;0,F609&lt;&gt;0),"m2",IF(AND(F609=0,G609=0),"ml",IF(AND(E609=0,G609=0),"ml",IF(AND(E609=0,F609=0),"ml",IF(AND(E609&lt;&gt;0,F609&lt;&gt;0,G609&lt;&gt;0),"m3",0)))))))</f>
        <v>ml</v>
      </c>
    </row>
    <row r="610" spans="2:10" s="1" customFormat="1" ht="12.75" x14ac:dyDescent="0.2">
      <c r="B610" s="43" t="s">
        <v>240</v>
      </c>
      <c r="C610" s="43" t="s">
        <v>237</v>
      </c>
      <c r="D610" s="60"/>
      <c r="E610" s="40"/>
      <c r="F610" s="40"/>
      <c r="G610" s="40"/>
      <c r="H610" s="40"/>
      <c r="I610" s="44">
        <f>SUM(H611:H612)</f>
        <v>0</v>
      </c>
      <c r="J610" s="45" t="str">
        <f>+J611</f>
        <v>ml</v>
      </c>
    </row>
    <row r="611" spans="2:10" s="1" customFormat="1" ht="12.75" x14ac:dyDescent="0.2">
      <c r="B611" s="57"/>
      <c r="C611" s="39" t="s">
        <v>371</v>
      </c>
      <c r="D611" s="40"/>
      <c r="E611" s="40"/>
      <c r="F611" s="40"/>
      <c r="G611" s="40"/>
      <c r="H611" s="40">
        <f>IF(AND(F611=0,G611=0),D611*E611,IF(AND(E611=0,G611=0),D611*F611,IF(AND(E611=0,F611=0),D611*G611,IF(AND(E611=0),D611*F611*G611,IF(AND(F611=0),D611*E611*G611,IF(AND(G611=0),D611*E611*F611,D611*E611*F611*G611))))))</f>
        <v>0</v>
      </c>
      <c r="I611" s="40"/>
      <c r="J611" s="41" t="str">
        <f>IF(AND(E611=0,F611&lt;&gt;0,G611&lt;&gt;0),"m2",IF(AND(F611=0,E611&lt;&gt;0,G611&lt;&gt;0),"m2",IF(AND(G611=0,E611&lt;&gt;0,F611&lt;&gt;0),"m2",IF(AND(F611=0,G611=0),"ml",IF(AND(E611=0,G611=0),"ml",IF(AND(E611=0,F611=0),"ml",IF(AND(E611&lt;&gt;0,F611&lt;&gt;0,G611&lt;&gt;0),"m3",0)))))))</f>
        <v>ml</v>
      </c>
    </row>
    <row r="612" spans="2:10" s="1" customFormat="1" ht="12.75" x14ac:dyDescent="0.2">
      <c r="B612" s="57"/>
      <c r="C612" s="39" t="s">
        <v>371</v>
      </c>
      <c r="D612" s="40"/>
      <c r="E612" s="40"/>
      <c r="F612" s="40"/>
      <c r="G612" s="40"/>
      <c r="H612" s="40">
        <f>IF(AND(F612=0,G612=0),D612*E612,IF(AND(E612=0,G612=0),D612*F612,IF(AND(E612=0,F612=0),D612*G612,IF(AND(E612=0),D612*F612*G612,IF(AND(F612=0),D612*E612*G612,IF(AND(G612=0),D612*E612*F612,D612*E612*F612*G612))))))</f>
        <v>0</v>
      </c>
      <c r="I612" s="40"/>
      <c r="J612" s="41" t="str">
        <f>IF(AND(E612=0,F612&lt;&gt;0,G612&lt;&gt;0),"m2",IF(AND(F612=0,E612&lt;&gt;0,G612&lt;&gt;0),"m2",IF(AND(G612=0,E612&lt;&gt;0,F612&lt;&gt;0),"m2",IF(AND(F612=0,G612=0),"ml",IF(AND(E612=0,G612=0),"ml",IF(AND(E612=0,F612=0),"ml",IF(AND(E612&lt;&gt;0,F612&lt;&gt;0,G612&lt;&gt;0),"m3",0)))))))</f>
        <v>ml</v>
      </c>
    </row>
    <row r="613" spans="2:10" s="1" customFormat="1" ht="12.75" x14ac:dyDescent="0.2">
      <c r="B613" s="43" t="s">
        <v>241</v>
      </c>
      <c r="C613" s="43" t="s">
        <v>239</v>
      </c>
      <c r="D613" s="60"/>
      <c r="E613" s="40"/>
      <c r="F613" s="40"/>
      <c r="G613" s="40"/>
      <c r="H613" s="40"/>
      <c r="I613" s="44">
        <f>SUM(H614:H614)</f>
        <v>0</v>
      </c>
      <c r="J613" s="45" t="str">
        <f>+J614</f>
        <v>ml</v>
      </c>
    </row>
    <row r="614" spans="2:10" s="1" customFormat="1" ht="12.75" x14ac:dyDescent="0.2">
      <c r="B614" s="57"/>
      <c r="C614" s="39" t="s">
        <v>238</v>
      </c>
      <c r="D614" s="40"/>
      <c r="E614" s="40"/>
      <c r="F614" s="40"/>
      <c r="G614" s="40"/>
      <c r="H614" s="40">
        <f>IF(AND(F614=0,G614=0),D614*E614,IF(AND(E614=0,G614=0),D614*F614,IF(AND(E614=0,F614=0),D614*G614,IF(AND(E614=0),D614*F614*G614,IF(AND(F614=0),D614*E614*G614,IF(AND(G614=0),D614*E614*F614,D614*E614*F614*G614))))))</f>
        <v>0</v>
      </c>
      <c r="I614" s="40"/>
      <c r="J614" s="41" t="str">
        <f>IF(AND(E614=0,F614&lt;&gt;0,G614&lt;&gt;0),"m2",IF(AND(F614=0,E614&lt;&gt;0,G614&lt;&gt;0),"m2",IF(AND(G614=0,E614&lt;&gt;0,F614&lt;&gt;0),"m2",IF(AND(F614=0,G614=0),"ml",IF(AND(E614=0,G614=0),"ml",IF(AND(E614=0,F614=0),"ml",IF(AND(E614&lt;&gt;0,F614&lt;&gt;0,G614&lt;&gt;0),"m3",0)))))))</f>
        <v>ml</v>
      </c>
    </row>
    <row r="615" spans="2:10" s="1" customFormat="1" ht="12.75" x14ac:dyDescent="0.2">
      <c r="B615" s="43" t="s">
        <v>243</v>
      </c>
      <c r="C615" s="43" t="s">
        <v>242</v>
      </c>
      <c r="D615" s="60"/>
      <c r="E615" s="40"/>
      <c r="F615" s="40"/>
      <c r="G615" s="40"/>
      <c r="H615" s="40"/>
      <c r="I615" s="44">
        <f>SUM(H616:H616)</f>
        <v>0</v>
      </c>
      <c r="J615" s="45" t="str">
        <f>+J616</f>
        <v>ml</v>
      </c>
    </row>
    <row r="616" spans="2:10" s="1" customFormat="1" ht="12.75" x14ac:dyDescent="0.2">
      <c r="B616" s="57"/>
      <c r="C616" s="39" t="s">
        <v>238</v>
      </c>
      <c r="D616" s="40"/>
      <c r="E616" s="40"/>
      <c r="F616" s="40"/>
      <c r="G616" s="40"/>
      <c r="H616" s="40">
        <f>IF(AND(F616=0,G616=0),D616*E616,IF(AND(E616=0,G616=0),D616*F616,IF(AND(E616=0,F616=0),D616*G616,IF(AND(E616=0),D616*F616*G616,IF(AND(F616=0),D616*E616*G616,IF(AND(G616=0),D616*E616*F616,D616*E616*F616*G616))))))</f>
        <v>0</v>
      </c>
      <c r="I616" s="40"/>
      <c r="J616" s="41" t="str">
        <f>IF(AND(E616=0,F616&lt;&gt;0,G616&lt;&gt;0),"m2",IF(AND(F616=0,E616&lt;&gt;0,G616&lt;&gt;0),"m2",IF(AND(G616=0,E616&lt;&gt;0,F616&lt;&gt;0),"m2",IF(AND(F616=0,G616=0),"ml",IF(AND(E616=0,G616=0),"ml",IF(AND(E616=0,F616=0),"ml",IF(AND(E616&lt;&gt;0,F616&lt;&gt;0,G616&lt;&gt;0),"m3",0)))))))</f>
        <v>ml</v>
      </c>
    </row>
    <row r="617" spans="2:10" s="1" customFormat="1" ht="12.75" x14ac:dyDescent="0.2">
      <c r="B617" s="43" t="s">
        <v>244</v>
      </c>
      <c r="C617" s="43" t="s">
        <v>245</v>
      </c>
      <c r="D617" s="60"/>
      <c r="E617" s="40"/>
      <c r="F617" s="40"/>
      <c r="G617" s="40"/>
      <c r="H617" s="40"/>
      <c r="I617" s="44">
        <f>SUM(H618:H618)</f>
        <v>0</v>
      </c>
      <c r="J617" s="45" t="str">
        <f>+J618</f>
        <v>ml</v>
      </c>
    </row>
    <row r="618" spans="2:10" s="1" customFormat="1" ht="12.75" x14ac:dyDescent="0.2">
      <c r="B618" s="57"/>
      <c r="C618" s="39" t="s">
        <v>238</v>
      </c>
      <c r="D618" s="40"/>
      <c r="E618" s="40"/>
      <c r="F618" s="40"/>
      <c r="G618" s="40"/>
      <c r="H618" s="40">
        <f>IF(AND(F618=0,G618=0),D618*E618,IF(AND(E618=0,G618=0),D618*F618,IF(AND(E618=0,F618=0),D618*G618,IF(AND(E618=0),D618*F618*G618,IF(AND(F618=0),D618*E618*G618,IF(AND(G618=0),D618*E618*F618,D618*E618*F618*G618))))))</f>
        <v>0</v>
      </c>
      <c r="I618" s="40"/>
      <c r="J618" s="41" t="str">
        <f>IF(AND(E618=0,F618&lt;&gt;0,G618&lt;&gt;0),"m2",IF(AND(F618=0,E618&lt;&gt;0,G618&lt;&gt;0),"m2",IF(AND(G618=0,E618&lt;&gt;0,F618&lt;&gt;0),"m2",IF(AND(F618=0,G618=0),"ml",IF(AND(E618=0,G618=0),"ml",IF(AND(E618=0,F618=0),"ml",IF(AND(E618&lt;&gt;0,F618&lt;&gt;0,G618&lt;&gt;0),"m3",0)))))))</f>
        <v>ml</v>
      </c>
    </row>
    <row r="619" spans="2:10" s="1" customFormat="1" ht="12.75" x14ac:dyDescent="0.2">
      <c r="B619" s="43" t="s">
        <v>248</v>
      </c>
      <c r="C619" s="43" t="s">
        <v>246</v>
      </c>
      <c r="D619" s="60"/>
      <c r="E619" s="40"/>
      <c r="F619" s="40"/>
      <c r="G619" s="40"/>
      <c r="H619" s="40"/>
      <c r="I619" s="44">
        <f>SUM(H620:H620)</f>
        <v>0</v>
      </c>
      <c r="J619" s="45" t="str">
        <f>+J620</f>
        <v>ml</v>
      </c>
    </row>
    <row r="620" spans="2:10" s="1" customFormat="1" ht="12.75" x14ac:dyDescent="0.2">
      <c r="B620" s="57"/>
      <c r="C620" s="39" t="s">
        <v>238</v>
      </c>
      <c r="D620" s="40"/>
      <c r="E620" s="40"/>
      <c r="F620" s="40"/>
      <c r="G620" s="40"/>
      <c r="H620" s="40">
        <f>IF(AND(F620=0,G620=0),D620*E620,IF(AND(E620=0,G620=0),D620*F620,IF(AND(E620=0,F620=0),D620*G620,IF(AND(E620=0),D620*F620*G620,IF(AND(F620=0),D620*E620*G620,IF(AND(G620=0),D620*E620*F620,D620*E620*F620*G620))))))</f>
        <v>0</v>
      </c>
      <c r="I620" s="40"/>
      <c r="J620" s="41" t="str">
        <f>IF(AND(E620=0,F620&lt;&gt;0,G620&lt;&gt;0),"m2",IF(AND(F620=0,E620&lt;&gt;0,G620&lt;&gt;0),"m2",IF(AND(G620=0,E620&lt;&gt;0,F620&lt;&gt;0),"m2",IF(AND(F620=0,G620=0),"ml",IF(AND(E620=0,G620=0),"ml",IF(AND(E620=0,F620=0),"ml",IF(AND(E620&lt;&gt;0,F620&lt;&gt;0,G620&lt;&gt;0),"m3",0)))))))</f>
        <v>ml</v>
      </c>
    </row>
    <row r="621" spans="2:10" s="1" customFormat="1" ht="12.75" x14ac:dyDescent="0.2">
      <c r="B621" s="43" t="s">
        <v>249</v>
      </c>
      <c r="C621" s="43" t="s">
        <v>247</v>
      </c>
      <c r="D621" s="60"/>
      <c r="E621" s="40"/>
      <c r="F621" s="40"/>
      <c r="G621" s="40"/>
      <c r="H621" s="40"/>
      <c r="I621" s="44">
        <f>SUM(H622:H622)</f>
        <v>0</v>
      </c>
      <c r="J621" s="45" t="str">
        <f>+J622</f>
        <v>ml</v>
      </c>
    </row>
    <row r="622" spans="2:10" s="1" customFormat="1" ht="12.75" x14ac:dyDescent="0.2">
      <c r="B622" s="57"/>
      <c r="C622" s="39" t="s">
        <v>238</v>
      </c>
      <c r="D622" s="40"/>
      <c r="E622" s="40"/>
      <c r="F622" s="40"/>
      <c r="G622" s="40"/>
      <c r="H622" s="40">
        <f>IF(AND(F622=0,G622=0),D622*E622,IF(AND(E622=0,G622=0),D622*F622,IF(AND(E622=0,F622=0),D622*G622,IF(AND(E622=0),D622*F622*G622,IF(AND(F622=0),D622*E622*G622,IF(AND(G622=0),D622*E622*F622,D622*E622*F622*G622))))))</f>
        <v>0</v>
      </c>
      <c r="I622" s="40"/>
      <c r="J622" s="41" t="str">
        <f>IF(AND(E622=0,F622&lt;&gt;0,G622&lt;&gt;0),"m2",IF(AND(F622=0,E622&lt;&gt;0,G622&lt;&gt;0),"m2",IF(AND(G622=0,E622&lt;&gt;0,F622&lt;&gt;0),"m2",IF(AND(F622=0,G622=0),"ml",IF(AND(E622=0,G622=0),"ml",IF(AND(E622=0,F622=0),"ml",IF(AND(E622&lt;&gt;0,F622&lt;&gt;0,G622&lt;&gt;0),"m3",0)))))))</f>
        <v>ml</v>
      </c>
    </row>
    <row r="623" spans="2:10" s="1" customFormat="1" ht="12.75" x14ac:dyDescent="0.2">
      <c r="B623" s="43" t="s">
        <v>256</v>
      </c>
      <c r="C623" s="43" t="s">
        <v>226</v>
      </c>
      <c r="D623" s="60"/>
      <c r="E623" s="40"/>
      <c r="F623" s="40"/>
      <c r="G623" s="40"/>
      <c r="H623" s="40"/>
      <c r="I623" s="44">
        <f>SUM(H624:H625)</f>
        <v>0</v>
      </c>
      <c r="J623" s="45" t="str">
        <f>+J625</f>
        <v>ml</v>
      </c>
    </row>
    <row r="624" spans="2:10" s="1" customFormat="1" ht="12.75" x14ac:dyDescent="0.2">
      <c r="B624" s="43"/>
      <c r="C624" s="39" t="s">
        <v>371</v>
      </c>
      <c r="D624" s="40"/>
      <c r="E624" s="40"/>
      <c r="F624" s="40"/>
      <c r="G624" s="40"/>
      <c r="H624" s="40">
        <f>IF(AND(F624=0,G624=0),D624*E624,IF(AND(E624=0,G624=0),D624*F624,IF(AND(E624=0,F624=0),D624*G624,IF(AND(E624=0),D624*F624*G624,IF(AND(F624=0),D624*E624*G624,IF(AND(G624=0),D624*E624*F624,D624*E624*F624*G624))))))</f>
        <v>0</v>
      </c>
      <c r="I624" s="40"/>
      <c r="J624" s="41" t="str">
        <f>IF(AND(E624=0,F624&lt;&gt;0,G624&lt;&gt;0),"m2",IF(AND(F624=0,E624&lt;&gt;0,G624&lt;&gt;0),"m2",IF(AND(G624=0,E624&lt;&gt;0,F624&lt;&gt;0),"m2",IF(AND(F624=0,G624=0),"ml",IF(AND(E624=0,G624=0),"ml",IF(AND(E624=0,F624=0),"ml",IF(AND(E624&lt;&gt;0,F624&lt;&gt;0,G624&lt;&gt;0),"m3",0)))))))</f>
        <v>ml</v>
      </c>
    </row>
    <row r="625" spans="2:10" s="1" customFormat="1" ht="12.75" x14ac:dyDescent="0.2">
      <c r="B625" s="57"/>
      <c r="C625" s="39" t="s">
        <v>371</v>
      </c>
      <c r="D625" s="40"/>
      <c r="E625" s="40"/>
      <c r="F625" s="40"/>
      <c r="G625" s="40"/>
      <c r="H625" s="40">
        <f>IF(AND(F625=0,G625=0),D625*E625,IF(AND(E625=0,G625=0),D625*F625,IF(AND(E625=0,F625=0),D625*G625,IF(AND(E625=0),D625*F625*G625,IF(AND(F625=0),D625*E625*G625,IF(AND(G625=0),D625*E625*F625,D625*E625*F625*G625))))))</f>
        <v>0</v>
      </c>
      <c r="I625" s="40"/>
      <c r="J625" s="41" t="str">
        <f>IF(AND(E625=0,F625&lt;&gt;0,G625&lt;&gt;0),"m2",IF(AND(F625=0,E625&lt;&gt;0,G625&lt;&gt;0),"m2",IF(AND(G625=0,E625&lt;&gt;0,F625&lt;&gt;0),"m2",IF(AND(F625=0,G625=0),"ml",IF(AND(E625=0,G625=0),"ml",IF(AND(E625=0,F625=0),"ml",IF(AND(E625&lt;&gt;0,F625&lt;&gt;0,G625&lt;&gt;0),"m3",0)))))))</f>
        <v>ml</v>
      </c>
    </row>
    <row r="626" spans="2:10" s="1" customFormat="1" ht="12.75" x14ac:dyDescent="0.2">
      <c r="B626" s="43" t="s">
        <v>596</v>
      </c>
      <c r="C626" s="43" t="s">
        <v>472</v>
      </c>
      <c r="D626" s="60"/>
      <c r="E626" s="40"/>
      <c r="F626" s="40"/>
      <c r="G626" s="40"/>
      <c r="H626" s="40"/>
      <c r="I626" s="44">
        <f>+SUM(H627)</f>
        <v>7.75</v>
      </c>
      <c r="J626" s="45" t="s">
        <v>345</v>
      </c>
    </row>
    <row r="627" spans="2:10" s="1" customFormat="1" ht="12.75" x14ac:dyDescent="0.2">
      <c r="B627" s="43"/>
      <c r="C627" s="39" t="s">
        <v>482</v>
      </c>
      <c r="D627" s="60">
        <v>1</v>
      </c>
      <c r="E627" s="40">
        <f>3.8+3.95</f>
        <v>7.75</v>
      </c>
      <c r="F627" s="40"/>
      <c r="G627" s="40"/>
      <c r="H627" s="40">
        <f>IF(AND(F627=0,G627=0),D627*E627,IF(AND(E627=0,G627=0),D627*F627,IF(AND(E627=0,F627=0),D627*G627,IF(AND(E627=0),D627*F627*G627,IF(AND(F627=0),D627*E627*G627,IF(AND(G627=0),D627*E627*F627,D627*E627*F627*G627))))))</f>
        <v>7.75</v>
      </c>
      <c r="I627" s="44"/>
      <c r="J627" s="45"/>
    </row>
    <row r="628" spans="2:10" s="1" customFormat="1" ht="12.75" x14ac:dyDescent="0.2">
      <c r="B628" s="43"/>
      <c r="C628" s="39"/>
      <c r="D628" s="60"/>
      <c r="E628" s="40"/>
      <c r="F628" s="40"/>
      <c r="G628" s="40"/>
      <c r="H628" s="40"/>
      <c r="I628" s="44"/>
      <c r="J628" s="45"/>
    </row>
    <row r="629" spans="2:10" s="1" customFormat="1" ht="12.75" x14ac:dyDescent="0.2">
      <c r="B629" s="43" t="s">
        <v>257</v>
      </c>
      <c r="C629" s="43" t="s">
        <v>228</v>
      </c>
      <c r="D629" s="60"/>
      <c r="E629" s="40"/>
      <c r="F629" s="40"/>
      <c r="G629" s="40"/>
      <c r="H629" s="40"/>
      <c r="I629" s="44">
        <f>SUM(H630:H630)</f>
        <v>7.35</v>
      </c>
      <c r="J629" s="45" t="str">
        <f>+J630</f>
        <v>ml</v>
      </c>
    </row>
    <row r="630" spans="2:10" s="1" customFormat="1" ht="12.75" x14ac:dyDescent="0.2">
      <c r="B630" s="57"/>
      <c r="C630" s="39" t="s">
        <v>484</v>
      </c>
      <c r="D630" s="40">
        <v>1</v>
      </c>
      <c r="E630" s="40">
        <v>7.35</v>
      </c>
      <c r="F630" s="40"/>
      <c r="G630" s="40"/>
      <c r="H630" s="40">
        <f>IF(AND(F630=0,G630=0),D630*E630,IF(AND(E630=0,G630=0),D630*F630,IF(AND(E630=0,F630=0),D630*G630,IF(AND(E630=0),D630*F630*G630,IF(AND(F630=0),D630*E630*G630,IF(AND(G630=0),D630*E630*F630,D630*E630*F630*G630))))))</f>
        <v>7.35</v>
      </c>
      <c r="I630" s="40"/>
      <c r="J630" s="41" t="str">
        <f>IF(AND(E630=0,F630&lt;&gt;0,G630&lt;&gt;0),"m2",IF(AND(F630=0,E630&lt;&gt;0,G630&lt;&gt;0),"m2",IF(AND(G630=0,E630&lt;&gt;0,F630&lt;&gt;0),"m2",IF(AND(F630=0,G630=0),"ml",IF(AND(E630=0,G630=0),"ml",IF(AND(E630=0,F630=0),"ml",IF(AND(E630&lt;&gt;0,F630&lt;&gt;0,G630&lt;&gt;0),"m3",0)))))))</f>
        <v>ml</v>
      </c>
    </row>
    <row r="631" spans="2:10" s="1" customFormat="1" ht="12.75" x14ac:dyDescent="0.2">
      <c r="B631" s="57"/>
      <c r="C631" s="39"/>
      <c r="D631" s="60"/>
      <c r="E631" s="40"/>
      <c r="F631" s="40"/>
      <c r="G631" s="40"/>
      <c r="H631" s="40"/>
      <c r="I631" s="40"/>
      <c r="J631" s="41"/>
    </row>
    <row r="632" spans="2:10" s="1" customFormat="1" ht="12.75" x14ac:dyDescent="0.2">
      <c r="B632" s="43" t="s">
        <v>258</v>
      </c>
      <c r="C632" s="43" t="s">
        <v>250</v>
      </c>
      <c r="D632" s="60"/>
      <c r="E632" s="40"/>
      <c r="F632" s="40"/>
      <c r="G632" s="40"/>
      <c r="H632" s="40"/>
      <c r="I632" s="44">
        <f>SUM(H633:H633)</f>
        <v>0</v>
      </c>
      <c r="J632" s="45" t="str">
        <f>+J633</f>
        <v>ml</v>
      </c>
    </row>
    <row r="633" spans="2:10" s="1" customFormat="1" ht="12.75" x14ac:dyDescent="0.2">
      <c r="B633" s="57"/>
      <c r="C633" s="39" t="s">
        <v>386</v>
      </c>
      <c r="D633" s="40"/>
      <c r="E633" s="40"/>
      <c r="F633" s="40"/>
      <c r="G633" s="40"/>
      <c r="H633" s="40">
        <f>IF(AND(F633=0,G633=0),D633*E633,IF(AND(E633=0,G633=0),D633*F633,IF(AND(E633=0,F633=0),D633*G633,IF(AND(E633=0),D633*F633*G633,IF(AND(F633=0),D633*E633*G633,IF(AND(G633=0),D633*E633*F633,D633*E633*F633*G633))))))</f>
        <v>0</v>
      </c>
      <c r="I633" s="40"/>
      <c r="J633" s="41" t="str">
        <f>IF(AND(E633=0,F633&lt;&gt;0,G633&lt;&gt;0),"m2",IF(AND(F633=0,E633&lt;&gt;0,G633&lt;&gt;0),"m2",IF(AND(G633=0,E633&lt;&gt;0,F633&lt;&gt;0),"m2",IF(AND(F633=0,G633=0),"ml",IF(AND(E633=0,G633=0),"ml",IF(AND(E633=0,F633=0),"ml",IF(AND(E633&lt;&gt;0,F633&lt;&gt;0,G633&lt;&gt;0),"m3",0)))))))</f>
        <v>ml</v>
      </c>
    </row>
    <row r="634" spans="2:10" s="1" customFormat="1" ht="12.75" x14ac:dyDescent="0.2">
      <c r="B634" s="43" t="s">
        <v>259</v>
      </c>
      <c r="C634" s="43" t="s">
        <v>251</v>
      </c>
      <c r="D634" s="60"/>
      <c r="E634" s="40"/>
      <c r="F634" s="40"/>
      <c r="G634" s="40"/>
      <c r="H634" s="40"/>
      <c r="I634" s="44">
        <f>SUM(H635:H635)</f>
        <v>0</v>
      </c>
      <c r="J634" s="45" t="str">
        <f>+J635</f>
        <v>ml</v>
      </c>
    </row>
    <row r="635" spans="2:10" s="1" customFormat="1" ht="12.75" x14ac:dyDescent="0.2">
      <c r="B635" s="57"/>
      <c r="C635" s="39" t="s">
        <v>238</v>
      </c>
      <c r="D635" s="40"/>
      <c r="E635" s="40"/>
      <c r="F635" s="40"/>
      <c r="G635" s="40"/>
      <c r="H635" s="40">
        <f>IF(AND(F635=0,G635=0),D635*E635,IF(AND(E635=0,G635=0),D635*F635,IF(AND(E635=0,F635=0),D635*G635,IF(AND(E635=0),D635*F635*G635,IF(AND(F635=0),D635*E635*G635,IF(AND(G635=0),D635*E635*F635,D635*E635*F635*G635))))))</f>
        <v>0</v>
      </c>
      <c r="I635" s="40"/>
      <c r="J635" s="41" t="str">
        <f>IF(AND(E635=0,F635&lt;&gt;0,G635&lt;&gt;0),"m2",IF(AND(F635=0,E635&lt;&gt;0,G635&lt;&gt;0),"m2",IF(AND(G635=0,E635&lt;&gt;0,F635&lt;&gt;0),"m2",IF(AND(F635=0,G635=0),"ml",IF(AND(E635=0,G635=0),"ml",IF(AND(E635=0,F635=0),"ml",IF(AND(E635&lt;&gt;0,F635&lt;&gt;0,G635&lt;&gt;0),"m3",0)))))))</f>
        <v>ml</v>
      </c>
    </row>
    <row r="636" spans="2:10" s="1" customFormat="1" ht="12.75" x14ac:dyDescent="0.2">
      <c r="B636" s="43" t="s">
        <v>260</v>
      </c>
      <c r="C636" s="43" t="s">
        <v>252</v>
      </c>
      <c r="D636" s="60"/>
      <c r="E636" s="40"/>
      <c r="F636" s="40"/>
      <c r="G636" s="40"/>
      <c r="H636" s="40"/>
      <c r="I636" s="44">
        <f>SUM(H637:H637)</f>
        <v>0</v>
      </c>
      <c r="J636" s="45" t="str">
        <f>+J637</f>
        <v>ml</v>
      </c>
    </row>
    <row r="637" spans="2:10" s="1" customFormat="1" ht="12.75" x14ac:dyDescent="0.2">
      <c r="B637" s="57"/>
      <c r="C637" s="39" t="s">
        <v>238</v>
      </c>
      <c r="D637" s="40"/>
      <c r="E637" s="40"/>
      <c r="F637" s="40"/>
      <c r="G637" s="40"/>
      <c r="H637" s="40">
        <f>IF(AND(F637=0,G637=0),D637*E637,IF(AND(E637=0,G637=0),D637*F637,IF(AND(E637=0,F637=0),D637*G637,IF(AND(E637=0),D637*F637*G637,IF(AND(F637=0),D637*E637*G637,IF(AND(G637=0),D637*E637*F637,D637*E637*F637*G637))))))</f>
        <v>0</v>
      </c>
      <c r="I637" s="40"/>
      <c r="J637" s="41" t="str">
        <f>IF(AND(E637=0,F637&lt;&gt;0,G637&lt;&gt;0),"m2",IF(AND(F637=0,E637&lt;&gt;0,G637&lt;&gt;0),"m2",IF(AND(G637=0,E637&lt;&gt;0,F637&lt;&gt;0),"m2",IF(AND(F637=0,G637=0),"ml",IF(AND(E637=0,G637=0),"ml",IF(AND(E637=0,F637=0),"ml",IF(AND(E637&lt;&gt;0,F637&lt;&gt;0,G637&lt;&gt;0),"m3",0)))))))</f>
        <v>ml</v>
      </c>
    </row>
    <row r="638" spans="2:10" s="1" customFormat="1" ht="12.75" x14ac:dyDescent="0.2">
      <c r="B638" s="43" t="s">
        <v>261</v>
      </c>
      <c r="C638" s="43" t="s">
        <v>253</v>
      </c>
      <c r="D638" s="60"/>
      <c r="E638" s="40"/>
      <c r="F638" s="40"/>
      <c r="G638" s="40"/>
      <c r="H638" s="40"/>
      <c r="I638" s="44">
        <f>SUM(H639:H641)</f>
        <v>0</v>
      </c>
      <c r="J638" s="45" t="str">
        <f>+J641</f>
        <v>und</v>
      </c>
    </row>
    <row r="639" spans="2:10" s="1" customFormat="1" ht="12.75" x14ac:dyDescent="0.2">
      <c r="B639" s="43"/>
      <c r="C639" s="39" t="s">
        <v>383</v>
      </c>
      <c r="D639" s="40"/>
      <c r="E639" s="40"/>
      <c r="F639" s="40"/>
      <c r="G639" s="40"/>
      <c r="H639" s="40">
        <f t="shared" ref="H639:H641" si="33">+D639</f>
        <v>0</v>
      </c>
      <c r="I639" s="40"/>
      <c r="J639" s="41" t="s">
        <v>13</v>
      </c>
    </row>
    <row r="640" spans="2:10" s="1" customFormat="1" ht="12.75" x14ac:dyDescent="0.2">
      <c r="B640" s="43"/>
      <c r="C640" s="39" t="s">
        <v>381</v>
      </c>
      <c r="D640" s="40"/>
      <c r="E640" s="40"/>
      <c r="F640" s="40"/>
      <c r="G640" s="40"/>
      <c r="H640" s="40">
        <f t="shared" si="33"/>
        <v>0</v>
      </c>
      <c r="I640" s="40"/>
      <c r="J640" s="41" t="s">
        <v>13</v>
      </c>
    </row>
    <row r="641" spans="2:10" s="1" customFormat="1" ht="12.75" x14ac:dyDescent="0.2">
      <c r="B641" s="57"/>
      <c r="C641" s="39" t="s">
        <v>382</v>
      </c>
      <c r="D641" s="40"/>
      <c r="E641" s="40"/>
      <c r="F641" s="40"/>
      <c r="G641" s="40"/>
      <c r="H641" s="40">
        <f t="shared" si="33"/>
        <v>0</v>
      </c>
      <c r="I641" s="40"/>
      <c r="J641" s="41" t="s">
        <v>13</v>
      </c>
    </row>
    <row r="642" spans="2:10" s="1" customFormat="1" ht="12.75" x14ac:dyDescent="0.2">
      <c r="B642" s="43" t="s">
        <v>262</v>
      </c>
      <c r="C642" s="43" t="s">
        <v>254</v>
      </c>
      <c r="D642" s="60"/>
      <c r="E642" s="40"/>
      <c r="F642" s="40"/>
      <c r="G642" s="40"/>
      <c r="H642" s="40"/>
      <c r="I642" s="44">
        <f>SUM(H643:H643)</f>
        <v>0</v>
      </c>
      <c r="J642" s="45" t="str">
        <f>+J643</f>
        <v>und</v>
      </c>
    </row>
    <row r="643" spans="2:10" s="1" customFormat="1" ht="12.75" x14ac:dyDescent="0.2">
      <c r="B643" s="57"/>
      <c r="C643" s="39" t="s">
        <v>238</v>
      </c>
      <c r="D643" s="40"/>
      <c r="E643" s="40"/>
      <c r="F643" s="40"/>
      <c r="G643" s="40"/>
      <c r="H643" s="40">
        <f>+D643</f>
        <v>0</v>
      </c>
      <c r="I643" s="40"/>
      <c r="J643" s="41" t="s">
        <v>13</v>
      </c>
    </row>
    <row r="644" spans="2:10" s="1" customFormat="1" ht="12.75" x14ac:dyDescent="0.2">
      <c r="B644" s="43" t="s">
        <v>350</v>
      </c>
      <c r="C644" s="43" t="s">
        <v>255</v>
      </c>
      <c r="D644" s="60"/>
      <c r="E644" s="40"/>
      <c r="F644" s="40"/>
      <c r="G644" s="40"/>
      <c r="H644" s="40"/>
      <c r="I644" s="44">
        <f>SUM(H645:H645)</f>
        <v>0</v>
      </c>
      <c r="J644" s="45" t="str">
        <f>+J645</f>
        <v>und</v>
      </c>
    </row>
    <row r="645" spans="2:10" s="1" customFormat="1" ht="12.75" x14ac:dyDescent="0.2">
      <c r="B645" s="57"/>
      <c r="C645" s="39" t="s">
        <v>377</v>
      </c>
      <c r="D645" s="40"/>
      <c r="E645" s="40"/>
      <c r="F645" s="40"/>
      <c r="G645" s="40"/>
      <c r="H645" s="40">
        <f>+D645</f>
        <v>0</v>
      </c>
      <c r="I645" s="40"/>
      <c r="J645" s="41" t="s">
        <v>13</v>
      </c>
    </row>
    <row r="646" spans="2:10" s="1" customFormat="1" ht="12.75" x14ac:dyDescent="0.2">
      <c r="B646" s="57"/>
      <c r="C646" s="39"/>
      <c r="D646" s="60"/>
      <c r="E646" s="40"/>
      <c r="F646" s="40"/>
      <c r="G646" s="40"/>
      <c r="H646" s="40"/>
      <c r="I646" s="40"/>
      <c r="J646" s="41"/>
    </row>
    <row r="647" spans="2:10" s="1" customFormat="1" ht="12.75" x14ac:dyDescent="0.2">
      <c r="B647" s="93" t="s">
        <v>694</v>
      </c>
      <c r="C647" s="93" t="s">
        <v>695</v>
      </c>
      <c r="D647" s="60"/>
      <c r="E647" s="40"/>
      <c r="F647" s="40"/>
      <c r="G647" s="40"/>
      <c r="H647" s="40"/>
      <c r="I647" s="44">
        <f>SUM(H648:H649)</f>
        <v>1</v>
      </c>
      <c r="J647" s="45" t="s">
        <v>345</v>
      </c>
    </row>
    <row r="648" spans="2:10" s="1" customFormat="1" ht="12.75" x14ac:dyDescent="0.2">
      <c r="B648" s="57"/>
      <c r="C648" s="39" t="s">
        <v>713</v>
      </c>
      <c r="D648" s="40">
        <v>1</v>
      </c>
      <c r="E648" s="40"/>
      <c r="F648" s="40"/>
      <c r="G648" s="40"/>
      <c r="H648" s="40">
        <f t="shared" ref="H648" si="34">+D648</f>
        <v>1</v>
      </c>
      <c r="I648" s="40"/>
      <c r="J648" s="41"/>
    </row>
    <row r="649" spans="2:10" s="1" customFormat="1" ht="12.75" x14ac:dyDescent="0.2">
      <c r="B649" s="93"/>
      <c r="C649" s="93"/>
      <c r="D649" s="60"/>
      <c r="E649" s="40"/>
      <c r="F649" s="40"/>
      <c r="G649" s="40"/>
      <c r="H649" s="40"/>
      <c r="I649" s="44"/>
      <c r="J649" s="45"/>
    </row>
    <row r="650" spans="2:10" x14ac:dyDescent="0.25">
      <c r="B650" s="93" t="s">
        <v>703</v>
      </c>
      <c r="C650" s="93" t="s">
        <v>562</v>
      </c>
      <c r="D650" s="60"/>
      <c r="E650" s="40"/>
      <c r="F650" s="40"/>
      <c r="G650" s="40"/>
      <c r="H650" s="40"/>
      <c r="I650" s="44">
        <f>SUM(H651:H652)</f>
        <v>0.5</v>
      </c>
      <c r="J650" s="45" t="s">
        <v>345</v>
      </c>
    </row>
    <row r="651" spans="2:10" s="1" customFormat="1" ht="12.75" x14ac:dyDescent="0.2">
      <c r="B651" s="93"/>
      <c r="C651" s="39" t="s">
        <v>713</v>
      </c>
      <c r="D651" s="60">
        <v>1</v>
      </c>
      <c r="E651" s="40">
        <v>0.5</v>
      </c>
      <c r="F651" s="40"/>
      <c r="G651" s="40"/>
      <c r="H651" s="40">
        <f t="shared" ref="H651" si="35">IF(AND(F651=0,G651=0),D651*E651,IF(AND(E651=0,G651=0),D651*F651,IF(AND(E651=0,F651=0),D651*G651,IF(AND(E651=0),D651*F651*G651,IF(AND(F651=0),D651*E651*G651,IF(AND(G651=0),D651*E651*F651,D651*E651*F651*G651))))))</f>
        <v>0.5</v>
      </c>
      <c r="I651" s="44"/>
      <c r="J651" s="45"/>
    </row>
    <row r="652" spans="2:10" s="1" customFormat="1" ht="12.75" x14ac:dyDescent="0.2">
      <c r="B652" s="57"/>
      <c r="C652" s="39"/>
      <c r="D652" s="60"/>
      <c r="E652" s="40"/>
      <c r="F652" s="40"/>
      <c r="G652" s="40"/>
      <c r="H652" s="40"/>
      <c r="I652" s="40"/>
      <c r="J652" s="41"/>
    </row>
    <row r="653" spans="2:10" s="1" customFormat="1" ht="12.75" x14ac:dyDescent="0.2">
      <c r="B653" s="46"/>
      <c r="C653" s="59"/>
      <c r="D653" s="60"/>
      <c r="E653" s="40"/>
      <c r="F653" s="40"/>
      <c r="G653" s="40"/>
      <c r="H653" s="40"/>
      <c r="I653" s="40"/>
      <c r="J653" s="41"/>
    </row>
    <row r="654" spans="2:10" s="1" customFormat="1" ht="12.75" x14ac:dyDescent="0.2">
      <c r="B654" s="107" t="s">
        <v>717</v>
      </c>
      <c r="C654" s="343" t="s">
        <v>735</v>
      </c>
      <c r="D654" s="60"/>
      <c r="E654" s="40"/>
      <c r="F654" s="40"/>
      <c r="G654" s="40"/>
      <c r="H654" s="40"/>
      <c r="I654" s="40">
        <f>+SUM(H655:H656)</f>
        <v>2.06</v>
      </c>
      <c r="J654" s="41" t="s">
        <v>45</v>
      </c>
    </row>
    <row r="655" spans="2:10" s="1" customFormat="1" ht="12.75" x14ac:dyDescent="0.2">
      <c r="B655" s="107"/>
      <c r="C655" s="39" t="s">
        <v>713</v>
      </c>
      <c r="D655" s="60">
        <v>1</v>
      </c>
      <c r="E655" s="40">
        <v>2</v>
      </c>
      <c r="F655" s="40"/>
      <c r="G655" s="40">
        <f>0.64+0.15</f>
        <v>0.79</v>
      </c>
      <c r="H655" s="40">
        <f t="shared" ref="H655:H656" si="36">IF(AND(F655=0,G655=0),D655*E655,IF(AND(E655=0,G655=0),D655*F655,IF(AND(E655=0,F655=0),D655*G655,IF(AND(E655=0),D655*F655*G655,IF(AND(F655=0),D655*E655*G655,IF(AND(G655=0),D655*E655*F655,D655*E655*F655*G655))))))</f>
        <v>1.58</v>
      </c>
      <c r="I655" s="40"/>
      <c r="J655" s="41"/>
    </row>
    <row r="656" spans="2:10" s="1" customFormat="1" ht="12.75" x14ac:dyDescent="0.2">
      <c r="B656" s="107"/>
      <c r="C656" s="59"/>
      <c r="D656" s="1">
        <v>1</v>
      </c>
      <c r="E656" s="40">
        <v>0.6</v>
      </c>
      <c r="F656" s="40"/>
      <c r="G656" s="40">
        <v>0.8</v>
      </c>
      <c r="H656" s="40">
        <f t="shared" si="36"/>
        <v>0.48</v>
      </c>
      <c r="I656" s="40"/>
      <c r="J656" s="41"/>
    </row>
    <row r="657" spans="2:10" s="1" customFormat="1" ht="12.75" x14ac:dyDescent="0.2">
      <c r="B657" s="46"/>
      <c r="C657" s="59"/>
      <c r="D657" s="60"/>
      <c r="E657" s="40"/>
      <c r="F657" s="40"/>
      <c r="G657" s="40"/>
      <c r="H657" s="40"/>
      <c r="I657" s="40"/>
      <c r="J657" s="41"/>
    </row>
    <row r="658" spans="2:10" s="1" customFormat="1" ht="12.75" x14ac:dyDescent="0.2">
      <c r="B658" s="57"/>
      <c r="C658" s="39"/>
      <c r="D658" s="60"/>
      <c r="E658" s="40"/>
      <c r="F658" s="40"/>
      <c r="G658" s="40"/>
      <c r="H658" s="40"/>
      <c r="I658" s="40"/>
      <c r="J658" s="41"/>
    </row>
    <row r="659" spans="2:10" s="1" customFormat="1" ht="12.75" x14ac:dyDescent="0.2">
      <c r="B659" s="57"/>
      <c r="C659" s="39"/>
      <c r="D659" s="60"/>
      <c r="E659" s="40"/>
      <c r="F659" s="40"/>
      <c r="G659" s="40"/>
      <c r="H659" s="40"/>
      <c r="I659" s="40"/>
      <c r="J659" s="41"/>
    </row>
    <row r="660" spans="2:10" s="1" customFormat="1" ht="12.75" x14ac:dyDescent="0.2">
      <c r="B660" s="57" t="s">
        <v>18</v>
      </c>
      <c r="C660" s="58" t="s">
        <v>223</v>
      </c>
      <c r="D660" s="60"/>
      <c r="E660" s="40"/>
      <c r="F660" s="40"/>
      <c r="G660" s="40"/>
      <c r="H660" s="40"/>
      <c r="I660" s="40"/>
      <c r="J660" s="41"/>
    </row>
    <row r="661" spans="2:10" s="1" customFormat="1" ht="12.75" x14ac:dyDescent="0.2">
      <c r="B661" s="43" t="s">
        <v>19</v>
      </c>
      <c r="C661" s="43" t="s">
        <v>265</v>
      </c>
      <c r="D661" s="60"/>
      <c r="E661" s="40"/>
      <c r="F661" s="40"/>
      <c r="G661" s="40"/>
      <c r="H661" s="40"/>
      <c r="I661" s="44">
        <f>SUM(H662:H662)</f>
        <v>1</v>
      </c>
      <c r="J661" s="45" t="str">
        <f>+J662</f>
        <v>und</v>
      </c>
    </row>
    <row r="662" spans="2:10" s="1" customFormat="1" ht="12.75" x14ac:dyDescent="0.2">
      <c r="B662" s="46"/>
      <c r="C662" s="39" t="s">
        <v>231</v>
      </c>
      <c r="D662" s="40">
        <v>1</v>
      </c>
      <c r="E662" s="40"/>
      <c r="F662" s="40"/>
      <c r="G662" s="40"/>
      <c r="H662" s="40">
        <f>+D662</f>
        <v>1</v>
      </c>
      <c r="I662" s="40"/>
      <c r="J662" s="41" t="s">
        <v>13</v>
      </c>
    </row>
    <row r="663" spans="2:10" s="1" customFormat="1" ht="12.75" x14ac:dyDescent="0.2">
      <c r="B663" s="43" t="s">
        <v>20</v>
      </c>
      <c r="C663" s="43" t="s">
        <v>529</v>
      </c>
      <c r="D663" s="60"/>
      <c r="E663" s="40"/>
      <c r="F663" s="40"/>
      <c r="G663" s="40"/>
      <c r="H663" s="40"/>
      <c r="I663" s="44">
        <f>SUM(H664:H665)</f>
        <v>30</v>
      </c>
      <c r="J663" s="45" t="str">
        <f>+J664</f>
        <v>und</v>
      </c>
    </row>
    <row r="664" spans="2:10" s="1" customFormat="1" ht="12.75" x14ac:dyDescent="0.2">
      <c r="B664" s="46"/>
      <c r="C664" s="39" t="s">
        <v>528</v>
      </c>
      <c r="D664" s="89">
        <f>+ROUNDUP(E596/1,0)</f>
        <v>15</v>
      </c>
      <c r="E664" s="40"/>
      <c r="F664" s="40"/>
      <c r="G664" s="40"/>
      <c r="H664" s="40">
        <f>+D664</f>
        <v>15</v>
      </c>
      <c r="I664" s="40"/>
      <c r="J664" s="41" t="s">
        <v>13</v>
      </c>
    </row>
    <row r="665" spans="2:10" s="1" customFormat="1" ht="12.75" x14ac:dyDescent="0.2">
      <c r="B665" s="43"/>
      <c r="C665" s="39" t="s">
        <v>456</v>
      </c>
      <c r="D665" s="60">
        <f>+ROUNDUP(E594/1,0)</f>
        <v>15</v>
      </c>
      <c r="E665" s="40"/>
      <c r="F665" s="40"/>
      <c r="G665" s="40"/>
      <c r="H665" s="40">
        <f>+D665</f>
        <v>15</v>
      </c>
      <c r="I665" s="44"/>
      <c r="J665" s="45"/>
    </row>
    <row r="666" spans="2:10" s="1" customFormat="1" ht="12.75" x14ac:dyDescent="0.2">
      <c r="B666" s="43"/>
      <c r="C666" s="39"/>
      <c r="D666" s="60"/>
      <c r="E666" s="40"/>
      <c r="F666" s="40"/>
      <c r="G666" s="40"/>
      <c r="H666" s="40"/>
      <c r="I666" s="44"/>
      <c r="J666" s="45"/>
    </row>
    <row r="667" spans="2:10" s="1" customFormat="1" ht="12.75" x14ac:dyDescent="0.2">
      <c r="B667" s="43" t="s">
        <v>21</v>
      </c>
      <c r="C667" s="43" t="s">
        <v>266</v>
      </c>
      <c r="D667" s="60"/>
      <c r="E667" s="40"/>
      <c r="F667" s="40"/>
      <c r="G667" s="40"/>
      <c r="H667" s="40"/>
      <c r="I667" s="44">
        <f>SUM(H668:H668)</f>
        <v>0</v>
      </c>
      <c r="J667" s="45" t="str">
        <f>+J668</f>
        <v>und</v>
      </c>
    </row>
    <row r="668" spans="2:10" s="1" customFormat="1" ht="12.75" x14ac:dyDescent="0.2">
      <c r="B668" s="43"/>
      <c r="C668" s="39"/>
      <c r="D668" s="40"/>
      <c r="E668" s="40"/>
      <c r="F668" s="40"/>
      <c r="G668" s="40"/>
      <c r="H668" s="40">
        <f t="shared" ref="H668" si="37">+D668</f>
        <v>0</v>
      </c>
      <c r="I668" s="40"/>
      <c r="J668" s="41" t="s">
        <v>13</v>
      </c>
    </row>
    <row r="669" spans="2:10" s="1" customFormat="1" ht="12.75" x14ac:dyDescent="0.2">
      <c r="B669" s="43" t="s">
        <v>273</v>
      </c>
      <c r="C669" s="43" t="s">
        <v>354</v>
      </c>
      <c r="D669" s="60"/>
      <c r="E669" s="40"/>
      <c r="F669" s="40"/>
      <c r="G669" s="40"/>
      <c r="H669" s="40"/>
      <c r="I669" s="44">
        <f>SUM(H670:H670)</f>
        <v>8</v>
      </c>
      <c r="J669" s="45" t="s">
        <v>13</v>
      </c>
    </row>
    <row r="670" spans="2:10" s="1" customFormat="1" ht="12.75" x14ac:dyDescent="0.2">
      <c r="B670" s="43"/>
      <c r="C670" s="39" t="s">
        <v>457</v>
      </c>
      <c r="D670" s="60">
        <v>1</v>
      </c>
      <c r="E670" s="40">
        <v>8</v>
      </c>
      <c r="F670" s="40"/>
      <c r="G670" s="40"/>
      <c r="H670" s="40">
        <f>IF(AND(F670=0,G670=0),D670*E670,IF(AND(E670=0,G670=0),D670*F670,IF(AND(E670=0,F670=0),D670*G670,IF(AND(E670=0),D670*F670*G670,IF(AND(F670=0),D670*E670*G670,IF(AND(G670=0),D670*E670*F670,D670*E670*F670*G670))))))</f>
        <v>8</v>
      </c>
      <c r="I670" s="40"/>
      <c r="J670" s="41"/>
    </row>
    <row r="671" spans="2:10" s="1" customFormat="1" ht="12.75" x14ac:dyDescent="0.2">
      <c r="B671" s="43" t="s">
        <v>274</v>
      </c>
      <c r="C671" s="43" t="s">
        <v>357</v>
      </c>
      <c r="D671" s="60"/>
      <c r="E671" s="40"/>
      <c r="F671" s="40"/>
      <c r="G671" s="40"/>
      <c r="H671" s="40"/>
      <c r="I671" s="44">
        <f>SUM(H672:H672)</f>
        <v>1</v>
      </c>
      <c r="J671" s="45" t="str">
        <f>+J672</f>
        <v>und</v>
      </c>
    </row>
    <row r="672" spans="2:10" s="1" customFormat="1" ht="12.75" x14ac:dyDescent="0.2">
      <c r="B672" s="43"/>
      <c r="C672" s="39" t="s">
        <v>375</v>
      </c>
      <c r="D672" s="40">
        <v>1</v>
      </c>
      <c r="E672" s="40"/>
      <c r="F672" s="40"/>
      <c r="G672" s="40"/>
      <c r="H672" s="40">
        <f t="shared" ref="H672" si="38">+D672</f>
        <v>1</v>
      </c>
      <c r="I672" s="40"/>
      <c r="J672" s="41" t="s">
        <v>13</v>
      </c>
    </row>
    <row r="673" spans="2:10" s="1" customFormat="1" ht="12.75" x14ac:dyDescent="0.2">
      <c r="B673" s="43" t="s">
        <v>355</v>
      </c>
      <c r="C673" s="43" t="s">
        <v>263</v>
      </c>
      <c r="D673" s="60"/>
      <c r="E673" s="40"/>
      <c r="F673" s="40"/>
      <c r="G673" s="40"/>
      <c r="H673" s="40"/>
      <c r="I673" s="44">
        <f>SUM(H674:H674)</f>
        <v>0</v>
      </c>
      <c r="J673" s="45" t="str">
        <f>+J674</f>
        <v>und</v>
      </c>
    </row>
    <row r="674" spans="2:10" s="1" customFormat="1" ht="12.75" x14ac:dyDescent="0.2">
      <c r="B674" s="46"/>
      <c r="C674" s="39" t="s">
        <v>385</v>
      </c>
      <c r="D674" s="40"/>
      <c r="E674" s="40"/>
      <c r="F674" s="40"/>
      <c r="G674" s="40"/>
      <c r="H674" s="40">
        <f>+D674</f>
        <v>0</v>
      </c>
      <c r="I674" s="40"/>
      <c r="J674" s="41" t="s">
        <v>13</v>
      </c>
    </row>
    <row r="675" spans="2:10" s="1" customFormat="1" ht="12.75" x14ac:dyDescent="0.2">
      <c r="B675" s="43" t="s">
        <v>356</v>
      </c>
      <c r="C675" s="43" t="s">
        <v>264</v>
      </c>
      <c r="D675" s="60"/>
      <c r="E675" s="40"/>
      <c r="F675" s="40"/>
      <c r="G675" s="40"/>
      <c r="H675" s="40"/>
      <c r="I675" s="44">
        <f>SUM(H676:H676)</f>
        <v>0</v>
      </c>
      <c r="J675" s="45" t="str">
        <f>+J676</f>
        <v>und</v>
      </c>
    </row>
    <row r="676" spans="2:10" s="1" customFormat="1" ht="12.75" x14ac:dyDescent="0.2">
      <c r="B676" s="46"/>
      <c r="C676" s="39" t="s">
        <v>384</v>
      </c>
      <c r="D676" s="40"/>
      <c r="E676" s="40"/>
      <c r="F676" s="40"/>
      <c r="G676" s="40"/>
      <c r="H676" s="40">
        <f>+D676</f>
        <v>0</v>
      </c>
      <c r="I676" s="40"/>
      <c r="J676" s="41" t="s">
        <v>13</v>
      </c>
    </row>
    <row r="677" spans="2:10" s="1" customFormat="1" ht="12.75" x14ac:dyDescent="0.2">
      <c r="B677" s="43" t="s">
        <v>659</v>
      </c>
      <c r="C677" s="372" t="s">
        <v>657</v>
      </c>
      <c r="D677" s="60"/>
      <c r="E677" s="40"/>
      <c r="F677" s="40"/>
      <c r="G677" s="40"/>
      <c r="H677" s="40"/>
      <c r="I677" s="44">
        <f>+SUM(H678:H679)</f>
        <v>4</v>
      </c>
      <c r="J677" s="45" t="s">
        <v>13</v>
      </c>
    </row>
    <row r="678" spans="2:10" s="1" customFormat="1" ht="12.75" x14ac:dyDescent="0.2">
      <c r="B678" s="46"/>
      <c r="C678" s="39" t="s">
        <v>456</v>
      </c>
      <c r="D678" s="60">
        <v>3</v>
      </c>
      <c r="E678" s="40"/>
      <c r="F678" s="40"/>
      <c r="G678" s="40"/>
      <c r="H678" s="40">
        <f t="shared" ref="H678:H679" si="39">+D678</f>
        <v>3</v>
      </c>
      <c r="I678" s="40"/>
      <c r="J678" s="41"/>
    </row>
    <row r="679" spans="2:10" s="1" customFormat="1" ht="12.75" x14ac:dyDescent="0.2">
      <c r="B679" s="46"/>
      <c r="C679" s="59" t="s">
        <v>483</v>
      </c>
      <c r="D679" s="60">
        <v>1</v>
      </c>
      <c r="E679" s="40"/>
      <c r="F679" s="40"/>
      <c r="G679" s="40"/>
      <c r="H679" s="40">
        <f t="shared" si="39"/>
        <v>1</v>
      </c>
      <c r="I679" s="40"/>
      <c r="J679" s="41"/>
    </row>
    <row r="680" spans="2:10" s="1" customFormat="1" ht="12.75" x14ac:dyDescent="0.2">
      <c r="B680" s="46"/>
      <c r="C680" s="59"/>
      <c r="D680" s="60"/>
      <c r="E680" s="40"/>
      <c r="F680" s="40"/>
      <c r="G680" s="40"/>
      <c r="H680" s="40"/>
      <c r="I680" s="40"/>
      <c r="J680" s="41"/>
    </row>
    <row r="681" spans="2:10" s="1" customFormat="1" ht="12.75" x14ac:dyDescent="0.2">
      <c r="B681" s="43" t="s">
        <v>659</v>
      </c>
      <c r="C681" s="43" t="s">
        <v>657</v>
      </c>
      <c r="D681" s="60"/>
      <c r="E681" s="40"/>
      <c r="F681" s="40"/>
      <c r="G681" s="40"/>
      <c r="H681" s="40"/>
      <c r="I681" s="44">
        <f>+SUM(H682:H683)</f>
        <v>6</v>
      </c>
      <c r="J681" s="45" t="s">
        <v>13</v>
      </c>
    </row>
    <row r="682" spans="2:10" s="1" customFormat="1" ht="12.75" x14ac:dyDescent="0.2">
      <c r="B682" s="46"/>
      <c r="C682" s="59" t="s">
        <v>658</v>
      </c>
      <c r="D682" s="60">
        <v>6</v>
      </c>
      <c r="E682" s="40">
        <v>1</v>
      </c>
      <c r="F682" s="40"/>
      <c r="G682" s="40"/>
      <c r="H682" s="40">
        <f t="shared" ref="H682" si="40">+D682</f>
        <v>6</v>
      </c>
      <c r="I682" s="40"/>
      <c r="J682" s="41"/>
    </row>
    <row r="683" spans="2:10" s="1" customFormat="1" ht="12.75" x14ac:dyDescent="0.2">
      <c r="B683" s="46"/>
      <c r="C683" s="59"/>
      <c r="D683" s="60"/>
      <c r="E683" s="40"/>
      <c r="F683" s="40"/>
      <c r="G683" s="40"/>
      <c r="H683" s="40"/>
      <c r="I683" s="40"/>
      <c r="J683" s="41"/>
    </row>
    <row r="684" spans="2:10" s="1" customFormat="1" ht="12.75" x14ac:dyDescent="0.2">
      <c r="B684" s="73" t="s">
        <v>14</v>
      </c>
      <c r="C684" s="73" t="s">
        <v>615</v>
      </c>
      <c r="D684" s="60"/>
      <c r="E684" s="40"/>
      <c r="F684" s="40"/>
      <c r="G684" s="40"/>
      <c r="H684" s="40"/>
      <c r="I684" s="40"/>
      <c r="J684" s="41"/>
    </row>
    <row r="685" spans="2:10" s="1" customFormat="1" ht="12.75" x14ac:dyDescent="0.2">
      <c r="B685" s="25" t="s">
        <v>766</v>
      </c>
      <c r="C685" s="28" t="s">
        <v>616</v>
      </c>
      <c r="D685" s="60"/>
      <c r="E685" s="40"/>
      <c r="F685" s="40"/>
      <c r="G685" s="40"/>
      <c r="H685" s="40"/>
      <c r="I685" s="40">
        <f>+SUM(H686:H691)</f>
        <v>8.7885200000000001</v>
      </c>
      <c r="J685" s="41" t="s">
        <v>45</v>
      </c>
    </row>
    <row r="686" spans="2:10" s="1" customFormat="1" ht="12.75" x14ac:dyDescent="0.2">
      <c r="B686" s="25"/>
      <c r="C686" s="39" t="s">
        <v>713</v>
      </c>
      <c r="D686" s="40">
        <v>1</v>
      </c>
      <c r="E686" s="40">
        <v>0.6</v>
      </c>
      <c r="F686" s="40">
        <v>0.8</v>
      </c>
      <c r="G686" s="40"/>
      <c r="H686" s="40">
        <f t="shared" ref="H686:H690" si="41">IF(AND(F686=0,G686=0),D686*E686,IF(AND(E686=0,G686=0),D686*F686,IF(AND(E686=0,F686=0),D686*G686,IF(AND(E686=0),D686*F686*G686,IF(AND(F686=0),D686*E686*G686,IF(AND(G686=0),D686*E686*F686,D686*E686*F686*G686))))))</f>
        <v>0.48</v>
      </c>
      <c r="I686" s="40"/>
      <c r="J686" s="41"/>
    </row>
    <row r="687" spans="2:10" s="1" customFormat="1" ht="12.75" x14ac:dyDescent="0.2">
      <c r="B687" s="25"/>
      <c r="C687" s="43" t="s">
        <v>472</v>
      </c>
      <c r="D687" s="60"/>
      <c r="E687" s="40"/>
      <c r="F687" s="40"/>
      <c r="G687" s="40"/>
      <c r="H687" s="40"/>
      <c r="I687" s="40"/>
      <c r="J687" s="41"/>
    </row>
    <row r="688" spans="2:10" s="1" customFormat="1" ht="12.75" x14ac:dyDescent="0.2">
      <c r="B688" s="25"/>
      <c r="C688" s="39" t="s">
        <v>482</v>
      </c>
      <c r="D688" s="60">
        <v>1</v>
      </c>
      <c r="E688" s="40">
        <f>3.8+3.95</f>
        <v>7.75</v>
      </c>
      <c r="F688" s="40">
        <v>0.5</v>
      </c>
      <c r="G688" s="40"/>
      <c r="H688" s="40">
        <f t="shared" si="41"/>
        <v>3.875</v>
      </c>
      <c r="I688" s="40"/>
      <c r="J688" s="41"/>
    </row>
    <row r="689" spans="2:10" s="1" customFormat="1" ht="12.75" x14ac:dyDescent="0.2">
      <c r="B689" s="25"/>
      <c r="C689" s="43" t="s">
        <v>228</v>
      </c>
      <c r="D689" s="60"/>
      <c r="E689" s="40"/>
      <c r="F689" s="40"/>
      <c r="G689" s="40"/>
      <c r="H689" s="40"/>
      <c r="I689" s="40"/>
      <c r="J689" s="41"/>
    </row>
    <row r="690" spans="2:10" s="1" customFormat="1" ht="12.75" x14ac:dyDescent="0.2">
      <c r="B690" s="25"/>
      <c r="C690" s="39" t="s">
        <v>484</v>
      </c>
      <c r="D690" s="40">
        <v>1</v>
      </c>
      <c r="E690" s="40">
        <v>7.35</v>
      </c>
      <c r="F690" s="40">
        <f>8*0.0254+0.4</f>
        <v>0.60319999999999996</v>
      </c>
      <c r="G690" s="40"/>
      <c r="H690" s="40">
        <f t="shared" si="41"/>
        <v>4.4335199999999997</v>
      </c>
      <c r="I690" s="40"/>
      <c r="J690" s="41"/>
    </row>
    <row r="691" spans="2:10" s="1" customFormat="1" ht="12.75" x14ac:dyDescent="0.2">
      <c r="B691" s="25"/>
      <c r="C691" s="65"/>
      <c r="D691" s="60"/>
      <c r="E691" s="40"/>
      <c r="F691" s="40"/>
      <c r="G691" s="40"/>
      <c r="H691" s="40"/>
      <c r="I691" s="40"/>
      <c r="J691" s="41"/>
    </row>
    <row r="692" spans="2:10" s="1" customFormat="1" ht="12.75" x14ac:dyDescent="0.2">
      <c r="B692" s="25"/>
      <c r="C692" s="65"/>
      <c r="D692" s="60"/>
      <c r="E692" s="40"/>
      <c r="F692" s="40"/>
      <c r="G692" s="40"/>
      <c r="H692" s="40"/>
      <c r="I692" s="40"/>
      <c r="J692" s="41"/>
    </row>
    <row r="693" spans="2:10" s="1" customFormat="1" ht="12.75" x14ac:dyDescent="0.2">
      <c r="B693" s="46"/>
      <c r="C693" s="59"/>
      <c r="D693" s="60"/>
      <c r="E693" s="40"/>
      <c r="F693" s="40"/>
      <c r="G693" s="40"/>
      <c r="H693" s="40"/>
      <c r="I693" s="40"/>
      <c r="J693" s="41"/>
    </row>
    <row r="694" spans="2:10" x14ac:dyDescent="0.25">
      <c r="B694" s="73" t="s">
        <v>22</v>
      </c>
      <c r="C694" s="73" t="s">
        <v>614</v>
      </c>
      <c r="D694" s="23"/>
      <c r="E694" s="23"/>
      <c r="F694" s="23"/>
      <c r="G694" s="23"/>
      <c r="H694" s="24"/>
      <c r="I694" s="25"/>
      <c r="J694" s="26"/>
    </row>
    <row r="695" spans="2:10" s="1" customFormat="1" ht="12.75" x14ac:dyDescent="0.2">
      <c r="B695" s="25" t="s">
        <v>24</v>
      </c>
      <c r="C695" s="1" t="s">
        <v>623</v>
      </c>
      <c r="D695" s="60"/>
      <c r="E695" s="40"/>
      <c r="F695" s="40"/>
      <c r="G695" s="40"/>
      <c r="H695" s="24"/>
      <c r="I695" s="25">
        <f>+SUM(H696:H697)</f>
        <v>0.4032</v>
      </c>
      <c r="J695" s="26" t="s">
        <v>4</v>
      </c>
    </row>
    <row r="696" spans="2:10" s="1" customFormat="1" ht="12.75" x14ac:dyDescent="0.2">
      <c r="B696" s="57"/>
      <c r="C696" s="39" t="s">
        <v>713</v>
      </c>
      <c r="D696" s="40">
        <v>1</v>
      </c>
      <c r="E696" s="40">
        <v>0.6</v>
      </c>
      <c r="F696" s="40">
        <v>0.8</v>
      </c>
      <c r="G696" s="40">
        <f>0.64+0.2</f>
        <v>0.84000000000000008</v>
      </c>
      <c r="H696" s="40">
        <f>IF(AND(F696=0,G696=0),D696*E696,IF(AND(E696=0,G696=0),D696*F696,IF(AND(E696=0,F696=0),D696*G696,IF(AND(E696=0),D696*F696*G696,IF(AND(F696=0),D696*E696*G696,IF(AND(G696=0),D696*E696*F696,D696*E696*F696*G696))))))</f>
        <v>0.4032</v>
      </c>
      <c r="I696" s="40"/>
      <c r="J696" s="41"/>
    </row>
    <row r="697" spans="2:10" s="1" customFormat="1" ht="12.75" x14ac:dyDescent="0.2">
      <c r="B697" s="57"/>
      <c r="C697" s="39"/>
      <c r="D697" s="60"/>
      <c r="E697" s="40"/>
      <c r="F697" s="40"/>
      <c r="G697" s="40"/>
      <c r="H697" s="40"/>
      <c r="I697" s="40"/>
      <c r="J697" s="41"/>
    </row>
    <row r="698" spans="2:10" s="1" customFormat="1" ht="12.75" x14ac:dyDescent="0.2">
      <c r="B698" s="46"/>
      <c r="C698" s="59"/>
      <c r="D698" s="60"/>
      <c r="E698" s="40"/>
      <c r="F698" s="40"/>
      <c r="G698" s="40"/>
      <c r="H698" s="40"/>
      <c r="I698" s="40"/>
      <c r="J698" s="41"/>
    </row>
    <row r="699" spans="2:10" x14ac:dyDescent="0.25">
      <c r="B699" s="107" t="s">
        <v>777</v>
      </c>
      <c r="C699" s="370" t="s">
        <v>779</v>
      </c>
      <c r="D699" s="23"/>
      <c r="E699" s="23"/>
      <c r="F699" s="23"/>
      <c r="G699" s="23"/>
      <c r="I699" s="24">
        <f>+SUM(H700:H700)</f>
        <v>0.48</v>
      </c>
      <c r="J699" s="26" t="s">
        <v>45</v>
      </c>
    </row>
    <row r="700" spans="2:10" x14ac:dyDescent="0.25">
      <c r="B700" s="107"/>
      <c r="C700" s="39" t="s">
        <v>713</v>
      </c>
      <c r="D700" s="40">
        <v>1</v>
      </c>
      <c r="E700" s="40">
        <v>0.6</v>
      </c>
      <c r="F700" s="40">
        <v>0.8</v>
      </c>
      <c r="G700" s="40"/>
      <c r="H700" s="40">
        <f>IF(AND(F700=0,G700=0),D700*E700,IF(AND(E700=0,G700=0),D700*F700,IF(AND(E700=0,F700=0),D700*G700,IF(AND(E700=0),D700*F700*G700,IF(AND(F700=0),D700*E700*G700,IF(AND(G700=0),D700*E700*F700,D700*E700*F700*G700))))))</f>
        <v>0.48</v>
      </c>
      <c r="I700" s="25"/>
      <c r="J700" s="26"/>
    </row>
    <row r="701" spans="2:10" x14ac:dyDescent="0.25">
      <c r="B701" s="107"/>
      <c r="C701" s="370"/>
      <c r="D701" s="23"/>
      <c r="E701" s="23"/>
      <c r="F701" s="23"/>
      <c r="G701" s="23"/>
      <c r="H701" s="24"/>
      <c r="I701" s="25"/>
      <c r="J701" s="26"/>
    </row>
    <row r="702" spans="2:10" s="1" customFormat="1" ht="12.75" x14ac:dyDescent="0.2">
      <c r="B702" s="107" t="s">
        <v>778</v>
      </c>
      <c r="C702" s="370" t="s">
        <v>776</v>
      </c>
      <c r="D702" s="60"/>
      <c r="E702" s="40"/>
      <c r="F702" s="40"/>
      <c r="G702" s="40"/>
      <c r="H702" s="40"/>
      <c r="I702" s="40">
        <f>+H704+H708-(H706+H710)</f>
        <v>5.6282087551654856</v>
      </c>
      <c r="J702" s="41" t="s">
        <v>4</v>
      </c>
    </row>
    <row r="703" spans="2:10" s="1" customFormat="1" ht="12.75" x14ac:dyDescent="0.2">
      <c r="B703" s="46"/>
      <c r="C703" s="43" t="s">
        <v>472</v>
      </c>
      <c r="D703" s="60"/>
      <c r="E703" s="40"/>
      <c r="F703" s="40"/>
      <c r="G703" s="40"/>
      <c r="H703" s="40"/>
      <c r="I703" s="40"/>
      <c r="J703" s="41"/>
    </row>
    <row r="704" spans="2:10" s="1" customFormat="1" ht="12.75" x14ac:dyDescent="0.2">
      <c r="B704" s="46"/>
      <c r="C704" s="39" t="s">
        <v>482</v>
      </c>
      <c r="D704" s="60">
        <v>1</v>
      </c>
      <c r="E704" s="40">
        <f>3.8+3.95</f>
        <v>7.75</v>
      </c>
      <c r="F704" s="40">
        <v>0.5</v>
      </c>
      <c r="G704" s="40">
        <f>3*0.054+0.4</f>
        <v>0.56200000000000006</v>
      </c>
      <c r="H704" s="40">
        <f>IF(AND(F704=0,G704=0),D704*E704,IF(AND(E704=0,G704=0),D704*F704,IF(AND(E704=0,F704=0),D704*G704,IF(AND(E704=0),D704*F704*G704,IF(AND(F704=0),D704*E704*G704,IF(AND(G704=0),D704*E704*F704,D704*E704*F704*G704))))))</f>
        <v>2.1777500000000001</v>
      </c>
      <c r="I704" s="40"/>
      <c r="J704" s="41"/>
    </row>
    <row r="705" spans="2:10" s="1" customFormat="1" ht="12.75" x14ac:dyDescent="0.2">
      <c r="B705" s="46"/>
      <c r="F705" s="40" t="s">
        <v>786</v>
      </c>
      <c r="G705" s="40">
        <v>3</v>
      </c>
      <c r="I705" s="40"/>
      <c r="J705" s="41"/>
    </row>
    <row r="706" spans="2:10" s="1" customFormat="1" ht="12.75" x14ac:dyDescent="0.2">
      <c r="B706" s="46"/>
      <c r="C706" s="39" t="s">
        <v>784</v>
      </c>
      <c r="D706" s="60">
        <v>1</v>
      </c>
      <c r="E706" s="40">
        <f>+SUM(E704)</f>
        <v>7.75</v>
      </c>
      <c r="F706" s="40" t="s">
        <v>785</v>
      </c>
      <c r="G706" s="379">
        <f>+PI()*((G705*0.0254)^2)/4</f>
        <v>4.5603673118774788E-3</v>
      </c>
      <c r="H706" s="40">
        <f>+E706*G706</f>
        <v>3.5342846667050461E-2</v>
      </c>
      <c r="I706" s="40"/>
      <c r="J706" s="41"/>
    </row>
    <row r="707" spans="2:10" s="1" customFormat="1" ht="12.75" x14ac:dyDescent="0.2">
      <c r="B707" s="46"/>
      <c r="C707" s="43" t="s">
        <v>228</v>
      </c>
      <c r="D707" s="60"/>
      <c r="E707" s="40"/>
      <c r="F707" s="40"/>
      <c r="G707" s="40"/>
      <c r="H707" s="40"/>
      <c r="I707" s="40"/>
      <c r="J707" s="41"/>
    </row>
    <row r="708" spans="2:10" s="1" customFormat="1" ht="12.75" x14ac:dyDescent="0.2">
      <c r="B708" s="46"/>
      <c r="C708" s="39" t="s">
        <v>484</v>
      </c>
      <c r="D708" s="40">
        <v>1</v>
      </c>
      <c r="E708" s="40">
        <v>7.35</v>
      </c>
      <c r="F708" s="40">
        <f>8*0.0254+0.4</f>
        <v>0.60319999999999996</v>
      </c>
      <c r="G708" s="40">
        <v>0.84</v>
      </c>
      <c r="H708" s="40">
        <f>IF(AND(F708=0,G708=0),D708*E708,IF(AND(E708=0,G708=0),D708*F708,IF(AND(E708=0,F708=0),D708*G708,IF(AND(E708=0),D708*F708*G708,IF(AND(F708=0),D708*E708*G708,IF(AND(G708=0),D708*E708*F708,D708*E708*F708*G708))))))</f>
        <v>3.7241567999999994</v>
      </c>
      <c r="I708" s="40"/>
      <c r="J708" s="41"/>
    </row>
    <row r="709" spans="2:10" s="1" customFormat="1" ht="12.75" x14ac:dyDescent="0.2">
      <c r="B709" s="46"/>
      <c r="F709" s="40" t="s">
        <v>786</v>
      </c>
      <c r="G709" s="40">
        <v>8</v>
      </c>
      <c r="I709" s="40"/>
      <c r="J709" s="41"/>
    </row>
    <row r="710" spans="2:10" s="1" customFormat="1" ht="12.75" x14ac:dyDescent="0.2">
      <c r="B710" s="46"/>
      <c r="C710" s="39" t="s">
        <v>784</v>
      </c>
      <c r="D710" s="60">
        <v>1</v>
      </c>
      <c r="E710" s="40">
        <f>+SUM(E708)</f>
        <v>7.35</v>
      </c>
      <c r="F710" s="40" t="s">
        <v>785</v>
      </c>
      <c r="G710" s="40">
        <f>+PI()*((G709*0.0254)^2)/4</f>
        <v>3.2429278662239852E-2</v>
      </c>
      <c r="H710" s="40">
        <f>+E710*G710</f>
        <v>0.2383551981674629</v>
      </c>
      <c r="I710" s="40"/>
      <c r="J710" s="41"/>
    </row>
    <row r="711" spans="2:10" s="1" customFormat="1" ht="12.75" x14ac:dyDescent="0.2">
      <c r="B711" s="46"/>
      <c r="C711" s="59"/>
      <c r="D711" s="60"/>
      <c r="E711" s="40"/>
      <c r="F711" s="40"/>
      <c r="G711" s="40"/>
      <c r="H711" s="40"/>
      <c r="I711" s="40"/>
      <c r="J711" s="41"/>
    </row>
    <row r="712" spans="2:10" s="1" customFormat="1" ht="12.75" x14ac:dyDescent="0.2">
      <c r="B712" s="46"/>
      <c r="C712" s="59"/>
      <c r="D712" s="60"/>
      <c r="E712" s="40"/>
      <c r="F712" s="40"/>
      <c r="G712" s="40"/>
      <c r="H712" s="40"/>
      <c r="I712" s="40"/>
      <c r="J712" s="41"/>
    </row>
    <row r="713" spans="2:10" s="1" customFormat="1" ht="12.75" x14ac:dyDescent="0.2">
      <c r="B713" s="25" t="s">
        <v>709</v>
      </c>
      <c r="C713" s="28" t="s">
        <v>718</v>
      </c>
      <c r="D713" s="60"/>
      <c r="E713" s="40"/>
      <c r="F713" s="40"/>
      <c r="G713" s="40"/>
      <c r="H713" s="40"/>
      <c r="I713" s="40">
        <f>+SUM(H715:H717)</f>
        <v>29.367519999999999</v>
      </c>
      <c r="J713" s="41" t="s">
        <v>45</v>
      </c>
    </row>
    <row r="714" spans="2:10" s="1" customFormat="1" ht="12.75" x14ac:dyDescent="0.2">
      <c r="B714" s="46"/>
      <c r="C714" s="43" t="s">
        <v>472</v>
      </c>
      <c r="D714" s="60"/>
      <c r="E714" s="40"/>
      <c r="F714" s="40"/>
      <c r="G714" s="40"/>
      <c r="H714" s="40"/>
      <c r="I714" s="40"/>
      <c r="J714" s="41"/>
    </row>
    <row r="715" spans="2:10" s="1" customFormat="1" ht="12.75" x14ac:dyDescent="0.2">
      <c r="B715" s="46"/>
      <c r="C715" s="39" t="s">
        <v>482</v>
      </c>
      <c r="D715" s="60">
        <v>1</v>
      </c>
      <c r="E715" s="40">
        <f>3.8+3.95</f>
        <v>7.75</v>
      </c>
      <c r="F715" s="40">
        <v>0.5</v>
      </c>
      <c r="G715" s="40">
        <f>3*0.054+0.4</f>
        <v>0.56200000000000006</v>
      </c>
      <c r="H715" s="40">
        <f>+(F715+G715*2)*E715</f>
        <v>12.586</v>
      </c>
      <c r="I715" s="40"/>
      <c r="J715" s="41"/>
    </row>
    <row r="716" spans="2:10" s="1" customFormat="1" ht="12.75" x14ac:dyDescent="0.2">
      <c r="B716" s="46"/>
      <c r="C716" s="43" t="s">
        <v>228</v>
      </c>
      <c r="D716" s="60"/>
      <c r="E716" s="40"/>
      <c r="F716" s="40"/>
      <c r="G716" s="40"/>
      <c r="H716" s="40"/>
      <c r="I716" s="40"/>
      <c r="J716" s="41"/>
    </row>
    <row r="717" spans="2:10" s="1" customFormat="1" ht="12.75" x14ac:dyDescent="0.2">
      <c r="B717" s="46"/>
      <c r="C717" s="39" t="s">
        <v>484</v>
      </c>
      <c r="D717" s="40">
        <v>1</v>
      </c>
      <c r="E717" s="40">
        <v>7.35</v>
      </c>
      <c r="F717" s="40">
        <f>8*0.0254+0.4</f>
        <v>0.60319999999999996</v>
      </c>
      <c r="G717" s="40">
        <v>0.84</v>
      </c>
      <c r="H717" s="40">
        <f>+(F717+G717*2)*E717</f>
        <v>16.781519999999997</v>
      </c>
      <c r="I717" s="40"/>
      <c r="J717" s="41"/>
    </row>
    <row r="718" spans="2:10" s="1" customFormat="1" ht="12.75" x14ac:dyDescent="0.2">
      <c r="B718" s="46"/>
      <c r="C718" s="59"/>
      <c r="D718" s="60"/>
      <c r="E718" s="40"/>
      <c r="F718" s="40"/>
      <c r="G718" s="40"/>
      <c r="H718" s="40"/>
      <c r="I718" s="40"/>
      <c r="J718" s="41"/>
    </row>
    <row r="719" spans="2:10" s="1" customFormat="1" ht="12.75" x14ac:dyDescent="0.2">
      <c r="B719" s="46"/>
      <c r="C719" s="59"/>
      <c r="D719" s="60"/>
      <c r="E719" s="40"/>
      <c r="F719" s="40"/>
      <c r="G719" s="40"/>
      <c r="H719" s="40"/>
      <c r="I719" s="40"/>
      <c r="J719" s="41"/>
    </row>
    <row r="720" spans="2:10" s="1" customFormat="1" ht="12.75" x14ac:dyDescent="0.2">
      <c r="B720" s="107" t="s">
        <v>632</v>
      </c>
      <c r="C720" s="343" t="s">
        <v>794</v>
      </c>
      <c r="D720" s="60"/>
      <c r="E720" s="40"/>
      <c r="F720" s="40" t="s">
        <v>795</v>
      </c>
      <c r="G720" s="40"/>
      <c r="H720" s="40"/>
      <c r="I720" s="40">
        <f>+SUM(H721:H728)</f>
        <v>97.863329896907203</v>
      </c>
      <c r="J720" s="41" t="s">
        <v>12</v>
      </c>
    </row>
    <row r="721" spans="2:10" s="1" customFormat="1" ht="12.75" x14ac:dyDescent="0.2">
      <c r="B721" s="380"/>
      <c r="C721" s="39" t="s">
        <v>456</v>
      </c>
      <c r="D721" s="60">
        <v>1</v>
      </c>
      <c r="E721" s="40">
        <v>14.55</v>
      </c>
      <c r="F721" s="40">
        <v>1.64</v>
      </c>
      <c r="G721" s="40"/>
      <c r="H721" s="40">
        <f>IF(AND(F721=0,G721=0),D721*E721,IF(AND(E721=0,G721=0),D721*F721,IF(AND(E721=0,F721=0),D721*G721,IF(AND(E721=0),D721*F721*G721,IF(AND(F721=0),D721*E721*G721,IF(AND(G721=0),D721*E721*F721,D721*E721*F721*G721))))))</f>
        <v>23.861999999999998</v>
      </c>
      <c r="J721" s="41"/>
    </row>
    <row r="722" spans="2:10" s="1" customFormat="1" ht="12.75" x14ac:dyDescent="0.2">
      <c r="B722" s="380"/>
      <c r="C722" s="39" t="s">
        <v>528</v>
      </c>
      <c r="D722" s="60">
        <v>1</v>
      </c>
      <c r="E722" s="89">
        <v>14.55</v>
      </c>
      <c r="F722" s="40">
        <v>1.64</v>
      </c>
      <c r="G722" s="40"/>
      <c r="H722" s="40">
        <f t="shared" ref="H722:H723" si="42">IF(AND(F722=0,G722=0),D722*E722,IF(AND(E722=0,G722=0),D722*F722,IF(AND(E722=0,F722=0),D722*G722,IF(AND(E722=0),D722*F722*G722,IF(AND(F722=0),D722*E722*G722,IF(AND(G722=0),D722*E722*F722,D722*E722*F722*G722))))))</f>
        <v>23.861999999999998</v>
      </c>
      <c r="I722" s="40"/>
      <c r="J722" s="41"/>
    </row>
    <row r="723" spans="2:10" s="1" customFormat="1" ht="12.75" x14ac:dyDescent="0.2">
      <c r="B723" s="380"/>
      <c r="C723" s="39" t="s">
        <v>656</v>
      </c>
      <c r="D723" s="40">
        <v>1</v>
      </c>
      <c r="E723" s="40">
        <v>1.5</v>
      </c>
      <c r="F723" s="40">
        <v>1.64</v>
      </c>
      <c r="G723" s="40"/>
      <c r="H723" s="40">
        <f t="shared" si="42"/>
        <v>2.46</v>
      </c>
      <c r="I723" s="40"/>
      <c r="J723" s="41"/>
    </row>
    <row r="724" spans="2:10" s="1" customFormat="1" ht="12.75" x14ac:dyDescent="0.2">
      <c r="B724" s="380"/>
      <c r="C724" s="43" t="s">
        <v>472</v>
      </c>
      <c r="D724" s="60"/>
      <c r="E724" s="40"/>
      <c r="G724" s="40"/>
      <c r="H724" s="40"/>
      <c r="I724" s="40"/>
      <c r="J724" s="41"/>
    </row>
    <row r="725" spans="2:10" s="1" customFormat="1" ht="12.75" x14ac:dyDescent="0.2">
      <c r="B725" s="380"/>
      <c r="C725" s="39" t="s">
        <v>482</v>
      </c>
      <c r="D725" s="60">
        <v>1</v>
      </c>
      <c r="E725" s="40">
        <f>3.8+3.95</f>
        <v>7.75</v>
      </c>
      <c r="F725" s="40">
        <v>1.64</v>
      </c>
      <c r="G725" s="40"/>
      <c r="H725" s="40">
        <f t="shared" ref="H725:H728" si="43">IF(AND(F725=0,G725=0),D725*E725,IF(AND(E725=0,G725=0),D725*F725,IF(AND(E725=0,F725=0),D725*G725,IF(AND(E725=0),D725*F725*G725,IF(AND(F725=0),D725*E725*G725,IF(AND(G725=0),D725*E725*F725,D725*E725*F725*G725))))))</f>
        <v>12.709999999999999</v>
      </c>
      <c r="I725" s="40"/>
      <c r="J725" s="41"/>
    </row>
    <row r="726" spans="2:10" s="1" customFormat="1" ht="12.75" x14ac:dyDescent="0.2">
      <c r="B726" s="380"/>
      <c r="C726" s="39"/>
      <c r="D726" s="60"/>
      <c r="E726" s="40"/>
      <c r="F726" s="40"/>
      <c r="G726" s="40"/>
      <c r="H726" s="40"/>
      <c r="I726" s="40"/>
      <c r="J726" s="41"/>
    </row>
    <row r="727" spans="2:10" s="1" customFormat="1" ht="12.75" x14ac:dyDescent="0.2">
      <c r="B727" s="380"/>
      <c r="C727" s="43" t="s">
        <v>228</v>
      </c>
      <c r="D727" s="60"/>
      <c r="E727" s="40"/>
      <c r="F727" s="40"/>
      <c r="G727" s="40"/>
      <c r="H727" s="40"/>
      <c r="I727" s="40"/>
      <c r="J727" s="41"/>
    </row>
    <row r="728" spans="2:10" s="1" customFormat="1" ht="12.75" x14ac:dyDescent="0.2">
      <c r="B728" s="380"/>
      <c r="C728" s="39" t="s">
        <v>484</v>
      </c>
      <c r="D728" s="40">
        <v>1</v>
      </c>
      <c r="E728" s="40">
        <v>7.35</v>
      </c>
      <c r="F728" s="40">
        <f>27.69/5.82</f>
        <v>4.7577319587628866</v>
      </c>
      <c r="G728" s="40"/>
      <c r="H728" s="40">
        <f t="shared" si="43"/>
        <v>34.969329896907212</v>
      </c>
      <c r="I728" s="40"/>
      <c r="J728" s="41"/>
    </row>
    <row r="729" spans="2:10" s="1" customFormat="1" ht="12.75" x14ac:dyDescent="0.2">
      <c r="B729" s="380"/>
      <c r="C729" s="111"/>
      <c r="D729" s="60"/>
      <c r="E729" s="40"/>
      <c r="F729" s="40"/>
      <c r="G729" s="40"/>
      <c r="H729" s="40"/>
      <c r="I729" s="40"/>
      <c r="J729" s="41"/>
    </row>
    <row r="730" spans="2:10" s="1" customFormat="1" ht="12.75" x14ac:dyDescent="0.2">
      <c r="B730" s="25" t="s">
        <v>633</v>
      </c>
      <c r="C730" s="28" t="s">
        <v>625</v>
      </c>
      <c r="D730" s="60"/>
      <c r="E730" s="40"/>
      <c r="F730" s="40"/>
      <c r="G730" s="40"/>
      <c r="H730" s="40"/>
      <c r="I730" s="40">
        <f>+SUM(H731:H732)</f>
        <v>0.17760000000000004</v>
      </c>
      <c r="J730" s="41" t="s">
        <v>4</v>
      </c>
    </row>
    <row r="731" spans="2:10" s="1" customFormat="1" ht="12.75" x14ac:dyDescent="0.2">
      <c r="B731" s="46"/>
      <c r="C731" s="39" t="s">
        <v>713</v>
      </c>
      <c r="D731" s="60">
        <v>2</v>
      </c>
      <c r="E731" s="40">
        <v>0.8</v>
      </c>
      <c r="F731" s="40">
        <v>0.1</v>
      </c>
      <c r="G731" s="40">
        <v>0.74</v>
      </c>
      <c r="H731" s="40">
        <f>IF(AND(F731=0,G731=0),D731*E731,IF(AND(E731=0,G731=0),D731*F731,IF(AND(E731=0,F731=0),D731*G731,IF(AND(E731=0),D731*F731*G731,IF(AND(F731=0),D731*E731*G731,IF(AND(G731=0),D731*E731*F731,D731*E731*F731*G731))))))</f>
        <v>0.11840000000000002</v>
      </c>
      <c r="I731" s="40"/>
      <c r="J731" s="41"/>
    </row>
    <row r="732" spans="2:10" s="1" customFormat="1" ht="12.75" x14ac:dyDescent="0.2">
      <c r="B732" s="46"/>
      <c r="C732" s="59"/>
      <c r="D732" s="1">
        <v>2</v>
      </c>
      <c r="E732" s="40">
        <v>0.4</v>
      </c>
      <c r="F732" s="40">
        <v>0.1</v>
      </c>
      <c r="G732" s="40">
        <v>0.74</v>
      </c>
      <c r="H732" s="40">
        <f>IF(AND(F732=0,G732=0),D732*E732,IF(AND(E732=0,G732=0),D732*F732,IF(AND(E732=0,F732=0),D732*G732,IF(AND(E732=0),D732*F732*G732,IF(AND(F732=0),D732*E732*G732,IF(AND(G732=0),D732*E732*F732,D732*E732*F732*G732))))))</f>
        <v>5.920000000000001E-2</v>
      </c>
      <c r="I732" s="40"/>
      <c r="J732" s="41"/>
    </row>
    <row r="733" spans="2:10" s="1" customFormat="1" ht="12.75" x14ac:dyDescent="0.2">
      <c r="B733" s="46"/>
      <c r="C733" s="59"/>
      <c r="D733" s="60"/>
      <c r="E733" s="40"/>
      <c r="F733" s="40"/>
      <c r="G733" s="40"/>
      <c r="H733" s="40"/>
      <c r="I733" s="40"/>
      <c r="J733" s="41"/>
    </row>
    <row r="734" spans="2:10" s="1" customFormat="1" ht="12.75" x14ac:dyDescent="0.2">
      <c r="B734" s="46"/>
      <c r="C734" s="59"/>
      <c r="D734" s="60"/>
      <c r="E734" s="40"/>
      <c r="F734" s="40"/>
      <c r="G734" s="40"/>
      <c r="H734" s="40"/>
      <c r="I734" s="40"/>
      <c r="J734" s="41"/>
    </row>
    <row r="735" spans="2:10" s="1" customFormat="1" ht="12.75" x14ac:dyDescent="0.2">
      <c r="B735" s="46"/>
      <c r="C735" s="59"/>
      <c r="D735" s="60"/>
      <c r="E735" s="40"/>
      <c r="F735" s="40"/>
      <c r="G735" s="40"/>
      <c r="H735" s="40"/>
      <c r="I735" s="40"/>
      <c r="J735" s="41"/>
    </row>
    <row r="736" spans="2:10" s="1" customFormat="1" ht="12.75" x14ac:dyDescent="0.2">
      <c r="B736" s="107" t="s">
        <v>790</v>
      </c>
      <c r="C736" s="343" t="s">
        <v>789</v>
      </c>
      <c r="D736" s="60" t="s">
        <v>791</v>
      </c>
      <c r="E736" s="40"/>
      <c r="F736" s="40"/>
      <c r="G736" s="40"/>
      <c r="H736" s="40"/>
      <c r="I736" s="40">
        <f>+SUM(H737:H743)</f>
        <v>1.3937720570453107</v>
      </c>
      <c r="J736" s="41" t="s">
        <v>4</v>
      </c>
    </row>
    <row r="737" spans="2:10" s="1" customFormat="1" ht="12.75" x14ac:dyDescent="0.2">
      <c r="B737" s="107"/>
      <c r="C737" s="39" t="s">
        <v>713</v>
      </c>
      <c r="D737" s="40">
        <v>1.25</v>
      </c>
      <c r="E737" s="40">
        <v>0.6</v>
      </c>
      <c r="F737" s="40">
        <v>0.8</v>
      </c>
      <c r="G737" s="40">
        <f>0.64+0.2</f>
        <v>0.84000000000000008</v>
      </c>
      <c r="H737" s="40">
        <f>IF(AND(F737=0,G737=0),D737*E737,IF(AND(E737=0,G737=0),D737*F737,IF(AND(E737=0,F737=0),D737*G737,IF(AND(E737=0),D737*F737*G737,IF(AND(F737=0),D737*E737*G737,IF(AND(G737=0),D737*E737*F737,D737*E737*F737*G737))))))</f>
        <v>0.50400000000000011</v>
      </c>
      <c r="I737" s="40"/>
      <c r="J737" s="41"/>
    </row>
    <row r="738" spans="2:10" s="1" customFormat="1" ht="12.75" x14ac:dyDescent="0.2">
      <c r="B738" s="107"/>
      <c r="C738" s="43" t="s">
        <v>472</v>
      </c>
      <c r="D738" s="60">
        <v>1.25</v>
      </c>
      <c r="E738" s="40">
        <v>0.6</v>
      </c>
      <c r="F738" s="40">
        <v>0.8</v>
      </c>
      <c r="G738" s="40">
        <f>0.93+0.2</f>
        <v>1.1300000000000001</v>
      </c>
      <c r="H738" s="40">
        <f>IF(AND(F738=0,G738=0),D738*E738,IF(AND(E738=0,G738=0),D738*F738,IF(AND(E738=0,F738=0),D738*G738,IF(AND(E738=0),D738*F738*G738,IF(AND(F738=0),D738*E738*G738,IF(AND(G738=0),D738*E738*F738,D738*E738*F738*G738))))))</f>
        <v>0.67800000000000016</v>
      </c>
      <c r="I738" s="40"/>
      <c r="J738" s="41"/>
    </row>
    <row r="739" spans="2:10" s="1" customFormat="1" ht="12.75" x14ac:dyDescent="0.2">
      <c r="B739" s="107"/>
      <c r="F739" s="40" t="s">
        <v>786</v>
      </c>
      <c r="G739" s="40">
        <v>3</v>
      </c>
      <c r="I739" s="40"/>
      <c r="J739" s="41"/>
    </row>
    <row r="740" spans="2:10" s="1" customFormat="1" ht="12.75" x14ac:dyDescent="0.2">
      <c r="B740" s="107"/>
      <c r="C740" s="39" t="s">
        <v>784</v>
      </c>
      <c r="D740" s="60">
        <v>1.25</v>
      </c>
      <c r="E740" s="40">
        <f>+E706</f>
        <v>7.75</v>
      </c>
      <c r="F740" s="40" t="s">
        <v>785</v>
      </c>
      <c r="G740" s="379">
        <f>+PI()*((G739*0.0254)^2)/4</f>
        <v>4.5603673118774788E-3</v>
      </c>
      <c r="H740" s="381">
        <f>+D740*E740*G740</f>
        <v>4.4178558333813074E-2</v>
      </c>
      <c r="I740" s="40"/>
      <c r="J740" s="41"/>
    </row>
    <row r="741" spans="2:10" s="1" customFormat="1" ht="12.75" x14ac:dyDescent="0.2">
      <c r="B741" s="107"/>
      <c r="C741" s="43" t="s">
        <v>468</v>
      </c>
      <c r="D741" s="60"/>
      <c r="E741" s="40"/>
      <c r="F741" s="40"/>
      <c r="G741" s="40"/>
      <c r="H741" s="40"/>
      <c r="I741" s="40"/>
      <c r="J741" s="41"/>
    </row>
    <row r="742" spans="2:10" s="1" customFormat="1" ht="12.75" x14ac:dyDescent="0.2">
      <c r="B742" s="107"/>
      <c r="F742" s="40" t="s">
        <v>786</v>
      </c>
      <c r="G742" s="40">
        <v>6</v>
      </c>
      <c r="I742" s="40"/>
      <c r="J742" s="41"/>
    </row>
    <row r="743" spans="2:10" s="1" customFormat="1" ht="12.75" x14ac:dyDescent="0.2">
      <c r="B743" s="107"/>
      <c r="C743" s="39" t="s">
        <v>784</v>
      </c>
      <c r="D743" s="60">
        <v>1.25</v>
      </c>
      <c r="E743" s="40">
        <f>+E710</f>
        <v>7.35</v>
      </c>
      <c r="F743" s="40" t="s">
        <v>785</v>
      </c>
      <c r="G743" s="40">
        <f>+PI()*((G742*0.0254)^2)/4</f>
        <v>1.8241469247509915E-2</v>
      </c>
      <c r="H743" s="382">
        <f>+D743*E743*G743</f>
        <v>0.16759349871149734</v>
      </c>
      <c r="I743" s="40"/>
      <c r="J743" s="41"/>
    </row>
    <row r="744" spans="2:10" s="1" customFormat="1" ht="12.75" x14ac:dyDescent="0.2">
      <c r="B744" s="107"/>
      <c r="C744" s="343"/>
      <c r="D744" s="60"/>
      <c r="E744" s="40"/>
      <c r="F744" s="40"/>
      <c r="G744" s="40"/>
      <c r="H744" s="40"/>
      <c r="I744" s="40"/>
      <c r="J744" s="41"/>
    </row>
    <row r="745" spans="2:10" s="1" customFormat="1" ht="12.75" x14ac:dyDescent="0.2">
      <c r="B745" s="107"/>
      <c r="C745" s="343"/>
      <c r="D745" s="60"/>
      <c r="E745" s="40"/>
      <c r="F745" s="40"/>
      <c r="G745" s="40"/>
      <c r="H745" s="40"/>
      <c r="I745" s="40"/>
      <c r="J745" s="41"/>
    </row>
    <row r="746" spans="2:10" s="1" customFormat="1" ht="12.75" x14ac:dyDescent="0.2">
      <c r="B746" s="107" t="s">
        <v>634</v>
      </c>
      <c r="C746" s="343" t="s">
        <v>624</v>
      </c>
      <c r="D746" s="60"/>
      <c r="E746" s="40"/>
      <c r="F746" s="40"/>
      <c r="G746" s="40"/>
      <c r="H746" s="40"/>
      <c r="I746" s="40">
        <f>+I736</f>
        <v>1.3937720570453107</v>
      </c>
      <c r="J746" s="41" t="s">
        <v>4</v>
      </c>
    </row>
    <row r="747" spans="2:10" s="1" customFormat="1" ht="12.75" x14ac:dyDescent="0.2">
      <c r="B747" s="46"/>
      <c r="C747" s="59"/>
      <c r="D747" s="60"/>
      <c r="E747" s="40"/>
      <c r="F747" s="40"/>
      <c r="G747" s="40"/>
      <c r="H747" s="40"/>
      <c r="I747" s="40"/>
      <c r="J747" s="41"/>
    </row>
    <row r="748" spans="2:10" s="1" customFormat="1" ht="12.75" x14ac:dyDescent="0.2">
      <c r="B748" s="46"/>
      <c r="C748" s="59"/>
      <c r="D748" s="60"/>
      <c r="E748" s="40"/>
      <c r="F748" s="40"/>
      <c r="G748" s="40"/>
      <c r="H748" s="40"/>
      <c r="I748" s="40"/>
      <c r="J748" s="41"/>
    </row>
    <row r="749" spans="2:10" s="1" customFormat="1" ht="12.75" x14ac:dyDescent="0.2">
      <c r="B749" s="46"/>
      <c r="C749" s="59"/>
      <c r="D749" s="60"/>
      <c r="E749" s="40"/>
      <c r="F749" s="40"/>
      <c r="G749" s="40"/>
      <c r="H749" s="40"/>
      <c r="I749" s="40"/>
      <c r="J749" s="41"/>
    </row>
    <row r="750" spans="2:10" s="1" customFormat="1" ht="12.75" x14ac:dyDescent="0.2">
      <c r="B750" s="46"/>
      <c r="C750" s="59"/>
      <c r="D750" s="60"/>
      <c r="E750" s="40"/>
      <c r="F750" s="40"/>
      <c r="G750" s="40"/>
      <c r="H750" s="40"/>
      <c r="I750" s="40"/>
      <c r="J750" s="41"/>
    </row>
    <row r="751" spans="2:10" s="1" customFormat="1" ht="12.75" x14ac:dyDescent="0.2">
      <c r="B751" s="46"/>
      <c r="C751" s="59"/>
      <c r="D751" s="60"/>
      <c r="E751" s="40"/>
      <c r="F751" s="40"/>
      <c r="G751" s="40"/>
      <c r="H751" s="40"/>
      <c r="I751" s="40"/>
      <c r="J751" s="41"/>
    </row>
    <row r="752" spans="2:10" s="1" customFormat="1" ht="12.75" x14ac:dyDescent="0.2">
      <c r="B752" s="46"/>
      <c r="C752" s="59"/>
      <c r="D752" s="60"/>
      <c r="E752" s="40"/>
      <c r="F752" s="40"/>
      <c r="G752" s="40"/>
      <c r="H752" s="40"/>
      <c r="I752" s="40"/>
      <c r="J752" s="41"/>
    </row>
    <row r="753" spans="2:10" s="1" customFormat="1" ht="12.75" x14ac:dyDescent="0.2">
      <c r="B753" s="46"/>
      <c r="C753" s="59"/>
      <c r="D753" s="60"/>
      <c r="E753" s="40"/>
      <c r="F753" s="40"/>
      <c r="G753" s="40"/>
      <c r="H753" s="40"/>
      <c r="I753" s="40"/>
      <c r="J753" s="41"/>
    </row>
    <row r="754" spans="2:10" s="1" customFormat="1" ht="12.75" x14ac:dyDescent="0.2">
      <c r="B754" s="46"/>
      <c r="C754" s="59"/>
      <c r="D754" s="60"/>
      <c r="E754" s="40"/>
      <c r="F754" s="40"/>
      <c r="G754" s="40"/>
      <c r="H754" s="40"/>
      <c r="I754" s="40"/>
      <c r="J754" s="41"/>
    </row>
    <row r="755" spans="2:10" s="1" customFormat="1" ht="12.75" x14ac:dyDescent="0.2">
      <c r="B755" s="46"/>
      <c r="C755" s="59"/>
      <c r="D755" s="60"/>
      <c r="E755" s="40"/>
      <c r="F755" s="40"/>
      <c r="G755" s="40"/>
      <c r="H755" s="40"/>
      <c r="I755" s="40"/>
      <c r="J755" s="41"/>
    </row>
    <row r="756" spans="2:10" s="1" customFormat="1" ht="12.75" x14ac:dyDescent="0.2">
      <c r="B756" s="46"/>
      <c r="C756" s="59"/>
      <c r="D756" s="60"/>
      <c r="E756" s="40"/>
      <c r="F756" s="40"/>
      <c r="G756" s="40"/>
      <c r="H756" s="40"/>
      <c r="I756" s="40"/>
      <c r="J756" s="41"/>
    </row>
    <row r="757" spans="2:10" s="1" customFormat="1" ht="12.75" x14ac:dyDescent="0.2">
      <c r="B757" s="46"/>
      <c r="C757" s="59"/>
      <c r="D757" s="60"/>
      <c r="E757" s="40"/>
      <c r="F757" s="40"/>
      <c r="G757" s="40"/>
      <c r="H757" s="40"/>
      <c r="I757" s="40"/>
      <c r="J757" s="41"/>
    </row>
    <row r="758" spans="2:10" s="1" customFormat="1" ht="12.75" x14ac:dyDescent="0.2">
      <c r="B758" s="46"/>
      <c r="C758" s="59"/>
      <c r="D758" s="60"/>
      <c r="E758" s="40"/>
      <c r="F758" s="40"/>
      <c r="G758" s="40"/>
      <c r="H758" s="40"/>
      <c r="I758" s="40"/>
      <c r="J758" s="41"/>
    </row>
    <row r="759" spans="2:10" s="1" customFormat="1" ht="12.75" x14ac:dyDescent="0.2">
      <c r="B759" s="46"/>
      <c r="C759" s="59"/>
      <c r="D759" s="60"/>
      <c r="E759" s="40"/>
      <c r="F759" s="40"/>
      <c r="G759" s="40"/>
      <c r="H759" s="40"/>
      <c r="I759" s="40"/>
      <c r="J759" s="41"/>
    </row>
    <row r="760" spans="2:10" s="1" customFormat="1" ht="12.75" x14ac:dyDescent="0.2">
      <c r="B760" s="46"/>
      <c r="C760" s="59"/>
      <c r="D760" s="60"/>
      <c r="E760" s="40"/>
      <c r="F760" s="40"/>
      <c r="G760" s="40"/>
      <c r="H760" s="40"/>
      <c r="I760" s="40"/>
      <c r="J760" s="41"/>
    </row>
    <row r="761" spans="2:10" s="1" customFormat="1" ht="12.75" x14ac:dyDescent="0.2">
      <c r="B761" s="46"/>
      <c r="C761" s="59"/>
      <c r="D761" s="60"/>
      <c r="E761" s="40"/>
      <c r="F761" s="40"/>
      <c r="G761" s="40"/>
      <c r="H761" s="40"/>
      <c r="I761" s="40"/>
      <c r="J761" s="41"/>
    </row>
    <row r="762" spans="2:10" s="1" customFormat="1" ht="12.75" x14ac:dyDescent="0.2">
      <c r="B762" s="46"/>
      <c r="C762" s="59"/>
      <c r="D762" s="60"/>
      <c r="E762" s="40"/>
      <c r="F762" s="40"/>
      <c r="G762" s="40"/>
      <c r="H762" s="40"/>
      <c r="I762" s="40"/>
      <c r="J762" s="41"/>
    </row>
    <row r="763" spans="2:10" s="1" customFormat="1" ht="12.75" x14ac:dyDescent="0.2">
      <c r="B763" s="46"/>
      <c r="C763" s="59"/>
      <c r="D763" s="60"/>
      <c r="E763" s="40"/>
      <c r="F763" s="40"/>
      <c r="G763" s="40"/>
      <c r="H763" s="40"/>
      <c r="I763" s="40"/>
      <c r="J763" s="41"/>
    </row>
    <row r="764" spans="2:10" s="1" customFormat="1" ht="12.75" x14ac:dyDescent="0.2">
      <c r="B764" s="46"/>
      <c r="C764" s="59"/>
      <c r="D764" s="60"/>
      <c r="E764" s="40"/>
      <c r="F764" s="40"/>
      <c r="G764" s="40"/>
      <c r="H764" s="40"/>
      <c r="I764" s="40"/>
      <c r="J764" s="41"/>
    </row>
    <row r="765" spans="2:10" s="1" customFormat="1" ht="12.75" x14ac:dyDescent="0.2">
      <c r="B765" s="46"/>
      <c r="C765" s="59"/>
      <c r="D765" s="60"/>
      <c r="E765" s="40"/>
      <c r="F765" s="40"/>
      <c r="G765" s="40"/>
      <c r="H765" s="40"/>
      <c r="I765" s="40"/>
      <c r="J765" s="41"/>
    </row>
    <row r="766" spans="2:10" s="1" customFormat="1" ht="12.75" x14ac:dyDescent="0.2">
      <c r="B766" s="46"/>
      <c r="C766" s="59"/>
      <c r="D766" s="60"/>
      <c r="E766" s="40"/>
      <c r="F766" s="40"/>
      <c r="G766" s="40"/>
      <c r="H766" s="40"/>
      <c r="I766" s="40"/>
      <c r="J766" s="41"/>
    </row>
    <row r="767" spans="2:10" s="1" customFormat="1" ht="12.75" x14ac:dyDescent="0.2">
      <c r="B767" s="46"/>
      <c r="C767" s="59"/>
      <c r="D767" s="60"/>
      <c r="E767" s="40"/>
      <c r="F767" s="40"/>
      <c r="G767" s="40"/>
      <c r="H767" s="40"/>
      <c r="I767" s="40"/>
      <c r="J767" s="41"/>
    </row>
    <row r="768" spans="2:10" s="1" customFormat="1" ht="12.75" x14ac:dyDescent="0.2">
      <c r="B768" s="46"/>
      <c r="C768" s="59"/>
      <c r="D768" s="60"/>
      <c r="E768" s="40"/>
      <c r="F768" s="40"/>
      <c r="G768" s="40"/>
      <c r="H768" s="40"/>
      <c r="I768" s="40"/>
      <c r="J768" s="41"/>
    </row>
    <row r="769" spans="2:10" s="1" customFormat="1" ht="12.75" x14ac:dyDescent="0.2">
      <c r="B769" s="46"/>
      <c r="C769" s="59"/>
      <c r="D769" s="60"/>
      <c r="E769" s="40"/>
      <c r="F769" s="40"/>
      <c r="G769" s="40"/>
      <c r="H769" s="40"/>
      <c r="I769" s="40"/>
      <c r="J769" s="41"/>
    </row>
    <row r="770" spans="2:10" s="1" customFormat="1" ht="12.75" x14ac:dyDescent="0.2">
      <c r="B770" s="46"/>
      <c r="C770" s="59"/>
      <c r="D770" s="60"/>
      <c r="E770" s="40"/>
      <c r="F770" s="40"/>
      <c r="G770" s="40"/>
      <c r="H770" s="40"/>
      <c r="I770" s="40"/>
      <c r="J770" s="41"/>
    </row>
    <row r="771" spans="2:10" s="1" customFormat="1" ht="12.75" x14ac:dyDescent="0.2">
      <c r="B771" s="46"/>
      <c r="C771" s="59"/>
      <c r="D771" s="60"/>
      <c r="E771" s="40"/>
      <c r="F771" s="40"/>
      <c r="G771" s="40"/>
      <c r="H771" s="40"/>
      <c r="I771" s="40"/>
      <c r="J771" s="41"/>
    </row>
    <row r="772" spans="2:10" s="1" customFormat="1" ht="12.75" x14ac:dyDescent="0.2">
      <c r="B772" s="46"/>
      <c r="C772" s="59"/>
      <c r="D772" s="60"/>
      <c r="E772" s="40"/>
      <c r="F772" s="40"/>
      <c r="G772" s="40"/>
      <c r="H772" s="40"/>
      <c r="I772" s="40"/>
      <c r="J772" s="41"/>
    </row>
    <row r="773" spans="2:10" s="1" customFormat="1" ht="12.75" x14ac:dyDescent="0.2">
      <c r="C773" s="542" t="s">
        <v>37</v>
      </c>
      <c r="D773" s="542"/>
      <c r="E773" s="542"/>
      <c r="F773" s="542"/>
      <c r="G773" s="542"/>
      <c r="H773" s="542"/>
    </row>
    <row r="774" spans="2:10" s="1" customFormat="1" ht="12.75" x14ac:dyDescent="0.2">
      <c r="C774" s="499" t="s">
        <v>38</v>
      </c>
      <c r="D774" s="499"/>
      <c r="E774" s="499"/>
      <c r="F774" s="499"/>
      <c r="G774" s="499"/>
      <c r="H774" s="499"/>
    </row>
    <row r="775" spans="2:10" s="1" customFormat="1" ht="12.75" x14ac:dyDescent="0.2">
      <c r="C775" s="499" t="s">
        <v>39</v>
      </c>
      <c r="D775" s="499"/>
      <c r="E775" s="499"/>
      <c r="F775" s="499"/>
      <c r="G775" s="499"/>
      <c r="H775" s="499"/>
    </row>
    <row r="776" spans="2:10" s="1" customFormat="1" ht="12.75" x14ac:dyDescent="0.2">
      <c r="C776" s="500" t="s">
        <v>40</v>
      </c>
      <c r="D776" s="500"/>
      <c r="E776" s="500"/>
      <c r="F776" s="500"/>
      <c r="G776" s="500"/>
      <c r="H776" s="500"/>
    </row>
    <row r="777" spans="2:10" s="1" customFormat="1" ht="12.75" x14ac:dyDescent="0.2">
      <c r="C777" s="80"/>
      <c r="D777" s="80"/>
      <c r="E777" s="80"/>
      <c r="F777" s="80"/>
      <c r="G777" s="80"/>
      <c r="H777" s="80"/>
    </row>
    <row r="778" spans="2:10" s="1" customFormat="1" ht="26.25" customHeight="1" x14ac:dyDescent="0.2">
      <c r="B778" s="354" t="s">
        <v>65</v>
      </c>
      <c r="C778" s="355"/>
      <c r="D778" s="355"/>
      <c r="E778" s="355"/>
      <c r="F778" s="355"/>
      <c r="G778" s="355"/>
      <c r="H778" s="355"/>
      <c r="I778" s="355"/>
      <c r="J778" s="356"/>
    </row>
    <row r="779" spans="2:10" s="1" customFormat="1" ht="20.25" x14ac:dyDescent="0.2">
      <c r="B779" s="357" t="s">
        <v>363</v>
      </c>
      <c r="C779" s="358"/>
      <c r="D779" s="358"/>
      <c r="E779" s="358"/>
      <c r="F779" s="358"/>
      <c r="G779" s="358"/>
      <c r="H779" s="358"/>
      <c r="I779" s="358"/>
      <c r="J779" s="359"/>
    </row>
    <row r="780" spans="2:10" s="1" customFormat="1" ht="13.5" thickBot="1" x14ac:dyDescent="0.25">
      <c r="B780" s="81"/>
      <c r="C780" s="81"/>
      <c r="D780" s="81"/>
      <c r="E780" s="81"/>
      <c r="F780" s="81"/>
      <c r="G780" s="81"/>
      <c r="H780" s="81"/>
      <c r="I780" s="81"/>
      <c r="J780" s="81"/>
    </row>
    <row r="781" spans="2:10" s="1" customFormat="1" ht="165.75" x14ac:dyDescent="0.2">
      <c r="B781" s="350" t="s">
        <v>27</v>
      </c>
      <c r="C781" s="351"/>
      <c r="D781" s="351"/>
      <c r="E781" s="351"/>
      <c r="F781" s="351"/>
      <c r="G781" s="351"/>
      <c r="H781" s="351"/>
      <c r="I781" s="351"/>
      <c r="J781" s="352"/>
    </row>
    <row r="782" spans="2:10" s="1" customFormat="1" ht="12.75" x14ac:dyDescent="0.2">
      <c r="B782" s="2" t="s">
        <v>35</v>
      </c>
      <c r="C782" s="3" t="s">
        <v>36</v>
      </c>
      <c r="D782" s="3"/>
      <c r="E782" s="4"/>
      <c r="F782" s="5"/>
      <c r="G782" s="6" t="s">
        <v>8</v>
      </c>
      <c r="H782" s="353">
        <v>42879</v>
      </c>
      <c r="I782" s="353"/>
      <c r="J782" s="7"/>
    </row>
    <row r="783" spans="2:10" s="1" customFormat="1" ht="12.75" x14ac:dyDescent="0.2">
      <c r="B783" s="2" t="s">
        <v>33</v>
      </c>
      <c r="C783" s="3" t="s">
        <v>29</v>
      </c>
      <c r="D783" s="8"/>
      <c r="E783" s="8"/>
      <c r="F783" s="3"/>
      <c r="G783" s="9" t="s">
        <v>32</v>
      </c>
      <c r="H783" s="4" t="s">
        <v>29</v>
      </c>
      <c r="I783" s="10"/>
      <c r="J783" s="11"/>
    </row>
    <row r="784" spans="2:10" s="1" customFormat="1" ht="12.75" x14ac:dyDescent="0.2">
      <c r="B784" s="2" t="s">
        <v>34</v>
      </c>
      <c r="C784" s="3" t="s">
        <v>29</v>
      </c>
      <c r="D784" s="8"/>
      <c r="E784" s="8"/>
      <c r="F784" s="3"/>
      <c r="G784" s="9" t="s">
        <v>30</v>
      </c>
      <c r="H784" s="4" t="s">
        <v>31</v>
      </c>
      <c r="I784" s="10"/>
      <c r="J784" s="11"/>
    </row>
    <row r="785" spans="2:10" s="1" customFormat="1" ht="13.5" thickBot="1" x14ac:dyDescent="0.25">
      <c r="B785" s="12" t="s">
        <v>43</v>
      </c>
      <c r="C785" s="13" t="s">
        <v>44</v>
      </c>
      <c r="D785" s="14"/>
      <c r="E785" s="14"/>
      <c r="F785" s="13"/>
      <c r="G785" s="15" t="s">
        <v>41</v>
      </c>
      <c r="H785" s="16" t="s">
        <v>42</v>
      </c>
      <c r="I785" s="17"/>
      <c r="J785" s="18"/>
    </row>
    <row r="786" spans="2:10" s="1" customFormat="1" ht="12.75" x14ac:dyDescent="0.2">
      <c r="B786" s="81"/>
      <c r="C786" s="81"/>
      <c r="D786" s="81"/>
      <c r="E786" s="81"/>
      <c r="F786" s="81"/>
      <c r="G786" s="81"/>
      <c r="H786" s="81"/>
      <c r="I786" s="81"/>
      <c r="J786" s="81"/>
    </row>
    <row r="787" spans="2:10" s="1" customFormat="1" ht="12.75" x14ac:dyDescent="0.2">
      <c r="B787" s="21" t="s">
        <v>5</v>
      </c>
      <c r="C787" s="22" t="s">
        <v>0</v>
      </c>
      <c r="D787" s="22" t="s">
        <v>9</v>
      </c>
      <c r="E787" s="22" t="s">
        <v>10</v>
      </c>
      <c r="F787" s="22" t="s">
        <v>1</v>
      </c>
      <c r="G787" s="22" t="s">
        <v>2</v>
      </c>
      <c r="H787" s="22" t="s">
        <v>11</v>
      </c>
      <c r="I787" s="22" t="s">
        <v>6</v>
      </c>
      <c r="J787" s="22" t="s">
        <v>7</v>
      </c>
    </row>
    <row r="788" spans="2:10" s="1" customFormat="1" ht="12.75" x14ac:dyDescent="0.2">
      <c r="B788" s="55">
        <v>4.03</v>
      </c>
      <c r="C788" s="56" t="s">
        <v>222</v>
      </c>
      <c r="D788" s="60"/>
      <c r="E788" s="40"/>
      <c r="F788" s="40"/>
      <c r="G788" s="40"/>
      <c r="H788" s="40"/>
      <c r="I788" s="40"/>
      <c r="J788" s="41"/>
    </row>
    <row r="789" spans="2:10" s="1" customFormat="1" ht="12.75" x14ac:dyDescent="0.2">
      <c r="B789" s="57" t="s">
        <v>14</v>
      </c>
      <c r="C789" s="58" t="s">
        <v>225</v>
      </c>
      <c r="D789" s="60"/>
      <c r="E789" s="40"/>
      <c r="F789" s="40"/>
      <c r="G789" s="40"/>
      <c r="H789" s="40"/>
      <c r="I789" s="40"/>
      <c r="J789" s="41"/>
    </row>
    <row r="790" spans="2:10" s="1" customFormat="1" ht="12.75" x14ac:dyDescent="0.2">
      <c r="B790" s="43" t="s">
        <v>15</v>
      </c>
      <c r="C790" s="43" t="s">
        <v>359</v>
      </c>
      <c r="D790" s="60"/>
      <c r="E790" s="40"/>
      <c r="F790" s="40"/>
      <c r="G790" s="40"/>
      <c r="H790" s="40"/>
      <c r="I790" s="44">
        <f>SUM(H791:H791)</f>
        <v>12.3</v>
      </c>
      <c r="J790" s="45" t="str">
        <f>+J791</f>
        <v>ml</v>
      </c>
    </row>
    <row r="791" spans="2:10" s="1" customFormat="1" ht="12.75" x14ac:dyDescent="0.2">
      <c r="B791" s="43"/>
      <c r="C791" s="39" t="s">
        <v>458</v>
      </c>
      <c r="D791" s="60">
        <v>1</v>
      </c>
      <c r="E791" s="40">
        <v>12.3</v>
      </c>
      <c r="F791" s="40"/>
      <c r="G791" s="40"/>
      <c r="H791" s="40">
        <f>IF(AND(F791=0,G791=0),D791*E791,IF(AND(E791=0,G791=0),D791*F791,IF(AND(E791=0,F791=0),D791*G791,IF(AND(E791=0),D791*F791*G791,IF(AND(F791=0),D791*E791*G791,IF(AND(G791=0),D791*E791*F791,D791*E791*F791*G791))))))</f>
        <v>12.3</v>
      </c>
      <c r="I791" s="40"/>
      <c r="J791" s="41" t="str">
        <f>IF(AND(E791=0,F791&lt;&gt;0,G791&lt;&gt;0),"m2",IF(AND(F791=0,E791&lt;&gt;0,G791&lt;&gt;0),"m2",IF(AND(G791=0,E791&lt;&gt;0,F791&lt;&gt;0),"m2",IF(AND(F791=0,G791=0),"ml",IF(AND(E791=0,G791=0),"ml",IF(AND(E791=0,F791=0),"ml",IF(AND(E791&lt;&gt;0,F791&lt;&gt;0,G791&lt;&gt;0),"m3",0)))))))</f>
        <v>ml</v>
      </c>
    </row>
    <row r="792" spans="2:10" s="1" customFormat="1" ht="12.75" x14ac:dyDescent="0.2">
      <c r="B792" s="43"/>
      <c r="C792" s="39"/>
      <c r="D792" s="40"/>
      <c r="E792" s="40"/>
      <c r="F792" s="40"/>
      <c r="G792" s="40"/>
      <c r="H792" s="40"/>
      <c r="I792" s="40"/>
      <c r="J792" s="41" t="str">
        <f>IF(AND(E792=0,F792&lt;&gt;0,G792&lt;&gt;0),"m2",IF(AND(F792=0,E792&lt;&gt;0,G792&lt;&gt;0),"m2",IF(AND(G792=0,E792&lt;&gt;0,F792&lt;&gt;0),"m2",IF(AND(F792=0,G792=0),"ml",IF(AND(E792=0,G792=0),"ml",IF(AND(E792=0,F792=0),"ml",IF(AND(E792&lt;&gt;0,F792&lt;&gt;0,G792&lt;&gt;0),"m3",0)))))))</f>
        <v>ml</v>
      </c>
    </row>
    <row r="793" spans="2:10" s="1" customFormat="1" ht="12.75" x14ac:dyDescent="0.2">
      <c r="B793" s="43" t="s">
        <v>232</v>
      </c>
      <c r="C793" s="43" t="s">
        <v>235</v>
      </c>
      <c r="D793" s="60"/>
      <c r="E793" s="40"/>
      <c r="F793" s="40"/>
      <c r="G793" s="40"/>
      <c r="H793" s="40"/>
      <c r="I793" s="44">
        <f>SUM(H794:H795)</f>
        <v>89.9</v>
      </c>
      <c r="J793" s="45" t="str">
        <f>+J794</f>
        <v>ml</v>
      </c>
    </row>
    <row r="794" spans="2:10" s="1" customFormat="1" ht="12.75" x14ac:dyDescent="0.2">
      <c r="B794" s="57"/>
      <c r="C794" s="39" t="s">
        <v>378</v>
      </c>
      <c r="D794" s="40">
        <v>2</v>
      </c>
      <c r="E794" s="40">
        <v>40.200000000000003</v>
      </c>
      <c r="F794" s="40"/>
      <c r="G794" s="40"/>
      <c r="H794" s="40">
        <f>IF(AND(F794=0,G794=0),D794*E794,IF(AND(E794=0,G794=0),D794*F794,IF(AND(E794=0,F794=0),D794*G794,IF(AND(E794=0),D794*F794*G794,IF(AND(F794=0),D794*E794*G794,IF(AND(G794=0),D794*E794*F794,D794*E794*F794*G794))))))</f>
        <v>80.400000000000006</v>
      </c>
      <c r="I794" s="40"/>
      <c r="J794" s="41" t="str">
        <f>IF(AND(E794=0,F794&lt;&gt;0,G794&lt;&gt;0),"m2",IF(AND(F794=0,E794&lt;&gt;0,G794&lt;&gt;0),"m2",IF(AND(G794=0,E794&lt;&gt;0,F794&lt;&gt;0),"m2",IF(AND(F794=0,G794=0),"ml",IF(AND(E794=0,G794=0),"ml",IF(AND(E794=0,F794=0),"ml",IF(AND(E794&lt;&gt;0,F794&lt;&gt;0,G794&lt;&gt;0),"m3",0)))))))</f>
        <v>ml</v>
      </c>
    </row>
    <row r="795" spans="2:10" s="1" customFormat="1" ht="12.75" x14ac:dyDescent="0.2">
      <c r="B795" s="57"/>
      <c r="C795" s="39" t="s">
        <v>379</v>
      </c>
      <c r="D795" s="40">
        <v>1</v>
      </c>
      <c r="E795" s="40">
        <v>9.5</v>
      </c>
      <c r="F795" s="40"/>
      <c r="G795" s="40"/>
      <c r="H795" s="40">
        <f>IF(AND(F795=0,G795=0),D795*E795,IF(AND(E795=0,G795=0),D795*F795,IF(AND(E795=0,F795=0),D795*G795,IF(AND(E795=0),D795*F795*G795,IF(AND(F795=0),D795*E795*G795,IF(AND(G795=0),D795*E795*F795,D795*E795*F795*G795))))))</f>
        <v>9.5</v>
      </c>
      <c r="I795" s="40"/>
      <c r="J795" s="41" t="str">
        <f>IF(AND(E795=0,F795&lt;&gt;0,G795&lt;&gt;0),"m2",IF(AND(F795=0,E795&lt;&gt;0,G795&lt;&gt;0),"m2",IF(AND(G795=0,E795&lt;&gt;0,F795&lt;&gt;0),"m2",IF(AND(F795=0,G795=0),"ml",IF(AND(E795=0,G795=0),"ml",IF(AND(E795=0,F795=0),"ml",IF(AND(E795&lt;&gt;0,F795&lt;&gt;0,G795&lt;&gt;0),"m3",0)))))))</f>
        <v>ml</v>
      </c>
    </row>
    <row r="796" spans="2:10" s="1" customFormat="1" ht="12.75" x14ac:dyDescent="0.2">
      <c r="B796" s="43" t="s">
        <v>233</v>
      </c>
      <c r="C796" s="43" t="s">
        <v>236</v>
      </c>
      <c r="D796" s="60"/>
      <c r="E796" s="40"/>
      <c r="F796" s="40"/>
      <c r="G796" s="40"/>
      <c r="H796" s="40"/>
      <c r="I796" s="44">
        <f>SUM(H797:H797)</f>
        <v>0</v>
      </c>
      <c r="J796" s="45" t="str">
        <f>+J797</f>
        <v>ml</v>
      </c>
    </row>
    <row r="797" spans="2:10" s="1" customFormat="1" ht="12.75" x14ac:dyDescent="0.2">
      <c r="B797" s="57"/>
      <c r="C797" s="39" t="s">
        <v>231</v>
      </c>
      <c r="D797" s="40"/>
      <c r="E797" s="40"/>
      <c r="F797" s="40"/>
      <c r="G797" s="40"/>
      <c r="H797" s="40">
        <f>IF(AND(F797=0,G797=0),D797*E797,IF(AND(E797=0,G797=0),D797*F797,IF(AND(E797=0,F797=0),D797*G797,IF(AND(E797=0),D797*F797*G797,IF(AND(F797=0),D797*E797*G797,IF(AND(G797=0),D797*E797*F797,D797*E797*F797*G797))))))</f>
        <v>0</v>
      </c>
      <c r="I797" s="40"/>
      <c r="J797" s="41" t="str">
        <f>IF(AND(E797=0,F797&lt;&gt;0,G797&lt;&gt;0),"m2",IF(AND(F797=0,E797&lt;&gt;0,G797&lt;&gt;0),"m2",IF(AND(G797=0,E797&lt;&gt;0,F797&lt;&gt;0),"m2",IF(AND(F797=0,G797=0),"ml",IF(AND(E797=0,G797=0),"ml",IF(AND(E797=0,F797=0),"ml",IF(AND(E797&lt;&gt;0,F797&lt;&gt;0,G797&lt;&gt;0),"m3",0)))))))</f>
        <v>ml</v>
      </c>
    </row>
    <row r="798" spans="2:10" s="1" customFormat="1" ht="12.75" x14ac:dyDescent="0.2">
      <c r="B798" s="43" t="s">
        <v>234</v>
      </c>
      <c r="C798" s="43" t="s">
        <v>267</v>
      </c>
      <c r="D798" s="60"/>
      <c r="E798" s="40"/>
      <c r="F798" s="40"/>
      <c r="G798" s="40"/>
      <c r="H798" s="40"/>
      <c r="I798" s="44">
        <f>SUM(H799:H799)</f>
        <v>0</v>
      </c>
      <c r="J798" s="45" t="s">
        <v>345</v>
      </c>
    </row>
    <row r="799" spans="2:10" s="1" customFormat="1" ht="12.75" x14ac:dyDescent="0.2">
      <c r="B799" s="43"/>
      <c r="C799" s="39"/>
      <c r="D799" s="60"/>
      <c r="E799" s="40"/>
      <c r="F799" s="40"/>
      <c r="G799" s="40"/>
      <c r="H799" s="40">
        <f>+D799</f>
        <v>0</v>
      </c>
      <c r="I799" s="44"/>
      <c r="J799" s="45"/>
    </row>
    <row r="800" spans="2:10" s="1" customFormat="1" ht="12.75" x14ac:dyDescent="0.2">
      <c r="B800" s="43" t="s">
        <v>268</v>
      </c>
      <c r="C800" s="43" t="s">
        <v>347</v>
      </c>
      <c r="D800" s="60"/>
      <c r="E800" s="40"/>
      <c r="F800" s="40"/>
      <c r="G800" s="40"/>
      <c r="H800" s="40"/>
      <c r="I800" s="44">
        <f>SUM(H801:H802)</f>
        <v>74.899999999999991</v>
      </c>
      <c r="J800" s="45" t="s">
        <v>345</v>
      </c>
    </row>
    <row r="801" spans="2:10" s="1" customFormat="1" ht="12.75" x14ac:dyDescent="0.2">
      <c r="B801" s="43"/>
      <c r="C801" s="39" t="s">
        <v>456</v>
      </c>
      <c r="D801" s="60">
        <v>6</v>
      </c>
      <c r="E801" s="40">
        <f>9.5+1.2</f>
        <v>10.7</v>
      </c>
      <c r="F801" s="40"/>
      <c r="G801" s="40"/>
      <c r="H801" s="40">
        <f t="shared" ref="H801:H802" si="44">IF(AND(F801=0,G801=0),D801*E801,IF(AND(E801=0,G801=0),D801*F801,IF(AND(E801=0,F801=0),D801*G801,IF(AND(E801=0),D801*F801*G801,IF(AND(F801=0),D801*E801*G801,IF(AND(G801=0),D801*E801*F801,D801*E801*F801*G801))))))</f>
        <v>64.199999999999989</v>
      </c>
      <c r="I801" s="40"/>
      <c r="J801" s="41"/>
    </row>
    <row r="802" spans="2:10" s="1" customFormat="1" ht="12.75" x14ac:dyDescent="0.2">
      <c r="B802" s="57"/>
      <c r="C802" s="39" t="s">
        <v>531</v>
      </c>
      <c r="D802" s="60">
        <v>1</v>
      </c>
      <c r="E802" s="89">
        <v>10.7</v>
      </c>
      <c r="F802" s="40"/>
      <c r="G802" s="40"/>
      <c r="H802" s="40">
        <f t="shared" si="44"/>
        <v>10.7</v>
      </c>
      <c r="I802" s="40"/>
      <c r="J802" s="41"/>
    </row>
    <row r="803" spans="2:10" s="1" customFormat="1" ht="12.75" x14ac:dyDescent="0.2">
      <c r="B803" s="57"/>
      <c r="C803" s="59" t="s">
        <v>658</v>
      </c>
      <c r="D803" s="60">
        <v>1</v>
      </c>
      <c r="E803" s="40">
        <v>2.1</v>
      </c>
      <c r="F803" s="40"/>
      <c r="G803" s="40"/>
      <c r="H803" s="40"/>
      <c r="I803" s="40"/>
      <c r="J803" s="41"/>
    </row>
    <row r="804" spans="2:10" s="1" customFormat="1" ht="12.75" x14ac:dyDescent="0.2">
      <c r="B804" s="57"/>
      <c r="C804" s="39"/>
      <c r="D804" s="60"/>
      <c r="E804" s="40"/>
      <c r="F804" s="40"/>
      <c r="G804" s="40"/>
      <c r="H804" s="40"/>
      <c r="I804" s="40"/>
      <c r="J804" s="41"/>
    </row>
    <row r="805" spans="2:10" s="1" customFormat="1" ht="12.75" x14ac:dyDescent="0.2">
      <c r="B805" s="43" t="s">
        <v>270</v>
      </c>
      <c r="C805" s="43" t="s">
        <v>269</v>
      </c>
      <c r="D805" s="60"/>
      <c r="E805" s="40"/>
      <c r="F805" s="40"/>
      <c r="G805" s="40"/>
      <c r="H805" s="40"/>
      <c r="I805" s="44">
        <f>SUM(H806:H806)</f>
        <v>0</v>
      </c>
      <c r="J805" s="45" t="str">
        <f>+J806</f>
        <v>ml</v>
      </c>
    </row>
    <row r="806" spans="2:10" s="1" customFormat="1" ht="12.75" x14ac:dyDescent="0.2">
      <c r="B806" s="43"/>
      <c r="C806" s="77"/>
      <c r="D806" s="40"/>
      <c r="E806" s="40"/>
      <c r="F806" s="40"/>
      <c r="G806" s="40"/>
      <c r="H806" s="40">
        <f t="shared" ref="H806" si="45">IF(AND(F806=0,G806=0),D806*E806,IF(AND(E806=0,G806=0),D806*F806,IF(AND(E806=0,F806=0),D806*G806,IF(AND(E806=0),D806*F806*G806,IF(AND(F806=0),D806*E806*G806,IF(AND(G806=0),D806*E806*F806,D806*E806*F806*G806))))))</f>
        <v>0</v>
      </c>
      <c r="I806" s="40"/>
      <c r="J806" s="41" t="str">
        <f t="shared" ref="J806" si="46">IF(AND(E806=0,F806&lt;&gt;0,G806&lt;&gt;0),"m2",IF(AND(F806=0,E806&lt;&gt;0,G806&lt;&gt;0),"m2",IF(AND(G806=0,E806&lt;&gt;0,F806&lt;&gt;0),"m2",IF(AND(F806=0,G806=0),"ml",IF(AND(E806=0,G806=0),"ml",IF(AND(E806=0,F806=0),"ml",IF(AND(E806&lt;&gt;0,F806&lt;&gt;0,G806&lt;&gt;0),"m3",0)))))))</f>
        <v>ml</v>
      </c>
    </row>
    <row r="807" spans="2:10" s="1" customFormat="1" ht="12.75" x14ac:dyDescent="0.2">
      <c r="B807" s="43"/>
      <c r="C807" s="39"/>
      <c r="D807" s="60"/>
      <c r="E807" s="40"/>
      <c r="F807" s="40"/>
      <c r="G807" s="40"/>
      <c r="H807" s="40"/>
      <c r="I807" s="40"/>
      <c r="J807" s="41"/>
    </row>
    <row r="808" spans="2:10" s="1" customFormat="1" ht="12.75" x14ac:dyDescent="0.2">
      <c r="B808" s="43" t="s">
        <v>342</v>
      </c>
      <c r="C808" s="43" t="s">
        <v>271</v>
      </c>
      <c r="D808" s="60"/>
      <c r="E808" s="40"/>
      <c r="F808" s="40"/>
      <c r="G808" s="40"/>
      <c r="H808" s="40"/>
      <c r="I808" s="44">
        <f>SUM(H809:H810)</f>
        <v>7</v>
      </c>
      <c r="J808" s="45" t="str">
        <f>+J809</f>
        <v>und</v>
      </c>
    </row>
    <row r="809" spans="2:10" s="1" customFormat="1" ht="12.75" x14ac:dyDescent="0.2">
      <c r="B809" s="57"/>
      <c r="C809" s="39" t="s">
        <v>370</v>
      </c>
      <c r="D809" s="40">
        <v>6</v>
      </c>
      <c r="E809" s="40"/>
      <c r="F809" s="40"/>
      <c r="G809" s="40"/>
      <c r="H809" s="40">
        <f>+D809</f>
        <v>6</v>
      </c>
      <c r="I809" s="40"/>
      <c r="J809" s="41" t="s">
        <v>13</v>
      </c>
    </row>
    <row r="810" spans="2:10" s="1" customFormat="1" ht="12.75" x14ac:dyDescent="0.2">
      <c r="B810" s="57"/>
      <c r="C810" s="39" t="s">
        <v>641</v>
      </c>
      <c r="D810" s="60">
        <v>1</v>
      </c>
      <c r="E810" s="40"/>
      <c r="F810" s="40"/>
      <c r="G810" s="40"/>
      <c r="H810" s="40">
        <v>1</v>
      </c>
      <c r="I810" s="40"/>
      <c r="J810" s="41"/>
    </row>
    <row r="811" spans="2:10" s="1" customFormat="1" ht="12.75" x14ac:dyDescent="0.2">
      <c r="B811" s="43" t="s">
        <v>346</v>
      </c>
      <c r="C811" s="43" t="s">
        <v>348</v>
      </c>
      <c r="D811" s="60"/>
      <c r="E811" s="40"/>
      <c r="F811" s="40"/>
      <c r="G811" s="40"/>
      <c r="H811" s="40"/>
      <c r="I811" s="44">
        <f>SUM(H812:H813)</f>
        <v>7</v>
      </c>
      <c r="J811" s="45" t="str">
        <f>+J812</f>
        <v>und</v>
      </c>
    </row>
    <row r="812" spans="2:10" s="1" customFormat="1" ht="12.75" x14ac:dyDescent="0.2">
      <c r="B812" s="57"/>
      <c r="C812" s="39" t="s">
        <v>349</v>
      </c>
      <c r="D812" s="40">
        <v>6</v>
      </c>
      <c r="E812" s="40"/>
      <c r="F812" s="40"/>
      <c r="G812" s="40"/>
      <c r="H812" s="40">
        <f>+D812</f>
        <v>6</v>
      </c>
      <c r="I812" s="40"/>
      <c r="J812" s="41" t="s">
        <v>13</v>
      </c>
    </row>
    <row r="813" spans="2:10" s="1" customFormat="1" ht="12.75" x14ac:dyDescent="0.2">
      <c r="B813" s="57"/>
      <c r="C813" s="39" t="s">
        <v>641</v>
      </c>
      <c r="D813" s="60">
        <v>1</v>
      </c>
      <c r="E813" s="40"/>
      <c r="F813" s="40"/>
      <c r="G813" s="40"/>
      <c r="H813" s="40">
        <v>1</v>
      </c>
      <c r="I813" s="40"/>
      <c r="J813" s="41"/>
    </row>
    <row r="814" spans="2:10" s="1" customFormat="1" ht="12.75" x14ac:dyDescent="0.2">
      <c r="B814" s="57" t="s">
        <v>16</v>
      </c>
      <c r="C814" s="58" t="s">
        <v>224</v>
      </c>
      <c r="D814" s="60"/>
      <c r="E814" s="40"/>
      <c r="F814" s="40"/>
      <c r="G814" s="40"/>
      <c r="H814" s="40"/>
      <c r="I814" s="40"/>
      <c r="J814" s="41"/>
    </row>
    <row r="815" spans="2:10" s="1" customFormat="1" ht="12.75" x14ac:dyDescent="0.2">
      <c r="B815" s="43" t="s">
        <v>17</v>
      </c>
      <c r="C815" s="43" t="s">
        <v>343</v>
      </c>
      <c r="D815" s="60"/>
      <c r="E815" s="40"/>
      <c r="F815" s="40"/>
      <c r="G815" s="40"/>
      <c r="H815" s="40"/>
      <c r="I815" s="44">
        <f>SUM(H816:H816)</f>
        <v>0</v>
      </c>
      <c r="J815" s="45" t="str">
        <f>+J816</f>
        <v>ml</v>
      </c>
    </row>
    <row r="816" spans="2:10" s="1" customFormat="1" ht="12.75" x14ac:dyDescent="0.2">
      <c r="B816" s="57"/>
      <c r="C816" s="39" t="s">
        <v>344</v>
      </c>
      <c r="D816" s="40"/>
      <c r="E816" s="40"/>
      <c r="F816" s="40"/>
      <c r="G816" s="40"/>
      <c r="H816" s="40">
        <f>IF(AND(F816=0,G816=0),D816*E816,IF(AND(E816=0,G816=0),D816*F816,IF(AND(E816=0,F816=0),D816*G816,IF(AND(E816=0),D816*F816*G816,IF(AND(F816=0),D816*E816*G816,IF(AND(G816=0),D816*E816*F816,D816*E816*F816*G816))))))</f>
        <v>0</v>
      </c>
      <c r="I816" s="40"/>
      <c r="J816" s="41" t="str">
        <f>IF(AND(E816=0,F816&lt;&gt;0,G816&lt;&gt;0),"m2",IF(AND(F816=0,E816&lt;&gt;0,G816&lt;&gt;0),"m2",IF(AND(G816=0,E816&lt;&gt;0,F816&lt;&gt;0),"m2",IF(AND(F816=0,G816=0),"ml",IF(AND(E816=0,G816=0),"ml",IF(AND(E816=0,F816=0),"ml",IF(AND(E816&lt;&gt;0,F816&lt;&gt;0,G816&lt;&gt;0),"m3",0)))))))</f>
        <v>ml</v>
      </c>
    </row>
    <row r="817" spans="2:10" s="1" customFormat="1" ht="12.75" x14ac:dyDescent="0.2">
      <c r="B817" s="43" t="s">
        <v>240</v>
      </c>
      <c r="C817" s="43" t="s">
        <v>237</v>
      </c>
      <c r="D817" s="60"/>
      <c r="E817" s="40"/>
      <c r="F817" s="40"/>
      <c r="G817" s="40"/>
      <c r="H817" s="40"/>
      <c r="I817" s="44">
        <f>SUM(H818:H819)</f>
        <v>0</v>
      </c>
      <c r="J817" s="45" t="str">
        <f>+J818</f>
        <v>ml</v>
      </c>
    </row>
    <row r="818" spans="2:10" s="1" customFormat="1" ht="12.75" x14ac:dyDescent="0.2">
      <c r="B818" s="57"/>
      <c r="C818" s="39" t="s">
        <v>371</v>
      </c>
      <c r="D818" s="40"/>
      <c r="E818" s="40"/>
      <c r="F818" s="40"/>
      <c r="G818" s="40"/>
      <c r="H818" s="40">
        <f>IF(AND(F818=0,G818=0),D818*E818,IF(AND(E818=0,G818=0),D818*F818,IF(AND(E818=0,F818=0),D818*G818,IF(AND(E818=0),D818*F818*G818,IF(AND(F818=0),D818*E818*G818,IF(AND(G818=0),D818*E818*F818,D818*E818*F818*G818))))))</f>
        <v>0</v>
      </c>
      <c r="I818" s="40"/>
      <c r="J818" s="41" t="str">
        <f>IF(AND(E818=0,F818&lt;&gt;0,G818&lt;&gt;0),"m2",IF(AND(F818=0,E818&lt;&gt;0,G818&lt;&gt;0),"m2",IF(AND(G818=0,E818&lt;&gt;0,F818&lt;&gt;0),"m2",IF(AND(F818=0,G818=0),"ml",IF(AND(E818=0,G818=0),"ml",IF(AND(E818=0,F818=0),"ml",IF(AND(E818&lt;&gt;0,F818&lt;&gt;0,G818&lt;&gt;0),"m3",0)))))))</f>
        <v>ml</v>
      </c>
    </row>
    <row r="819" spans="2:10" s="1" customFormat="1" ht="12.75" x14ac:dyDescent="0.2">
      <c r="B819" s="57"/>
      <c r="C819" s="39" t="s">
        <v>371</v>
      </c>
      <c r="D819" s="40"/>
      <c r="E819" s="40"/>
      <c r="F819" s="40"/>
      <c r="G819" s="40"/>
      <c r="H819" s="40">
        <f>IF(AND(F819=0,G819=0),D819*E819,IF(AND(E819=0,G819=0),D819*F819,IF(AND(E819=0,F819=0),D819*G819,IF(AND(E819=0),D819*F819*G819,IF(AND(F819=0),D819*E819*G819,IF(AND(G819=0),D819*E819*F819,D819*E819*F819*G819))))))</f>
        <v>0</v>
      </c>
      <c r="I819" s="40"/>
      <c r="J819" s="41" t="str">
        <f>IF(AND(E819=0,F819&lt;&gt;0,G819&lt;&gt;0),"m2",IF(AND(F819=0,E819&lt;&gt;0,G819&lt;&gt;0),"m2",IF(AND(G819=0,E819&lt;&gt;0,F819&lt;&gt;0),"m2",IF(AND(F819=0,G819=0),"ml",IF(AND(E819=0,G819=0),"ml",IF(AND(E819=0,F819=0),"ml",IF(AND(E819&lt;&gt;0,F819&lt;&gt;0,G819&lt;&gt;0),"m3",0)))))))</f>
        <v>ml</v>
      </c>
    </row>
    <row r="820" spans="2:10" s="1" customFormat="1" ht="12.75" x14ac:dyDescent="0.2">
      <c r="B820" s="43" t="s">
        <v>241</v>
      </c>
      <c r="C820" s="43" t="s">
        <v>239</v>
      </c>
      <c r="D820" s="60"/>
      <c r="E820" s="40"/>
      <c r="F820" s="40"/>
      <c r="G820" s="40"/>
      <c r="H820" s="40"/>
      <c r="I820" s="44">
        <f>SUM(H821:H821)</f>
        <v>3</v>
      </c>
      <c r="J820" s="45" t="str">
        <f>+J821</f>
        <v>ml</v>
      </c>
    </row>
    <row r="821" spans="2:10" s="1" customFormat="1" ht="12.75" x14ac:dyDescent="0.2">
      <c r="B821" s="57"/>
      <c r="C821" s="39" t="s">
        <v>444</v>
      </c>
      <c r="D821" s="60">
        <v>1</v>
      </c>
      <c r="E821" s="1">
        <v>3</v>
      </c>
      <c r="F821" s="40"/>
      <c r="G821" s="40"/>
      <c r="H821" s="40">
        <f>IF(AND(F821=0,G821=0),D821*E821,IF(AND(E821=0,G821=0),D821*F821,IF(AND(E821=0,F821=0),D821*G821,IF(AND(E821=0),D821*F821*G821,IF(AND(F821=0),D821*E821*G821,IF(AND(G821=0),D821*E821*F821,D821*E821*F821*G821))))))</f>
        <v>3</v>
      </c>
      <c r="I821" s="40"/>
      <c r="J821" s="41" t="str">
        <f>IF(AND(E821=0,F821&lt;&gt;0,G821&lt;&gt;0),"m2",IF(AND(F821=0,E821&lt;&gt;0,G821&lt;&gt;0),"m2",IF(AND(G821=0,E821&lt;&gt;0,F821&lt;&gt;0),"m2",IF(AND(F821=0,G821=0),"ml",IF(AND(E821=0,G821=0),"ml",IF(AND(E821=0,F821=0),"ml",IF(AND(E821&lt;&gt;0,F821&lt;&gt;0,G821&lt;&gt;0),"m3",0)))))))</f>
        <v>ml</v>
      </c>
    </row>
    <row r="822" spans="2:10" s="1" customFormat="1" ht="12.75" x14ac:dyDescent="0.2">
      <c r="B822" s="57"/>
      <c r="C822" s="39"/>
      <c r="D822" s="60"/>
      <c r="E822" s="86"/>
      <c r="F822" s="40"/>
      <c r="G822" s="40"/>
      <c r="H822" s="40"/>
      <c r="I822" s="40"/>
      <c r="J822" s="41"/>
    </row>
    <row r="823" spans="2:10" s="1" customFormat="1" ht="12.75" x14ac:dyDescent="0.2">
      <c r="B823" s="57"/>
      <c r="C823" s="39"/>
      <c r="D823" s="60"/>
      <c r="E823" s="86"/>
      <c r="F823" s="40"/>
      <c r="G823" s="40"/>
      <c r="H823" s="40"/>
      <c r="I823" s="40"/>
      <c r="J823" s="41"/>
    </row>
    <row r="824" spans="2:10" s="1" customFormat="1" ht="12.75" x14ac:dyDescent="0.2">
      <c r="B824" s="43" t="s">
        <v>243</v>
      </c>
      <c r="C824" s="43" t="s">
        <v>242</v>
      </c>
      <c r="D824" s="60"/>
      <c r="E824" s="40"/>
      <c r="F824" s="40"/>
      <c r="G824" s="40"/>
      <c r="H824" s="40"/>
      <c r="I824" s="44">
        <f>SUM(H825:H825)</f>
        <v>0</v>
      </c>
      <c r="J824" s="45" t="str">
        <f>+J825</f>
        <v>ml</v>
      </c>
    </row>
    <row r="825" spans="2:10" s="1" customFormat="1" ht="12.75" x14ac:dyDescent="0.2">
      <c r="B825" s="57"/>
      <c r="C825" s="39" t="s">
        <v>396</v>
      </c>
      <c r="D825" s="40"/>
      <c r="E825" s="40"/>
      <c r="F825" s="40"/>
      <c r="G825" s="40"/>
      <c r="H825" s="40">
        <f>IF(AND(F825=0,G825=0),D825*E825,IF(AND(E825=0,G825=0),D825*F825,IF(AND(E825=0,F825=0),D825*G825,IF(AND(E825=0),D825*F825*G825,IF(AND(F825=0),D825*E825*G825,IF(AND(G825=0),D825*E825*F825,D825*E825*F825*G825))))))</f>
        <v>0</v>
      </c>
      <c r="I825" s="40"/>
      <c r="J825" s="41" t="str">
        <f>IF(AND(E825=0,F825&lt;&gt;0,G825&lt;&gt;0),"m2",IF(AND(F825=0,E825&lt;&gt;0,G825&lt;&gt;0),"m2",IF(AND(G825=0,E825&lt;&gt;0,F825&lt;&gt;0),"m2",IF(AND(F825=0,G825=0),"ml",IF(AND(E825=0,G825=0),"ml",IF(AND(E825=0,F825=0),"ml",IF(AND(E825&lt;&gt;0,F825&lt;&gt;0,G825&lt;&gt;0),"m3",0)))))))</f>
        <v>ml</v>
      </c>
    </row>
    <row r="826" spans="2:10" s="1" customFormat="1" ht="12.75" x14ac:dyDescent="0.2">
      <c r="B826" s="43" t="s">
        <v>244</v>
      </c>
      <c r="C826" s="43" t="s">
        <v>245</v>
      </c>
      <c r="D826" s="60"/>
      <c r="E826" s="40"/>
      <c r="F826" s="40"/>
      <c r="G826" s="40"/>
      <c r="H826" s="40"/>
      <c r="I826" s="44">
        <f>SUM(H827:H827)</f>
        <v>0</v>
      </c>
      <c r="J826" s="45" t="str">
        <f>+J827</f>
        <v>ml</v>
      </c>
    </row>
    <row r="827" spans="2:10" s="1" customFormat="1" ht="12.75" x14ac:dyDescent="0.2">
      <c r="B827" s="57"/>
      <c r="C827" s="39" t="s">
        <v>238</v>
      </c>
      <c r="D827" s="40"/>
      <c r="E827" s="40"/>
      <c r="F827" s="40"/>
      <c r="G827" s="40"/>
      <c r="H827" s="40">
        <f>IF(AND(F827=0,G827=0),D827*E827,IF(AND(E827=0,G827=0),D827*F827,IF(AND(E827=0,F827=0),D827*G827,IF(AND(E827=0),D827*F827*G827,IF(AND(F827=0),D827*E827*G827,IF(AND(G827=0),D827*E827*F827,D827*E827*F827*G827))))))</f>
        <v>0</v>
      </c>
      <c r="I827" s="40"/>
      <c r="J827" s="41" t="str">
        <f>IF(AND(E827=0,F827&lt;&gt;0,G827&lt;&gt;0),"m2",IF(AND(F827=0,E827&lt;&gt;0,G827&lt;&gt;0),"m2",IF(AND(G827=0,E827&lt;&gt;0,F827&lt;&gt;0),"m2",IF(AND(F827=0,G827=0),"ml",IF(AND(E827=0,G827=0),"ml",IF(AND(E827=0,F827=0),"ml",IF(AND(E827&lt;&gt;0,F827&lt;&gt;0,G827&lt;&gt;0),"m3",0)))))))</f>
        <v>ml</v>
      </c>
    </row>
    <row r="828" spans="2:10" s="1" customFormat="1" ht="12.75" x14ac:dyDescent="0.2">
      <c r="B828" s="43" t="s">
        <v>248</v>
      </c>
      <c r="C828" s="43" t="s">
        <v>246</v>
      </c>
      <c r="D828" s="60"/>
      <c r="E828" s="40"/>
      <c r="F828" s="40"/>
      <c r="G828" s="40"/>
      <c r="H828" s="40"/>
      <c r="I828" s="44">
        <f>+SUM(H829:H832)</f>
        <v>26.349999999999998</v>
      </c>
      <c r="J828" s="45" t="s">
        <v>345</v>
      </c>
    </row>
    <row r="829" spans="2:10" s="1" customFormat="1" ht="12.75" x14ac:dyDescent="0.2">
      <c r="B829" s="57"/>
      <c r="C829" s="39" t="s">
        <v>444</v>
      </c>
      <c r="D829" s="60">
        <v>1</v>
      </c>
      <c r="E829" s="1">
        <v>3</v>
      </c>
      <c r="F829" s="40"/>
      <c r="G829" s="40"/>
      <c r="H829" s="40">
        <f>IF(AND(F829=0,G829=0),D829*E829,IF(AND(E829=0,G829=0),D829*F829,IF(AND(E829=0,F829=0),D829*G829,IF(AND(E829=0),D829*F829*G829,IF(AND(F829=0),D829*E829*G829,IF(AND(G829=0),D829*E829*F829,D829*E829*F829*G829))))))</f>
        <v>3</v>
      </c>
      <c r="I829" s="40"/>
      <c r="J829" s="41" t="str">
        <f>IF(AND(E829=0,F829&lt;&gt;0,G829&lt;&gt;0),"m2",IF(AND(F829=0,E829&lt;&gt;0,G829&lt;&gt;0),"m2",IF(AND(G829=0,E829&lt;&gt;0,F829&lt;&gt;0),"m2",IF(AND(F829=0,G829=0),"ml",IF(AND(E829=0,G829=0),"ml",IF(AND(E829=0,F829=0),"ml",IF(AND(E829&lt;&gt;0,F829&lt;&gt;0,G829&lt;&gt;0),"m3",0)))))))</f>
        <v>ml</v>
      </c>
    </row>
    <row r="830" spans="2:10" s="1" customFormat="1" ht="12.75" x14ac:dyDescent="0.2">
      <c r="B830" s="57"/>
      <c r="C830" s="39" t="s">
        <v>442</v>
      </c>
      <c r="D830" s="8">
        <v>1</v>
      </c>
      <c r="E830" s="86">
        <f>3.5+14.4</f>
        <v>17.899999999999999</v>
      </c>
      <c r="F830" s="40"/>
      <c r="G830" s="40"/>
      <c r="H830" s="40">
        <f>IF(AND(F830=0,G830=0),D830*E830,IF(AND(E830=0,G830=0),D830*F830,IF(AND(E830=0,F830=0),D830*G830,IF(AND(E830=0),D830*F830*G830,IF(AND(F830=0),D830*E830*G830,IF(AND(G830=0),D830*E830*F830,D830*E830*F830*G830))))))</f>
        <v>17.899999999999999</v>
      </c>
      <c r="I830" s="40"/>
      <c r="J830" s="41"/>
    </row>
    <row r="831" spans="2:10" s="1" customFormat="1" ht="12.75" x14ac:dyDescent="0.2">
      <c r="B831" s="46"/>
      <c r="C831" s="59" t="s">
        <v>646</v>
      </c>
      <c r="D831" s="60">
        <v>1</v>
      </c>
      <c r="E831" s="40">
        <v>2</v>
      </c>
      <c r="F831" s="40"/>
      <c r="G831" s="40"/>
      <c r="H831" s="40">
        <f>IF(AND(F831=0,G831=0),D831*E831,IF(AND(E831=0,G831=0),D831*F831,IF(AND(E831=0,F831=0),D831*G831,IF(AND(E831=0),D831*F831*G831,IF(AND(F831=0),D831*E831*G831,IF(AND(G831=0),D831*E831*F831,D831*E831*F831*G831))))))</f>
        <v>2</v>
      </c>
    </row>
    <row r="832" spans="2:10" s="1" customFormat="1" ht="12.75" x14ac:dyDescent="0.2">
      <c r="B832" s="46"/>
      <c r="C832" s="59" t="s">
        <v>646</v>
      </c>
      <c r="D832" s="60">
        <v>1</v>
      </c>
      <c r="E832" s="40">
        <v>3.45</v>
      </c>
      <c r="F832" s="40"/>
      <c r="G832" s="40"/>
      <c r="H832" s="40">
        <f>IF(AND(F832=0,G832=0),D832*E832,IF(AND(E832=0,G832=0),D832*F832,IF(AND(E832=0,F832=0),D832*G832,IF(AND(E832=0),D832*F832*G832,IF(AND(F832=0),D832*E832*G832,IF(AND(G832=0),D832*E832*F832,D832*E832*F832*G832))))))</f>
        <v>3.45</v>
      </c>
      <c r="I832" s="40"/>
      <c r="J832" s="41"/>
    </row>
    <row r="833" spans="2:10" s="1" customFormat="1" ht="14.25" customHeight="1" x14ac:dyDescent="0.2">
      <c r="B833" s="46"/>
      <c r="C833" s="59"/>
      <c r="D833" s="60"/>
      <c r="E833" s="40"/>
      <c r="F833" s="40"/>
      <c r="G833" s="40"/>
      <c r="H833" s="40"/>
      <c r="I833" s="40"/>
      <c r="J833" s="41"/>
    </row>
    <row r="834" spans="2:10" s="1" customFormat="1" ht="12.75" x14ac:dyDescent="0.2">
      <c r="B834" s="57"/>
      <c r="C834" s="39"/>
      <c r="D834" s="60"/>
      <c r="E834" s="86"/>
      <c r="F834" s="40"/>
      <c r="G834" s="40"/>
      <c r="H834" s="40"/>
      <c r="I834" s="40"/>
      <c r="J834" s="41"/>
    </row>
    <row r="835" spans="2:10" s="1" customFormat="1" ht="12.75" x14ac:dyDescent="0.2">
      <c r="B835" s="43" t="s">
        <v>249</v>
      </c>
      <c r="C835" s="43" t="s">
        <v>247</v>
      </c>
      <c r="D835" s="60"/>
      <c r="E835" s="40"/>
      <c r="F835" s="40"/>
      <c r="G835" s="40"/>
      <c r="H835" s="40"/>
      <c r="I835" s="44">
        <f>SUM(H836:H836)</f>
        <v>0</v>
      </c>
      <c r="J835" s="45" t="str">
        <f>+J836</f>
        <v>ml</v>
      </c>
    </row>
    <row r="836" spans="2:10" s="1" customFormat="1" ht="12.75" x14ac:dyDescent="0.2">
      <c r="B836" s="57"/>
      <c r="C836" s="39" t="s">
        <v>396</v>
      </c>
      <c r="D836" s="40"/>
      <c r="E836" s="40"/>
      <c r="F836" s="40"/>
      <c r="G836" s="40"/>
      <c r="H836" s="40">
        <f>IF(AND(F836=0,G836=0),D836*E836,IF(AND(E836=0,G836=0),D836*F836,IF(AND(E836=0,F836=0),D836*G836,IF(AND(E836=0),D836*F836*G836,IF(AND(F836=0),D836*E836*G836,IF(AND(G836=0),D836*E836*F836,D836*E836*F836*G836))))))</f>
        <v>0</v>
      </c>
      <c r="I836" s="40"/>
      <c r="J836" s="41" t="str">
        <f>IF(AND(E836=0,F836&lt;&gt;0,G836&lt;&gt;0),"m2",IF(AND(F836=0,E836&lt;&gt;0,G836&lt;&gt;0),"m2",IF(AND(G836=0,E836&lt;&gt;0,F836&lt;&gt;0),"m2",IF(AND(F836=0,G836=0),"ml",IF(AND(E836=0,G836=0),"ml",IF(AND(E836=0,F836=0),"ml",IF(AND(E836&lt;&gt;0,F836&lt;&gt;0,G836&lt;&gt;0),"m3",0)))))))</f>
        <v>ml</v>
      </c>
    </row>
    <row r="837" spans="2:10" s="1" customFormat="1" ht="12.75" x14ac:dyDescent="0.2">
      <c r="B837" s="43" t="s">
        <v>256</v>
      </c>
      <c r="C837" s="43" t="s">
        <v>226</v>
      </c>
      <c r="D837" s="60"/>
      <c r="E837" s="40"/>
      <c r="F837" s="40"/>
      <c r="G837" s="40"/>
      <c r="H837" s="40"/>
      <c r="I837" s="44">
        <f>SUM(H838:H839)</f>
        <v>0</v>
      </c>
      <c r="J837" s="45" t="str">
        <f>+J839</f>
        <v>ml</v>
      </c>
    </row>
    <row r="838" spans="2:10" s="1" customFormat="1" ht="12.75" x14ac:dyDescent="0.2">
      <c r="B838" s="43"/>
      <c r="C838" s="39" t="s">
        <v>371</v>
      </c>
      <c r="D838" s="40"/>
      <c r="E838" s="40"/>
      <c r="F838" s="40"/>
      <c r="G838" s="40"/>
      <c r="H838" s="40">
        <f>IF(AND(F838=0,G838=0),D838*E838,IF(AND(E838=0,G838=0),D838*F838,IF(AND(E838=0,F838=0),D838*G838,IF(AND(E838=0),D838*F838*G838,IF(AND(F838=0),D838*E838*G838,IF(AND(G838=0),D838*E838*F838,D838*E838*F838*G838))))))</f>
        <v>0</v>
      </c>
      <c r="I838" s="40"/>
      <c r="J838" s="41" t="str">
        <f>IF(AND(E838=0,F838&lt;&gt;0,G838&lt;&gt;0),"m2",IF(AND(F838=0,E838&lt;&gt;0,G838&lt;&gt;0),"m2",IF(AND(G838=0,E838&lt;&gt;0,F838&lt;&gt;0),"m2",IF(AND(F838=0,G838=0),"ml",IF(AND(E838=0,G838=0),"ml",IF(AND(E838=0,F838=0),"ml",IF(AND(E838&lt;&gt;0,F838&lt;&gt;0,G838&lt;&gt;0),"m3",0)))))))</f>
        <v>ml</v>
      </c>
    </row>
    <row r="839" spans="2:10" s="1" customFormat="1" ht="12.75" x14ac:dyDescent="0.2">
      <c r="B839" s="57"/>
      <c r="C839" s="39" t="s">
        <v>371</v>
      </c>
      <c r="D839" s="40"/>
      <c r="E839" s="40"/>
      <c r="F839" s="40"/>
      <c r="G839" s="40"/>
      <c r="H839" s="40">
        <f>IF(AND(F839=0,G839=0),D839*E839,IF(AND(E839=0,G839=0),D839*F839,IF(AND(E839=0,F839=0),D839*G839,IF(AND(E839=0),D839*F839*G839,IF(AND(F839=0),D839*E839*G839,IF(AND(G839=0),D839*E839*F839,D839*E839*F839*G839))))))</f>
        <v>0</v>
      </c>
      <c r="I839" s="40"/>
      <c r="J839" s="41" t="str">
        <f>IF(AND(E839=0,F839&lt;&gt;0,G839&lt;&gt;0),"m2",IF(AND(F839=0,E839&lt;&gt;0,G839&lt;&gt;0),"m2",IF(AND(G839=0,E839&lt;&gt;0,F839&lt;&gt;0),"m2",IF(AND(F839=0,G839=0),"ml",IF(AND(E839=0,G839=0),"ml",IF(AND(E839=0,F839=0),"ml",IF(AND(E839&lt;&gt;0,F839&lt;&gt;0,G839&lt;&gt;0),"m3",0)))))))</f>
        <v>ml</v>
      </c>
    </row>
    <row r="840" spans="2:10" s="1" customFormat="1" ht="12.75" x14ac:dyDescent="0.2">
      <c r="B840" s="43" t="s">
        <v>596</v>
      </c>
      <c r="C840" s="43" t="s">
        <v>472</v>
      </c>
      <c r="D840" s="60"/>
      <c r="E840" s="40"/>
      <c r="F840" s="40"/>
      <c r="G840" s="40"/>
      <c r="H840" s="40"/>
      <c r="I840" s="44">
        <f>+SUM(H841:H842)</f>
        <v>32.840000000000003</v>
      </c>
      <c r="J840" s="45" t="s">
        <v>345</v>
      </c>
    </row>
    <row r="841" spans="2:10" s="1" customFormat="1" ht="12.75" x14ac:dyDescent="0.2">
      <c r="B841" s="43"/>
      <c r="C841" s="39" t="s">
        <v>487</v>
      </c>
      <c r="D841" s="60">
        <v>1</v>
      </c>
      <c r="E841" s="40">
        <f>1.28+2.12+5.96+1.38</f>
        <v>10.739999999999998</v>
      </c>
      <c r="F841" s="40"/>
      <c r="G841" s="40"/>
      <c r="H841" s="40">
        <f>IF(AND(F841=0,G841=0),D841*E841,IF(AND(E841=0,G841=0),D841*F841,IF(AND(E841=0,F841=0),D841*G841,IF(AND(E841=0),D841*F841*G841,IF(AND(F841=0),D841*E841*G841,IF(AND(G841=0),D841*E841*F841,D841*E841*F841*G841))))))</f>
        <v>10.739999999999998</v>
      </c>
      <c r="I841" s="44"/>
      <c r="J841" s="45"/>
    </row>
    <row r="842" spans="2:10" s="1" customFormat="1" ht="12.75" x14ac:dyDescent="0.2">
      <c r="B842" s="43"/>
      <c r="C842" s="39" t="s">
        <v>486</v>
      </c>
      <c r="D842" s="60">
        <v>1</v>
      </c>
      <c r="E842" s="40">
        <v>22.1</v>
      </c>
      <c r="F842" s="40"/>
      <c r="G842" s="40"/>
      <c r="H842" s="40">
        <f>IF(AND(F842=0,G842=0),D842*E842,IF(AND(E842=0,G842=0),D842*F842,IF(AND(E842=0,F842=0),D842*G842,IF(AND(E842=0),D842*F842*G842,IF(AND(F842=0),D842*E842*G842,IF(AND(G842=0),D842*E842*F842,D842*E842*F842*G842))))))</f>
        <v>22.1</v>
      </c>
      <c r="I842" s="44"/>
      <c r="J842" s="45"/>
    </row>
    <row r="843" spans="2:10" s="1" customFormat="1" ht="12.75" x14ac:dyDescent="0.2">
      <c r="B843" s="43"/>
      <c r="C843" s="39"/>
      <c r="D843" s="60"/>
      <c r="E843" s="40"/>
      <c r="F843" s="40"/>
      <c r="G843" s="40"/>
      <c r="H843" s="40"/>
      <c r="I843" s="44"/>
      <c r="J843" s="45"/>
    </row>
    <row r="844" spans="2:10" s="1" customFormat="1" ht="12.75" x14ac:dyDescent="0.2">
      <c r="B844" s="43" t="s">
        <v>257</v>
      </c>
      <c r="C844" s="43" t="s">
        <v>228</v>
      </c>
      <c r="D844" s="60"/>
      <c r="E844" s="40"/>
      <c r="F844" s="40"/>
      <c r="G844" s="40"/>
      <c r="H844" s="40"/>
      <c r="I844" s="44">
        <f>SUM(H845:H845)</f>
        <v>0</v>
      </c>
      <c r="J844" s="45" t="str">
        <f>+J845</f>
        <v>ml</v>
      </c>
    </row>
    <row r="845" spans="2:10" s="1" customFormat="1" ht="12.75" x14ac:dyDescent="0.2">
      <c r="B845" s="57"/>
      <c r="C845" s="39"/>
      <c r="D845" s="40"/>
      <c r="E845" s="40"/>
      <c r="F845" s="40"/>
      <c r="G845" s="40"/>
      <c r="H845" s="40">
        <f>IF(AND(F845=0,G845=0),D845*E845,IF(AND(E845=0,G845=0),D845*F845,IF(AND(E845=0,F845=0),D845*G845,IF(AND(E845=0),D845*F845*G845,IF(AND(F845=0),D845*E845*G845,IF(AND(G845=0),D845*E845*F845,D845*E845*F845*G845))))))</f>
        <v>0</v>
      </c>
      <c r="I845" s="40"/>
      <c r="J845" s="41" t="str">
        <f>IF(AND(E845=0,F845&lt;&gt;0,G845&lt;&gt;0),"m2",IF(AND(F845=0,E845&lt;&gt;0,G845&lt;&gt;0),"m2",IF(AND(G845=0,E845&lt;&gt;0,F845&lt;&gt;0),"m2",IF(AND(F845=0,G845=0),"ml",IF(AND(E845=0,G845=0),"ml",IF(AND(E845=0,F845=0),"ml",IF(AND(E845&lt;&gt;0,F845&lt;&gt;0,G845&lt;&gt;0),"m3",0)))))))</f>
        <v>ml</v>
      </c>
    </row>
    <row r="846" spans="2:10" s="1" customFormat="1" ht="12.75" x14ac:dyDescent="0.2">
      <c r="B846" s="43" t="s">
        <v>258</v>
      </c>
      <c r="C846" s="43" t="s">
        <v>250</v>
      </c>
      <c r="D846" s="60"/>
      <c r="E846" s="40"/>
      <c r="F846" s="40"/>
      <c r="G846" s="40"/>
      <c r="H846" s="40"/>
      <c r="I846" s="44">
        <f>SUM(H847:H847)</f>
        <v>0</v>
      </c>
      <c r="J846" s="45" t="str">
        <f>+J847</f>
        <v>ml</v>
      </c>
    </row>
    <row r="847" spans="2:10" s="1" customFormat="1" ht="12.75" x14ac:dyDescent="0.2">
      <c r="B847" s="57"/>
      <c r="C847" s="39"/>
      <c r="D847" s="40"/>
      <c r="E847" s="40"/>
      <c r="F847" s="40"/>
      <c r="G847" s="40"/>
      <c r="H847" s="40">
        <f>IF(AND(F847=0,G847=0),D847*E847,IF(AND(E847=0,G847=0),D847*F847,IF(AND(E847=0,F847=0),D847*G847,IF(AND(E847=0),D847*F847*G847,IF(AND(F847=0),D847*E847*G847,IF(AND(G847=0),D847*E847*F847,D847*E847*F847*G847))))))</f>
        <v>0</v>
      </c>
      <c r="I847" s="40"/>
      <c r="J847" s="41" t="str">
        <f>IF(AND(E847=0,F847&lt;&gt;0,G847&lt;&gt;0),"m2",IF(AND(F847=0,E847&lt;&gt;0,G847&lt;&gt;0),"m2",IF(AND(G847=0,E847&lt;&gt;0,F847&lt;&gt;0),"m2",IF(AND(F847=0,G847=0),"ml",IF(AND(E847=0,G847=0),"ml",IF(AND(E847=0,F847=0),"ml",IF(AND(E847&lt;&gt;0,F847&lt;&gt;0,G847&lt;&gt;0),"m3",0)))))))</f>
        <v>ml</v>
      </c>
    </row>
    <row r="848" spans="2:10" s="1" customFormat="1" ht="12.75" x14ac:dyDescent="0.2">
      <c r="B848" s="43" t="s">
        <v>259</v>
      </c>
      <c r="C848" s="43" t="s">
        <v>251</v>
      </c>
      <c r="D848" s="60"/>
      <c r="E848" s="40"/>
      <c r="F848" s="40"/>
      <c r="G848" s="40"/>
      <c r="H848" s="40"/>
      <c r="I848" s="44">
        <f>SUM(H849:H849)</f>
        <v>24.15</v>
      </c>
      <c r="J848" s="45" t="str">
        <f>+J849</f>
        <v>ml</v>
      </c>
    </row>
    <row r="849" spans="2:10" s="1" customFormat="1" ht="12.75" x14ac:dyDescent="0.2">
      <c r="B849" s="57"/>
      <c r="C849" s="39" t="s">
        <v>485</v>
      </c>
      <c r="D849" s="40">
        <v>1</v>
      </c>
      <c r="E849" s="40">
        <v>24.15</v>
      </c>
      <c r="F849" s="40"/>
      <c r="G849" s="40"/>
      <c r="H849" s="40">
        <f>IF(AND(F849=0,G849=0),D849*E849,IF(AND(E849=0,G849=0),D849*F849,IF(AND(E849=0,F849=0),D849*G849,IF(AND(E849=0),D849*F849*G849,IF(AND(F849=0),D849*E849*G849,IF(AND(G849=0),D849*E849*F849,D849*E849*F849*G849))))))</f>
        <v>24.15</v>
      </c>
      <c r="I849" s="40"/>
      <c r="J849" s="41" t="str">
        <f>IF(AND(E849=0,F849&lt;&gt;0,G849&lt;&gt;0),"m2",IF(AND(F849=0,E849&lt;&gt;0,G849&lt;&gt;0),"m2",IF(AND(G849=0,E849&lt;&gt;0,F849&lt;&gt;0),"m2",IF(AND(F849=0,G849=0),"ml",IF(AND(E849=0,G849=0),"ml",IF(AND(E849=0,F849=0),"ml",IF(AND(E849&lt;&gt;0,F849&lt;&gt;0,G849&lt;&gt;0),"m3",0)))))))</f>
        <v>ml</v>
      </c>
    </row>
    <row r="850" spans="2:10" s="1" customFormat="1" ht="12.75" x14ac:dyDescent="0.2">
      <c r="B850" s="57"/>
      <c r="C850" s="39"/>
      <c r="D850" s="60"/>
      <c r="E850" s="40"/>
      <c r="F850" s="40"/>
      <c r="G850" s="40"/>
      <c r="H850" s="40"/>
      <c r="I850" s="40"/>
      <c r="J850" s="41"/>
    </row>
    <row r="851" spans="2:10" s="1" customFormat="1" ht="12.75" x14ac:dyDescent="0.2">
      <c r="B851" s="43" t="s">
        <v>260</v>
      </c>
      <c r="C851" s="43" t="s">
        <v>252</v>
      </c>
      <c r="D851" s="60"/>
      <c r="E851" s="40"/>
      <c r="F851" s="40"/>
      <c r="G851" s="40"/>
      <c r="H851" s="40"/>
      <c r="I851" s="44">
        <f>SUM(H852:H853)</f>
        <v>12</v>
      </c>
      <c r="J851" s="45" t="str">
        <f>+J852</f>
        <v>ml</v>
      </c>
    </row>
    <row r="852" spans="2:10" s="1" customFormat="1" ht="12.75" x14ac:dyDescent="0.2">
      <c r="B852" s="57"/>
      <c r="C852" s="39" t="s">
        <v>488</v>
      </c>
      <c r="D852" s="40">
        <v>1</v>
      </c>
      <c r="E852" s="40">
        <v>4</v>
      </c>
      <c r="F852" s="40"/>
      <c r="G852" s="40"/>
      <c r="H852" s="40">
        <f>IF(AND(F852=0,G852=0),D852*E852,IF(AND(E852=0,G852=0),D852*F852,IF(AND(E852=0,F852=0),D852*G852,IF(AND(E852=0),D852*F852*G852,IF(AND(F852=0),D852*E852*G852,IF(AND(G852=0),D852*E852*F852,D852*E852*F852*G852))))))</f>
        <v>4</v>
      </c>
      <c r="I852" s="40"/>
      <c r="J852" s="41" t="str">
        <f>IF(AND(E852=0,F852&lt;&gt;0,G852&lt;&gt;0),"m2",IF(AND(F852=0,E852&lt;&gt;0,G852&lt;&gt;0),"m2",IF(AND(G852=0,E852&lt;&gt;0,F852&lt;&gt;0),"m2",IF(AND(F852=0,G852=0),"ml",IF(AND(E852=0,G852=0),"ml",IF(AND(E852=0,F852=0),"ml",IF(AND(E852&lt;&gt;0,F852&lt;&gt;0,G852&lt;&gt;0),"m3",0)))))))</f>
        <v>ml</v>
      </c>
    </row>
    <row r="853" spans="2:10" s="1" customFormat="1" ht="12.75" x14ac:dyDescent="0.2">
      <c r="B853" s="57"/>
      <c r="C853" s="39" t="s">
        <v>489</v>
      </c>
      <c r="D853" s="60">
        <v>1</v>
      </c>
      <c r="E853" s="40">
        <v>8</v>
      </c>
      <c r="F853" s="40"/>
      <c r="G853" s="40"/>
      <c r="H853" s="40">
        <f>IF(AND(F853=0,G853=0),D853*E853,IF(AND(E853=0,G853=0),D853*F853,IF(AND(E853=0,F853=0),D853*G853,IF(AND(E853=0),D853*F853*G853,IF(AND(F853=0),D853*E853*G853,IF(AND(G853=0),D853*E853*F853,D853*E853*F853*G853))))))</f>
        <v>8</v>
      </c>
      <c r="I853" s="40"/>
      <c r="J853" s="41"/>
    </row>
    <row r="854" spans="2:10" s="1" customFormat="1" ht="12.75" x14ac:dyDescent="0.2">
      <c r="B854" s="57"/>
      <c r="C854" s="39"/>
      <c r="D854" s="60"/>
      <c r="E854" s="40"/>
      <c r="F854" s="40"/>
      <c r="G854" s="40"/>
      <c r="H854" s="40"/>
      <c r="I854" s="40"/>
      <c r="J854" s="41"/>
    </row>
    <row r="855" spans="2:10" s="1" customFormat="1" ht="12.75" x14ac:dyDescent="0.2">
      <c r="B855" s="43" t="s">
        <v>261</v>
      </c>
      <c r="C855" s="43" t="s">
        <v>253</v>
      </c>
      <c r="D855" s="60"/>
      <c r="E855" s="40"/>
      <c r="F855" s="40"/>
      <c r="G855" s="40"/>
      <c r="H855" s="40"/>
      <c r="I855" s="44">
        <f>SUM(H856:H856)</f>
        <v>0</v>
      </c>
      <c r="J855" s="45" t="str">
        <f>+J856</f>
        <v>und</v>
      </c>
    </row>
    <row r="856" spans="2:10" s="1" customFormat="1" ht="12.75" x14ac:dyDescent="0.2">
      <c r="B856" s="43"/>
      <c r="C856" s="39"/>
      <c r="D856" s="40"/>
      <c r="E856" s="40"/>
      <c r="F856" s="40"/>
      <c r="G856" s="40"/>
      <c r="H856" s="40">
        <f t="shared" ref="H856" si="47">+D856</f>
        <v>0</v>
      </c>
      <c r="I856" s="40"/>
      <c r="J856" s="41" t="s">
        <v>13</v>
      </c>
    </row>
    <row r="857" spans="2:10" s="1" customFormat="1" ht="12.75" x14ac:dyDescent="0.2">
      <c r="B857" s="43" t="s">
        <v>262</v>
      </c>
      <c r="C857" s="43" t="s">
        <v>254</v>
      </c>
      <c r="D857" s="60"/>
      <c r="E857" s="40"/>
      <c r="F857" s="40"/>
      <c r="G857" s="40"/>
      <c r="H857" s="40"/>
      <c r="I857" s="44">
        <f>SUM(H858:H858)</f>
        <v>0</v>
      </c>
      <c r="J857" s="45" t="str">
        <f>+J858</f>
        <v>und</v>
      </c>
    </row>
    <row r="858" spans="2:10" s="1" customFormat="1" ht="12.75" x14ac:dyDescent="0.2">
      <c r="B858" s="57"/>
      <c r="C858" s="39"/>
      <c r="D858" s="40"/>
      <c r="E858" s="40"/>
      <c r="F858" s="40"/>
      <c r="G858" s="40"/>
      <c r="H858" s="40">
        <f t="shared" ref="H858" si="48">+D858</f>
        <v>0</v>
      </c>
      <c r="I858" s="40"/>
      <c r="J858" s="41" t="s">
        <v>13</v>
      </c>
    </row>
    <row r="859" spans="2:10" s="1" customFormat="1" ht="12.75" x14ac:dyDescent="0.2">
      <c r="B859" s="43" t="s">
        <v>350</v>
      </c>
      <c r="C859" s="43" t="s">
        <v>255</v>
      </c>
      <c r="D859" s="60"/>
      <c r="E859" s="40"/>
      <c r="F859" s="40"/>
      <c r="G859" s="40"/>
      <c r="H859" s="40"/>
      <c r="I859" s="44">
        <f>SUM(H860:H860)</f>
        <v>0</v>
      </c>
      <c r="J859" s="45" t="str">
        <f>+J860</f>
        <v>und</v>
      </c>
    </row>
    <row r="860" spans="2:10" s="1" customFormat="1" ht="12.75" x14ac:dyDescent="0.2">
      <c r="B860" s="57"/>
      <c r="C860" s="39" t="s">
        <v>395</v>
      </c>
      <c r="D860" s="40"/>
      <c r="E860" s="40"/>
      <c r="F860" s="40"/>
      <c r="G860" s="40"/>
      <c r="H860" s="40">
        <f>+D860</f>
        <v>0</v>
      </c>
      <c r="I860" s="40"/>
      <c r="J860" s="41" t="s">
        <v>13</v>
      </c>
    </row>
    <row r="861" spans="2:10" s="1" customFormat="1" ht="12.75" x14ac:dyDescent="0.2">
      <c r="B861" s="57"/>
      <c r="C861" s="39"/>
      <c r="D861" s="60"/>
      <c r="E861" s="40"/>
      <c r="F861" s="40"/>
      <c r="G861" s="40"/>
      <c r="H861" s="40"/>
      <c r="I861" s="40"/>
      <c r="J861" s="41"/>
    </row>
    <row r="862" spans="2:10" s="1" customFormat="1" ht="12.75" x14ac:dyDescent="0.2">
      <c r="B862" s="93" t="s">
        <v>538</v>
      </c>
      <c r="C862" s="92" t="s">
        <v>440</v>
      </c>
      <c r="D862" s="23"/>
      <c r="E862" s="23"/>
      <c r="F862" s="40"/>
      <c r="G862" s="40"/>
      <c r="I862" s="44">
        <f>SUM(H863)</f>
        <v>17.899999999999999</v>
      </c>
      <c r="J862" s="45" t="s">
        <v>345</v>
      </c>
    </row>
    <row r="863" spans="2:10" s="1" customFormat="1" ht="12.75" x14ac:dyDescent="0.2">
      <c r="B863" s="57"/>
      <c r="C863" s="46" t="s">
        <v>442</v>
      </c>
      <c r="D863" s="8">
        <v>1</v>
      </c>
      <c r="E863" s="86">
        <f>3.5+14.4</f>
        <v>17.899999999999999</v>
      </c>
      <c r="F863" s="40"/>
      <c r="G863" s="40"/>
      <c r="H863" s="40">
        <f>IF(AND(F863=0,G863=0),D863*E863,IF(AND(E863=0,G863=0),D863*F863,IF(AND(E863=0,F863=0),D863*G863,IF(AND(E863=0),D863*F863*G863,IF(AND(F863=0),D863*E863*G863,IF(AND(G863=0),D863*E863*F863,D863*E863*F863*G863))))))</f>
        <v>17.899999999999999</v>
      </c>
      <c r="I863" s="40"/>
      <c r="J863" s="41"/>
    </row>
    <row r="864" spans="2:10" s="1" customFormat="1" ht="12.75" x14ac:dyDescent="0.2">
      <c r="B864" s="57"/>
      <c r="C864" s="92" t="s">
        <v>441</v>
      </c>
      <c r="D864" s="8"/>
      <c r="E864" s="86"/>
      <c r="F864" s="40" t="s">
        <v>681</v>
      </c>
      <c r="G864" s="40" t="s">
        <v>682</v>
      </c>
      <c r="I864" s="89">
        <f>+SUM(G865:G866)</f>
        <v>8.1999999999999993</v>
      </c>
      <c r="J864" s="41"/>
    </row>
    <row r="865" spans="2:10" s="1" customFormat="1" ht="12.75" x14ac:dyDescent="0.2">
      <c r="B865" s="57"/>
      <c r="C865" s="39" t="s">
        <v>437</v>
      </c>
      <c r="D865" s="1">
        <f>6+6+4</f>
        <v>16</v>
      </c>
      <c r="E865" s="1">
        <v>1</v>
      </c>
      <c r="F865" s="40">
        <v>0.25</v>
      </c>
      <c r="G865" s="40">
        <f>+D865*E865*F865</f>
        <v>4</v>
      </c>
      <c r="H865" s="40"/>
      <c r="I865" s="40"/>
      <c r="J865" s="41"/>
    </row>
    <row r="866" spans="2:10" s="1" customFormat="1" ht="12.75" x14ac:dyDescent="0.2">
      <c r="B866" s="57"/>
      <c r="C866" s="39" t="s">
        <v>438</v>
      </c>
      <c r="D866" s="60">
        <v>6</v>
      </c>
      <c r="E866" s="40">
        <f>1.1*2+0.6</f>
        <v>2.8000000000000003</v>
      </c>
      <c r="F866" s="40">
        <v>0.25</v>
      </c>
      <c r="G866" s="40">
        <f>+D866*E866*F866</f>
        <v>4.2</v>
      </c>
      <c r="H866" s="40"/>
      <c r="I866" s="40"/>
      <c r="J866" s="41"/>
    </row>
    <row r="867" spans="2:10" s="1" customFormat="1" ht="12.75" x14ac:dyDescent="0.2">
      <c r="B867" s="43"/>
      <c r="C867" s="39"/>
      <c r="D867" s="60"/>
      <c r="E867" s="40"/>
      <c r="F867" s="40"/>
      <c r="G867" s="40"/>
      <c r="H867" s="40"/>
      <c r="I867" s="44"/>
      <c r="J867" s="45"/>
    </row>
    <row r="868" spans="2:10" s="1" customFormat="1" ht="12.75" x14ac:dyDescent="0.2">
      <c r="B868" s="93" t="s">
        <v>649</v>
      </c>
      <c r="C868" s="93" t="s">
        <v>647</v>
      </c>
      <c r="D868" s="60"/>
      <c r="E868" s="40"/>
      <c r="F868" s="40"/>
      <c r="G868" s="40"/>
      <c r="H868" s="40"/>
      <c r="I868" s="44">
        <f>+SUM(H869:H871)</f>
        <v>7.7</v>
      </c>
      <c r="J868" s="45" t="s">
        <v>13</v>
      </c>
    </row>
    <row r="869" spans="2:10" s="1" customFormat="1" ht="12.75" x14ac:dyDescent="0.2">
      <c r="B869" s="57"/>
      <c r="C869" s="39" t="s">
        <v>414</v>
      </c>
      <c r="D869" s="40">
        <v>1</v>
      </c>
      <c r="E869" s="40">
        <v>0.7</v>
      </c>
      <c r="F869" s="40"/>
      <c r="G869" s="40"/>
      <c r="H869" s="40">
        <f>IF(AND(F869=0,G869=0),D869*E869,IF(AND(E869=0,G869=0),D869*F869,IF(AND(E869=0,F869=0),D869*G869,IF(AND(E869=0),D869*F869*G869,IF(AND(F869=0),D869*E869*G869,IF(AND(G869=0),D869*E869*F869,D869*E869*F869*G869))))))</f>
        <v>0.7</v>
      </c>
      <c r="I869" s="40"/>
      <c r="J869" s="41"/>
    </row>
    <row r="870" spans="2:10" s="1" customFormat="1" ht="12.75" x14ac:dyDescent="0.2">
      <c r="B870" s="57"/>
      <c r="C870" s="39" t="s">
        <v>648</v>
      </c>
      <c r="D870" s="40">
        <v>5</v>
      </c>
      <c r="E870" s="40">
        <v>0.7</v>
      </c>
      <c r="F870" s="40"/>
      <c r="G870" s="40"/>
      <c r="H870" s="40">
        <f t="shared" ref="H870:H871" si="49">IF(AND(F870=0,G870=0),D870*E870,IF(AND(E870=0,G870=0),D870*F870,IF(AND(E870=0,F870=0),D870*G870,IF(AND(E870=0),D870*F870*G870,IF(AND(F870=0),D870*E870*G870,IF(AND(G870=0),D870*E870*F870,D870*E870*F870*G870))))))</f>
        <v>3.5</v>
      </c>
      <c r="I870" s="40"/>
      <c r="J870" s="41"/>
    </row>
    <row r="871" spans="2:10" s="1" customFormat="1" ht="12.75" x14ac:dyDescent="0.2">
      <c r="B871" s="57"/>
      <c r="C871" s="39" t="s">
        <v>691</v>
      </c>
      <c r="D871" s="40">
        <v>5</v>
      </c>
      <c r="E871" s="40">
        <v>0.7</v>
      </c>
      <c r="F871" s="40"/>
      <c r="G871" s="40"/>
      <c r="H871" s="40">
        <f t="shared" si="49"/>
        <v>3.5</v>
      </c>
      <c r="I871" s="40"/>
      <c r="J871" s="41"/>
    </row>
    <row r="872" spans="2:10" s="1" customFormat="1" ht="12.75" x14ac:dyDescent="0.2">
      <c r="B872" s="57"/>
      <c r="C872" s="39"/>
      <c r="D872" s="40"/>
      <c r="E872" s="40"/>
      <c r="F872" s="40"/>
      <c r="G872" s="40"/>
      <c r="H872" s="40"/>
      <c r="I872" s="40"/>
      <c r="J872" s="41"/>
    </row>
    <row r="873" spans="2:10" s="1" customFormat="1" ht="12.75" x14ac:dyDescent="0.2">
      <c r="C873" s="39"/>
      <c r="D873" s="60"/>
      <c r="E873" s="40"/>
      <c r="F873" s="40"/>
      <c r="G873" s="40"/>
      <c r="H873" s="40"/>
      <c r="I873" s="40"/>
      <c r="J873" s="41"/>
    </row>
    <row r="874" spans="2:10" s="1" customFormat="1" ht="12.75" x14ac:dyDescent="0.2">
      <c r="B874" s="93" t="s">
        <v>592</v>
      </c>
      <c r="C874" s="93" t="s">
        <v>561</v>
      </c>
      <c r="D874" s="60"/>
      <c r="E874" s="40"/>
      <c r="F874" s="40"/>
      <c r="G874" s="40"/>
      <c r="H874" s="40"/>
      <c r="I874" s="44">
        <f>+SUM(H875:H877)</f>
        <v>3</v>
      </c>
      <c r="J874" s="45" t="s">
        <v>13</v>
      </c>
    </row>
    <row r="875" spans="2:10" s="1" customFormat="1" ht="12.75" x14ac:dyDescent="0.2">
      <c r="B875" s="57"/>
      <c r="C875" s="39" t="s">
        <v>393</v>
      </c>
      <c r="D875" s="40">
        <v>1</v>
      </c>
      <c r="E875" s="40">
        <v>1</v>
      </c>
      <c r="F875" s="40"/>
      <c r="G875" s="40"/>
      <c r="H875" s="40">
        <f>IF(AND(F875=0,G875=0),D875*E875,IF(AND(E875=0,G875=0),D875*F875,IF(AND(E875=0,F875=0),D875*G875,IF(AND(E875=0),D875*F875*G875,IF(AND(F875=0),D875*E875*G875,IF(AND(G875=0),D875*E875*F875,D875*E875*F875*G875))))))</f>
        <v>1</v>
      </c>
      <c r="I875" s="40"/>
      <c r="J875" s="41"/>
    </row>
    <row r="876" spans="2:10" s="1" customFormat="1" ht="12.75" x14ac:dyDescent="0.2">
      <c r="B876" s="57"/>
      <c r="C876" s="39" t="s">
        <v>412</v>
      </c>
      <c r="D876" s="40">
        <v>1</v>
      </c>
      <c r="E876" s="40">
        <v>1</v>
      </c>
      <c r="F876" s="40"/>
      <c r="G876" s="40"/>
      <c r="H876" s="40">
        <f>IF(AND(F876=0,G876=0),D876*E876,IF(AND(E876=0,G876=0),D876*F876,IF(AND(E876=0,F876=0),D876*G876,IF(AND(E876=0),D876*F876*G876,IF(AND(F876=0),D876*E876*G876,IF(AND(G876=0),D876*E876*F876,D876*E876*F876*G876))))))</f>
        <v>1</v>
      </c>
      <c r="I876" s="40"/>
      <c r="J876" s="41"/>
    </row>
    <row r="877" spans="2:10" s="1" customFormat="1" ht="12.75" x14ac:dyDescent="0.2">
      <c r="B877" s="57"/>
      <c r="C877" s="39" t="s">
        <v>381</v>
      </c>
      <c r="D877" s="40">
        <v>1</v>
      </c>
      <c r="E877" s="40">
        <v>1</v>
      </c>
      <c r="F877" s="40"/>
      <c r="G877" s="40"/>
      <c r="H877" s="40">
        <f>IF(AND(F877=0,G877=0),D877*E877,IF(AND(E877=0,G877=0),D877*F877,IF(AND(E877=0,F877=0),D877*G877,IF(AND(E877=0),D877*F877*G877,IF(AND(F877=0),D877*E877*G877,IF(AND(G877=0),D877*E877*F877,D877*E877*F877*G877))))))</f>
        <v>1</v>
      </c>
      <c r="I877" s="40"/>
      <c r="J877" s="41"/>
    </row>
    <row r="878" spans="2:10" s="1" customFormat="1" ht="12.75" x14ac:dyDescent="0.2">
      <c r="C878" s="39"/>
      <c r="D878" s="60"/>
      <c r="E878" s="40"/>
      <c r="F878" s="40"/>
      <c r="G878" s="40"/>
      <c r="H878" s="40"/>
      <c r="I878" s="40"/>
      <c r="J878" s="41"/>
    </row>
    <row r="879" spans="2:10" s="1" customFormat="1" ht="12.75" x14ac:dyDescent="0.2">
      <c r="B879" s="93" t="s">
        <v>692</v>
      </c>
      <c r="C879" s="93" t="s">
        <v>704</v>
      </c>
      <c r="D879" s="60"/>
      <c r="E879" s="40"/>
      <c r="F879" s="40"/>
      <c r="G879" s="40"/>
      <c r="H879" s="40"/>
      <c r="I879" s="44">
        <f>SUM(H880)</f>
        <v>0.5</v>
      </c>
      <c r="J879" s="45" t="s">
        <v>345</v>
      </c>
    </row>
    <row r="880" spans="2:10" s="1" customFormat="1" ht="12.75" x14ac:dyDescent="0.2">
      <c r="C880" s="39" t="s">
        <v>715</v>
      </c>
      <c r="D880" s="60">
        <v>1</v>
      </c>
      <c r="E880" s="40">
        <v>0.5</v>
      </c>
      <c r="F880" s="40"/>
      <c r="G880" s="40"/>
      <c r="H880" s="40">
        <f t="shared" ref="H880" si="50">IF(AND(F880=0,G880=0),D880*E880,IF(AND(E880=0,G880=0),D880*F880,IF(AND(E880=0,F880=0),D880*G880,IF(AND(E880=0),D880*F880*G880,IF(AND(F880=0),D880*E880*G880,IF(AND(G880=0),D880*E880*F880,D880*E880*F880*G880))))))</f>
        <v>0.5</v>
      </c>
      <c r="I880" s="40"/>
      <c r="J880" s="41"/>
    </row>
    <row r="881" spans="2:10" s="1" customFormat="1" ht="12.75" x14ac:dyDescent="0.2">
      <c r="B881" s="57"/>
      <c r="C881" s="39"/>
      <c r="D881" s="60"/>
      <c r="E881" s="40"/>
      <c r="F881" s="40"/>
      <c r="G881" s="40"/>
      <c r="H881" s="40"/>
      <c r="I881" s="40"/>
      <c r="J881" s="41"/>
    </row>
    <row r="882" spans="2:10" s="1" customFormat="1" ht="12.75" x14ac:dyDescent="0.2">
      <c r="B882" s="93" t="s">
        <v>595</v>
      </c>
      <c r="C882" s="93" t="s">
        <v>629</v>
      </c>
      <c r="D882" s="60"/>
      <c r="E882" s="40"/>
      <c r="F882" s="40"/>
      <c r="G882" s="40"/>
      <c r="H882" s="40"/>
      <c r="I882" s="44">
        <f>SUM(H883)</f>
        <v>5.7</v>
      </c>
      <c r="J882" s="45" t="s">
        <v>345</v>
      </c>
    </row>
    <row r="883" spans="2:10" s="1" customFormat="1" ht="12.75" x14ac:dyDescent="0.2">
      <c r="B883" s="43"/>
      <c r="C883" s="39" t="s">
        <v>563</v>
      </c>
      <c r="D883" s="40">
        <v>1</v>
      </c>
      <c r="E883" s="40">
        <v>5.7</v>
      </c>
      <c r="F883" s="40"/>
      <c r="G883" s="40"/>
      <c r="H883" s="40">
        <f>IF(AND(F883=0,G883=0),D883*E883,IF(AND(E883=0,G883=0),D883*F883,IF(AND(E883=0,F883=0),D883*G883,IF(AND(E883=0),D883*F883*G883,IF(AND(F883=0),D883*E883*G883,IF(AND(G883=0),D883*E883*F883,D883*E883*F883*G883))))))</f>
        <v>5.7</v>
      </c>
      <c r="I883" s="40"/>
      <c r="J883" s="41"/>
    </row>
    <row r="884" spans="2:10" s="1" customFormat="1" ht="12.75" x14ac:dyDescent="0.2">
      <c r="B884" s="70"/>
      <c r="C884" s="366"/>
      <c r="D884" s="60"/>
      <c r="E884" s="40"/>
      <c r="F884" s="40"/>
      <c r="G884" s="40"/>
      <c r="H884" s="40"/>
      <c r="I884" s="40"/>
      <c r="J884" s="41"/>
    </row>
    <row r="885" spans="2:10" s="1" customFormat="1" ht="12.75" x14ac:dyDescent="0.2">
      <c r="B885" s="107" t="s">
        <v>699</v>
      </c>
      <c r="C885" s="343" t="s">
        <v>698</v>
      </c>
      <c r="D885" s="60"/>
      <c r="E885" s="40"/>
      <c r="F885" s="40"/>
      <c r="G885" s="40"/>
      <c r="H885" s="40"/>
      <c r="I885" s="44">
        <f>SUM(H886:H888)</f>
        <v>3</v>
      </c>
      <c r="J885" s="41" t="s">
        <v>13</v>
      </c>
    </row>
    <row r="886" spans="2:10" s="1" customFormat="1" ht="12.75" x14ac:dyDescent="0.2">
      <c r="B886" s="43"/>
      <c r="C886" s="39" t="s">
        <v>393</v>
      </c>
      <c r="D886" s="40">
        <v>1</v>
      </c>
      <c r="E886" s="40"/>
      <c r="F886" s="40"/>
      <c r="G886" s="40"/>
      <c r="H886" s="40">
        <f>+D886</f>
        <v>1</v>
      </c>
      <c r="I886" s="40"/>
      <c r="J886" s="41"/>
    </row>
    <row r="887" spans="2:10" s="1" customFormat="1" ht="12.75" x14ac:dyDescent="0.2">
      <c r="B887" s="43"/>
      <c r="C887" s="39" t="s">
        <v>412</v>
      </c>
      <c r="D887" s="40">
        <v>1</v>
      </c>
      <c r="E887" s="40"/>
      <c r="F887" s="40"/>
      <c r="G887" s="40"/>
      <c r="H887" s="40">
        <f t="shared" ref="H887" si="51">+D887</f>
        <v>1</v>
      </c>
      <c r="I887" s="40"/>
      <c r="J887" s="41"/>
    </row>
    <row r="888" spans="2:10" s="1" customFormat="1" ht="12.75" x14ac:dyDescent="0.2">
      <c r="B888" s="57"/>
      <c r="C888" s="39" t="s">
        <v>381</v>
      </c>
      <c r="D888" s="60">
        <v>1</v>
      </c>
      <c r="E888" s="40"/>
      <c r="F888" s="40"/>
      <c r="G888" s="40"/>
      <c r="H888" s="40">
        <f>+D888</f>
        <v>1</v>
      </c>
      <c r="I888" s="40"/>
      <c r="J888" s="41"/>
    </row>
    <row r="889" spans="2:10" s="1" customFormat="1" ht="12.75" x14ac:dyDescent="0.2">
      <c r="B889" s="57"/>
      <c r="C889" s="39"/>
      <c r="D889" s="60"/>
      <c r="E889" s="40"/>
      <c r="F889" s="40"/>
      <c r="G889" s="40"/>
      <c r="H889" s="40"/>
      <c r="I889" s="40"/>
      <c r="J889" s="41"/>
    </row>
    <row r="890" spans="2:10" s="1" customFormat="1" ht="12.75" x14ac:dyDescent="0.2">
      <c r="B890" s="57" t="s">
        <v>702</v>
      </c>
      <c r="C890" s="93" t="s">
        <v>700</v>
      </c>
      <c r="D890" s="60"/>
      <c r="E890" s="40"/>
      <c r="F890" s="40"/>
      <c r="G890" s="40"/>
      <c r="H890" s="40"/>
      <c r="I890" s="44">
        <f>SUM(H891)</f>
        <v>1</v>
      </c>
      <c r="J890" s="45" t="s">
        <v>13</v>
      </c>
    </row>
    <row r="891" spans="2:10" s="1" customFormat="1" ht="12.75" x14ac:dyDescent="0.2">
      <c r="B891" s="57"/>
      <c r="C891" s="39" t="s">
        <v>377</v>
      </c>
      <c r="D891" s="40">
        <v>1</v>
      </c>
      <c r="E891" s="40"/>
      <c r="F891" s="40"/>
      <c r="G891" s="40"/>
      <c r="H891" s="40">
        <f>+D891</f>
        <v>1</v>
      </c>
      <c r="I891" s="40"/>
      <c r="J891" s="41" t="s">
        <v>13</v>
      </c>
    </row>
    <row r="892" spans="2:10" s="1" customFormat="1" ht="12.75" x14ac:dyDescent="0.2">
      <c r="B892" s="57"/>
      <c r="C892" s="39"/>
      <c r="D892" s="60"/>
      <c r="E892" s="40"/>
      <c r="G892" s="40"/>
      <c r="H892" s="40"/>
      <c r="I892" s="40"/>
      <c r="J892" s="41"/>
    </row>
    <row r="893" spans="2:10" s="1" customFormat="1" ht="12.75" x14ac:dyDescent="0.2">
      <c r="B893" s="93" t="s">
        <v>697</v>
      </c>
      <c r="C893" s="93" t="s">
        <v>696</v>
      </c>
      <c r="D893" s="60"/>
      <c r="E893" s="40"/>
      <c r="F893" s="40"/>
      <c r="G893" s="40"/>
      <c r="H893" s="40"/>
      <c r="I893" s="44">
        <f>SUM(H894:H897)</f>
        <v>12</v>
      </c>
      <c r="J893" s="45" t="s">
        <v>13</v>
      </c>
    </row>
    <row r="894" spans="2:10" s="1" customFormat="1" ht="12.75" x14ac:dyDescent="0.2">
      <c r="B894" s="57"/>
      <c r="C894" s="39" t="s">
        <v>714</v>
      </c>
      <c r="D894" s="60">
        <v>1</v>
      </c>
      <c r="E894" s="40"/>
      <c r="G894" s="40"/>
      <c r="H894" s="40">
        <f>+D894</f>
        <v>1</v>
      </c>
      <c r="I894" s="40"/>
      <c r="J894" s="41"/>
    </row>
    <row r="895" spans="2:10" s="1" customFormat="1" ht="12.75" x14ac:dyDescent="0.2">
      <c r="B895" s="57"/>
      <c r="C895" s="39" t="s">
        <v>414</v>
      </c>
      <c r="D895" s="40">
        <v>1</v>
      </c>
      <c r="E895" s="40"/>
      <c r="F895" s="40"/>
      <c r="G895" s="40"/>
      <c r="H895" s="40">
        <f t="shared" ref="H895:H897" si="52">+D895</f>
        <v>1</v>
      </c>
      <c r="I895" s="40"/>
      <c r="J895" s="41"/>
    </row>
    <row r="896" spans="2:10" s="1" customFormat="1" ht="12.75" x14ac:dyDescent="0.2">
      <c r="B896" s="93"/>
      <c r="C896" s="39" t="s">
        <v>648</v>
      </c>
      <c r="D896" s="40">
        <v>5</v>
      </c>
      <c r="E896" s="40"/>
      <c r="F896" s="40"/>
      <c r="G896" s="40"/>
      <c r="H896" s="40">
        <f t="shared" si="52"/>
        <v>5</v>
      </c>
      <c r="J896" s="45" t="s">
        <v>13</v>
      </c>
    </row>
    <row r="897" spans="2:10" s="1" customFormat="1" ht="12.75" x14ac:dyDescent="0.2">
      <c r="B897" s="43"/>
      <c r="C897" s="39" t="s">
        <v>691</v>
      </c>
      <c r="D897" s="40">
        <v>5</v>
      </c>
      <c r="E897" s="40"/>
      <c r="F897" s="40"/>
      <c r="G897" s="40"/>
      <c r="H897" s="40">
        <f t="shared" si="52"/>
        <v>5</v>
      </c>
      <c r="I897" s="40"/>
      <c r="J897" s="41" t="s">
        <v>13</v>
      </c>
    </row>
    <row r="898" spans="2:10" s="1" customFormat="1" ht="12.75" x14ac:dyDescent="0.2">
      <c r="B898" s="93" t="s">
        <v>707</v>
      </c>
      <c r="C898" s="343" t="s">
        <v>706</v>
      </c>
      <c r="D898" s="60"/>
      <c r="E898" s="40"/>
      <c r="F898" s="40"/>
      <c r="G898" s="40"/>
      <c r="H898" s="40"/>
      <c r="I898" s="44">
        <f>SUM(H899:H899)</f>
        <v>125</v>
      </c>
      <c r="J898" s="45" t="str">
        <f>+J899</f>
        <v>und</v>
      </c>
    </row>
    <row r="899" spans="2:10" s="1" customFormat="1" ht="12.75" x14ac:dyDescent="0.2">
      <c r="B899" s="57"/>
      <c r="C899" s="39" t="s">
        <v>708</v>
      </c>
      <c r="D899" s="60">
        <v>1</v>
      </c>
      <c r="E899" s="40">
        <v>125</v>
      </c>
      <c r="F899" s="40"/>
      <c r="G899" s="40"/>
      <c r="H899" s="40">
        <f>IF(AND(F899=0,G899=0),D899*E899,IF(AND(E899=0,G899=0),D899*F899,IF(AND(E899=0,F899=0),D899*G899,IF(AND(E899=0),D899*F899*G899,IF(AND(F899=0),D899*E899*G899,IF(AND(G899=0),D899*E899*F899,D899*E899*F899*G899))))))</f>
        <v>125</v>
      </c>
      <c r="I899" s="40"/>
      <c r="J899" s="41" t="s">
        <v>13</v>
      </c>
    </row>
    <row r="900" spans="2:10" s="1" customFormat="1" ht="12.75" x14ac:dyDescent="0.2">
      <c r="B900" s="57"/>
      <c r="C900" s="39"/>
      <c r="D900" s="60"/>
      <c r="E900" s="40"/>
      <c r="F900" s="40"/>
      <c r="G900" s="40"/>
      <c r="H900" s="40"/>
      <c r="I900" s="40"/>
      <c r="J900" s="41"/>
    </row>
    <row r="901" spans="2:10" s="1" customFormat="1" ht="14.25" customHeight="1" x14ac:dyDescent="0.2">
      <c r="B901" s="46"/>
      <c r="C901" s="59"/>
      <c r="D901" s="60"/>
      <c r="E901" s="40"/>
      <c r="F901" s="40"/>
      <c r="G901" s="40"/>
      <c r="H901" s="40"/>
      <c r="I901" s="40"/>
      <c r="J901" s="41"/>
    </row>
    <row r="902" spans="2:10" s="1" customFormat="1" ht="12.75" x14ac:dyDescent="0.2">
      <c r="B902" s="107" t="s">
        <v>717</v>
      </c>
      <c r="C902" s="343" t="s">
        <v>735</v>
      </c>
      <c r="D902" s="60"/>
      <c r="E902" s="40"/>
      <c r="F902" s="40"/>
      <c r="G902" s="40"/>
      <c r="H902" s="40"/>
      <c r="I902" s="40">
        <f>+SUM(H903:H918)</f>
        <v>71.72999999999999</v>
      </c>
      <c r="J902" s="41" t="s">
        <v>45</v>
      </c>
    </row>
    <row r="903" spans="2:10" s="1" customFormat="1" ht="12.75" x14ac:dyDescent="0.2">
      <c r="B903" s="107"/>
      <c r="C903" s="39" t="s">
        <v>393</v>
      </c>
      <c r="D903" s="40">
        <v>1</v>
      </c>
      <c r="E903" s="40">
        <f>1.5*2</f>
        <v>3</v>
      </c>
      <c r="F903" s="40"/>
      <c r="G903" s="40">
        <f>0.92+0.2</f>
        <v>1.1200000000000001</v>
      </c>
      <c r="H903" s="40">
        <f t="shared" ref="H903:H918" si="53">IF(AND(F903=0,G903=0),D903*E903,IF(AND(E903=0,G903=0),D903*F903,IF(AND(E903=0,F903=0),D903*G903,IF(AND(E903=0),D903*F903*G903,IF(AND(F903=0),D903*E903*G903,IF(AND(G903=0),D903*E903*F903,D903*E903*F903*G903))))))</f>
        <v>3.3600000000000003</v>
      </c>
      <c r="I903" s="40"/>
      <c r="J903" s="41"/>
    </row>
    <row r="904" spans="2:10" s="1" customFormat="1" ht="12.75" x14ac:dyDescent="0.2">
      <c r="B904" s="107"/>
      <c r="C904" s="39"/>
      <c r="D904" s="40">
        <v>1</v>
      </c>
      <c r="E904" s="40">
        <v>0.6</v>
      </c>
      <c r="F904" s="40"/>
      <c r="G904" s="40">
        <v>0.9</v>
      </c>
      <c r="H904" s="40">
        <f t="shared" si="53"/>
        <v>0.54</v>
      </c>
      <c r="I904" s="40"/>
      <c r="J904" s="41"/>
    </row>
    <row r="905" spans="2:10" s="1" customFormat="1" ht="12.75" x14ac:dyDescent="0.2">
      <c r="B905" s="107"/>
      <c r="C905" s="39" t="s">
        <v>412</v>
      </c>
      <c r="D905" s="40">
        <v>1</v>
      </c>
      <c r="E905" s="40">
        <f>1.5*2</f>
        <v>3</v>
      </c>
      <c r="F905" s="40"/>
      <c r="G905" s="40">
        <f>1.07+0.2</f>
        <v>1.27</v>
      </c>
      <c r="H905" s="40">
        <f t="shared" si="53"/>
        <v>3.81</v>
      </c>
      <c r="I905" s="40"/>
      <c r="J905" s="41"/>
    </row>
    <row r="906" spans="2:10" s="1" customFormat="1" ht="12.75" x14ac:dyDescent="0.2">
      <c r="B906" s="107"/>
      <c r="C906" s="39"/>
      <c r="D906" s="40">
        <v>1</v>
      </c>
      <c r="E906" s="40">
        <v>0.6</v>
      </c>
      <c r="F906" s="40"/>
      <c r="G906" s="40">
        <v>0.9</v>
      </c>
      <c r="H906" s="40">
        <f t="shared" si="53"/>
        <v>0.54</v>
      </c>
      <c r="I906" s="40"/>
      <c r="J906" s="41"/>
    </row>
    <row r="907" spans="2:10" s="1" customFormat="1" ht="12.75" x14ac:dyDescent="0.2">
      <c r="B907" s="107"/>
      <c r="C907" s="39" t="s">
        <v>381</v>
      </c>
      <c r="D907" s="40">
        <v>1</v>
      </c>
      <c r="E907" s="40">
        <f>1.5*2</f>
        <v>3</v>
      </c>
      <c r="F907" s="40"/>
      <c r="G907" s="40">
        <f>0.61+0.2</f>
        <v>0.81</v>
      </c>
      <c r="H907" s="40">
        <f t="shared" si="53"/>
        <v>2.4300000000000002</v>
      </c>
      <c r="I907" s="40"/>
      <c r="J907" s="41"/>
    </row>
    <row r="908" spans="2:10" s="1" customFormat="1" ht="12.75" x14ac:dyDescent="0.2">
      <c r="B908" s="107"/>
      <c r="C908" s="39"/>
      <c r="D908" s="40">
        <v>1</v>
      </c>
      <c r="E908" s="40">
        <v>0.6</v>
      </c>
      <c r="F908" s="40"/>
      <c r="G908" s="40">
        <v>0.9</v>
      </c>
      <c r="H908" s="40">
        <f t="shared" si="53"/>
        <v>0.54</v>
      </c>
      <c r="I908" s="40"/>
      <c r="J908" s="41"/>
    </row>
    <row r="909" spans="2:10" s="1" customFormat="1" ht="12.75" x14ac:dyDescent="0.2">
      <c r="B909" s="107"/>
      <c r="C909" s="39" t="s">
        <v>714</v>
      </c>
      <c r="D909" s="60">
        <v>1</v>
      </c>
      <c r="E909" s="40">
        <f>0.6*4</f>
        <v>2.4</v>
      </c>
      <c r="F909" s="40"/>
      <c r="G909" s="40">
        <f>0.7+0.2</f>
        <v>0.89999999999999991</v>
      </c>
      <c r="H909" s="40">
        <f t="shared" si="53"/>
        <v>2.1599999999999997</v>
      </c>
      <c r="I909" s="40"/>
      <c r="J909" s="41"/>
    </row>
    <row r="910" spans="2:10" s="1" customFormat="1" ht="12.75" x14ac:dyDescent="0.2">
      <c r="B910" s="107"/>
      <c r="C910" s="39"/>
      <c r="D910" s="60">
        <v>1</v>
      </c>
      <c r="E910" s="40">
        <v>0.6</v>
      </c>
      <c r="F910" s="40"/>
      <c r="G910" s="40">
        <v>0.6</v>
      </c>
      <c r="H910" s="40">
        <f t="shared" si="53"/>
        <v>0.36</v>
      </c>
      <c r="I910" s="40"/>
      <c r="J910" s="41"/>
    </row>
    <row r="911" spans="2:10" s="1" customFormat="1" ht="12.75" x14ac:dyDescent="0.2">
      <c r="B911" s="107"/>
      <c r="C911" s="39" t="s">
        <v>414</v>
      </c>
      <c r="D911" s="60">
        <v>1</v>
      </c>
      <c r="E911" s="40">
        <f>0.6*4</f>
        <v>2.4</v>
      </c>
      <c r="F911" s="40"/>
      <c r="G911" s="40">
        <f>0.7+0.2</f>
        <v>0.89999999999999991</v>
      </c>
      <c r="H911" s="40">
        <f t="shared" si="53"/>
        <v>2.1599999999999997</v>
      </c>
      <c r="I911" s="40"/>
      <c r="J911" s="41"/>
    </row>
    <row r="912" spans="2:10" s="1" customFormat="1" ht="12.75" x14ac:dyDescent="0.2">
      <c r="B912" s="107"/>
      <c r="C912" s="39"/>
      <c r="D912" s="60">
        <v>1</v>
      </c>
      <c r="E912" s="40">
        <v>0.6</v>
      </c>
      <c r="F912" s="40"/>
      <c r="G912" s="40">
        <v>0.6</v>
      </c>
      <c r="H912" s="40">
        <f t="shared" si="53"/>
        <v>0.36</v>
      </c>
      <c r="I912" s="40"/>
      <c r="J912" s="41"/>
    </row>
    <row r="913" spans="2:10" s="1" customFormat="1" ht="12.75" x14ac:dyDescent="0.2">
      <c r="B913" s="107"/>
      <c r="C913" s="39" t="s">
        <v>648</v>
      </c>
      <c r="D913" s="60">
        <v>5</v>
      </c>
      <c r="E913" s="40">
        <f>0.6*4</f>
        <v>2.4</v>
      </c>
      <c r="F913" s="40"/>
      <c r="G913" s="40">
        <f>0.7+0.2</f>
        <v>0.89999999999999991</v>
      </c>
      <c r="H913" s="40">
        <f t="shared" si="53"/>
        <v>10.799999999999999</v>
      </c>
      <c r="I913" s="40"/>
      <c r="J913" s="41"/>
    </row>
    <row r="914" spans="2:10" s="1" customFormat="1" ht="12.75" x14ac:dyDescent="0.2">
      <c r="B914" s="107"/>
      <c r="C914" s="39"/>
      <c r="D914" s="60">
        <v>5</v>
      </c>
      <c r="E914" s="40">
        <v>0.6</v>
      </c>
      <c r="F914" s="40"/>
      <c r="G914" s="40">
        <v>0.6</v>
      </c>
      <c r="H914" s="40">
        <f t="shared" si="53"/>
        <v>1.7999999999999998</v>
      </c>
      <c r="I914" s="40"/>
      <c r="J914" s="41"/>
    </row>
    <row r="915" spans="2:10" s="1" customFormat="1" ht="12.75" x14ac:dyDescent="0.2">
      <c r="B915" s="107"/>
      <c r="C915" s="39" t="s">
        <v>691</v>
      </c>
      <c r="D915" s="60">
        <v>5</v>
      </c>
      <c r="E915" s="40">
        <f>0.6*4</f>
        <v>2.4</v>
      </c>
      <c r="F915" s="40"/>
      <c r="G915" s="40">
        <f>0.7+0.2</f>
        <v>0.89999999999999991</v>
      </c>
      <c r="H915" s="40">
        <f t="shared" si="53"/>
        <v>10.799999999999999</v>
      </c>
      <c r="I915" s="40"/>
      <c r="J915" s="41"/>
    </row>
    <row r="916" spans="2:10" s="1" customFormat="1" ht="12.75" x14ac:dyDescent="0.2">
      <c r="B916" s="107"/>
      <c r="C916" s="39"/>
      <c r="D916" s="60">
        <v>5</v>
      </c>
      <c r="E916" s="40">
        <v>0.6</v>
      </c>
      <c r="F916" s="40"/>
      <c r="G916" s="40">
        <v>0.6</v>
      </c>
      <c r="H916" s="40">
        <f t="shared" si="53"/>
        <v>1.7999999999999998</v>
      </c>
      <c r="I916" s="40"/>
      <c r="J916" s="41"/>
    </row>
    <row r="917" spans="2:10" s="1" customFormat="1" ht="12.75" x14ac:dyDescent="0.2">
      <c r="B917" s="107"/>
      <c r="C917" s="369" t="s">
        <v>377</v>
      </c>
      <c r="D917" s="40">
        <v>1</v>
      </c>
      <c r="E917" s="40">
        <f>1.3*2+5.5*2</f>
        <v>13.6</v>
      </c>
      <c r="F917" s="40"/>
      <c r="G917" s="40">
        <f>1.45+0.25</f>
        <v>1.7</v>
      </c>
      <c r="H917" s="40">
        <f t="shared" si="53"/>
        <v>23.119999999999997</v>
      </c>
      <c r="I917" s="40"/>
      <c r="J917" s="41"/>
    </row>
    <row r="918" spans="2:10" s="1" customFormat="1" ht="12.75" x14ac:dyDescent="0.2">
      <c r="B918" s="107"/>
      <c r="C918" s="59"/>
      <c r="D918" s="60">
        <v>1</v>
      </c>
      <c r="E918" s="40">
        <v>1.3</v>
      </c>
      <c r="F918" s="40"/>
      <c r="G918" s="40">
        <v>5.5</v>
      </c>
      <c r="H918" s="40">
        <f t="shared" si="53"/>
        <v>7.15</v>
      </c>
      <c r="I918" s="40"/>
      <c r="J918" s="41"/>
    </row>
    <row r="919" spans="2:10" s="1" customFormat="1" ht="12.75" x14ac:dyDescent="0.2">
      <c r="B919" s="107"/>
      <c r="C919" s="111"/>
      <c r="D919" s="60"/>
      <c r="E919" s="40"/>
      <c r="F919" s="40"/>
      <c r="G919" s="40"/>
      <c r="H919" s="40"/>
      <c r="I919" s="40"/>
      <c r="J919" s="41"/>
    </row>
    <row r="920" spans="2:10" s="1" customFormat="1" ht="12.75" x14ac:dyDescent="0.2">
      <c r="B920" s="107"/>
      <c r="C920" s="111"/>
      <c r="D920" s="60"/>
      <c r="E920" s="40"/>
      <c r="F920" s="40"/>
      <c r="G920" s="40"/>
      <c r="H920" s="40"/>
      <c r="I920" s="40"/>
      <c r="J920" s="41"/>
    </row>
    <row r="921" spans="2:10" s="1" customFormat="1" ht="12.75" x14ac:dyDescent="0.2">
      <c r="B921" s="107" t="s">
        <v>734</v>
      </c>
      <c r="C921" s="343" t="s">
        <v>736</v>
      </c>
      <c r="D921" s="60"/>
      <c r="E921" s="40"/>
      <c r="F921" s="40"/>
      <c r="G921" s="40"/>
      <c r="H921" s="40"/>
      <c r="I921" s="40">
        <f>+SUM(H922:H925)</f>
        <v>52.04999999999999</v>
      </c>
      <c r="J921" s="41" t="s">
        <v>45</v>
      </c>
    </row>
    <row r="922" spans="2:10" s="1" customFormat="1" ht="12.75" x14ac:dyDescent="0.2">
      <c r="B922" s="46"/>
      <c r="C922" s="39" t="s">
        <v>444</v>
      </c>
      <c r="D922" s="60">
        <v>2</v>
      </c>
      <c r="E922" s="1">
        <v>3</v>
      </c>
      <c r="F922" s="40"/>
      <c r="G922" s="40">
        <f>0.32+0.15</f>
        <v>0.47</v>
      </c>
      <c r="H922" s="40">
        <f t="shared" ref="H922:H925" si="54">IF(AND(F922=0,G922=0),D922*E922,IF(AND(E922=0,G922=0),D922*F922,IF(AND(E922=0,F922=0),D922*G922,IF(AND(E922=0),D922*F922*G922,IF(AND(F922=0),D922*E922*G922,IF(AND(G922=0),D922*E922*F922,D922*E922*F922*G922))))))</f>
        <v>2.82</v>
      </c>
      <c r="I922" s="40"/>
      <c r="J922" s="41"/>
    </row>
    <row r="923" spans="2:10" s="1" customFormat="1" ht="12.75" x14ac:dyDescent="0.2">
      <c r="B923" s="46"/>
      <c r="C923" s="39"/>
      <c r="D923" s="23">
        <v>1</v>
      </c>
      <c r="E923" s="1">
        <v>3</v>
      </c>
      <c r="F923" s="40"/>
      <c r="G923" s="40">
        <v>0.3</v>
      </c>
      <c r="H923" s="40">
        <f t="shared" si="54"/>
        <v>0.89999999999999991</v>
      </c>
      <c r="I923" s="40"/>
      <c r="J923" s="41"/>
    </row>
    <row r="924" spans="2:10" s="1" customFormat="1" ht="12.75" x14ac:dyDescent="0.2">
      <c r="B924" s="46"/>
      <c r="C924" s="39" t="s">
        <v>442</v>
      </c>
      <c r="D924" s="8">
        <v>2</v>
      </c>
      <c r="E924" s="86">
        <f>3.5+14.4</f>
        <v>17.899999999999999</v>
      </c>
      <c r="F924" s="40"/>
      <c r="G924" s="40">
        <f>1+0.2</f>
        <v>1.2</v>
      </c>
      <c r="H924" s="40">
        <f t="shared" si="54"/>
        <v>42.959999999999994</v>
      </c>
      <c r="I924" s="40"/>
      <c r="J924" s="41"/>
    </row>
    <row r="925" spans="2:10" s="1" customFormat="1" ht="12.75" x14ac:dyDescent="0.2">
      <c r="B925" s="46"/>
      <c r="C925" s="39"/>
      <c r="D925" s="8">
        <v>1</v>
      </c>
      <c r="E925" s="86">
        <v>17.899999999999999</v>
      </c>
      <c r="F925" s="40"/>
      <c r="G925" s="40">
        <v>0.3</v>
      </c>
      <c r="H925" s="40">
        <f t="shared" si="54"/>
        <v>5.3699999999999992</v>
      </c>
      <c r="I925" s="40"/>
      <c r="J925" s="41"/>
    </row>
    <row r="926" spans="2:10" s="1" customFormat="1" ht="12.75" x14ac:dyDescent="0.2">
      <c r="B926" s="46"/>
      <c r="C926" s="59"/>
      <c r="D926" s="60"/>
      <c r="E926" s="40"/>
      <c r="F926" s="40"/>
      <c r="G926" s="40"/>
      <c r="H926" s="40"/>
      <c r="I926" s="40"/>
      <c r="J926" s="41"/>
    </row>
    <row r="927" spans="2:10" s="1" customFormat="1" ht="12.75" x14ac:dyDescent="0.2">
      <c r="B927" s="57"/>
      <c r="C927" s="39"/>
      <c r="D927" s="60"/>
      <c r="E927" s="40"/>
      <c r="F927" s="40"/>
      <c r="G927" s="40"/>
      <c r="H927" s="40"/>
      <c r="I927" s="40"/>
      <c r="J927" s="41"/>
    </row>
    <row r="928" spans="2:10" s="1" customFormat="1" ht="12.75" x14ac:dyDescent="0.2">
      <c r="B928" s="57" t="s">
        <v>18</v>
      </c>
      <c r="C928" s="58" t="s">
        <v>223</v>
      </c>
      <c r="D928" s="60"/>
      <c r="E928" s="40"/>
      <c r="F928" s="40"/>
      <c r="G928" s="40"/>
      <c r="H928" s="40"/>
      <c r="I928" s="40"/>
      <c r="J928" s="41"/>
    </row>
    <row r="929" spans="2:10" s="1" customFormat="1" ht="12.75" x14ac:dyDescent="0.2">
      <c r="B929" s="43" t="s">
        <v>19</v>
      </c>
      <c r="C929" s="43" t="s">
        <v>265</v>
      </c>
      <c r="D929" s="60"/>
      <c r="E929" s="40"/>
      <c r="F929" s="40"/>
      <c r="G929" s="40"/>
      <c r="H929" s="40"/>
      <c r="I929" s="44">
        <f>SUM(H930:H931)</f>
        <v>8</v>
      </c>
      <c r="J929" s="45" t="s">
        <v>13</v>
      </c>
    </row>
    <row r="930" spans="2:10" s="1" customFormat="1" ht="12.75" x14ac:dyDescent="0.2">
      <c r="B930" s="46"/>
      <c r="C930" s="39" t="s">
        <v>231</v>
      </c>
      <c r="D930" s="40">
        <v>6</v>
      </c>
      <c r="E930" s="40"/>
      <c r="F930" s="40"/>
      <c r="G930" s="40"/>
      <c r="H930" s="40">
        <f>+D930</f>
        <v>6</v>
      </c>
      <c r="I930" s="40"/>
      <c r="J930" s="41" t="s">
        <v>13</v>
      </c>
    </row>
    <row r="931" spans="2:10" s="1" customFormat="1" ht="12.75" x14ac:dyDescent="0.2">
      <c r="B931" s="46"/>
      <c r="C931" s="39" t="s">
        <v>530</v>
      </c>
      <c r="D931" s="60">
        <v>2</v>
      </c>
      <c r="E931" s="40"/>
      <c r="F931" s="40"/>
      <c r="G931" s="40"/>
      <c r="H931" s="40">
        <f>+D931</f>
        <v>2</v>
      </c>
      <c r="I931" s="40"/>
      <c r="J931" s="41"/>
    </row>
    <row r="932" spans="2:10" s="1" customFormat="1" ht="12.75" x14ac:dyDescent="0.2">
      <c r="B932" s="46"/>
      <c r="C932" s="39"/>
      <c r="D932" s="60"/>
      <c r="E932" s="40"/>
      <c r="F932" s="40"/>
      <c r="G932" s="40"/>
      <c r="H932" s="40"/>
      <c r="I932" s="40"/>
      <c r="J932" s="41"/>
    </row>
    <row r="933" spans="2:10" s="1" customFormat="1" ht="12.75" x14ac:dyDescent="0.2">
      <c r="B933" s="43" t="s">
        <v>20</v>
      </c>
      <c r="C933" s="43" t="s">
        <v>532</v>
      </c>
      <c r="D933" s="60"/>
      <c r="E933" s="40"/>
      <c r="F933" s="40"/>
      <c r="G933" s="40"/>
      <c r="H933" s="40"/>
      <c r="I933" s="44">
        <f>SUM(H934:H935)</f>
        <v>77</v>
      </c>
      <c r="J933" s="45" t="str">
        <f>+J934</f>
        <v>und</v>
      </c>
    </row>
    <row r="934" spans="2:10" s="1" customFormat="1" ht="12.75" x14ac:dyDescent="0.2">
      <c r="B934" s="46"/>
      <c r="C934" s="39" t="s">
        <v>531</v>
      </c>
      <c r="D934" s="89">
        <f>+ROUNDUP(E802/1,0)</f>
        <v>11</v>
      </c>
      <c r="E934" s="40"/>
      <c r="F934" s="40"/>
      <c r="G934" s="40"/>
      <c r="H934" s="40">
        <f>+D934</f>
        <v>11</v>
      </c>
      <c r="I934" s="40"/>
      <c r="J934" s="41" t="s">
        <v>13</v>
      </c>
    </row>
    <row r="935" spans="2:10" s="1" customFormat="1" ht="12.75" x14ac:dyDescent="0.2">
      <c r="B935" s="43"/>
      <c r="C935" s="39" t="s">
        <v>456</v>
      </c>
      <c r="D935" s="60">
        <f>6*ROUNDUP(E801/1,0)</f>
        <v>66</v>
      </c>
      <c r="E935" s="40"/>
      <c r="F935" s="40"/>
      <c r="G935" s="40"/>
      <c r="H935" s="40">
        <f>+D935</f>
        <v>66</v>
      </c>
      <c r="I935" s="40"/>
      <c r="J935" s="41"/>
    </row>
    <row r="936" spans="2:10" s="1" customFormat="1" ht="12.75" x14ac:dyDescent="0.2">
      <c r="B936" s="43" t="s">
        <v>21</v>
      </c>
      <c r="C936" s="43" t="s">
        <v>266</v>
      </c>
      <c r="D936" s="60"/>
      <c r="E936" s="40"/>
      <c r="F936" s="40"/>
      <c r="G936" s="40"/>
      <c r="H936" s="40"/>
      <c r="I936" s="44">
        <f>SUM(H937:H937)</f>
        <v>0</v>
      </c>
      <c r="J936" s="45" t="str">
        <f>+J937</f>
        <v>und</v>
      </c>
    </row>
    <row r="937" spans="2:10" s="1" customFormat="1" ht="12.75" x14ac:dyDescent="0.2">
      <c r="B937" s="43"/>
      <c r="C937" s="39"/>
      <c r="D937" s="40"/>
      <c r="E937" s="40"/>
      <c r="F937" s="40"/>
      <c r="G937" s="40"/>
      <c r="H937" s="40">
        <f t="shared" ref="H937" si="55">IF(AND(F937=0,G937=0),D937*E937,IF(AND(E937=0,G937=0),D937*F937,IF(AND(E937=0,F937=0),D937*G937,IF(AND(E937=0),D937*F937*G937,IF(AND(F937=0),D937*E937*G937,IF(AND(G937=0),D937*E937*F937,D937*E937*F937*G937))))))</f>
        <v>0</v>
      </c>
      <c r="I937" s="40"/>
      <c r="J937" s="41" t="s">
        <v>13</v>
      </c>
    </row>
    <row r="938" spans="2:10" s="1" customFormat="1" ht="12.75" x14ac:dyDescent="0.2">
      <c r="B938" s="43" t="s">
        <v>273</v>
      </c>
      <c r="C938" s="43" t="s">
        <v>354</v>
      </c>
      <c r="D938" s="60"/>
      <c r="E938" s="40"/>
      <c r="F938" s="40"/>
      <c r="G938" s="40"/>
      <c r="H938" s="40"/>
      <c r="I938" s="44">
        <f>SUM(H939)</f>
        <v>7</v>
      </c>
      <c r="J938" s="45" t="str">
        <f>+J939</f>
        <v>und</v>
      </c>
    </row>
    <row r="939" spans="2:10" s="1" customFormat="1" ht="12.75" x14ac:dyDescent="0.2">
      <c r="B939" s="43"/>
      <c r="C939" s="39" t="s">
        <v>458</v>
      </c>
      <c r="D939" s="60">
        <v>1</v>
      </c>
      <c r="E939" s="40">
        <v>7</v>
      </c>
      <c r="F939" s="40"/>
      <c r="G939" s="40"/>
      <c r="H939" s="40">
        <f t="shared" ref="H939" si="56">IF(AND(F939=0,G939=0),D939*E939,IF(AND(E939=0,G939=0),D939*F939,IF(AND(E939=0,F939=0),D939*G939,IF(AND(E939=0),D939*F939*G939,IF(AND(F939=0),D939*E939*G939,IF(AND(G939=0),D939*E939*F939,D939*E939*F939*G939))))))</f>
        <v>7</v>
      </c>
      <c r="I939" s="40"/>
      <c r="J939" s="41" t="s">
        <v>13</v>
      </c>
    </row>
    <row r="940" spans="2:10" s="1" customFormat="1" ht="12.75" x14ac:dyDescent="0.2">
      <c r="B940" s="43" t="s">
        <v>274</v>
      </c>
      <c r="C940" s="43" t="s">
        <v>357</v>
      </c>
      <c r="D940" s="60"/>
      <c r="E940" s="40"/>
      <c r="F940" s="40"/>
      <c r="G940" s="40"/>
      <c r="H940" s="40"/>
      <c r="I940" s="44">
        <f>SUM(H941:H941)</f>
        <v>1</v>
      </c>
      <c r="J940" s="45" t="str">
        <f>+J941</f>
        <v>und</v>
      </c>
    </row>
    <row r="941" spans="2:10" s="1" customFormat="1" ht="12.75" x14ac:dyDescent="0.2">
      <c r="B941" s="43"/>
      <c r="C941" s="39" t="s">
        <v>375</v>
      </c>
      <c r="D941" s="40">
        <v>1</v>
      </c>
      <c r="E941" s="40">
        <v>1</v>
      </c>
      <c r="F941" s="40"/>
      <c r="G941" s="40"/>
      <c r="H941" s="40">
        <f t="shared" ref="H941" si="57">+D941</f>
        <v>1</v>
      </c>
      <c r="I941" s="40"/>
      <c r="J941" s="41" t="s">
        <v>13</v>
      </c>
    </row>
    <row r="942" spans="2:10" s="1" customFormat="1" ht="12.75" x14ac:dyDescent="0.2">
      <c r="B942" s="43" t="s">
        <v>355</v>
      </c>
      <c r="C942" s="43" t="s">
        <v>263</v>
      </c>
      <c r="D942" s="60"/>
      <c r="E942" s="40"/>
      <c r="F942" s="40"/>
      <c r="G942" s="40"/>
      <c r="H942" s="40"/>
      <c r="I942" s="44">
        <f>SUM(H943:H943)</f>
        <v>0</v>
      </c>
      <c r="J942" s="45" t="str">
        <f>+J943</f>
        <v>und</v>
      </c>
    </row>
    <row r="943" spans="2:10" s="1" customFormat="1" ht="12.75" x14ac:dyDescent="0.2">
      <c r="B943" s="46"/>
      <c r="C943" s="39" t="s">
        <v>385</v>
      </c>
      <c r="D943" s="40"/>
      <c r="E943" s="40"/>
      <c r="F943" s="40"/>
      <c r="G943" s="40"/>
      <c r="H943" s="40">
        <f>+D943</f>
        <v>0</v>
      </c>
      <c r="I943" s="40"/>
      <c r="J943" s="41" t="s">
        <v>13</v>
      </c>
    </row>
    <row r="944" spans="2:10" s="1" customFormat="1" ht="12.75" x14ac:dyDescent="0.2">
      <c r="B944" s="43" t="s">
        <v>356</v>
      </c>
      <c r="C944" s="43" t="s">
        <v>264</v>
      </c>
      <c r="D944" s="60"/>
      <c r="E944" s="40"/>
      <c r="F944" s="40"/>
      <c r="G944" s="40"/>
      <c r="H944" s="40"/>
      <c r="I944" s="44">
        <f>SUM(H945:H945)</f>
        <v>0</v>
      </c>
      <c r="J944" s="45" t="str">
        <f>+J945</f>
        <v>und</v>
      </c>
    </row>
    <row r="945" spans="2:10" s="1" customFormat="1" ht="12.75" x14ac:dyDescent="0.2">
      <c r="B945" s="46"/>
      <c r="C945" s="39" t="s">
        <v>384</v>
      </c>
      <c r="D945" s="40"/>
      <c r="E945" s="40"/>
      <c r="F945" s="40"/>
      <c r="G945" s="40"/>
      <c r="H945" s="40">
        <f>+D945</f>
        <v>0</v>
      </c>
      <c r="I945" s="40"/>
      <c r="J945" s="41" t="s">
        <v>13</v>
      </c>
    </row>
    <row r="946" spans="2:10" s="1" customFormat="1" ht="12.75" x14ac:dyDescent="0.2">
      <c r="B946" s="46"/>
      <c r="C946" s="59"/>
      <c r="D946" s="60"/>
      <c r="E946" s="40"/>
      <c r="F946" s="40"/>
      <c r="G946" s="40"/>
      <c r="H946" s="40"/>
      <c r="I946" s="40"/>
      <c r="J946" s="41"/>
    </row>
    <row r="947" spans="2:10" s="1" customFormat="1" ht="12.75" x14ac:dyDescent="0.2">
      <c r="B947" s="43" t="s">
        <v>356</v>
      </c>
      <c r="C947" s="43" t="s">
        <v>523</v>
      </c>
      <c r="D947" s="60"/>
      <c r="E947" s="40"/>
      <c r="F947" s="40"/>
      <c r="G947" s="40"/>
      <c r="H947" s="40"/>
      <c r="I947" s="44">
        <f>SUM(H948:H948)</f>
        <v>0</v>
      </c>
      <c r="J947" s="45" t="str">
        <f>+J948</f>
        <v>und</v>
      </c>
    </row>
    <row r="948" spans="2:10" s="1" customFormat="1" ht="12.75" x14ac:dyDescent="0.2">
      <c r="B948" s="46"/>
      <c r="C948" s="39" t="s">
        <v>533</v>
      </c>
      <c r="D948" s="40"/>
      <c r="E948" s="40"/>
      <c r="F948" s="40"/>
      <c r="G948" s="40"/>
      <c r="H948" s="40">
        <f>+D948</f>
        <v>0</v>
      </c>
      <c r="I948" s="40"/>
      <c r="J948" s="41" t="s">
        <v>13</v>
      </c>
    </row>
    <row r="949" spans="2:10" s="1" customFormat="1" ht="12.75" x14ac:dyDescent="0.2">
      <c r="B949" s="46"/>
      <c r="C949" s="39"/>
      <c r="D949" s="60"/>
      <c r="E949" s="40"/>
      <c r="F949" s="40"/>
      <c r="G949" s="40"/>
      <c r="H949" s="40"/>
      <c r="I949" s="40"/>
      <c r="J949" s="41"/>
    </row>
    <row r="950" spans="2:10" s="1" customFormat="1" ht="12.75" x14ac:dyDescent="0.2">
      <c r="B950" s="93" t="s">
        <v>659</v>
      </c>
      <c r="C950" s="372" t="s">
        <v>657</v>
      </c>
      <c r="D950" s="60"/>
      <c r="E950" s="40"/>
      <c r="F950" s="40"/>
      <c r="G950" s="40"/>
      <c r="H950" s="40"/>
      <c r="I950" s="44">
        <f>+SUM(H951:H953)</f>
        <v>15</v>
      </c>
      <c r="J950" s="45" t="s">
        <v>13</v>
      </c>
    </row>
    <row r="951" spans="2:10" s="1" customFormat="1" ht="12.75" x14ac:dyDescent="0.2">
      <c r="B951" s="43"/>
      <c r="C951" s="42" t="s">
        <v>492</v>
      </c>
      <c r="D951" s="60">
        <f>6*2</f>
        <v>12</v>
      </c>
      <c r="E951" s="40"/>
      <c r="F951" s="40"/>
      <c r="G951" s="40"/>
      <c r="H951" s="40">
        <f>+D951</f>
        <v>12</v>
      </c>
      <c r="I951" s="44"/>
      <c r="J951" s="45"/>
    </row>
    <row r="952" spans="2:10" s="1" customFormat="1" ht="12.75" x14ac:dyDescent="0.2">
      <c r="B952" s="46"/>
      <c r="C952" s="39" t="s">
        <v>524</v>
      </c>
      <c r="D952" s="60">
        <v>2</v>
      </c>
      <c r="E952" s="40"/>
      <c r="F952" s="40"/>
      <c r="G952" s="40"/>
      <c r="H952" s="40">
        <f t="shared" ref="H952:H953" si="58">+D952</f>
        <v>2</v>
      </c>
      <c r="I952" s="40"/>
      <c r="J952" s="41"/>
    </row>
    <row r="953" spans="2:10" s="1" customFormat="1" ht="12.75" x14ac:dyDescent="0.2">
      <c r="B953" s="46"/>
      <c r="C953" s="39" t="s">
        <v>486</v>
      </c>
      <c r="D953" s="60">
        <v>1</v>
      </c>
      <c r="E953" s="40"/>
      <c r="F953" s="40"/>
      <c r="G953" s="40"/>
      <c r="H953" s="40">
        <f t="shared" si="58"/>
        <v>1</v>
      </c>
      <c r="I953" s="40"/>
      <c r="J953" s="41"/>
    </row>
    <row r="954" spans="2:10" s="1" customFormat="1" ht="12.75" x14ac:dyDescent="0.2">
      <c r="B954" s="90"/>
      <c r="C954" s="91"/>
      <c r="D954" s="23"/>
      <c r="E954" s="40"/>
      <c r="F954" s="40"/>
      <c r="G954" s="40"/>
      <c r="H954" s="40"/>
      <c r="I954" s="40"/>
      <c r="J954" s="41"/>
    </row>
    <row r="955" spans="2:10" s="1" customFormat="1" ht="12.75" x14ac:dyDescent="0.2">
      <c r="B955" s="43" t="s">
        <v>659</v>
      </c>
      <c r="C955" s="43" t="s">
        <v>657</v>
      </c>
      <c r="D955" s="60"/>
      <c r="E955" s="40"/>
      <c r="F955" s="40"/>
      <c r="G955" s="40"/>
      <c r="H955" s="40"/>
      <c r="I955" s="44">
        <f>+SUM(H956:H957)</f>
        <v>4</v>
      </c>
      <c r="J955" s="45" t="s">
        <v>13</v>
      </c>
    </row>
    <row r="956" spans="2:10" s="1" customFormat="1" ht="12.75" x14ac:dyDescent="0.2">
      <c r="B956" s="46"/>
      <c r="C956" s="59" t="s">
        <v>658</v>
      </c>
      <c r="D956" s="60">
        <v>4</v>
      </c>
      <c r="E956" s="40">
        <v>1</v>
      </c>
      <c r="F956" s="40"/>
      <c r="G956" s="40"/>
      <c r="H956" s="40">
        <f t="shared" ref="H956" si="59">+D956</f>
        <v>4</v>
      </c>
      <c r="I956" s="40"/>
      <c r="J956" s="41"/>
    </row>
    <row r="957" spans="2:10" s="1" customFormat="1" ht="12.75" x14ac:dyDescent="0.2">
      <c r="B957" s="46"/>
      <c r="C957" s="59"/>
      <c r="D957" s="60"/>
      <c r="E957" s="40"/>
      <c r="F957" s="40"/>
      <c r="G957" s="40"/>
      <c r="H957" s="40"/>
      <c r="I957" s="40"/>
      <c r="J957" s="41"/>
    </row>
    <row r="958" spans="2:10" s="1" customFormat="1" ht="12.75" x14ac:dyDescent="0.2">
      <c r="B958" s="46"/>
      <c r="C958" s="59"/>
      <c r="D958" s="23"/>
      <c r="E958" s="40"/>
      <c r="F958" s="40"/>
      <c r="G958" s="40"/>
      <c r="H958" s="40"/>
      <c r="I958" s="40"/>
      <c r="J958" s="41"/>
    </row>
    <row r="959" spans="2:10" s="1" customFormat="1" ht="12.75" x14ac:dyDescent="0.2">
      <c r="B959" s="93" t="s">
        <v>606</v>
      </c>
      <c r="C959" s="93" t="s">
        <v>479</v>
      </c>
      <c r="E959" s="40"/>
      <c r="F959" s="40"/>
      <c r="G959" s="40"/>
      <c r="H959" s="40"/>
      <c r="I959" s="44">
        <f>+SUM(H960:H960)</f>
        <v>2</v>
      </c>
      <c r="J959" s="45" t="s">
        <v>13</v>
      </c>
    </row>
    <row r="960" spans="2:10" s="1" customFormat="1" ht="12.75" x14ac:dyDescent="0.2">
      <c r="B960" s="46"/>
      <c r="C960" s="39" t="s">
        <v>672</v>
      </c>
      <c r="D960" s="60">
        <v>2</v>
      </c>
      <c r="E960" s="40"/>
      <c r="F960" s="40"/>
      <c r="G960" s="40"/>
      <c r="H960" s="40">
        <f t="shared" ref="H960" si="60">+D960</f>
        <v>2</v>
      </c>
      <c r="I960" s="40"/>
      <c r="J960" s="41"/>
    </row>
    <row r="961" spans="2:10" s="1" customFormat="1" ht="12.75" x14ac:dyDescent="0.2">
      <c r="B961" s="46"/>
      <c r="C961" s="59"/>
      <c r="E961" s="40"/>
      <c r="F961" s="40"/>
      <c r="G961" s="40"/>
      <c r="H961" s="40"/>
      <c r="I961" s="40"/>
      <c r="J961" s="41"/>
    </row>
    <row r="962" spans="2:10" s="1" customFormat="1" ht="12.75" x14ac:dyDescent="0.2">
      <c r="B962" s="46"/>
      <c r="C962" s="73" t="s">
        <v>618</v>
      </c>
      <c r="E962" s="40"/>
      <c r="F962" s="40"/>
      <c r="G962" s="40"/>
      <c r="H962" s="40"/>
      <c r="I962" s="40"/>
      <c r="J962" s="41"/>
    </row>
    <row r="963" spans="2:10" s="1" customFormat="1" ht="12.75" x14ac:dyDescent="0.2">
      <c r="B963" s="46"/>
      <c r="C963" s="111"/>
      <c r="E963" s="40"/>
      <c r="F963" s="40"/>
      <c r="G963" s="40"/>
      <c r="H963" s="40"/>
      <c r="I963" s="40"/>
      <c r="J963" s="41"/>
    </row>
    <row r="964" spans="2:10" s="1" customFormat="1" ht="12.75" x14ac:dyDescent="0.2">
      <c r="B964" s="46" t="s">
        <v>768</v>
      </c>
      <c r="C964" s="343" t="s">
        <v>619</v>
      </c>
      <c r="D964" s="60"/>
      <c r="E964" s="40"/>
      <c r="F964" s="40" t="s">
        <v>358</v>
      </c>
      <c r="G964" s="40"/>
      <c r="H964" s="40"/>
      <c r="I964" s="44">
        <f>+SUM(H965:H965)</f>
        <v>20.625</v>
      </c>
      <c r="J964" s="45" t="s">
        <v>4</v>
      </c>
    </row>
    <row r="965" spans="2:10" s="1" customFormat="1" ht="12.75" x14ac:dyDescent="0.2">
      <c r="B965" s="46"/>
      <c r="C965" s="59" t="s">
        <v>638</v>
      </c>
      <c r="D965" s="60">
        <v>1</v>
      </c>
      <c r="E965" s="1">
        <v>55</v>
      </c>
      <c r="F965" s="40">
        <f>0.15*1+0.3*0.25+0.15*1</f>
        <v>0.375</v>
      </c>
      <c r="G965" s="40"/>
      <c r="H965" s="40">
        <f>IF(AND(F965=0,G965=0),D965*E965,IF(AND(E965=0,G965=0),D965*F965,IF(AND(E965=0,F965=0),D965*G965,IF(AND(E965=0),D965*F965*G965,IF(AND(F965=0),D965*E965*G965,IF(AND(G965=0),D965*E965*F965,D965*E965*F965*G965))))))</f>
        <v>20.625</v>
      </c>
      <c r="I965" s="40"/>
      <c r="J965" s="41"/>
    </row>
    <row r="966" spans="2:10" s="1" customFormat="1" ht="12.75" x14ac:dyDescent="0.2">
      <c r="B966" s="46"/>
      <c r="C966" s="59"/>
      <c r="D966" s="60"/>
      <c r="E966" s="40"/>
      <c r="F966" s="40"/>
      <c r="G966" s="40"/>
      <c r="H966" s="40"/>
      <c r="I966" s="40"/>
      <c r="J966" s="41"/>
    </row>
    <row r="967" spans="2:10" s="1" customFormat="1" ht="12.75" x14ac:dyDescent="0.2">
      <c r="B967" s="46" t="s">
        <v>769</v>
      </c>
      <c r="C967" s="28" t="s">
        <v>635</v>
      </c>
      <c r="D967" s="60"/>
      <c r="E967" s="40"/>
      <c r="F967" s="40"/>
      <c r="G967" s="40"/>
      <c r="H967" s="40"/>
      <c r="I967" s="44">
        <f>+SUM(H968:H968)</f>
        <v>96.768000000000001</v>
      </c>
      <c r="J967" s="41" t="s">
        <v>637</v>
      </c>
    </row>
    <row r="968" spans="2:10" s="1" customFormat="1" ht="12.75" x14ac:dyDescent="0.2">
      <c r="B968" s="46"/>
      <c r="C968" s="59" t="s">
        <v>639</v>
      </c>
      <c r="D968" s="60">
        <v>1</v>
      </c>
      <c r="E968" s="40">
        <v>120</v>
      </c>
      <c r="F968" s="40">
        <f>16*0.0254+0.4</f>
        <v>0.80640000000000001</v>
      </c>
      <c r="G968" s="40"/>
      <c r="H968" s="40">
        <f>IF(AND(F968=0,G968=0),D968*E968,IF(AND(E968=0,G968=0),D968*F968,IF(AND(E968=0,F968=0),D968*G968,IF(AND(E968=0),D968*F968*G968,IF(AND(F968=0),D968*E968*G968,IF(AND(G968=0),D968*E968*F968,D968*E968*F968*G968))))))</f>
        <v>96.768000000000001</v>
      </c>
      <c r="I968" s="40"/>
      <c r="J968" s="41"/>
    </row>
    <row r="969" spans="2:10" s="1" customFormat="1" ht="12.75" x14ac:dyDescent="0.2">
      <c r="B969" s="46"/>
      <c r="C969" s="59"/>
      <c r="D969" s="60"/>
      <c r="E969" s="40"/>
      <c r="F969" s="40"/>
      <c r="G969" s="40"/>
      <c r="H969" s="40"/>
    </row>
    <row r="970" spans="2:10" s="1" customFormat="1" ht="12.75" x14ac:dyDescent="0.2">
      <c r="B970" s="107" t="s">
        <v>770</v>
      </c>
      <c r="C970" s="28" t="s">
        <v>636</v>
      </c>
      <c r="D970" s="60">
        <v>1</v>
      </c>
      <c r="E970" s="40">
        <v>15</v>
      </c>
      <c r="F970" s="40">
        <v>0.8</v>
      </c>
      <c r="G970" s="40"/>
      <c r="H970" s="40">
        <f>IF(AND(F970=0,G970=0),D970*E970,IF(AND(E970=0,G970=0),D970*F970,IF(AND(E970=0,F970=0),D970*G970,IF(AND(E970=0),D970*F970*G970,IF(AND(F970=0),D970*E970*G970,IF(AND(G970=0),D970*E970*F970,D970*E970*F970*G970))))))</f>
        <v>12</v>
      </c>
      <c r="I970" s="44">
        <f>+SUM(H970:H970)</f>
        <v>12</v>
      </c>
      <c r="J970" s="41" t="s">
        <v>637</v>
      </c>
    </row>
    <row r="971" spans="2:10" s="1" customFormat="1" ht="12.75" x14ac:dyDescent="0.2">
      <c r="B971" s="46"/>
      <c r="C971" s="59"/>
      <c r="D971" s="60"/>
      <c r="E971" s="40"/>
      <c r="F971" s="40"/>
      <c r="G971" s="40"/>
      <c r="H971" s="40"/>
      <c r="I971" s="40"/>
      <c r="J971" s="41"/>
    </row>
    <row r="972" spans="2:10" s="1" customFormat="1" ht="12.75" x14ac:dyDescent="0.2">
      <c r="B972" s="73" t="s">
        <v>18</v>
      </c>
      <c r="C972" s="73" t="s">
        <v>620</v>
      </c>
      <c r="D972" s="60"/>
      <c r="E972" s="40"/>
      <c r="F972" s="40" t="s">
        <v>358</v>
      </c>
      <c r="G972" s="40"/>
      <c r="H972" s="40"/>
    </row>
    <row r="973" spans="2:10" s="1" customFormat="1" ht="12.75" x14ac:dyDescent="0.2">
      <c r="B973" s="107" t="s">
        <v>771</v>
      </c>
      <c r="C973" s="1" t="s">
        <v>621</v>
      </c>
      <c r="I973" s="44">
        <f>+SUM(H975:H976)</f>
        <v>30.3018</v>
      </c>
      <c r="J973" s="45" t="s">
        <v>4</v>
      </c>
    </row>
    <row r="974" spans="2:10" s="1" customFormat="1" ht="12.75" x14ac:dyDescent="0.2">
      <c r="B974" s="46"/>
      <c r="C974" s="59"/>
      <c r="D974" s="60"/>
      <c r="F974" s="40" t="s">
        <v>793</v>
      </c>
      <c r="G974" s="40"/>
      <c r="H974" s="40"/>
      <c r="I974" s="40"/>
      <c r="J974" s="41"/>
    </row>
    <row r="975" spans="2:10" s="1" customFormat="1" ht="12.75" x14ac:dyDescent="0.2">
      <c r="B975" s="107"/>
      <c r="C975" s="59" t="s">
        <v>638</v>
      </c>
      <c r="D975" s="60">
        <v>1</v>
      </c>
      <c r="E975" s="1">
        <v>55</v>
      </c>
      <c r="F975" s="40">
        <f>0.15*1+0.3*0.25+0.15*1</f>
        <v>0.375</v>
      </c>
      <c r="G975" s="40"/>
      <c r="H975" s="40">
        <f>IF(AND(F975=0,G975=0),D975*E975,IF(AND(E975=0,G975=0),D975*F975,IF(AND(E975=0,F975=0),D975*G975,IF(AND(E975=0),D975*F975*G975,IF(AND(F975=0),D975*E975*G975,IF(AND(G975=0),D975*E975*F975,D975*E975*F975*G975))))))</f>
        <v>20.625</v>
      </c>
      <c r="I975" s="44"/>
      <c r="J975" s="45"/>
    </row>
    <row r="976" spans="2:10" s="1" customFormat="1" ht="12.75" x14ac:dyDescent="0.2">
      <c r="B976" s="46"/>
      <c r="C976" s="59" t="s">
        <v>639</v>
      </c>
      <c r="D976" s="60">
        <v>1</v>
      </c>
      <c r="E976" s="40">
        <v>120</v>
      </c>
      <c r="F976" s="40">
        <f>16*0.0254+0.4</f>
        <v>0.80640000000000001</v>
      </c>
      <c r="G976" s="40">
        <v>0.1</v>
      </c>
      <c r="H976" s="40">
        <f>IF(AND(F976=0,G976=0),D976*E976,IF(AND(E976=0,G976=0),D976*F976,IF(AND(E976=0,F976=0),D976*G976,IF(AND(E976=0),D976*F976*G976,IF(AND(F976=0),D976*E976*G976,IF(AND(G976=0),D976*E976*F976,D976*E976*F976*G976))))))</f>
        <v>9.6768000000000001</v>
      </c>
      <c r="I976" s="40"/>
      <c r="J976" s="41"/>
    </row>
    <row r="977" spans="2:10" s="1" customFormat="1" ht="12.75" x14ac:dyDescent="0.2">
      <c r="B977" s="73" t="s">
        <v>14</v>
      </c>
      <c r="C977" s="73" t="s">
        <v>615</v>
      </c>
      <c r="D977" s="60"/>
      <c r="E977" s="40"/>
      <c r="F977" s="40"/>
      <c r="G977" s="40"/>
      <c r="H977" s="40"/>
      <c r="I977" s="40"/>
      <c r="J977" s="41"/>
    </row>
    <row r="978" spans="2:10" s="1" customFormat="1" ht="12.75" x14ac:dyDescent="0.2">
      <c r="B978" s="25" t="s">
        <v>766</v>
      </c>
      <c r="C978" s="28" t="s">
        <v>616</v>
      </c>
      <c r="D978" s="60"/>
      <c r="E978" s="40"/>
      <c r="F978" s="40"/>
      <c r="G978" s="40"/>
      <c r="H978" s="40"/>
      <c r="I978" s="40">
        <f>+SUM(H979:H1001)</f>
        <v>85.616528000000002</v>
      </c>
      <c r="J978" s="41" t="s">
        <v>45</v>
      </c>
    </row>
    <row r="979" spans="2:10" s="1" customFormat="1" ht="14.25" customHeight="1" x14ac:dyDescent="0.2">
      <c r="B979" s="46"/>
      <c r="C979" s="39" t="s">
        <v>444</v>
      </c>
      <c r="D979" s="60">
        <v>1</v>
      </c>
      <c r="E979" s="1">
        <v>3</v>
      </c>
      <c r="F979" s="40">
        <v>0.5</v>
      </c>
      <c r="G979" s="40"/>
      <c r="H979" s="40">
        <f t="shared" ref="H979:H1000" si="61">IF(AND(F979=0,G979=0),D979*E979,IF(AND(E979=0,G979=0),D979*F979,IF(AND(E979=0,F979=0),D979*G979,IF(AND(E979=0),D979*F979*G979,IF(AND(F979=0),D979*E979*G979,IF(AND(G979=0),D979*E979*F979,D979*E979*F979*G979))))))</f>
        <v>1.5</v>
      </c>
      <c r="I979" s="40"/>
      <c r="J979" s="41"/>
    </row>
    <row r="980" spans="2:10" s="1" customFormat="1" ht="14.25" customHeight="1" x14ac:dyDescent="0.2">
      <c r="B980" s="46"/>
      <c r="C980" s="39" t="s">
        <v>442</v>
      </c>
      <c r="D980" s="8">
        <v>1</v>
      </c>
      <c r="E980" s="86">
        <f>3.5+14.4</f>
        <v>17.899999999999999</v>
      </c>
      <c r="F980" s="40">
        <v>0.5</v>
      </c>
      <c r="G980" s="40"/>
      <c r="H980" s="40">
        <f t="shared" si="61"/>
        <v>8.9499999999999993</v>
      </c>
      <c r="I980" s="40"/>
      <c r="J980" s="41"/>
    </row>
    <row r="981" spans="2:10" s="1" customFormat="1" ht="14.25" customHeight="1" x14ac:dyDescent="0.2">
      <c r="B981" s="46"/>
      <c r="C981" s="39" t="s">
        <v>393</v>
      </c>
      <c r="D981" s="40">
        <v>1</v>
      </c>
      <c r="E981" s="40">
        <v>0.9</v>
      </c>
      <c r="F981" s="40">
        <v>1.2</v>
      </c>
      <c r="G981" s="40"/>
      <c r="H981" s="40">
        <f t="shared" si="61"/>
        <v>1.08</v>
      </c>
      <c r="I981" s="40"/>
      <c r="J981" s="41"/>
    </row>
    <row r="982" spans="2:10" s="1" customFormat="1" ht="14.25" customHeight="1" x14ac:dyDescent="0.2">
      <c r="B982" s="46"/>
      <c r="C982" s="39" t="s">
        <v>412</v>
      </c>
      <c r="D982" s="40">
        <v>1</v>
      </c>
      <c r="E982" s="40">
        <v>0.9</v>
      </c>
      <c r="F982" s="40">
        <v>1.2</v>
      </c>
      <c r="G982" s="40"/>
      <c r="H982" s="40">
        <f t="shared" si="61"/>
        <v>1.08</v>
      </c>
      <c r="I982" s="40"/>
      <c r="J982" s="41"/>
    </row>
    <row r="983" spans="2:10" s="1" customFormat="1" ht="14.25" customHeight="1" x14ac:dyDescent="0.2">
      <c r="B983" s="46"/>
      <c r="C983" s="39" t="s">
        <v>381</v>
      </c>
      <c r="D983" s="60">
        <v>1</v>
      </c>
      <c r="E983" s="40">
        <v>0.9</v>
      </c>
      <c r="F983" s="40">
        <v>1.2</v>
      </c>
      <c r="G983" s="40"/>
      <c r="H983" s="40">
        <f t="shared" si="61"/>
        <v>1.08</v>
      </c>
      <c r="I983" s="40"/>
      <c r="J983" s="41"/>
    </row>
    <row r="984" spans="2:10" s="1" customFormat="1" ht="14.25" customHeight="1" x14ac:dyDescent="0.2">
      <c r="B984" s="46"/>
      <c r="C984" s="39" t="s">
        <v>714</v>
      </c>
      <c r="D984" s="60">
        <v>1</v>
      </c>
      <c r="E984" s="40">
        <v>0.9</v>
      </c>
      <c r="F984" s="40">
        <v>0.9</v>
      </c>
      <c r="G984" s="40"/>
      <c r="H984" s="40">
        <f t="shared" si="61"/>
        <v>0.81</v>
      </c>
      <c r="I984" s="40"/>
      <c r="J984" s="41"/>
    </row>
    <row r="985" spans="2:10" s="1" customFormat="1" ht="14.25" customHeight="1" x14ac:dyDescent="0.2">
      <c r="B985" s="46"/>
      <c r="C985" s="39" t="s">
        <v>414</v>
      </c>
      <c r="D985" s="40">
        <v>1</v>
      </c>
      <c r="E985" s="40">
        <v>0.9</v>
      </c>
      <c r="F985" s="40">
        <v>0.9</v>
      </c>
      <c r="G985" s="40"/>
      <c r="H985" s="40">
        <f t="shared" si="61"/>
        <v>0.81</v>
      </c>
      <c r="I985" s="40"/>
      <c r="J985" s="41"/>
    </row>
    <row r="986" spans="2:10" s="1" customFormat="1" ht="14.25" customHeight="1" x14ac:dyDescent="0.2">
      <c r="B986" s="46"/>
      <c r="C986" s="39" t="s">
        <v>648</v>
      </c>
      <c r="D986" s="40">
        <v>5</v>
      </c>
      <c r="E986" s="40">
        <v>0.9</v>
      </c>
      <c r="F986" s="40">
        <v>0.9</v>
      </c>
      <c r="G986" s="40"/>
      <c r="H986" s="40">
        <f t="shared" si="61"/>
        <v>4.05</v>
      </c>
      <c r="I986" s="40"/>
      <c r="J986" s="41"/>
    </row>
    <row r="987" spans="2:10" s="1" customFormat="1" ht="14.25" customHeight="1" x14ac:dyDescent="0.2">
      <c r="B987" s="46"/>
      <c r="C987" s="39" t="s">
        <v>691</v>
      </c>
      <c r="D987" s="40">
        <v>5</v>
      </c>
      <c r="E987" s="40">
        <v>0.9</v>
      </c>
      <c r="F987" s="40">
        <v>0.9</v>
      </c>
      <c r="G987" s="40"/>
      <c r="H987" s="40">
        <f t="shared" si="61"/>
        <v>4.05</v>
      </c>
      <c r="I987" s="40"/>
      <c r="J987" s="41"/>
    </row>
    <row r="988" spans="2:10" s="1" customFormat="1" ht="14.25" customHeight="1" x14ac:dyDescent="0.2">
      <c r="B988" s="46"/>
      <c r="C988" s="39" t="s">
        <v>377</v>
      </c>
      <c r="D988" s="40">
        <v>1</v>
      </c>
      <c r="E988" s="40">
        <v>1.7</v>
      </c>
      <c r="F988" s="40">
        <v>5.9</v>
      </c>
      <c r="G988" s="40"/>
      <c r="H988" s="40">
        <f t="shared" si="61"/>
        <v>10.030000000000001</v>
      </c>
      <c r="I988" s="40"/>
      <c r="J988" s="41"/>
    </row>
    <row r="989" spans="2:10" s="1" customFormat="1" ht="14.25" customHeight="1" x14ac:dyDescent="0.2">
      <c r="B989" s="46"/>
      <c r="C989" s="39" t="s">
        <v>444</v>
      </c>
      <c r="D989" s="60">
        <v>1</v>
      </c>
      <c r="E989" s="1">
        <v>3</v>
      </c>
      <c r="F989" s="40">
        <v>0.5</v>
      </c>
      <c r="G989" s="40"/>
      <c r="H989" s="40">
        <f t="shared" si="61"/>
        <v>1.5</v>
      </c>
      <c r="I989" s="40"/>
      <c r="J989" s="41"/>
    </row>
    <row r="990" spans="2:10" s="1" customFormat="1" ht="14.25" customHeight="1" x14ac:dyDescent="0.2">
      <c r="B990" s="46"/>
      <c r="C990" s="39" t="s">
        <v>442</v>
      </c>
      <c r="D990" s="8">
        <v>1</v>
      </c>
      <c r="E990" s="86">
        <f>3.5+14.4</f>
        <v>17.899999999999999</v>
      </c>
      <c r="F990" s="40">
        <v>0.5</v>
      </c>
      <c r="G990" s="40"/>
      <c r="H990" s="40">
        <f t="shared" si="61"/>
        <v>8.9499999999999993</v>
      </c>
      <c r="I990" s="40"/>
      <c r="J990" s="41"/>
    </row>
    <row r="991" spans="2:10" s="1" customFormat="1" ht="14.25" customHeight="1" x14ac:dyDescent="0.2">
      <c r="B991" s="46"/>
      <c r="C991" s="43" t="s">
        <v>472</v>
      </c>
      <c r="D991" s="60"/>
      <c r="E991" s="40"/>
      <c r="F991" s="40"/>
      <c r="G991" s="40"/>
      <c r="H991" s="40"/>
      <c r="I991" s="40"/>
      <c r="J991" s="41"/>
    </row>
    <row r="992" spans="2:10" s="1" customFormat="1" ht="14.25" customHeight="1" x14ac:dyDescent="0.2">
      <c r="B992" s="46"/>
      <c r="C992" s="39" t="s">
        <v>487</v>
      </c>
      <c r="D992" s="60">
        <v>1</v>
      </c>
      <c r="E992" s="40">
        <f>1.28+2.12+5.96+1.38</f>
        <v>10.739999999999998</v>
      </c>
      <c r="F992" s="40">
        <f>3*0.0254+0.4</f>
        <v>0.47620000000000001</v>
      </c>
      <c r="G992" s="40"/>
      <c r="H992" s="40">
        <f t="shared" si="61"/>
        <v>5.114387999999999</v>
      </c>
      <c r="I992" s="40"/>
      <c r="J992" s="41"/>
    </row>
    <row r="993" spans="2:10" s="1" customFormat="1" ht="14.25" customHeight="1" x14ac:dyDescent="0.2">
      <c r="B993" s="46"/>
      <c r="C993" s="39" t="s">
        <v>486</v>
      </c>
      <c r="D993" s="60">
        <v>1</v>
      </c>
      <c r="E993" s="40">
        <v>22.1</v>
      </c>
      <c r="F993" s="40">
        <f>3*0.0254+0.4</f>
        <v>0.47620000000000001</v>
      </c>
      <c r="G993" s="40"/>
      <c r="H993" s="40">
        <f t="shared" si="61"/>
        <v>10.52402</v>
      </c>
      <c r="I993" s="40"/>
      <c r="J993" s="41"/>
    </row>
    <row r="994" spans="2:10" s="1" customFormat="1" ht="14.25" customHeight="1" x14ac:dyDescent="0.2">
      <c r="B994" s="46"/>
      <c r="C994" s="39"/>
      <c r="D994" s="60"/>
      <c r="E994" s="40"/>
      <c r="F994" s="40"/>
      <c r="G994" s="40"/>
      <c r="H994" s="40">
        <f t="shared" si="61"/>
        <v>0</v>
      </c>
      <c r="I994" s="40"/>
      <c r="J994" s="41"/>
    </row>
    <row r="995" spans="2:10" s="1" customFormat="1" ht="14.25" customHeight="1" x14ac:dyDescent="0.2">
      <c r="B995" s="46"/>
      <c r="C995" s="43" t="s">
        <v>251</v>
      </c>
      <c r="D995" s="60"/>
      <c r="E995" s="40"/>
      <c r="F995" s="40"/>
      <c r="G995" s="40"/>
      <c r="H995" s="40">
        <f t="shared" si="61"/>
        <v>0</v>
      </c>
      <c r="I995" s="40"/>
      <c r="J995" s="41"/>
    </row>
    <row r="996" spans="2:10" s="1" customFormat="1" ht="14.25" customHeight="1" x14ac:dyDescent="0.2">
      <c r="B996" s="46"/>
      <c r="C996" s="39" t="s">
        <v>485</v>
      </c>
      <c r="D996" s="40">
        <v>1</v>
      </c>
      <c r="E996" s="40">
        <v>24.15</v>
      </c>
      <c r="F996" s="40">
        <f>12*0.0254+0.4</f>
        <v>0.70479999999999998</v>
      </c>
      <c r="G996" s="40"/>
      <c r="H996" s="40">
        <f t="shared" si="61"/>
        <v>17.02092</v>
      </c>
      <c r="I996" s="40"/>
      <c r="J996" s="41"/>
    </row>
    <row r="997" spans="2:10" s="1" customFormat="1" ht="14.25" customHeight="1" x14ac:dyDescent="0.2">
      <c r="B997" s="46"/>
      <c r="C997" s="39"/>
      <c r="D997" s="60"/>
      <c r="E997" s="40"/>
      <c r="F997" s="40"/>
      <c r="G997" s="40"/>
      <c r="H997" s="40"/>
      <c r="I997" s="40"/>
      <c r="J997" s="41"/>
    </row>
    <row r="998" spans="2:10" s="1" customFormat="1" ht="14.25" customHeight="1" x14ac:dyDescent="0.2">
      <c r="B998" s="46"/>
      <c r="C998" s="43" t="s">
        <v>252</v>
      </c>
      <c r="D998" s="60"/>
      <c r="E998" s="40"/>
      <c r="F998" s="40"/>
      <c r="G998" s="40"/>
      <c r="H998" s="40"/>
      <c r="I998" s="40"/>
      <c r="J998" s="41"/>
    </row>
    <row r="999" spans="2:10" s="1" customFormat="1" ht="14.25" customHeight="1" x14ac:dyDescent="0.2">
      <c r="B999" s="46"/>
      <c r="C999" s="39" t="s">
        <v>488</v>
      </c>
      <c r="D999" s="40">
        <v>1</v>
      </c>
      <c r="E999" s="40">
        <v>4</v>
      </c>
      <c r="F999" s="40">
        <f>14*0.0254+0.4</f>
        <v>0.75560000000000005</v>
      </c>
      <c r="G999" s="40"/>
      <c r="H999" s="40">
        <f t="shared" si="61"/>
        <v>3.0224000000000002</v>
      </c>
      <c r="I999" s="40"/>
      <c r="J999" s="41"/>
    </row>
    <row r="1000" spans="2:10" s="1" customFormat="1" ht="14.25" customHeight="1" x14ac:dyDescent="0.2">
      <c r="B1000" s="46"/>
      <c r="C1000" s="39" t="s">
        <v>489</v>
      </c>
      <c r="D1000" s="60">
        <v>1</v>
      </c>
      <c r="E1000" s="40">
        <v>8</v>
      </c>
      <c r="F1000" s="40">
        <f>14*0.0254+0.4</f>
        <v>0.75560000000000005</v>
      </c>
      <c r="G1000" s="40"/>
      <c r="H1000" s="40">
        <f t="shared" si="61"/>
        <v>6.0448000000000004</v>
      </c>
      <c r="I1000" s="40"/>
      <c r="J1000" s="41"/>
    </row>
    <row r="1001" spans="2:10" s="1" customFormat="1" ht="14.25" customHeight="1" x14ac:dyDescent="0.2">
      <c r="B1001" s="46"/>
      <c r="C1001" s="59"/>
      <c r="D1001" s="60"/>
      <c r="E1001" s="40"/>
      <c r="F1001" s="40"/>
      <c r="G1001" s="40"/>
      <c r="H1001" s="40"/>
      <c r="I1001" s="40"/>
      <c r="J1001" s="41"/>
    </row>
    <row r="1002" spans="2:10" s="1" customFormat="1" ht="12.75" x14ac:dyDescent="0.2">
      <c r="B1002" s="46"/>
      <c r="C1002" s="59"/>
      <c r="D1002" s="60"/>
      <c r="E1002" s="40"/>
      <c r="F1002" s="40"/>
      <c r="G1002" s="40"/>
      <c r="H1002" s="40"/>
      <c r="I1002" s="40"/>
      <c r="J1002" s="41"/>
    </row>
    <row r="1003" spans="2:10" x14ac:dyDescent="0.25">
      <c r="B1003" s="73" t="s">
        <v>22</v>
      </c>
      <c r="C1003" s="73" t="s">
        <v>614</v>
      </c>
      <c r="D1003" s="23"/>
      <c r="E1003" s="23"/>
      <c r="F1003" s="23"/>
      <c r="G1003" s="23"/>
      <c r="H1003" s="24"/>
      <c r="I1003" s="25"/>
      <c r="J1003" s="26"/>
    </row>
    <row r="1004" spans="2:10" s="1" customFormat="1" ht="12.75" x14ac:dyDescent="0.2">
      <c r="B1004" s="25" t="s">
        <v>23</v>
      </c>
      <c r="C1004" s="1" t="s">
        <v>622</v>
      </c>
      <c r="D1004" s="60"/>
      <c r="E1004" s="40"/>
      <c r="F1004" s="40"/>
      <c r="G1004" s="40"/>
      <c r="H1004" s="24"/>
      <c r="I1004" s="25">
        <f>+SUM(H1005:H1006)</f>
        <v>11.967499999999999</v>
      </c>
      <c r="J1004" s="26" t="s">
        <v>4</v>
      </c>
    </row>
    <row r="1005" spans="2:10" s="1" customFormat="1" ht="12.75" x14ac:dyDescent="0.2">
      <c r="B1005" s="25"/>
      <c r="C1005" s="39" t="s">
        <v>444</v>
      </c>
      <c r="D1005" s="60">
        <v>1</v>
      </c>
      <c r="E1005" s="1">
        <v>3</v>
      </c>
      <c r="F1005" s="40">
        <v>0.5</v>
      </c>
      <c r="G1005" s="40">
        <f>0.32+0.2</f>
        <v>0.52</v>
      </c>
      <c r="H1005" s="40">
        <f>IF(AND(F1005=0,G1005=0),D1005*E1005,IF(AND(E1005=0,G1005=0),D1005*F1005,IF(AND(E1005=0,F1005=0),D1005*G1005,IF(AND(E1005=0),D1005*F1005*G1005,IF(AND(F1005=0),D1005*E1005*G1005,IF(AND(G1005=0),D1005*E1005*F1005,D1005*E1005*F1005*G1005))))))</f>
        <v>0.78</v>
      </c>
      <c r="I1005" s="40"/>
      <c r="J1005" s="41"/>
    </row>
    <row r="1006" spans="2:10" s="1" customFormat="1" ht="12.75" x14ac:dyDescent="0.2">
      <c r="B1006" s="25"/>
      <c r="C1006" s="39" t="s">
        <v>442</v>
      </c>
      <c r="D1006" s="8">
        <v>1</v>
      </c>
      <c r="E1006" s="86">
        <f>3.5+14.4</f>
        <v>17.899999999999999</v>
      </c>
      <c r="F1006" s="40">
        <v>0.5</v>
      </c>
      <c r="G1006" s="40">
        <f>1+0.25</f>
        <v>1.25</v>
      </c>
      <c r="H1006" s="40">
        <f>IF(AND(F1006=0,G1006=0),D1006*E1006,IF(AND(E1006=0,G1006=0),D1006*F1006,IF(AND(E1006=0,F1006=0),D1006*G1006,IF(AND(E1006=0),D1006*F1006*G1006,IF(AND(F1006=0),D1006*E1006*G1006,IF(AND(G1006=0),D1006*E1006*F1006,D1006*E1006*F1006*G1006))))))</f>
        <v>11.1875</v>
      </c>
      <c r="I1006" s="40"/>
      <c r="J1006" s="41"/>
    </row>
    <row r="1007" spans="2:10" s="1" customFormat="1" ht="12.75" x14ac:dyDescent="0.2">
      <c r="B1007" s="25" t="s">
        <v>24</v>
      </c>
      <c r="C1007" s="1" t="s">
        <v>623</v>
      </c>
      <c r="D1007" s="60"/>
      <c r="E1007" s="40"/>
      <c r="F1007" s="40"/>
      <c r="G1007" s="40"/>
      <c r="H1007" s="24"/>
      <c r="I1007" s="25">
        <f>+SUM(H1008:H1015)</f>
        <v>30.404500000000002</v>
      </c>
      <c r="J1007" s="26" t="s">
        <v>4</v>
      </c>
    </row>
    <row r="1008" spans="2:10" s="1" customFormat="1" ht="12.75" x14ac:dyDescent="0.2">
      <c r="B1008" s="57"/>
      <c r="C1008" s="39" t="s">
        <v>393</v>
      </c>
      <c r="D1008" s="40">
        <v>1</v>
      </c>
      <c r="E1008" s="40">
        <v>0.9</v>
      </c>
      <c r="F1008" s="40">
        <v>1.2</v>
      </c>
      <c r="G1008" s="40">
        <f>0.92+0.25</f>
        <v>1.17</v>
      </c>
      <c r="H1008" s="40">
        <f>IF(AND(F1008=0,G1008=0),D1008*E1008,IF(AND(E1008=0,G1008=0),D1008*F1008,IF(AND(E1008=0,F1008=0),D1008*G1008,IF(AND(E1008=0),D1008*F1008*G1008,IF(AND(F1008=0),D1008*E1008*G1008,IF(AND(G1008=0),D1008*E1008*F1008,D1008*E1008*F1008*G1008))))))</f>
        <v>1.2636000000000001</v>
      </c>
      <c r="I1008" s="40"/>
      <c r="J1008" s="41"/>
    </row>
    <row r="1009" spans="2:10" s="1" customFormat="1" ht="12.75" x14ac:dyDescent="0.2">
      <c r="B1009" s="57"/>
      <c r="C1009" s="39" t="s">
        <v>412</v>
      </c>
      <c r="D1009" s="40">
        <v>1</v>
      </c>
      <c r="E1009" s="40">
        <v>0.9</v>
      </c>
      <c r="F1009" s="40">
        <v>1.2</v>
      </c>
      <c r="G1009" s="40">
        <f>1.07+0.25</f>
        <v>1.32</v>
      </c>
      <c r="H1009" s="40">
        <f>IF(AND(F1009=0,G1009=0),D1009*E1009,IF(AND(E1009=0,G1009=0),D1009*F1009,IF(AND(E1009=0,F1009=0),D1009*G1009,IF(AND(E1009=0),D1009*F1009*G1009,IF(AND(F1009=0),D1009*E1009*G1009,IF(AND(G1009=0),D1009*E1009*F1009,D1009*E1009*F1009*G1009))))))</f>
        <v>1.4256000000000002</v>
      </c>
      <c r="I1009" s="40"/>
      <c r="J1009" s="41"/>
    </row>
    <row r="1010" spans="2:10" s="1" customFormat="1" ht="12.75" x14ac:dyDescent="0.2">
      <c r="B1010" s="57"/>
      <c r="C1010" s="39" t="s">
        <v>381</v>
      </c>
      <c r="D1010" s="60">
        <v>1</v>
      </c>
      <c r="E1010" s="40">
        <v>0.9</v>
      </c>
      <c r="F1010" s="40">
        <v>1.2</v>
      </c>
      <c r="G1010" s="40">
        <f>0.61+0.25</f>
        <v>0.86</v>
      </c>
      <c r="H1010" s="40">
        <f>IF(AND(F1010=0,G1010=0),D1010*E1010,IF(AND(E1010=0,G1010=0),D1010*F1010,IF(AND(E1010=0,F1010=0),D1010*G1010,IF(AND(E1010=0),D1010*F1010*G1010,IF(AND(F1010=0),D1010*E1010*G1010,IF(AND(G1010=0),D1010*E1010*F1010,D1010*E1010*F1010*G1010))))))</f>
        <v>0.92880000000000007</v>
      </c>
      <c r="I1010" s="40"/>
      <c r="J1010" s="41"/>
    </row>
    <row r="1011" spans="2:10" s="1" customFormat="1" ht="12.75" x14ac:dyDescent="0.2">
      <c r="B1011" s="57"/>
      <c r="C1011" s="39" t="s">
        <v>714</v>
      </c>
      <c r="D1011" s="60">
        <v>1</v>
      </c>
      <c r="E1011" s="40">
        <v>0.9</v>
      </c>
      <c r="F1011" s="40">
        <v>0.9</v>
      </c>
      <c r="G1011" s="40">
        <f>0.7+0.25</f>
        <v>0.95</v>
      </c>
      <c r="H1011" s="40">
        <f t="shared" ref="H1011:H1015" si="62">IF(AND(F1011=0,G1011=0),D1011*E1011,IF(AND(E1011=0,G1011=0),D1011*F1011,IF(AND(E1011=0,F1011=0),D1011*G1011,IF(AND(E1011=0),D1011*F1011*G1011,IF(AND(F1011=0),D1011*E1011*G1011,IF(AND(G1011=0),D1011*E1011*F1011,D1011*E1011*F1011*G1011))))))</f>
        <v>0.76949999999999996</v>
      </c>
      <c r="I1011" s="40"/>
      <c r="J1011" s="41"/>
    </row>
    <row r="1012" spans="2:10" s="1" customFormat="1" ht="12.75" x14ac:dyDescent="0.2">
      <c r="B1012" s="57"/>
      <c r="C1012" s="39" t="s">
        <v>414</v>
      </c>
      <c r="D1012" s="40">
        <v>1</v>
      </c>
      <c r="E1012" s="40">
        <v>0.9</v>
      </c>
      <c r="F1012" s="40">
        <v>0.9</v>
      </c>
      <c r="G1012" s="40">
        <f>0.7+0.25</f>
        <v>0.95</v>
      </c>
      <c r="H1012" s="40">
        <f t="shared" si="62"/>
        <v>0.76949999999999996</v>
      </c>
      <c r="I1012" s="40"/>
      <c r="J1012" s="41"/>
    </row>
    <row r="1013" spans="2:10" s="1" customFormat="1" ht="12.75" x14ac:dyDescent="0.2">
      <c r="B1013" s="57"/>
      <c r="C1013" s="39" t="s">
        <v>648</v>
      </c>
      <c r="D1013" s="40">
        <v>5</v>
      </c>
      <c r="E1013" s="40">
        <v>0.9</v>
      </c>
      <c r="F1013" s="40">
        <v>0.9</v>
      </c>
      <c r="G1013" s="40">
        <f>0.7+0.25</f>
        <v>0.95</v>
      </c>
      <c r="H1013" s="40">
        <f t="shared" si="62"/>
        <v>3.8474999999999997</v>
      </c>
      <c r="I1013" s="40"/>
      <c r="J1013" s="41"/>
    </row>
    <row r="1014" spans="2:10" s="1" customFormat="1" ht="12.75" x14ac:dyDescent="0.2">
      <c r="B1014" s="57"/>
      <c r="C1014" s="39" t="s">
        <v>691</v>
      </c>
      <c r="D1014" s="40">
        <v>5</v>
      </c>
      <c r="E1014" s="40">
        <v>0.9</v>
      </c>
      <c r="F1014" s="40">
        <v>0.9</v>
      </c>
      <c r="G1014" s="40">
        <f>0.7+0.25</f>
        <v>0.95</v>
      </c>
      <c r="H1014" s="40">
        <f t="shared" si="62"/>
        <v>3.8474999999999997</v>
      </c>
      <c r="I1014" s="40"/>
      <c r="J1014" s="41"/>
    </row>
    <row r="1015" spans="2:10" s="1" customFormat="1" ht="12.75" x14ac:dyDescent="0.2">
      <c r="B1015" s="57"/>
      <c r="C1015" s="39" t="s">
        <v>377</v>
      </c>
      <c r="D1015" s="40">
        <v>1</v>
      </c>
      <c r="E1015" s="40">
        <v>1.7</v>
      </c>
      <c r="F1015" s="40">
        <v>5.9</v>
      </c>
      <c r="G1015" s="40">
        <f>1.45+0.3</f>
        <v>1.75</v>
      </c>
      <c r="H1015" s="40">
        <f t="shared" si="62"/>
        <v>17.552500000000002</v>
      </c>
      <c r="I1015" s="40"/>
      <c r="J1015" s="41"/>
    </row>
    <row r="1016" spans="2:10" s="1" customFormat="1" ht="12.75" x14ac:dyDescent="0.2">
      <c r="B1016" s="57"/>
      <c r="C1016" s="39"/>
      <c r="D1016" s="60"/>
      <c r="E1016" s="40"/>
      <c r="F1016" s="40"/>
      <c r="G1016" s="40"/>
      <c r="H1016" s="40"/>
      <c r="I1016" s="40"/>
      <c r="J1016" s="41"/>
    </row>
    <row r="1017" spans="2:10" s="1" customFormat="1" ht="12.75" x14ac:dyDescent="0.2">
      <c r="B1017" s="46"/>
      <c r="C1017" s="59"/>
      <c r="D1017" s="60"/>
      <c r="E1017" s="40"/>
      <c r="F1017" s="40"/>
      <c r="G1017" s="40"/>
      <c r="H1017" s="40"/>
      <c r="I1017" s="40"/>
      <c r="J1017" s="41"/>
    </row>
    <row r="1018" spans="2:10" x14ac:dyDescent="0.25">
      <c r="B1018" s="107" t="s">
        <v>777</v>
      </c>
      <c r="C1018" s="370" t="s">
        <v>779</v>
      </c>
      <c r="D1018" s="23"/>
      <c r="E1018" s="23"/>
      <c r="F1018" s="23"/>
      <c r="G1018" s="23"/>
      <c r="I1018" s="24">
        <f>+SUM(H1019:H1028)</f>
        <v>33.44</v>
      </c>
      <c r="J1018" s="26" t="s">
        <v>45</v>
      </c>
    </row>
    <row r="1019" spans="2:10" s="1" customFormat="1" ht="14.25" customHeight="1" x14ac:dyDescent="0.2">
      <c r="B1019" s="46"/>
      <c r="C1019" s="39" t="s">
        <v>444</v>
      </c>
      <c r="D1019" s="60">
        <v>1</v>
      </c>
      <c r="E1019" s="1">
        <v>3</v>
      </c>
      <c r="F1019" s="40">
        <v>0.5</v>
      </c>
      <c r="G1019" s="40"/>
      <c r="H1019" s="40">
        <f>IF(AND(F1019=0,G1019=0),D1019*E1019,IF(AND(E1019=0,G1019=0),D1019*F1019,IF(AND(E1019=0,F1019=0),D1019*G1019,IF(AND(E1019=0),D1019*F1019*G1019,IF(AND(F1019=0),D1019*E1019*G1019,IF(AND(G1019=0),D1019*E1019*F1019,D1019*E1019*F1019*G1019))))))</f>
        <v>1.5</v>
      </c>
      <c r="I1019" s="40"/>
      <c r="J1019" s="41"/>
    </row>
    <row r="1020" spans="2:10" s="1" customFormat="1" ht="14.25" customHeight="1" x14ac:dyDescent="0.2">
      <c r="B1020" s="46"/>
      <c r="C1020" s="39" t="s">
        <v>442</v>
      </c>
      <c r="D1020" s="8">
        <v>1</v>
      </c>
      <c r="E1020" s="86">
        <f>3.5+14.4</f>
        <v>17.899999999999999</v>
      </c>
      <c r="F1020" s="40">
        <v>0.5</v>
      </c>
      <c r="G1020" s="40"/>
      <c r="H1020" s="40">
        <f>IF(AND(F1020=0,G1020=0),D1020*E1020,IF(AND(E1020=0,G1020=0),D1020*F1020,IF(AND(E1020=0,F1020=0),D1020*G1020,IF(AND(E1020=0),D1020*F1020*G1020,IF(AND(F1020=0),D1020*E1020*G1020,IF(AND(G1020=0),D1020*E1020*F1020,D1020*E1020*F1020*G1020))))))</f>
        <v>8.9499999999999993</v>
      </c>
      <c r="I1020" s="40"/>
      <c r="J1020" s="41"/>
    </row>
    <row r="1021" spans="2:10" s="1" customFormat="1" ht="14.25" customHeight="1" x14ac:dyDescent="0.2">
      <c r="B1021" s="46"/>
      <c r="C1021" s="39" t="s">
        <v>393</v>
      </c>
      <c r="D1021" s="40">
        <v>1</v>
      </c>
      <c r="E1021" s="40">
        <v>0.9</v>
      </c>
      <c r="F1021" s="40">
        <v>1.2</v>
      </c>
      <c r="G1021" s="40"/>
      <c r="H1021" s="40">
        <f>IF(AND(F1021=0,G1021=0),D1021*E1021,IF(AND(E1021=0,G1021=0),D1021*F1021,IF(AND(E1021=0,F1021=0),D1021*G1021,IF(AND(E1021=0),D1021*F1021*G1021,IF(AND(F1021=0),D1021*E1021*G1021,IF(AND(G1021=0),D1021*E1021*F1021,D1021*E1021*F1021*G1021))))))</f>
        <v>1.08</v>
      </c>
      <c r="I1021" s="40"/>
      <c r="J1021" s="41"/>
    </row>
    <row r="1022" spans="2:10" s="1" customFormat="1" ht="14.25" customHeight="1" x14ac:dyDescent="0.2">
      <c r="B1022" s="46"/>
      <c r="C1022" s="39" t="s">
        <v>412</v>
      </c>
      <c r="D1022" s="40">
        <v>1</v>
      </c>
      <c r="E1022" s="40">
        <v>0.9</v>
      </c>
      <c r="F1022" s="40">
        <v>1.2</v>
      </c>
      <c r="G1022" s="40"/>
      <c r="H1022" s="40">
        <f>IF(AND(F1022=0,G1022=0),D1022*E1022,IF(AND(E1022=0,G1022=0),D1022*F1022,IF(AND(E1022=0,F1022=0),D1022*G1022,IF(AND(E1022=0),D1022*F1022*G1022,IF(AND(F1022=0),D1022*E1022*G1022,IF(AND(G1022=0),D1022*E1022*F1022,D1022*E1022*F1022*G1022))))))</f>
        <v>1.08</v>
      </c>
      <c r="I1022" s="40"/>
      <c r="J1022" s="41"/>
    </row>
    <row r="1023" spans="2:10" s="1" customFormat="1" ht="14.25" customHeight="1" x14ac:dyDescent="0.2">
      <c r="B1023" s="46"/>
      <c r="C1023" s="39" t="s">
        <v>381</v>
      </c>
      <c r="D1023" s="60">
        <v>1</v>
      </c>
      <c r="E1023" s="40">
        <v>0.9</v>
      </c>
      <c r="F1023" s="40">
        <v>1.2</v>
      </c>
      <c r="G1023" s="40"/>
      <c r="H1023" s="40">
        <f>IF(AND(F1023=0,G1023=0),D1023*E1023,IF(AND(E1023=0,G1023=0),D1023*F1023,IF(AND(E1023=0,F1023=0),D1023*G1023,IF(AND(E1023=0),D1023*F1023*G1023,IF(AND(F1023=0),D1023*E1023*G1023,IF(AND(G1023=0),D1023*E1023*F1023,D1023*E1023*F1023*G1023))))))</f>
        <v>1.08</v>
      </c>
      <c r="I1023" s="40"/>
      <c r="J1023" s="41"/>
    </row>
    <row r="1024" spans="2:10" s="1" customFormat="1" ht="14.25" customHeight="1" x14ac:dyDescent="0.2">
      <c r="B1024" s="46"/>
      <c r="C1024" s="39" t="s">
        <v>714</v>
      </c>
      <c r="D1024" s="60">
        <v>1</v>
      </c>
      <c r="E1024" s="40">
        <v>0.9</v>
      </c>
      <c r="F1024" s="40">
        <v>0.9</v>
      </c>
      <c r="G1024" s="40"/>
      <c r="H1024" s="40">
        <f t="shared" ref="H1024:H1028" si="63">IF(AND(F1024=0,G1024=0),D1024*E1024,IF(AND(E1024=0,G1024=0),D1024*F1024,IF(AND(E1024=0,F1024=0),D1024*G1024,IF(AND(E1024=0),D1024*F1024*G1024,IF(AND(F1024=0),D1024*E1024*G1024,IF(AND(G1024=0),D1024*E1024*F1024,D1024*E1024*F1024*G1024))))))</f>
        <v>0.81</v>
      </c>
      <c r="I1024" s="40"/>
      <c r="J1024" s="41"/>
    </row>
    <row r="1025" spans="2:10" s="1" customFormat="1" ht="14.25" customHeight="1" x14ac:dyDescent="0.2">
      <c r="B1025" s="46"/>
      <c r="C1025" s="39" t="s">
        <v>414</v>
      </c>
      <c r="D1025" s="40">
        <v>1</v>
      </c>
      <c r="E1025" s="40">
        <v>0.9</v>
      </c>
      <c r="F1025" s="40">
        <v>0.9</v>
      </c>
      <c r="G1025" s="40"/>
      <c r="H1025" s="40">
        <f t="shared" si="63"/>
        <v>0.81</v>
      </c>
      <c r="I1025" s="40"/>
      <c r="J1025" s="41"/>
    </row>
    <row r="1026" spans="2:10" s="1" customFormat="1" ht="14.25" customHeight="1" x14ac:dyDescent="0.2">
      <c r="B1026" s="46"/>
      <c r="C1026" s="39" t="s">
        <v>648</v>
      </c>
      <c r="D1026" s="40">
        <v>5</v>
      </c>
      <c r="E1026" s="40">
        <v>0.9</v>
      </c>
      <c r="F1026" s="40">
        <v>0.9</v>
      </c>
      <c r="G1026" s="40"/>
      <c r="H1026" s="40">
        <f t="shared" si="63"/>
        <v>4.05</v>
      </c>
      <c r="I1026" s="40"/>
      <c r="J1026" s="41"/>
    </row>
    <row r="1027" spans="2:10" s="1" customFormat="1" ht="14.25" customHeight="1" x14ac:dyDescent="0.2">
      <c r="B1027" s="46"/>
      <c r="C1027" s="39" t="s">
        <v>691</v>
      </c>
      <c r="D1027" s="40">
        <v>5</v>
      </c>
      <c r="E1027" s="40">
        <v>0.9</v>
      </c>
      <c r="F1027" s="40">
        <v>0.9</v>
      </c>
      <c r="G1027" s="40"/>
      <c r="H1027" s="40">
        <f t="shared" si="63"/>
        <v>4.05</v>
      </c>
      <c r="I1027" s="40"/>
      <c r="J1027" s="41"/>
    </row>
    <row r="1028" spans="2:10" s="1" customFormat="1" ht="14.25" customHeight="1" x14ac:dyDescent="0.2">
      <c r="B1028" s="46"/>
      <c r="C1028" s="39" t="s">
        <v>377</v>
      </c>
      <c r="D1028" s="40">
        <v>1</v>
      </c>
      <c r="E1028" s="40">
        <v>1.7</v>
      </c>
      <c r="F1028" s="40">
        <v>5.9</v>
      </c>
      <c r="G1028" s="40"/>
      <c r="H1028" s="40">
        <f t="shared" si="63"/>
        <v>10.030000000000001</v>
      </c>
      <c r="I1028" s="40"/>
      <c r="J1028" s="41"/>
    </row>
    <row r="1029" spans="2:10" s="1" customFormat="1" ht="14.25" customHeight="1" x14ac:dyDescent="0.2">
      <c r="B1029" s="380"/>
      <c r="C1029" s="111"/>
      <c r="D1029" s="60"/>
      <c r="E1029" s="40"/>
      <c r="F1029" s="40"/>
      <c r="G1029" s="40"/>
      <c r="H1029" s="40"/>
      <c r="I1029" s="40"/>
      <c r="J1029" s="41"/>
    </row>
    <row r="1030" spans="2:10" s="1" customFormat="1" ht="12.75" x14ac:dyDescent="0.2">
      <c r="B1030" s="107" t="s">
        <v>778</v>
      </c>
      <c r="C1030" s="370" t="s">
        <v>776</v>
      </c>
      <c r="D1030" s="60"/>
      <c r="E1030" s="40"/>
      <c r="F1030" s="40"/>
      <c r="G1030" s="40"/>
      <c r="H1030" s="40"/>
      <c r="I1030" s="40">
        <f>+SUM(H1032:H1033)--H1035+H1037-H1039+SUM(H1041:H1042)-H1044</f>
        <v>30.262248942375287</v>
      </c>
      <c r="J1030" s="41" t="s">
        <v>4</v>
      </c>
    </row>
    <row r="1031" spans="2:10" s="1" customFormat="1" ht="12.75" x14ac:dyDescent="0.2">
      <c r="B1031" s="46"/>
      <c r="C1031" s="43" t="s">
        <v>472</v>
      </c>
      <c r="D1031" s="60"/>
      <c r="E1031" s="40"/>
      <c r="F1031" s="40"/>
      <c r="G1031" s="40"/>
      <c r="H1031" s="40"/>
      <c r="I1031" s="40"/>
      <c r="J1031" s="41"/>
    </row>
    <row r="1032" spans="2:10" s="1" customFormat="1" ht="12.75" x14ac:dyDescent="0.2">
      <c r="B1032" s="46"/>
      <c r="C1032" s="39" t="s">
        <v>487</v>
      </c>
      <c r="D1032" s="60">
        <v>1</v>
      </c>
      <c r="E1032" s="40">
        <f>1.28+2.12+5.96+1.38</f>
        <v>10.739999999999998</v>
      </c>
      <c r="F1032" s="40">
        <f>3*0.0254+0.4</f>
        <v>0.47620000000000001</v>
      </c>
      <c r="G1032" s="40">
        <v>0.35</v>
      </c>
      <c r="H1032" s="40">
        <f t="shared" ref="H1032:H1033" si="64">IF(AND(F1032=0,G1032=0),D1032*E1032,IF(AND(E1032=0,G1032=0),D1032*F1032,IF(AND(E1032=0,F1032=0),D1032*G1032,IF(AND(E1032=0),D1032*F1032*G1032,IF(AND(F1032=0),D1032*E1032*G1032,IF(AND(G1032=0),D1032*E1032*F1032,D1032*E1032*F1032*G1032))))))</f>
        <v>1.7900357999999996</v>
      </c>
      <c r="I1032" s="40"/>
      <c r="J1032" s="41"/>
    </row>
    <row r="1033" spans="2:10" s="1" customFormat="1" ht="12.75" x14ac:dyDescent="0.2">
      <c r="B1033" s="46"/>
      <c r="C1033" s="39" t="s">
        <v>486</v>
      </c>
      <c r="D1033" s="60">
        <v>1</v>
      </c>
      <c r="E1033" s="40">
        <v>22.1</v>
      </c>
      <c r="F1033" s="40">
        <f>3*0.0254+0.4</f>
        <v>0.47620000000000001</v>
      </c>
      <c r="G1033" s="40">
        <v>0.35</v>
      </c>
      <c r="H1033" s="40">
        <f t="shared" si="64"/>
        <v>3.6834069999999999</v>
      </c>
      <c r="I1033" s="40"/>
      <c r="J1033" s="41"/>
    </row>
    <row r="1034" spans="2:10" s="1" customFormat="1" ht="12.75" x14ac:dyDescent="0.2">
      <c r="B1034" s="46"/>
      <c r="F1034" s="40" t="s">
        <v>786</v>
      </c>
      <c r="G1034" s="40">
        <v>3</v>
      </c>
      <c r="I1034" s="40"/>
      <c r="J1034" s="41"/>
    </row>
    <row r="1035" spans="2:10" s="1" customFormat="1" ht="12.75" x14ac:dyDescent="0.2">
      <c r="B1035" s="46"/>
      <c r="C1035" s="39" t="s">
        <v>784</v>
      </c>
      <c r="D1035" s="60">
        <v>1</v>
      </c>
      <c r="E1035" s="40">
        <f>+SUM(E1032:E1033)</f>
        <v>32.840000000000003</v>
      </c>
      <c r="F1035" s="40" t="s">
        <v>785</v>
      </c>
      <c r="G1035" s="40">
        <f>+PI()*((G1034*0.0254)^2)/4</f>
        <v>4.5603673118774788E-3</v>
      </c>
      <c r="H1035" s="40">
        <f>+E1035*G1035</f>
        <v>0.14976246252205641</v>
      </c>
      <c r="I1035" s="40"/>
      <c r="J1035" s="41"/>
    </row>
    <row r="1036" spans="2:10" s="1" customFormat="1" ht="12.75" x14ac:dyDescent="0.2">
      <c r="B1036" s="46"/>
      <c r="C1036" s="43" t="s">
        <v>251</v>
      </c>
      <c r="D1036" s="60"/>
      <c r="E1036" s="40"/>
      <c r="F1036" s="40"/>
      <c r="G1036" s="40"/>
      <c r="H1036" s="40"/>
      <c r="I1036" s="40"/>
      <c r="J1036" s="41"/>
    </row>
    <row r="1037" spans="2:10" s="1" customFormat="1" ht="12.75" x14ac:dyDescent="0.2">
      <c r="B1037" s="46"/>
      <c r="C1037" s="39" t="s">
        <v>485</v>
      </c>
      <c r="D1037" s="40">
        <v>1</v>
      </c>
      <c r="E1037" s="40">
        <v>24.15</v>
      </c>
      <c r="F1037" s="40">
        <f>12*0.0254+0.4</f>
        <v>0.70479999999999998</v>
      </c>
      <c r="G1037" s="40">
        <v>0.68</v>
      </c>
      <c r="H1037" s="40">
        <f t="shared" ref="H1037" si="65">IF(AND(F1037=0,G1037=0),D1037*E1037,IF(AND(E1037=0,G1037=0),D1037*F1037,IF(AND(E1037=0,F1037=0),D1037*G1037,IF(AND(E1037=0),D1037*F1037*G1037,IF(AND(F1037=0),D1037*E1037*G1037,IF(AND(G1037=0),D1037*E1037*F1037,D1037*E1037*F1037*G1037))))))</f>
        <v>11.574225600000002</v>
      </c>
      <c r="I1037" s="40"/>
      <c r="J1037" s="41"/>
    </row>
    <row r="1038" spans="2:10" s="1" customFormat="1" ht="12.75" x14ac:dyDescent="0.2">
      <c r="B1038" s="46"/>
      <c r="F1038" s="40" t="s">
        <v>786</v>
      </c>
      <c r="G1038" s="40">
        <v>12</v>
      </c>
      <c r="I1038" s="40"/>
      <c r="J1038" s="41"/>
    </row>
    <row r="1039" spans="2:10" s="1" customFormat="1" ht="12.75" x14ac:dyDescent="0.2">
      <c r="B1039" s="46"/>
      <c r="C1039" s="39" t="s">
        <v>784</v>
      </c>
      <c r="D1039" s="60">
        <v>1</v>
      </c>
      <c r="E1039" s="40">
        <f>+E1037</f>
        <v>24.15</v>
      </c>
      <c r="F1039" s="40" t="s">
        <v>785</v>
      </c>
      <c r="G1039" s="40">
        <f>+PI()*((G1038*0.0254)^2)/4</f>
        <v>7.296587699003966E-2</v>
      </c>
      <c r="H1039" s="40">
        <f>+E1039*G1039</f>
        <v>1.7621259293094578</v>
      </c>
      <c r="I1039" s="40"/>
      <c r="J1039" s="41"/>
    </row>
    <row r="1040" spans="2:10" s="1" customFormat="1" ht="12.75" x14ac:dyDescent="0.2">
      <c r="B1040" s="46"/>
      <c r="C1040" s="43" t="s">
        <v>252</v>
      </c>
      <c r="D1040" s="60"/>
      <c r="E1040" s="40"/>
      <c r="F1040" s="40"/>
      <c r="G1040" s="40"/>
      <c r="H1040" s="40"/>
      <c r="I1040" s="40"/>
      <c r="J1040" s="41"/>
    </row>
    <row r="1041" spans="2:10" s="1" customFormat="1" ht="12.75" x14ac:dyDescent="0.2">
      <c r="B1041" s="46"/>
      <c r="C1041" s="39" t="s">
        <v>488</v>
      </c>
      <c r="D1041" s="40">
        <v>1</v>
      </c>
      <c r="E1041" s="40">
        <v>4</v>
      </c>
      <c r="F1041" s="40">
        <f>14*0.0254+0.4</f>
        <v>0.75560000000000005</v>
      </c>
      <c r="G1041" s="40">
        <v>1.3</v>
      </c>
      <c r="H1041" s="40">
        <f t="shared" ref="H1041:H1042" si="66">IF(AND(F1041=0,G1041=0),D1041*E1041,IF(AND(E1041=0,G1041=0),D1041*F1041,IF(AND(E1041=0,F1041=0),D1041*G1041,IF(AND(E1041=0),D1041*F1041*G1041,IF(AND(F1041=0),D1041*E1041*G1041,IF(AND(G1041=0),D1041*E1041*F1041,D1041*E1041*F1041*G1041))))))</f>
        <v>3.9291200000000006</v>
      </c>
      <c r="I1041" s="40"/>
      <c r="J1041" s="41"/>
    </row>
    <row r="1042" spans="2:10" s="1" customFormat="1" ht="14.25" customHeight="1" x14ac:dyDescent="0.2">
      <c r="B1042" s="46"/>
      <c r="C1042" s="39" t="s">
        <v>489</v>
      </c>
      <c r="D1042" s="60">
        <v>1</v>
      </c>
      <c r="E1042" s="40">
        <v>8</v>
      </c>
      <c r="F1042" s="40">
        <f>14*0.0254+0.4</f>
        <v>0.75560000000000005</v>
      </c>
      <c r="G1042" s="40">
        <v>2</v>
      </c>
      <c r="H1042" s="40">
        <f t="shared" si="66"/>
        <v>12.089600000000001</v>
      </c>
      <c r="I1042" s="40"/>
      <c r="J1042" s="41"/>
    </row>
    <row r="1043" spans="2:10" s="1" customFormat="1" ht="12.75" x14ac:dyDescent="0.2">
      <c r="B1043" s="46"/>
      <c r="F1043" s="40" t="s">
        <v>786</v>
      </c>
      <c r="G1043" s="40">
        <v>14</v>
      </c>
      <c r="I1043" s="40"/>
      <c r="J1043" s="41"/>
    </row>
    <row r="1044" spans="2:10" s="1" customFormat="1" ht="12.75" x14ac:dyDescent="0.2">
      <c r="B1044" s="46"/>
      <c r="C1044" s="39" t="s">
        <v>784</v>
      </c>
      <c r="D1044" s="60">
        <v>1</v>
      </c>
      <c r="E1044" s="40">
        <f>+SUM(E1041:E1042)</f>
        <v>12</v>
      </c>
      <c r="F1044" s="40" t="s">
        <v>785</v>
      </c>
      <c r="G1044" s="40">
        <f>+PI()*((G1043*0.0254)^2)/4</f>
        <v>9.9314665903109542E-2</v>
      </c>
      <c r="H1044" s="40">
        <f>+E1044*G1044</f>
        <v>1.1917759908373144</v>
      </c>
      <c r="I1044" s="40"/>
      <c r="J1044" s="41"/>
    </row>
    <row r="1045" spans="2:10" s="1" customFormat="1" ht="12.75" x14ac:dyDescent="0.2">
      <c r="B1045" s="380"/>
      <c r="C1045" s="111"/>
      <c r="D1045" s="60"/>
      <c r="E1045" s="40"/>
      <c r="F1045" s="40"/>
      <c r="G1045" s="40"/>
      <c r="H1045" s="40"/>
      <c r="I1045" s="40"/>
      <c r="J1045" s="41"/>
    </row>
    <row r="1046" spans="2:10" s="1" customFormat="1" ht="12.75" x14ac:dyDescent="0.2">
      <c r="B1046" s="380"/>
      <c r="C1046" s="111"/>
      <c r="D1046" s="60"/>
      <c r="E1046" s="40"/>
      <c r="F1046" s="40"/>
      <c r="G1046" s="40"/>
      <c r="H1046" s="40"/>
      <c r="I1046" s="40"/>
      <c r="J1046" s="41"/>
    </row>
    <row r="1047" spans="2:10" s="1" customFormat="1" ht="12.75" x14ac:dyDescent="0.2">
      <c r="B1047" s="380"/>
      <c r="C1047" s="111"/>
      <c r="D1047" s="60"/>
      <c r="E1047" s="40"/>
      <c r="F1047" s="40"/>
      <c r="G1047" s="40"/>
      <c r="H1047" s="40"/>
      <c r="I1047" s="40"/>
      <c r="J1047" s="41"/>
    </row>
    <row r="1048" spans="2:10" s="1" customFormat="1" ht="12.75" x14ac:dyDescent="0.2">
      <c r="B1048" s="25" t="s">
        <v>631</v>
      </c>
      <c r="C1048" s="28" t="s">
        <v>719</v>
      </c>
      <c r="D1048" s="60"/>
      <c r="E1048" s="40"/>
      <c r="F1048" s="40"/>
      <c r="G1048" s="40"/>
      <c r="H1048" s="40"/>
      <c r="I1048" s="40">
        <f>+SUM(H1049:H1050)</f>
        <v>58.319999999999993</v>
      </c>
      <c r="J1048" s="41" t="s">
        <v>45</v>
      </c>
    </row>
    <row r="1049" spans="2:10" s="1" customFormat="1" ht="12.75" x14ac:dyDescent="0.2">
      <c r="B1049" s="46"/>
      <c r="C1049" s="39" t="s">
        <v>444</v>
      </c>
      <c r="D1049" s="60">
        <v>1</v>
      </c>
      <c r="E1049" s="1">
        <v>3</v>
      </c>
      <c r="F1049" s="40">
        <v>0.5</v>
      </c>
      <c r="G1049" s="40">
        <f>0.32+0.2</f>
        <v>0.52</v>
      </c>
      <c r="H1049" s="40">
        <f>+(F1049+G1049*2)*E1049</f>
        <v>4.62</v>
      </c>
      <c r="I1049" s="40"/>
      <c r="J1049" s="41"/>
    </row>
    <row r="1050" spans="2:10" s="1" customFormat="1" ht="12.75" x14ac:dyDescent="0.2">
      <c r="B1050" s="46"/>
      <c r="C1050" s="39" t="s">
        <v>442</v>
      </c>
      <c r="D1050" s="8">
        <v>1</v>
      </c>
      <c r="E1050" s="86">
        <f>3.5+14.4</f>
        <v>17.899999999999999</v>
      </c>
      <c r="F1050" s="40">
        <v>0.5</v>
      </c>
      <c r="G1050" s="40">
        <f>1+0.25</f>
        <v>1.25</v>
      </c>
      <c r="H1050" s="40">
        <f>+(F1050+G1050*2)*E1050</f>
        <v>53.699999999999996</v>
      </c>
      <c r="I1050" s="40"/>
      <c r="J1050" s="41"/>
    </row>
    <row r="1051" spans="2:10" s="1" customFormat="1" ht="12.75" x14ac:dyDescent="0.2">
      <c r="B1051" s="25" t="s">
        <v>709</v>
      </c>
      <c r="C1051" s="28" t="s">
        <v>718</v>
      </c>
      <c r="D1051" s="60"/>
      <c r="E1051" s="40"/>
      <c r="F1051" s="40"/>
      <c r="G1051" s="40"/>
      <c r="H1051" s="40"/>
      <c r="I1051" s="40">
        <f>+SUM(H1053:H1064)</f>
        <v>390.75852800000001</v>
      </c>
      <c r="J1051" s="41" t="s">
        <v>45</v>
      </c>
    </row>
    <row r="1052" spans="2:10" s="1" customFormat="1" ht="12.75" x14ac:dyDescent="0.2">
      <c r="B1052" s="46"/>
      <c r="C1052" s="43" t="s">
        <v>472</v>
      </c>
      <c r="D1052" s="60"/>
      <c r="E1052" s="40"/>
      <c r="F1052" s="40"/>
      <c r="G1052" s="40"/>
      <c r="H1052" s="40"/>
      <c r="I1052" s="40"/>
      <c r="J1052" s="41"/>
    </row>
    <row r="1053" spans="2:10" s="1" customFormat="1" ht="12.75" x14ac:dyDescent="0.2">
      <c r="B1053" s="46"/>
      <c r="C1053" s="39" t="s">
        <v>487</v>
      </c>
      <c r="D1053" s="60">
        <v>1</v>
      </c>
      <c r="E1053" s="40">
        <f>1.28+2.12+5.96+1.38</f>
        <v>10.739999999999998</v>
      </c>
      <c r="F1053" s="40">
        <f>3*0.0254+0.4</f>
        <v>0.47620000000000001</v>
      </c>
      <c r="G1053" s="40">
        <v>0.35</v>
      </c>
      <c r="H1053" s="40">
        <f>+(F1053+G1053*2)*E1053</f>
        <v>12.632387999999997</v>
      </c>
      <c r="I1053" s="40"/>
      <c r="J1053" s="41"/>
    </row>
    <row r="1054" spans="2:10" s="1" customFormat="1" ht="12.75" x14ac:dyDescent="0.2">
      <c r="B1054" s="46"/>
      <c r="C1054" s="39" t="s">
        <v>486</v>
      </c>
      <c r="D1054" s="60">
        <v>1</v>
      </c>
      <c r="E1054" s="40">
        <v>22.1</v>
      </c>
      <c r="F1054" s="40">
        <f>3*0.0254+0.4</f>
        <v>0.47620000000000001</v>
      </c>
      <c r="G1054" s="40">
        <v>0.35</v>
      </c>
      <c r="H1054" s="40">
        <f>+(F1054+G1054*2)*E1054</f>
        <v>25.994019999999999</v>
      </c>
      <c r="I1054" s="40"/>
      <c r="J1054" s="41"/>
    </row>
    <row r="1055" spans="2:10" s="1" customFormat="1" ht="12.75" x14ac:dyDescent="0.2">
      <c r="B1055" s="46"/>
      <c r="C1055" s="39"/>
      <c r="D1055" s="60"/>
      <c r="E1055" s="40"/>
      <c r="F1055" s="40"/>
      <c r="G1055" s="40"/>
      <c r="H1055" s="40"/>
      <c r="I1055" s="40"/>
      <c r="J1055" s="41"/>
    </row>
    <row r="1056" spans="2:10" s="1" customFormat="1" ht="12.75" x14ac:dyDescent="0.2">
      <c r="B1056" s="46"/>
      <c r="C1056" s="43" t="s">
        <v>251</v>
      </c>
      <c r="D1056" s="60"/>
      <c r="E1056" s="40"/>
      <c r="F1056" s="40"/>
      <c r="G1056" s="40"/>
      <c r="H1056" s="40"/>
      <c r="I1056" s="40"/>
      <c r="J1056" s="41"/>
    </row>
    <row r="1057" spans="2:10" s="1" customFormat="1" ht="12.75" x14ac:dyDescent="0.2">
      <c r="B1057" s="46"/>
      <c r="C1057" s="39" t="s">
        <v>485</v>
      </c>
      <c r="D1057" s="40">
        <v>1</v>
      </c>
      <c r="E1057" s="40">
        <v>24.15</v>
      </c>
      <c r="F1057" s="40">
        <f>12*0.0254+0.4</f>
        <v>0.70479999999999998</v>
      </c>
      <c r="G1057" s="40">
        <v>0.68</v>
      </c>
      <c r="H1057" s="40">
        <f>+(F1057+G1057*2)*E1057</f>
        <v>49.864919999999998</v>
      </c>
      <c r="I1057" s="40"/>
      <c r="J1057" s="41"/>
    </row>
    <row r="1058" spans="2:10" s="1" customFormat="1" ht="12.75" x14ac:dyDescent="0.2">
      <c r="B1058" s="46"/>
      <c r="C1058" s="39"/>
      <c r="D1058" s="60"/>
      <c r="E1058" s="40"/>
      <c r="F1058" s="40"/>
      <c r="G1058" s="40"/>
      <c r="H1058" s="40"/>
      <c r="I1058" s="40"/>
      <c r="J1058" s="41"/>
    </row>
    <row r="1059" spans="2:10" s="1" customFormat="1" ht="12.75" x14ac:dyDescent="0.2">
      <c r="B1059" s="46"/>
      <c r="C1059" s="43" t="s">
        <v>252</v>
      </c>
      <c r="D1059" s="60"/>
      <c r="E1059" s="40"/>
      <c r="F1059" s="40"/>
      <c r="G1059" s="40"/>
      <c r="H1059" s="40"/>
      <c r="I1059" s="40"/>
      <c r="J1059" s="41"/>
    </row>
    <row r="1060" spans="2:10" s="1" customFormat="1" ht="12.75" x14ac:dyDescent="0.2">
      <c r="B1060" s="46"/>
      <c r="C1060" s="39" t="s">
        <v>488</v>
      </c>
      <c r="D1060" s="40">
        <v>1</v>
      </c>
      <c r="E1060" s="40">
        <v>4</v>
      </c>
      <c r="F1060" s="40">
        <f>14*0.0254+0.4</f>
        <v>0.75560000000000005</v>
      </c>
      <c r="G1060" s="40">
        <v>1.3</v>
      </c>
      <c r="H1060" s="40">
        <f>+(F1060+G1060*2)*E1060</f>
        <v>13.4224</v>
      </c>
      <c r="I1060" s="40"/>
      <c r="J1060" s="41"/>
    </row>
    <row r="1061" spans="2:10" s="1" customFormat="1" ht="14.25" customHeight="1" x14ac:dyDescent="0.2">
      <c r="B1061" s="46"/>
      <c r="C1061" s="39" t="s">
        <v>489</v>
      </c>
      <c r="D1061" s="60">
        <v>1</v>
      </c>
      <c r="E1061" s="40">
        <v>8</v>
      </c>
      <c r="F1061" s="40">
        <f>14*0.0254+0.4</f>
        <v>0.75560000000000005</v>
      </c>
      <c r="G1061" s="40">
        <v>2</v>
      </c>
      <c r="H1061" s="40">
        <f>+(F1061+G1061*2)*E1061</f>
        <v>38.044800000000002</v>
      </c>
      <c r="I1061" s="40"/>
      <c r="J1061" s="41"/>
    </row>
    <row r="1062" spans="2:10" s="1" customFormat="1" ht="14.25" customHeight="1" x14ac:dyDescent="0.2">
      <c r="B1062" s="46"/>
      <c r="C1062" s="59"/>
      <c r="D1062" s="60"/>
      <c r="E1062" s="40"/>
      <c r="F1062" s="40"/>
      <c r="G1062" s="40"/>
      <c r="H1062" s="40"/>
      <c r="I1062" s="40"/>
      <c r="J1062" s="41"/>
    </row>
    <row r="1063" spans="2:10" s="1" customFormat="1" ht="14.25" customHeight="1" x14ac:dyDescent="0.2">
      <c r="B1063" s="46"/>
      <c r="C1063" s="343" t="s">
        <v>706</v>
      </c>
      <c r="D1063" s="60"/>
      <c r="E1063" s="40"/>
      <c r="F1063" s="40"/>
      <c r="G1063" s="40"/>
      <c r="H1063" s="40"/>
      <c r="I1063" s="40"/>
      <c r="J1063" s="41"/>
    </row>
    <row r="1064" spans="2:10" s="1" customFormat="1" ht="14.25" customHeight="1" x14ac:dyDescent="0.2">
      <c r="B1064" s="46"/>
      <c r="C1064" s="39" t="s">
        <v>708</v>
      </c>
      <c r="D1064" s="60">
        <v>1</v>
      </c>
      <c r="E1064" s="40">
        <v>125</v>
      </c>
      <c r="F1064" s="40">
        <f>16*0.0254+0.4</f>
        <v>0.80640000000000001</v>
      </c>
      <c r="G1064" s="40">
        <v>0.6</v>
      </c>
      <c r="H1064" s="40">
        <f>+(F1064+G1064*2)*E1064</f>
        <v>250.8</v>
      </c>
      <c r="I1064" s="40"/>
      <c r="J1064" s="41"/>
    </row>
    <row r="1065" spans="2:10" s="1" customFormat="1" ht="14.25" customHeight="1" x14ac:dyDescent="0.2">
      <c r="B1065" s="46"/>
      <c r="C1065" s="59"/>
      <c r="D1065" s="60"/>
      <c r="E1065" s="40"/>
      <c r="F1065" s="40"/>
      <c r="G1065" s="40"/>
      <c r="H1065" s="40"/>
      <c r="I1065" s="40"/>
      <c r="J1065" s="41"/>
    </row>
    <row r="1066" spans="2:10" s="1" customFormat="1" ht="12.75" x14ac:dyDescent="0.2">
      <c r="B1066" s="46"/>
      <c r="C1066" s="59"/>
      <c r="D1066" s="60"/>
      <c r="E1066" s="40"/>
      <c r="F1066" s="40"/>
      <c r="G1066" s="40"/>
      <c r="H1066" s="40"/>
      <c r="I1066" s="40"/>
      <c r="J1066" s="41"/>
    </row>
    <row r="1067" spans="2:10" s="1" customFormat="1" ht="12.75" x14ac:dyDescent="0.2">
      <c r="B1067" s="107" t="s">
        <v>632</v>
      </c>
      <c r="C1067" s="343" t="s">
        <v>794</v>
      </c>
      <c r="D1067" s="60"/>
      <c r="E1067" s="40"/>
      <c r="F1067" s="40" t="s">
        <v>795</v>
      </c>
      <c r="G1067" s="40"/>
      <c r="H1067" s="40"/>
      <c r="I1067" s="40">
        <f>+SUM(H1068:H1078)</f>
        <v>645.54069547132849</v>
      </c>
      <c r="J1067" s="41" t="s">
        <v>12</v>
      </c>
    </row>
    <row r="1068" spans="2:10" s="1" customFormat="1" ht="12.75" x14ac:dyDescent="0.2">
      <c r="B1068" s="380"/>
      <c r="C1068" s="39" t="s">
        <v>456</v>
      </c>
      <c r="D1068" s="60">
        <v>6</v>
      </c>
      <c r="E1068" s="40">
        <f>9.5+1.2</f>
        <v>10.7</v>
      </c>
      <c r="F1068" s="40">
        <v>1.64</v>
      </c>
      <c r="G1068" s="40"/>
      <c r="H1068" s="40">
        <f t="shared" ref="H1068:H1078" si="67">IF(AND(F1068=0,G1068=0),D1068*E1068,IF(AND(E1068=0,G1068=0),D1068*F1068,IF(AND(E1068=0,F1068=0),D1068*G1068,IF(AND(E1068=0),D1068*F1068*G1068,IF(AND(F1068=0),D1068*E1068*G1068,IF(AND(G1068=0),D1068*E1068*F1068,D1068*E1068*F1068*G1068))))))</f>
        <v>105.28799999999997</v>
      </c>
      <c r="I1068" s="40"/>
      <c r="J1068" s="41"/>
    </row>
    <row r="1069" spans="2:10" s="1" customFormat="1" ht="12.75" x14ac:dyDescent="0.2">
      <c r="B1069" s="380"/>
      <c r="C1069" s="39" t="s">
        <v>531</v>
      </c>
      <c r="D1069" s="60">
        <v>1</v>
      </c>
      <c r="E1069" s="89">
        <v>10.7</v>
      </c>
      <c r="F1069" s="40">
        <v>1.64</v>
      </c>
      <c r="G1069" s="40"/>
      <c r="H1069" s="40">
        <f t="shared" si="67"/>
        <v>17.547999999999998</v>
      </c>
      <c r="I1069" s="40"/>
      <c r="J1069" s="41"/>
    </row>
    <row r="1070" spans="2:10" s="1" customFormat="1" ht="12.75" x14ac:dyDescent="0.2">
      <c r="B1070" s="380"/>
      <c r="C1070" s="59" t="s">
        <v>658</v>
      </c>
      <c r="D1070" s="60">
        <v>1</v>
      </c>
      <c r="E1070" s="40">
        <v>2.1</v>
      </c>
      <c r="F1070" s="40">
        <v>1.64</v>
      </c>
      <c r="G1070" s="40"/>
      <c r="H1070" s="40">
        <f t="shared" si="67"/>
        <v>3.444</v>
      </c>
      <c r="I1070" s="40"/>
      <c r="J1070" s="41"/>
    </row>
    <row r="1071" spans="2:10" s="1" customFormat="1" ht="12.75" x14ac:dyDescent="0.2">
      <c r="B1071" s="380"/>
      <c r="C1071" s="43" t="s">
        <v>472</v>
      </c>
      <c r="D1071" s="60"/>
      <c r="E1071" s="40"/>
      <c r="G1071" s="40"/>
      <c r="H1071" s="40"/>
      <c r="I1071" s="40"/>
      <c r="J1071" s="41"/>
    </row>
    <row r="1072" spans="2:10" s="1" customFormat="1" ht="12.75" x14ac:dyDescent="0.2">
      <c r="B1072" s="380"/>
      <c r="C1072" s="39" t="s">
        <v>487</v>
      </c>
      <c r="D1072" s="60">
        <v>1</v>
      </c>
      <c r="E1072" s="40">
        <f>1.28+2.12+5.96+1.38</f>
        <v>10.739999999999998</v>
      </c>
      <c r="F1072" s="40">
        <v>1.64</v>
      </c>
      <c r="G1072" s="40"/>
      <c r="H1072" s="40">
        <f t="shared" si="67"/>
        <v>17.613599999999998</v>
      </c>
      <c r="I1072" s="40"/>
      <c r="J1072" s="41"/>
    </row>
    <row r="1073" spans="2:10" s="1" customFormat="1" ht="12.75" x14ac:dyDescent="0.2">
      <c r="B1073" s="380"/>
      <c r="C1073" s="39" t="s">
        <v>486</v>
      </c>
      <c r="D1073" s="60">
        <v>1</v>
      </c>
      <c r="E1073" s="40">
        <v>22.1</v>
      </c>
      <c r="F1073" s="40">
        <v>1.64</v>
      </c>
      <c r="G1073" s="40"/>
      <c r="H1073" s="40">
        <f t="shared" si="67"/>
        <v>36.244</v>
      </c>
      <c r="I1073" s="40"/>
      <c r="J1073" s="41"/>
    </row>
    <row r="1074" spans="2:10" s="1" customFormat="1" ht="12.75" x14ac:dyDescent="0.2">
      <c r="B1074" s="380"/>
      <c r="C1074" s="43" t="s">
        <v>251</v>
      </c>
      <c r="D1074" s="60"/>
      <c r="E1074" s="40"/>
      <c r="F1074" s="40"/>
      <c r="G1074" s="40"/>
      <c r="H1074" s="40">
        <f t="shared" si="67"/>
        <v>0</v>
      </c>
      <c r="I1074" s="40"/>
      <c r="J1074" s="41"/>
    </row>
    <row r="1075" spans="2:10" s="1" customFormat="1" ht="12.75" x14ac:dyDescent="0.2">
      <c r="B1075" s="380"/>
      <c r="C1075" s="39" t="s">
        <v>485</v>
      </c>
      <c r="D1075" s="40">
        <v>1</v>
      </c>
      <c r="E1075" s="40">
        <v>24.15</v>
      </c>
      <c r="F1075" s="40">
        <f>68/(5.77)</f>
        <v>11.785095320623917</v>
      </c>
      <c r="G1075" s="40"/>
      <c r="H1075" s="40">
        <f t="shared" si="67"/>
        <v>284.6100519930676</v>
      </c>
      <c r="I1075" s="40"/>
      <c r="J1075" s="41"/>
    </row>
    <row r="1076" spans="2:10" s="1" customFormat="1" ht="12.75" x14ac:dyDescent="0.2">
      <c r="B1076" s="380"/>
      <c r="C1076" s="43" t="s">
        <v>252</v>
      </c>
      <c r="D1076" s="60"/>
      <c r="E1076" s="40"/>
      <c r="F1076" s="40"/>
      <c r="G1076" s="40"/>
      <c r="H1076" s="40"/>
      <c r="I1076" s="40"/>
      <c r="J1076" s="41"/>
    </row>
    <row r="1077" spans="2:10" s="1" customFormat="1" ht="12.75" x14ac:dyDescent="0.2">
      <c r="B1077" s="380"/>
      <c r="C1077" s="39" t="s">
        <v>488</v>
      </c>
      <c r="D1077" s="40">
        <v>1</v>
      </c>
      <c r="E1077" s="40">
        <v>4</v>
      </c>
      <c r="F1077" s="40">
        <f>86.63/5.75</f>
        <v>15.066086956521739</v>
      </c>
      <c r="G1077" s="40"/>
      <c r="H1077" s="40">
        <f t="shared" si="67"/>
        <v>60.264347826086954</v>
      </c>
      <c r="I1077" s="40"/>
      <c r="J1077" s="41"/>
    </row>
    <row r="1078" spans="2:10" s="1" customFormat="1" ht="12.75" x14ac:dyDescent="0.2">
      <c r="B1078" s="380"/>
      <c r="C1078" s="39" t="s">
        <v>489</v>
      </c>
      <c r="D1078" s="60">
        <v>1</v>
      </c>
      <c r="E1078" s="40">
        <v>8</v>
      </c>
      <c r="F1078" s="40">
        <f>86.63/5.75</f>
        <v>15.066086956521739</v>
      </c>
      <c r="G1078" s="40"/>
      <c r="H1078" s="40">
        <f t="shared" si="67"/>
        <v>120.52869565217391</v>
      </c>
      <c r="I1078" s="40"/>
      <c r="J1078" s="41"/>
    </row>
    <row r="1079" spans="2:10" s="1" customFormat="1" ht="12.75" x14ac:dyDescent="0.2">
      <c r="B1079" s="380"/>
      <c r="C1079" s="111"/>
      <c r="D1079" s="60"/>
      <c r="E1079" s="40"/>
      <c r="F1079" s="40"/>
      <c r="G1079" s="40"/>
      <c r="H1079" s="40"/>
      <c r="I1079" s="40"/>
      <c r="J1079" s="41"/>
    </row>
    <row r="1080" spans="2:10" s="1" customFormat="1" ht="12.75" x14ac:dyDescent="0.2">
      <c r="B1080" s="380"/>
      <c r="C1080" s="111"/>
      <c r="D1080" s="60"/>
      <c r="E1080" s="40"/>
      <c r="F1080" s="40"/>
      <c r="G1080" s="40"/>
      <c r="H1080" s="40"/>
      <c r="I1080" s="40"/>
      <c r="J1080" s="41"/>
    </row>
    <row r="1081" spans="2:10" s="1" customFormat="1" ht="12.75" x14ac:dyDescent="0.2">
      <c r="B1081" s="25" t="s">
        <v>633</v>
      </c>
      <c r="C1081" s="28" t="s">
        <v>625</v>
      </c>
      <c r="D1081" s="60"/>
      <c r="E1081" s="40"/>
      <c r="F1081" s="40"/>
      <c r="G1081" s="40"/>
      <c r="H1081" s="40"/>
      <c r="I1081" s="40">
        <f>+SUM(H1082:H1101)</f>
        <v>28.848000000000003</v>
      </c>
      <c r="J1081" s="41" t="s">
        <v>4</v>
      </c>
    </row>
    <row r="1082" spans="2:10" s="1" customFormat="1" ht="14.25" customHeight="1" x14ac:dyDescent="0.2">
      <c r="B1082" s="46"/>
      <c r="C1082" s="39" t="s">
        <v>444</v>
      </c>
      <c r="D1082" s="60">
        <v>2</v>
      </c>
      <c r="E1082" s="1">
        <v>3</v>
      </c>
      <c r="F1082" s="40">
        <v>0.1</v>
      </c>
      <c r="G1082" s="40">
        <v>0.32</v>
      </c>
      <c r="H1082" s="40">
        <f t="shared" ref="H1082:H1101" si="68">IF(AND(F1082=0,G1082=0),D1082*E1082,IF(AND(E1082=0,G1082=0),D1082*F1082,IF(AND(E1082=0,F1082=0),D1082*G1082,IF(AND(E1082=0),D1082*F1082*G1082,IF(AND(F1082=0),D1082*E1082*G1082,IF(AND(G1082=0),D1082*E1082*F1082,D1082*E1082*F1082*G1082))))))</f>
        <v>0.19200000000000003</v>
      </c>
      <c r="I1082" s="40"/>
      <c r="J1082" s="41"/>
    </row>
    <row r="1083" spans="2:10" s="1" customFormat="1" ht="14.25" customHeight="1" x14ac:dyDescent="0.2">
      <c r="B1083" s="46"/>
      <c r="C1083" s="39"/>
      <c r="D1083" s="23">
        <v>1</v>
      </c>
      <c r="E1083" s="1">
        <v>3</v>
      </c>
      <c r="F1083" s="40">
        <v>0.5</v>
      </c>
      <c r="G1083" s="40">
        <v>0.1</v>
      </c>
      <c r="H1083" s="40">
        <f t="shared" si="68"/>
        <v>0.15000000000000002</v>
      </c>
      <c r="I1083" s="40"/>
      <c r="J1083" s="41"/>
    </row>
    <row r="1084" spans="2:10" s="1" customFormat="1" ht="14.25" customHeight="1" x14ac:dyDescent="0.2">
      <c r="B1084" s="46"/>
      <c r="C1084" s="39" t="s">
        <v>442</v>
      </c>
      <c r="D1084" s="8">
        <v>2</v>
      </c>
      <c r="E1084" s="86">
        <f>3.5+14.4</f>
        <v>17.899999999999999</v>
      </c>
      <c r="F1084" s="40">
        <v>0.15</v>
      </c>
      <c r="G1084" s="40">
        <v>1</v>
      </c>
      <c r="H1084" s="40">
        <f t="shared" si="68"/>
        <v>5.3699999999999992</v>
      </c>
      <c r="I1084" s="40"/>
      <c r="J1084" s="41"/>
    </row>
    <row r="1085" spans="2:10" s="1" customFormat="1" ht="14.25" customHeight="1" x14ac:dyDescent="0.2">
      <c r="B1085" s="46"/>
      <c r="C1085" s="39"/>
      <c r="D1085" s="8">
        <v>1</v>
      </c>
      <c r="E1085" s="86">
        <v>179</v>
      </c>
      <c r="F1085" s="40">
        <v>0.5</v>
      </c>
      <c r="G1085" s="40">
        <v>0.15</v>
      </c>
      <c r="H1085" s="40">
        <f t="shared" si="68"/>
        <v>13.424999999999999</v>
      </c>
      <c r="I1085" s="40"/>
      <c r="J1085" s="41"/>
    </row>
    <row r="1086" spans="2:10" s="1" customFormat="1" ht="14.25" customHeight="1" x14ac:dyDescent="0.2">
      <c r="B1086" s="46"/>
      <c r="C1086" s="39" t="s">
        <v>393</v>
      </c>
      <c r="D1086" s="40">
        <v>2</v>
      </c>
      <c r="E1086" s="40">
        <v>1.2</v>
      </c>
      <c r="F1086" s="40">
        <v>0.15</v>
      </c>
      <c r="G1086" s="40">
        <v>0.97</v>
      </c>
      <c r="H1086" s="40">
        <f t="shared" si="68"/>
        <v>0.34919999999999995</v>
      </c>
      <c r="I1086" s="40"/>
      <c r="J1086" s="41"/>
    </row>
    <row r="1087" spans="2:10" s="1" customFormat="1" ht="14.25" customHeight="1" x14ac:dyDescent="0.2">
      <c r="B1087" s="46"/>
      <c r="C1087" s="39"/>
      <c r="D1087" s="40">
        <v>2</v>
      </c>
      <c r="E1087" s="40">
        <v>0.6</v>
      </c>
      <c r="F1087" s="40">
        <v>0.15</v>
      </c>
      <c r="G1087" s="40">
        <v>0.97</v>
      </c>
      <c r="H1087" s="40">
        <f t="shared" si="68"/>
        <v>0.17459999999999998</v>
      </c>
      <c r="I1087" s="40"/>
      <c r="J1087" s="41"/>
    </row>
    <row r="1088" spans="2:10" s="1" customFormat="1" ht="14.25" customHeight="1" x14ac:dyDescent="0.2">
      <c r="B1088" s="46"/>
      <c r="C1088" s="39" t="s">
        <v>412</v>
      </c>
      <c r="D1088" s="40">
        <v>2</v>
      </c>
      <c r="E1088" s="40">
        <v>1.2</v>
      </c>
      <c r="F1088" s="40">
        <v>0.15</v>
      </c>
      <c r="G1088" s="40">
        <v>1.22</v>
      </c>
      <c r="H1088" s="40">
        <f t="shared" si="68"/>
        <v>0.43919999999999998</v>
      </c>
      <c r="I1088" s="40"/>
      <c r="J1088" s="41"/>
    </row>
    <row r="1089" spans="2:10" s="1" customFormat="1" ht="14.25" customHeight="1" x14ac:dyDescent="0.2">
      <c r="B1089" s="46"/>
      <c r="C1089" s="39"/>
      <c r="D1089" s="40">
        <v>2</v>
      </c>
      <c r="E1089" s="40">
        <v>0.6</v>
      </c>
      <c r="F1089" s="40">
        <v>0.15</v>
      </c>
      <c r="G1089" s="40">
        <v>1.22</v>
      </c>
      <c r="H1089" s="40">
        <f t="shared" si="68"/>
        <v>0.21959999999999999</v>
      </c>
      <c r="I1089" s="40"/>
      <c r="J1089" s="41"/>
    </row>
    <row r="1090" spans="2:10" s="1" customFormat="1" ht="14.25" customHeight="1" x14ac:dyDescent="0.2">
      <c r="B1090" s="46"/>
      <c r="C1090" s="39" t="s">
        <v>381</v>
      </c>
      <c r="D1090" s="40">
        <v>2</v>
      </c>
      <c r="E1090" s="40">
        <v>1.2</v>
      </c>
      <c r="F1090" s="40">
        <v>0.15</v>
      </c>
      <c r="G1090" s="40">
        <v>0.76</v>
      </c>
      <c r="H1090" s="40">
        <f t="shared" si="68"/>
        <v>0.27360000000000001</v>
      </c>
      <c r="I1090" s="40"/>
      <c r="J1090" s="41"/>
    </row>
    <row r="1091" spans="2:10" s="1" customFormat="1" ht="14.25" customHeight="1" x14ac:dyDescent="0.2">
      <c r="B1091" s="46"/>
      <c r="C1091" s="39"/>
      <c r="D1091" s="40">
        <v>2</v>
      </c>
      <c r="E1091" s="40">
        <v>0.6</v>
      </c>
      <c r="F1091" s="40">
        <v>0.15</v>
      </c>
      <c r="G1091" s="40">
        <v>0.76</v>
      </c>
      <c r="H1091" s="40">
        <f t="shared" si="68"/>
        <v>0.1368</v>
      </c>
      <c r="I1091" s="40"/>
      <c r="J1091" s="41"/>
    </row>
    <row r="1092" spans="2:10" s="1" customFormat="1" ht="14.25" customHeight="1" x14ac:dyDescent="0.2">
      <c r="B1092" s="46"/>
      <c r="C1092" s="39" t="s">
        <v>714</v>
      </c>
      <c r="D1092" s="60">
        <v>2</v>
      </c>
      <c r="E1092" s="40">
        <v>0.9</v>
      </c>
      <c r="F1092" s="40">
        <v>0.15</v>
      </c>
      <c r="G1092" s="40">
        <v>0.85</v>
      </c>
      <c r="H1092" s="40">
        <f t="shared" si="68"/>
        <v>0.22950000000000001</v>
      </c>
      <c r="I1092" s="40"/>
      <c r="J1092" s="41"/>
    </row>
    <row r="1093" spans="2:10" s="1" customFormat="1" ht="14.25" customHeight="1" x14ac:dyDescent="0.2">
      <c r="B1093" s="46"/>
      <c r="C1093" s="39"/>
      <c r="D1093" s="60">
        <v>2</v>
      </c>
      <c r="E1093" s="40">
        <v>0.6</v>
      </c>
      <c r="F1093" s="40">
        <v>0.15</v>
      </c>
      <c r="G1093" s="40">
        <v>0.85</v>
      </c>
      <c r="H1093" s="40">
        <f t="shared" si="68"/>
        <v>0.153</v>
      </c>
      <c r="I1093" s="40"/>
      <c r="J1093" s="41"/>
    </row>
    <row r="1094" spans="2:10" s="1" customFormat="1" ht="14.25" customHeight="1" x14ac:dyDescent="0.2">
      <c r="B1094" s="46"/>
      <c r="C1094" s="39" t="s">
        <v>414</v>
      </c>
      <c r="D1094" s="60">
        <v>2</v>
      </c>
      <c r="E1094" s="40">
        <v>0.9</v>
      </c>
      <c r="F1094" s="40">
        <v>0.15</v>
      </c>
      <c r="G1094" s="40">
        <v>0.85</v>
      </c>
      <c r="H1094" s="40">
        <f t="shared" si="68"/>
        <v>0.22950000000000001</v>
      </c>
      <c r="I1094" s="40"/>
      <c r="J1094" s="41"/>
    </row>
    <row r="1095" spans="2:10" s="1" customFormat="1" ht="14.25" customHeight="1" x14ac:dyDescent="0.2">
      <c r="B1095" s="46"/>
      <c r="C1095" s="39"/>
      <c r="D1095" s="60">
        <v>2</v>
      </c>
      <c r="E1095" s="40">
        <v>0.6</v>
      </c>
      <c r="F1095" s="40">
        <v>0.15</v>
      </c>
      <c r="G1095" s="40">
        <v>0.85</v>
      </c>
      <c r="H1095" s="40">
        <f t="shared" si="68"/>
        <v>0.153</v>
      </c>
      <c r="I1095" s="40"/>
      <c r="J1095" s="41"/>
    </row>
    <row r="1096" spans="2:10" s="1" customFormat="1" ht="14.25" customHeight="1" x14ac:dyDescent="0.2">
      <c r="B1096" s="46"/>
      <c r="C1096" s="39" t="s">
        <v>648</v>
      </c>
      <c r="D1096" s="40">
        <v>10</v>
      </c>
      <c r="E1096" s="40">
        <v>0.9</v>
      </c>
      <c r="F1096" s="40">
        <v>0.15</v>
      </c>
      <c r="G1096" s="40">
        <v>0.85</v>
      </c>
      <c r="H1096" s="40">
        <f t="shared" si="68"/>
        <v>1.1475</v>
      </c>
      <c r="I1096" s="40"/>
      <c r="J1096" s="41"/>
    </row>
    <row r="1097" spans="2:10" s="1" customFormat="1" ht="14.25" customHeight="1" x14ac:dyDescent="0.2">
      <c r="B1097" s="46"/>
      <c r="C1097" s="39"/>
      <c r="D1097" s="40">
        <v>2</v>
      </c>
      <c r="E1097" s="40">
        <v>0.6</v>
      </c>
      <c r="F1097" s="40">
        <v>0.15</v>
      </c>
      <c r="G1097" s="40">
        <v>0.85</v>
      </c>
      <c r="H1097" s="40">
        <f t="shared" si="68"/>
        <v>0.153</v>
      </c>
      <c r="I1097" s="40"/>
      <c r="J1097" s="41"/>
    </row>
    <row r="1098" spans="2:10" s="1" customFormat="1" ht="14.25" customHeight="1" x14ac:dyDescent="0.2">
      <c r="B1098" s="46"/>
      <c r="C1098" s="39" t="s">
        <v>691</v>
      </c>
      <c r="D1098" s="40">
        <v>10</v>
      </c>
      <c r="E1098" s="40">
        <v>0.9</v>
      </c>
      <c r="F1098" s="40">
        <v>0.15</v>
      </c>
      <c r="G1098" s="40">
        <v>0.85</v>
      </c>
      <c r="H1098" s="40">
        <f t="shared" si="68"/>
        <v>1.1475</v>
      </c>
      <c r="I1098" s="40"/>
      <c r="J1098" s="41"/>
    </row>
    <row r="1099" spans="2:10" s="1" customFormat="1" ht="14.25" customHeight="1" x14ac:dyDescent="0.2">
      <c r="B1099" s="46"/>
      <c r="C1099" s="39"/>
      <c r="D1099" s="40">
        <v>2</v>
      </c>
      <c r="E1099" s="40">
        <v>0.6</v>
      </c>
      <c r="F1099" s="40">
        <v>0.15</v>
      </c>
      <c r="G1099" s="40">
        <v>0.85</v>
      </c>
      <c r="H1099" s="40">
        <f t="shared" si="68"/>
        <v>0.153</v>
      </c>
      <c r="I1099" s="40"/>
      <c r="J1099" s="41"/>
    </row>
    <row r="1100" spans="2:10" s="1" customFormat="1" ht="14.25" customHeight="1" x14ac:dyDescent="0.2">
      <c r="B1100" s="46"/>
      <c r="C1100" s="369" t="s">
        <v>377</v>
      </c>
      <c r="D1100" s="40">
        <v>2</v>
      </c>
      <c r="E1100" s="40">
        <v>5.9</v>
      </c>
      <c r="F1100" s="40">
        <v>0.2</v>
      </c>
      <c r="G1100" s="40">
        <v>1.65</v>
      </c>
      <c r="H1100" s="40">
        <f t="shared" si="68"/>
        <v>3.8940000000000001</v>
      </c>
      <c r="I1100" s="40"/>
      <c r="J1100" s="41"/>
    </row>
    <row r="1101" spans="2:10" s="1" customFormat="1" ht="14.25" customHeight="1" x14ac:dyDescent="0.2">
      <c r="B1101" s="46"/>
      <c r="C1101" s="59"/>
      <c r="D1101" s="60">
        <v>2</v>
      </c>
      <c r="E1101" s="40">
        <v>1.3</v>
      </c>
      <c r="F1101" s="40">
        <v>0.2</v>
      </c>
      <c r="G1101" s="40">
        <v>1.65</v>
      </c>
      <c r="H1101" s="40">
        <f t="shared" si="68"/>
        <v>0.85799999999999998</v>
      </c>
      <c r="I1101" s="40"/>
      <c r="J1101" s="41"/>
    </row>
    <row r="1102" spans="2:10" s="1" customFormat="1" ht="12.75" x14ac:dyDescent="0.2">
      <c r="B1102" s="46"/>
      <c r="C1102" s="59"/>
      <c r="D1102" s="60"/>
      <c r="E1102" s="40"/>
      <c r="F1102" s="40"/>
      <c r="G1102" s="40"/>
      <c r="H1102" s="40"/>
      <c r="I1102" s="40"/>
      <c r="J1102" s="41"/>
    </row>
    <row r="1103" spans="2:10" s="1" customFormat="1" ht="12.75" x14ac:dyDescent="0.2">
      <c r="B1103" s="25" t="s">
        <v>630</v>
      </c>
      <c r="C1103" s="1" t="s">
        <v>738</v>
      </c>
      <c r="D1103" s="60"/>
      <c r="E1103" s="40"/>
      <c r="F1103" s="40"/>
      <c r="G1103" s="40"/>
      <c r="H1103" s="40"/>
      <c r="I1103" s="40">
        <f>+SUM(H1105)</f>
        <v>96</v>
      </c>
      <c r="J1103" s="41" t="s">
        <v>4</v>
      </c>
    </row>
    <row r="1104" spans="2:10" s="1" customFormat="1" ht="12.75" x14ac:dyDescent="0.2">
      <c r="B1104" s="46"/>
      <c r="C1104" s="43" t="s">
        <v>468</v>
      </c>
      <c r="D1104" s="60"/>
      <c r="E1104" s="40"/>
      <c r="F1104" s="40"/>
      <c r="G1104" s="40"/>
      <c r="H1104" s="40"/>
      <c r="J1104" s="41"/>
    </row>
    <row r="1105" spans="2:10" s="1" customFormat="1" ht="12.75" x14ac:dyDescent="0.2">
      <c r="B1105" s="46"/>
      <c r="C1105" s="39" t="s">
        <v>494</v>
      </c>
      <c r="D1105" s="1">
        <v>1</v>
      </c>
      <c r="E1105" s="40">
        <v>24</v>
      </c>
      <c r="F1105" s="40">
        <v>1</v>
      </c>
      <c r="G1105" s="40">
        <v>4</v>
      </c>
      <c r="H1105" s="40">
        <f>IF(AND(F1105=0,G1105=0),D1105*E1105,IF(AND(E1105=0,G1105=0),D1105*F1105,IF(AND(E1105=0,F1105=0),D1105*G1105,IF(AND(E1105=0),D1105*F1105*G1105,IF(AND(F1105=0),D1105*E1105*G1105,IF(AND(G1105=0),D1105*E1105*F1105,D1105*E1105*F1105*G1105))))))</f>
        <v>96</v>
      </c>
      <c r="I1105" s="40"/>
      <c r="J1105" s="41"/>
    </row>
    <row r="1106" spans="2:10" s="1" customFormat="1" ht="12.75" x14ac:dyDescent="0.2">
      <c r="B1106" s="46"/>
      <c r="C1106" s="59"/>
      <c r="D1106" s="60"/>
      <c r="E1106" s="40"/>
      <c r="F1106" s="40"/>
      <c r="G1106" s="40"/>
      <c r="H1106" s="40"/>
      <c r="I1106" s="40"/>
      <c r="J1106" s="41"/>
    </row>
    <row r="1107" spans="2:10" s="1" customFormat="1" ht="12.75" x14ac:dyDescent="0.2">
      <c r="B1107" s="46"/>
      <c r="C1107" s="59"/>
      <c r="D1107" s="60"/>
      <c r="E1107" s="40"/>
      <c r="F1107" s="40"/>
      <c r="G1107" s="40"/>
      <c r="H1107" s="40"/>
      <c r="I1107" s="40"/>
      <c r="J1107" s="41"/>
    </row>
    <row r="1108" spans="2:10" s="1" customFormat="1" ht="12.75" x14ac:dyDescent="0.2">
      <c r="B1108" s="46"/>
      <c r="C1108" s="59"/>
      <c r="D1108" s="60"/>
      <c r="E1108" s="40"/>
      <c r="F1108" s="40"/>
      <c r="G1108" s="40"/>
      <c r="H1108" s="40"/>
      <c r="I1108" s="40"/>
      <c r="J1108" s="41"/>
    </row>
    <row r="1109" spans="2:10" s="1" customFormat="1" ht="12.75" x14ac:dyDescent="0.2">
      <c r="B1109" s="107" t="s">
        <v>790</v>
      </c>
      <c r="C1109" s="343" t="s">
        <v>789</v>
      </c>
      <c r="D1109" s="60" t="s">
        <v>791</v>
      </c>
      <c r="E1109" s="40"/>
      <c r="F1109" s="40"/>
      <c r="G1109" s="40"/>
      <c r="H1109" s="40"/>
      <c r="I1109" s="40">
        <f>+SUM(H1110:H1129)</f>
        <v>56.844580478336042</v>
      </c>
      <c r="J1109" s="41" t="s">
        <v>4</v>
      </c>
    </row>
    <row r="1110" spans="2:10" s="1" customFormat="1" ht="12.75" x14ac:dyDescent="0.2">
      <c r="B1110" s="107"/>
      <c r="C1110" s="39" t="s">
        <v>444</v>
      </c>
      <c r="D1110" s="60">
        <v>1.25</v>
      </c>
      <c r="E1110" s="1">
        <v>3</v>
      </c>
      <c r="F1110" s="40">
        <v>0.5</v>
      </c>
      <c r="G1110" s="40">
        <f>0.32+0.2</f>
        <v>0.52</v>
      </c>
      <c r="H1110" s="40">
        <f>IF(AND(F1110=0,G1110=0),D1110*E1110,IF(AND(E1110=0,G1110=0),D1110*F1110,IF(AND(E1110=0,F1110=0),D1110*G1110,IF(AND(E1110=0),D1110*F1110*G1110,IF(AND(F1110=0),D1110*E1110*G1110,IF(AND(G1110=0),D1110*E1110*F1110,D1110*E1110*F1110*G1110))))))</f>
        <v>0.97500000000000009</v>
      </c>
      <c r="I1110" s="40"/>
      <c r="J1110" s="41"/>
    </row>
    <row r="1111" spans="2:10" s="1" customFormat="1" ht="12.75" x14ac:dyDescent="0.2">
      <c r="B1111" s="107"/>
      <c r="C1111" s="39" t="s">
        <v>442</v>
      </c>
      <c r="D1111" s="60">
        <v>1.25</v>
      </c>
      <c r="E1111" s="86">
        <f>3.5+14.4</f>
        <v>17.899999999999999</v>
      </c>
      <c r="F1111" s="40">
        <v>0.5</v>
      </c>
      <c r="G1111" s="40">
        <f>1+0.25</f>
        <v>1.25</v>
      </c>
      <c r="H1111" s="40">
        <f>IF(AND(F1111=0,G1111=0),D1111*E1111,IF(AND(E1111=0,G1111=0),D1111*F1111,IF(AND(E1111=0,F1111=0),D1111*G1111,IF(AND(E1111=0),D1111*F1111*G1111,IF(AND(F1111=0),D1111*E1111*G1111,IF(AND(G1111=0),D1111*E1111*F1111,D1111*E1111*F1111*G1111))))))</f>
        <v>13.984375</v>
      </c>
      <c r="I1111" s="40"/>
      <c r="J1111" s="41"/>
    </row>
    <row r="1112" spans="2:10" s="1" customFormat="1" ht="12.75" x14ac:dyDescent="0.2">
      <c r="B1112" s="107"/>
      <c r="C1112" s="39" t="s">
        <v>393</v>
      </c>
      <c r="D1112" s="60">
        <v>1.25</v>
      </c>
      <c r="E1112" s="40">
        <v>0.9</v>
      </c>
      <c r="F1112" s="40">
        <v>1.2</v>
      </c>
      <c r="G1112" s="40">
        <f>0.92+0.25</f>
        <v>1.17</v>
      </c>
      <c r="H1112" s="40">
        <f>IF(AND(F1112=0,G1112=0),D1112*E1112,IF(AND(E1112=0,G1112=0),D1112*F1112,IF(AND(E1112=0,F1112=0),D1112*G1112,IF(AND(E1112=0),D1112*F1112*G1112,IF(AND(F1112=0),D1112*E1112*G1112,IF(AND(G1112=0),D1112*E1112*F1112,D1112*E1112*F1112*G1112))))))</f>
        <v>1.5794999999999997</v>
      </c>
      <c r="I1112" s="40"/>
      <c r="J1112" s="41"/>
    </row>
    <row r="1113" spans="2:10" s="1" customFormat="1" ht="12.75" x14ac:dyDescent="0.2">
      <c r="B1113" s="107"/>
      <c r="C1113" s="39" t="s">
        <v>412</v>
      </c>
      <c r="D1113" s="60">
        <v>1.25</v>
      </c>
      <c r="E1113" s="40">
        <v>0.9</v>
      </c>
      <c r="F1113" s="40">
        <v>1.2</v>
      </c>
      <c r="G1113" s="40">
        <f>1.07+0.25</f>
        <v>1.32</v>
      </c>
      <c r="H1113" s="40">
        <f>IF(AND(F1113=0,G1113=0),D1113*E1113,IF(AND(E1113=0,G1113=0),D1113*F1113,IF(AND(E1113=0,F1113=0),D1113*G1113,IF(AND(E1113=0),D1113*F1113*G1113,IF(AND(F1113=0),D1113*E1113*G1113,IF(AND(G1113=0),D1113*E1113*F1113,D1113*E1113*F1113*G1113))))))</f>
        <v>1.7819999999999998</v>
      </c>
      <c r="I1113" s="40"/>
      <c r="J1113" s="41"/>
    </row>
    <row r="1114" spans="2:10" s="1" customFormat="1" ht="12.75" x14ac:dyDescent="0.2">
      <c r="B1114" s="107"/>
      <c r="C1114" s="39" t="s">
        <v>381</v>
      </c>
      <c r="D1114" s="60">
        <v>1.25</v>
      </c>
      <c r="E1114" s="40">
        <v>0.9</v>
      </c>
      <c r="F1114" s="40">
        <v>1.2</v>
      </c>
      <c r="G1114" s="40">
        <f>0.61+0.25</f>
        <v>0.86</v>
      </c>
      <c r="H1114" s="40">
        <f>IF(AND(F1114=0,G1114=0),D1114*E1114,IF(AND(E1114=0,G1114=0),D1114*F1114,IF(AND(E1114=0,F1114=0),D1114*G1114,IF(AND(E1114=0),D1114*F1114*G1114,IF(AND(F1114=0),D1114*E1114*G1114,IF(AND(G1114=0),D1114*E1114*F1114,D1114*E1114*F1114*G1114))))))</f>
        <v>1.1609999999999998</v>
      </c>
      <c r="I1114" s="40"/>
      <c r="J1114" s="41"/>
    </row>
    <row r="1115" spans="2:10" s="1" customFormat="1" ht="12.75" x14ac:dyDescent="0.2">
      <c r="B1115" s="107"/>
      <c r="C1115" s="39" t="s">
        <v>714</v>
      </c>
      <c r="D1115" s="60">
        <v>1.25</v>
      </c>
      <c r="E1115" s="40">
        <v>0.9</v>
      </c>
      <c r="F1115" s="40">
        <v>0.9</v>
      </c>
      <c r="G1115" s="40">
        <f>0.7+0.25</f>
        <v>0.95</v>
      </c>
      <c r="H1115" s="40">
        <f t="shared" ref="H1115:H1119" si="69">IF(AND(F1115=0,G1115=0),D1115*E1115,IF(AND(E1115=0,G1115=0),D1115*F1115,IF(AND(E1115=0,F1115=0),D1115*G1115,IF(AND(E1115=0),D1115*F1115*G1115,IF(AND(F1115=0),D1115*E1115*G1115,IF(AND(G1115=0),D1115*E1115*F1115,D1115*E1115*F1115*G1115))))))</f>
        <v>0.96187499999999992</v>
      </c>
      <c r="I1115" s="40"/>
      <c r="J1115" s="41"/>
    </row>
    <row r="1116" spans="2:10" s="1" customFormat="1" ht="12.75" x14ac:dyDescent="0.2">
      <c r="B1116" s="107"/>
      <c r="C1116" s="39" t="s">
        <v>414</v>
      </c>
      <c r="D1116" s="60">
        <v>1.25</v>
      </c>
      <c r="E1116" s="40">
        <v>0.9</v>
      </c>
      <c r="F1116" s="40">
        <v>0.9</v>
      </c>
      <c r="G1116" s="40">
        <f>0.7+0.25</f>
        <v>0.95</v>
      </c>
      <c r="H1116" s="40">
        <f t="shared" si="69"/>
        <v>0.96187499999999992</v>
      </c>
      <c r="I1116" s="40"/>
      <c r="J1116" s="41"/>
    </row>
    <row r="1117" spans="2:10" s="1" customFormat="1" ht="12.75" x14ac:dyDescent="0.2">
      <c r="B1117" s="107"/>
      <c r="C1117" s="39" t="s">
        <v>648</v>
      </c>
      <c r="D1117" s="40">
        <f>1.25*5</f>
        <v>6.25</v>
      </c>
      <c r="E1117" s="40">
        <v>0.9</v>
      </c>
      <c r="F1117" s="40">
        <v>0.9</v>
      </c>
      <c r="G1117" s="40">
        <f>0.7+0.25</f>
        <v>0.95</v>
      </c>
      <c r="H1117" s="40">
        <f t="shared" si="69"/>
        <v>4.8093750000000002</v>
      </c>
      <c r="I1117" s="40"/>
      <c r="J1117" s="41"/>
    </row>
    <row r="1118" spans="2:10" s="1" customFormat="1" ht="12.75" x14ac:dyDescent="0.2">
      <c r="B1118" s="107"/>
      <c r="C1118" s="39" t="s">
        <v>691</v>
      </c>
      <c r="D1118" s="40">
        <f>1.25*5</f>
        <v>6.25</v>
      </c>
      <c r="E1118" s="40">
        <v>0.9</v>
      </c>
      <c r="F1118" s="40">
        <v>0.9</v>
      </c>
      <c r="G1118" s="40">
        <f>0.7+0.25</f>
        <v>0.95</v>
      </c>
      <c r="H1118" s="40">
        <f t="shared" si="69"/>
        <v>4.8093750000000002</v>
      </c>
      <c r="I1118" s="40"/>
      <c r="J1118" s="41"/>
    </row>
    <row r="1119" spans="2:10" s="1" customFormat="1" ht="12.75" x14ac:dyDescent="0.2">
      <c r="C1119" s="39" t="s">
        <v>377</v>
      </c>
      <c r="D1119" s="40">
        <v>1.25</v>
      </c>
      <c r="E1119" s="40">
        <v>1.7</v>
      </c>
      <c r="F1119" s="40">
        <v>5.9</v>
      </c>
      <c r="G1119" s="40">
        <f>1.45+0.3</f>
        <v>1.75</v>
      </c>
      <c r="H1119" s="40">
        <f t="shared" si="69"/>
        <v>21.940625000000004</v>
      </c>
    </row>
    <row r="1120" spans="2:10" s="1" customFormat="1" ht="12.75" x14ac:dyDescent="0.2">
      <c r="B1120" s="46"/>
      <c r="C1120" s="59"/>
      <c r="D1120" s="60"/>
      <c r="E1120" s="40"/>
      <c r="F1120" s="40"/>
      <c r="G1120" s="40"/>
      <c r="H1120" s="40"/>
      <c r="I1120" s="40"/>
      <c r="J1120" s="41"/>
    </row>
    <row r="1121" spans="2:10" s="1" customFormat="1" ht="12.75" x14ac:dyDescent="0.2">
      <c r="B1121" s="46"/>
      <c r="C1121" s="43" t="s">
        <v>472</v>
      </c>
      <c r="D1121" s="60"/>
      <c r="E1121" s="40"/>
      <c r="F1121" s="40"/>
      <c r="G1121" s="40"/>
      <c r="H1121" s="40"/>
      <c r="I1121" s="40"/>
      <c r="J1121" s="41"/>
    </row>
    <row r="1122" spans="2:10" s="1" customFormat="1" ht="12.75" x14ac:dyDescent="0.2">
      <c r="B1122" s="46"/>
      <c r="F1122" s="40" t="s">
        <v>786</v>
      </c>
      <c r="G1122" s="40">
        <v>3</v>
      </c>
      <c r="I1122" s="40"/>
      <c r="J1122" s="41"/>
    </row>
    <row r="1123" spans="2:10" s="1" customFormat="1" ht="12.75" x14ac:dyDescent="0.2">
      <c r="B1123" s="46"/>
      <c r="C1123" s="39" t="s">
        <v>784</v>
      </c>
      <c r="D1123" s="60">
        <v>1.25</v>
      </c>
      <c r="E1123" s="40">
        <f>+E1035</f>
        <v>32.840000000000003</v>
      </c>
      <c r="F1123" s="40" t="s">
        <v>785</v>
      </c>
      <c r="G1123" s="40">
        <f>+PI()*((G1122*0.0254)^2)/4</f>
        <v>4.5603673118774788E-3</v>
      </c>
      <c r="H1123" s="40">
        <f>+D1123*E1123*G1123</f>
        <v>0.18720307815257053</v>
      </c>
      <c r="I1123" s="40"/>
      <c r="J1123" s="41"/>
    </row>
    <row r="1124" spans="2:10" s="1" customFormat="1" ht="12.75" x14ac:dyDescent="0.2">
      <c r="B1124" s="46"/>
      <c r="C1124" s="43" t="s">
        <v>251</v>
      </c>
      <c r="D1124" s="60"/>
      <c r="E1124" s="40"/>
      <c r="F1124" s="40"/>
      <c r="G1124" s="40"/>
      <c r="H1124" s="40"/>
      <c r="I1124" s="40"/>
      <c r="J1124" s="41"/>
    </row>
    <row r="1125" spans="2:10" s="1" customFormat="1" ht="12.75" x14ac:dyDescent="0.2">
      <c r="B1125" s="46"/>
      <c r="F1125" s="40" t="s">
        <v>786</v>
      </c>
      <c r="G1125" s="40">
        <v>12</v>
      </c>
      <c r="I1125" s="40"/>
      <c r="J1125" s="41"/>
    </row>
    <row r="1126" spans="2:10" s="1" customFormat="1" ht="12.75" x14ac:dyDescent="0.2">
      <c r="B1126" s="46"/>
      <c r="C1126" s="39" t="s">
        <v>784</v>
      </c>
      <c r="D1126" s="60">
        <v>1.25</v>
      </c>
      <c r="E1126" s="40">
        <f>+E1039</f>
        <v>24.15</v>
      </c>
      <c r="F1126" s="40" t="s">
        <v>785</v>
      </c>
      <c r="G1126" s="40">
        <f>+PI()*((G1125*0.0254)^2)/4</f>
        <v>7.296587699003966E-2</v>
      </c>
      <c r="H1126" s="40">
        <f>+D1126*E1126*G1126</f>
        <v>2.2026574116368223</v>
      </c>
      <c r="I1126" s="40"/>
      <c r="J1126" s="41"/>
    </row>
    <row r="1127" spans="2:10" s="1" customFormat="1" ht="12.75" x14ac:dyDescent="0.2">
      <c r="B1127" s="46"/>
      <c r="C1127" s="43" t="s">
        <v>252</v>
      </c>
      <c r="D1127" s="60"/>
      <c r="E1127" s="40"/>
      <c r="F1127" s="40"/>
      <c r="G1127" s="40"/>
      <c r="H1127" s="40"/>
      <c r="I1127" s="40"/>
      <c r="J1127" s="41"/>
    </row>
    <row r="1128" spans="2:10" s="1" customFormat="1" ht="12.75" x14ac:dyDescent="0.2">
      <c r="B1128" s="46"/>
      <c r="F1128" s="40" t="s">
        <v>786</v>
      </c>
      <c r="G1128" s="40">
        <v>14</v>
      </c>
      <c r="I1128" s="40"/>
      <c r="J1128" s="41"/>
    </row>
    <row r="1129" spans="2:10" s="1" customFormat="1" ht="12.75" x14ac:dyDescent="0.2">
      <c r="B1129" s="46"/>
      <c r="C1129" s="39" t="s">
        <v>784</v>
      </c>
      <c r="D1129" s="60">
        <v>1.25</v>
      </c>
      <c r="E1129" s="40">
        <f>+E1044</f>
        <v>12</v>
      </c>
      <c r="F1129" s="40" t="s">
        <v>785</v>
      </c>
      <c r="G1129" s="40">
        <f>+PI()*((G1128*0.0254)^2)/4</f>
        <v>9.9314665903109542E-2</v>
      </c>
      <c r="H1129" s="40">
        <f>+D1129*E1129*G1129</f>
        <v>1.4897199885466432</v>
      </c>
      <c r="I1129" s="40"/>
      <c r="J1129" s="41"/>
    </row>
    <row r="1130" spans="2:10" s="1" customFormat="1" ht="12.75" x14ac:dyDescent="0.2">
      <c r="B1130" s="46"/>
      <c r="C1130" s="59"/>
      <c r="D1130" s="60"/>
      <c r="E1130" s="40"/>
      <c r="F1130" s="40"/>
      <c r="G1130" s="40"/>
      <c r="H1130" s="40"/>
      <c r="I1130" s="40"/>
      <c r="J1130" s="41"/>
    </row>
    <row r="1131" spans="2:10" s="1" customFormat="1" ht="12.75" x14ac:dyDescent="0.2">
      <c r="B1131" s="46"/>
      <c r="C1131" s="59"/>
      <c r="D1131" s="60"/>
      <c r="E1131" s="40"/>
      <c r="F1131" s="40"/>
      <c r="G1131" s="40"/>
      <c r="H1131" s="40"/>
      <c r="I1131" s="40"/>
      <c r="J1131" s="41"/>
    </row>
    <row r="1132" spans="2:10" s="1" customFormat="1" ht="12.75" x14ac:dyDescent="0.2">
      <c r="B1132" s="46"/>
      <c r="C1132" s="59"/>
      <c r="D1132" s="60"/>
      <c r="E1132" s="40"/>
      <c r="F1132" s="40"/>
      <c r="G1132" s="40"/>
      <c r="H1132" s="40"/>
      <c r="I1132" s="40">
        <f>+I1109</f>
        <v>56.844580478336042</v>
      </c>
      <c r="J1132" s="41" t="s">
        <v>4</v>
      </c>
    </row>
    <row r="1133" spans="2:10" s="1" customFormat="1" ht="12.75" x14ac:dyDescent="0.2">
      <c r="B1133" s="107" t="s">
        <v>634</v>
      </c>
      <c r="C1133" s="343" t="s">
        <v>624</v>
      </c>
      <c r="D1133" s="60"/>
      <c r="E1133" s="40"/>
      <c r="F1133" s="40"/>
      <c r="G1133" s="40"/>
      <c r="H1133" s="40"/>
      <c r="I1133" s="40"/>
      <c r="J1133" s="41"/>
    </row>
    <row r="1134" spans="2:10" s="1" customFormat="1" ht="12.75" x14ac:dyDescent="0.2">
      <c r="B1134" s="46"/>
      <c r="C1134" s="59"/>
      <c r="D1134" s="60"/>
      <c r="E1134" s="40"/>
      <c r="F1134" s="40"/>
      <c r="G1134" s="40"/>
      <c r="H1134" s="40"/>
      <c r="I1134" s="40"/>
      <c r="J1134" s="41"/>
    </row>
    <row r="1135" spans="2:10" s="1" customFormat="1" ht="12.75" x14ac:dyDescent="0.2">
      <c r="B1135" s="46"/>
      <c r="C1135" s="59"/>
      <c r="D1135" s="60"/>
      <c r="E1135" s="40"/>
      <c r="F1135" s="40"/>
      <c r="G1135" s="40"/>
      <c r="H1135" s="40"/>
      <c r="I1135" s="40"/>
      <c r="J1135" s="41"/>
    </row>
    <row r="1136" spans="2:10" s="1" customFormat="1" ht="12.75" x14ac:dyDescent="0.2">
      <c r="B1136" s="46"/>
      <c r="C1136" s="59"/>
      <c r="D1136" s="60"/>
      <c r="E1136" s="40"/>
      <c r="F1136" s="40"/>
      <c r="G1136" s="40"/>
      <c r="H1136" s="40"/>
      <c r="I1136" s="40"/>
      <c r="J1136" s="41"/>
    </row>
    <row r="1137" spans="2:10" s="1" customFormat="1" ht="12.75" x14ac:dyDescent="0.2">
      <c r="B1137" s="46"/>
      <c r="C1137" s="59"/>
      <c r="D1137" s="60"/>
      <c r="E1137" s="40"/>
      <c r="F1137" s="40"/>
      <c r="G1137" s="40"/>
      <c r="H1137" s="40"/>
      <c r="I1137" s="40"/>
      <c r="J1137" s="41"/>
    </row>
    <row r="1138" spans="2:10" s="1" customFormat="1" ht="12.75" x14ac:dyDescent="0.2">
      <c r="B1138" s="46"/>
      <c r="C1138" s="59"/>
      <c r="D1138" s="60"/>
      <c r="E1138" s="40"/>
      <c r="F1138" s="40"/>
      <c r="G1138" s="40"/>
      <c r="H1138" s="40"/>
      <c r="I1138" s="40"/>
      <c r="J1138" s="41"/>
    </row>
    <row r="1139" spans="2:10" s="1" customFormat="1" ht="12.75" x14ac:dyDescent="0.2">
      <c r="B1139" s="46"/>
      <c r="C1139" s="59"/>
      <c r="D1139" s="60"/>
      <c r="E1139" s="40"/>
      <c r="F1139" s="40"/>
      <c r="G1139" s="40"/>
      <c r="H1139" s="40"/>
      <c r="I1139" s="40"/>
      <c r="J1139" s="41"/>
    </row>
    <row r="1140" spans="2:10" s="1" customFormat="1" ht="12.75" x14ac:dyDescent="0.2">
      <c r="B1140" s="46"/>
      <c r="C1140" s="59"/>
      <c r="D1140" s="60"/>
      <c r="E1140" s="40"/>
      <c r="F1140" s="40"/>
      <c r="G1140" s="40"/>
      <c r="H1140" s="40"/>
      <c r="I1140" s="40"/>
      <c r="J1140" s="41"/>
    </row>
    <row r="1141" spans="2:10" s="1" customFormat="1" ht="12.75" x14ac:dyDescent="0.2">
      <c r="B1141" s="46"/>
      <c r="C1141" s="59"/>
      <c r="D1141" s="60"/>
      <c r="E1141" s="40"/>
      <c r="F1141" s="40"/>
      <c r="G1141" s="40"/>
      <c r="H1141" s="40"/>
      <c r="I1141" s="40"/>
      <c r="J1141" s="41"/>
    </row>
    <row r="1142" spans="2:10" s="1" customFormat="1" ht="12.75" x14ac:dyDescent="0.2">
      <c r="B1142" s="46"/>
      <c r="C1142" s="59"/>
      <c r="D1142" s="60"/>
      <c r="E1142" s="40"/>
      <c r="F1142" s="40"/>
      <c r="G1142" s="40"/>
      <c r="H1142" s="40"/>
      <c r="I1142" s="40"/>
      <c r="J1142" s="41"/>
    </row>
    <row r="1143" spans="2:10" s="1" customFormat="1" ht="12.75" x14ac:dyDescent="0.2">
      <c r="B1143" s="46"/>
      <c r="C1143" s="59"/>
      <c r="D1143" s="60"/>
      <c r="E1143" s="40"/>
      <c r="F1143" s="40"/>
      <c r="G1143" s="40"/>
      <c r="H1143" s="40"/>
      <c r="I1143" s="40"/>
      <c r="J1143" s="41"/>
    </row>
    <row r="1144" spans="2:10" s="1" customFormat="1" ht="12.75" x14ac:dyDescent="0.2">
      <c r="B1144" s="46"/>
      <c r="C1144" s="59"/>
      <c r="D1144" s="60"/>
      <c r="E1144" s="40"/>
      <c r="F1144" s="40"/>
      <c r="G1144" s="40"/>
      <c r="H1144" s="40"/>
      <c r="I1144" s="40"/>
      <c r="J1144" s="41"/>
    </row>
    <row r="1145" spans="2:10" s="1" customFormat="1" ht="12.75" x14ac:dyDescent="0.2">
      <c r="B1145" s="46"/>
      <c r="C1145" s="59"/>
      <c r="D1145" s="60"/>
      <c r="E1145" s="40"/>
      <c r="F1145" s="40"/>
      <c r="G1145" s="40"/>
      <c r="H1145" s="40"/>
      <c r="I1145" s="40"/>
      <c r="J1145" s="41"/>
    </row>
    <row r="1146" spans="2:10" s="1" customFormat="1" ht="12.75" x14ac:dyDescent="0.2">
      <c r="B1146" s="46"/>
      <c r="C1146" s="59"/>
      <c r="D1146" s="60"/>
      <c r="E1146" s="40"/>
      <c r="F1146" s="40"/>
      <c r="G1146" s="40"/>
      <c r="H1146" s="40"/>
      <c r="I1146" s="40"/>
      <c r="J1146" s="41"/>
    </row>
    <row r="1147" spans="2:10" s="1" customFormat="1" ht="12.75" x14ac:dyDescent="0.2">
      <c r="B1147" s="46"/>
      <c r="C1147" s="59"/>
      <c r="D1147" s="60"/>
      <c r="E1147" s="40"/>
      <c r="F1147" s="40"/>
      <c r="G1147" s="40"/>
      <c r="H1147" s="40"/>
      <c r="I1147" s="40"/>
      <c r="J1147" s="41"/>
    </row>
    <row r="1148" spans="2:10" s="1" customFormat="1" ht="12.75" x14ac:dyDescent="0.2">
      <c r="B1148" s="46"/>
      <c r="C1148" s="59"/>
      <c r="D1148" s="60"/>
      <c r="E1148" s="40"/>
      <c r="F1148" s="40"/>
      <c r="G1148" s="40"/>
      <c r="H1148" s="40"/>
      <c r="I1148" s="40"/>
      <c r="J1148" s="41"/>
    </row>
    <row r="1149" spans="2:10" s="1" customFormat="1" ht="12.75" x14ac:dyDescent="0.2">
      <c r="B1149" s="46"/>
      <c r="C1149" s="59"/>
      <c r="D1149" s="60"/>
      <c r="E1149" s="40"/>
      <c r="F1149" s="40"/>
      <c r="G1149" s="40"/>
      <c r="H1149" s="40"/>
      <c r="I1149" s="40"/>
      <c r="J1149" s="41"/>
    </row>
    <row r="1150" spans="2:10" s="1" customFormat="1" ht="12.75" x14ac:dyDescent="0.2">
      <c r="B1150" s="46"/>
      <c r="C1150" s="59"/>
      <c r="D1150" s="60"/>
      <c r="E1150" s="40"/>
      <c r="F1150" s="40"/>
      <c r="G1150" s="40"/>
      <c r="H1150" s="40"/>
      <c r="I1150" s="40"/>
      <c r="J1150" s="41"/>
    </row>
    <row r="1151" spans="2:10" s="1" customFormat="1" ht="12.75" x14ac:dyDescent="0.2">
      <c r="B1151" s="46"/>
      <c r="C1151" s="59"/>
      <c r="D1151" s="60"/>
      <c r="E1151" s="40"/>
      <c r="F1151" s="40"/>
      <c r="G1151" s="40"/>
      <c r="H1151" s="40"/>
      <c r="I1151" s="40"/>
      <c r="J1151" s="41"/>
    </row>
    <row r="1152" spans="2:10" s="1" customFormat="1" ht="14.25" customHeight="1" x14ac:dyDescent="0.2">
      <c r="B1152" s="46"/>
      <c r="C1152" s="59"/>
      <c r="D1152" s="60"/>
      <c r="E1152" s="40"/>
      <c r="F1152" s="40"/>
      <c r="G1152" s="40"/>
      <c r="H1152" s="40"/>
      <c r="I1152" s="40"/>
      <c r="J1152" s="41"/>
    </row>
    <row r="1153" spans="2:10" s="1" customFormat="1" ht="14.25" customHeight="1" x14ac:dyDescent="0.2">
      <c r="B1153" s="46"/>
      <c r="C1153" s="59"/>
      <c r="D1153" s="60"/>
      <c r="E1153" s="40"/>
      <c r="F1153" s="40"/>
      <c r="G1153" s="40"/>
      <c r="H1153" s="40"/>
      <c r="I1153" s="40"/>
      <c r="J1153" s="41"/>
    </row>
    <row r="1154" spans="2:10" s="1" customFormat="1" ht="14.25" customHeight="1" x14ac:dyDescent="0.2">
      <c r="B1154" s="46"/>
      <c r="C1154" s="59"/>
      <c r="D1154" s="60"/>
      <c r="E1154" s="40"/>
      <c r="F1154" s="40"/>
      <c r="G1154" s="40"/>
      <c r="H1154" s="40"/>
      <c r="I1154" s="40"/>
      <c r="J1154" s="41"/>
    </row>
    <row r="1155" spans="2:10" s="1" customFormat="1" ht="12.75" x14ac:dyDescent="0.2">
      <c r="C1155" s="542" t="s">
        <v>37</v>
      </c>
      <c r="D1155" s="542"/>
      <c r="E1155" s="542"/>
      <c r="F1155" s="542"/>
      <c r="G1155" s="542"/>
      <c r="H1155" s="542"/>
    </row>
    <row r="1156" spans="2:10" s="1" customFormat="1" ht="12.75" x14ac:dyDescent="0.2">
      <c r="C1156" s="499" t="s">
        <v>38</v>
      </c>
      <c r="D1156" s="499"/>
      <c r="E1156" s="499"/>
      <c r="F1156" s="499"/>
      <c r="G1156" s="499"/>
      <c r="H1156" s="499"/>
    </row>
    <row r="1157" spans="2:10" s="1" customFormat="1" ht="12.75" x14ac:dyDescent="0.2">
      <c r="C1157" s="499" t="s">
        <v>39</v>
      </c>
      <c r="D1157" s="499"/>
      <c r="E1157" s="499"/>
      <c r="F1157" s="499"/>
      <c r="G1157" s="499"/>
      <c r="H1157" s="499"/>
    </row>
    <row r="1158" spans="2:10" s="1" customFormat="1" ht="12.75" x14ac:dyDescent="0.2">
      <c r="C1158" s="500" t="s">
        <v>40</v>
      </c>
      <c r="D1158" s="500"/>
      <c r="E1158" s="500"/>
      <c r="F1158" s="500"/>
      <c r="G1158" s="500"/>
      <c r="H1158" s="500"/>
    </row>
    <row r="1159" spans="2:10" s="1" customFormat="1" ht="12.75" x14ac:dyDescent="0.2">
      <c r="C1159" s="80"/>
      <c r="D1159" s="80"/>
      <c r="E1159" s="80"/>
      <c r="F1159" s="80"/>
      <c r="G1159" s="80"/>
      <c r="H1159" s="80"/>
    </row>
    <row r="1160" spans="2:10" s="1" customFormat="1" ht="32.25" customHeight="1" x14ac:dyDescent="0.2">
      <c r="B1160" s="354" t="s">
        <v>65</v>
      </c>
      <c r="C1160" s="355"/>
      <c r="D1160" s="355"/>
      <c r="E1160" s="355"/>
      <c r="F1160" s="355"/>
      <c r="G1160" s="355"/>
      <c r="H1160" s="355"/>
      <c r="I1160" s="355"/>
      <c r="J1160" s="356"/>
    </row>
    <row r="1161" spans="2:10" s="1" customFormat="1" ht="20.25" x14ac:dyDescent="0.2">
      <c r="B1161" s="357" t="s">
        <v>364</v>
      </c>
      <c r="C1161" s="358"/>
      <c r="D1161" s="358"/>
      <c r="E1161" s="358"/>
      <c r="F1161" s="358"/>
      <c r="G1161" s="358"/>
      <c r="H1161" s="358"/>
      <c r="I1161" s="358"/>
      <c r="J1161" s="359"/>
    </row>
    <row r="1162" spans="2:10" s="1" customFormat="1" ht="13.5" thickBot="1" x14ac:dyDescent="0.25">
      <c r="B1162" s="81"/>
      <c r="C1162" s="81"/>
      <c r="D1162" s="81"/>
      <c r="E1162" s="81"/>
      <c r="F1162" s="81"/>
      <c r="G1162" s="81"/>
      <c r="H1162" s="81"/>
      <c r="I1162" s="81"/>
      <c r="J1162" s="81"/>
    </row>
    <row r="1163" spans="2:10" s="1" customFormat="1" ht="165.75" x14ac:dyDescent="0.2">
      <c r="B1163" s="350" t="s">
        <v>27</v>
      </c>
      <c r="C1163" s="351"/>
      <c r="D1163" s="351"/>
      <c r="E1163" s="351"/>
      <c r="F1163" s="351"/>
      <c r="G1163" s="351"/>
      <c r="H1163" s="351"/>
      <c r="I1163" s="351"/>
      <c r="J1163" s="352"/>
    </row>
    <row r="1164" spans="2:10" s="1" customFormat="1" ht="12.75" x14ac:dyDescent="0.2">
      <c r="B1164" s="2" t="s">
        <v>35</v>
      </c>
      <c r="C1164" s="3" t="s">
        <v>36</v>
      </c>
      <c r="D1164" s="3"/>
      <c r="E1164" s="4"/>
      <c r="F1164" s="5"/>
      <c r="G1164" s="6" t="s">
        <v>8</v>
      </c>
      <c r="H1164" s="353">
        <v>42879</v>
      </c>
      <c r="I1164" s="353"/>
      <c r="J1164" s="7"/>
    </row>
    <row r="1165" spans="2:10" s="1" customFormat="1" ht="12.75" x14ac:dyDescent="0.2">
      <c r="B1165" s="2" t="s">
        <v>33</v>
      </c>
      <c r="C1165" s="3" t="s">
        <v>29</v>
      </c>
      <c r="D1165" s="8"/>
      <c r="E1165" s="8"/>
      <c r="F1165" s="3"/>
      <c r="G1165" s="9" t="s">
        <v>32</v>
      </c>
      <c r="H1165" s="4" t="s">
        <v>29</v>
      </c>
      <c r="I1165" s="10"/>
      <c r="J1165" s="11"/>
    </row>
    <row r="1166" spans="2:10" s="1" customFormat="1" ht="12.75" x14ac:dyDescent="0.2">
      <c r="B1166" s="2" t="s">
        <v>34</v>
      </c>
      <c r="C1166" s="3" t="s">
        <v>29</v>
      </c>
      <c r="D1166" s="8"/>
      <c r="E1166" s="8"/>
      <c r="F1166" s="3"/>
      <c r="G1166" s="9" t="s">
        <v>30</v>
      </c>
      <c r="H1166" s="4" t="s">
        <v>31</v>
      </c>
      <c r="I1166" s="10"/>
      <c r="J1166" s="11"/>
    </row>
    <row r="1167" spans="2:10" s="1" customFormat="1" ht="13.5" thickBot="1" x14ac:dyDescent="0.25">
      <c r="B1167" s="12" t="s">
        <v>43</v>
      </c>
      <c r="C1167" s="13" t="s">
        <v>44</v>
      </c>
      <c r="D1167" s="14"/>
      <c r="E1167" s="14"/>
      <c r="F1167" s="13"/>
      <c r="G1167" s="15" t="s">
        <v>41</v>
      </c>
      <c r="H1167" s="16" t="s">
        <v>42</v>
      </c>
      <c r="I1167" s="17"/>
      <c r="J1167" s="18"/>
    </row>
    <row r="1168" spans="2:10" s="1" customFormat="1" ht="12.75" x14ac:dyDescent="0.2">
      <c r="B1168" s="81"/>
      <c r="C1168" s="81"/>
      <c r="D1168" s="81"/>
      <c r="E1168" s="81"/>
      <c r="F1168" s="81"/>
      <c r="G1168" s="81"/>
      <c r="H1168" s="81"/>
      <c r="I1168" s="81"/>
      <c r="J1168" s="81"/>
    </row>
    <row r="1169" spans="2:10" s="1" customFormat="1" ht="12.75" x14ac:dyDescent="0.2">
      <c r="B1169" s="21" t="s">
        <v>5</v>
      </c>
      <c r="C1169" s="22" t="s">
        <v>0</v>
      </c>
      <c r="D1169" s="22" t="s">
        <v>9</v>
      </c>
      <c r="E1169" s="22" t="s">
        <v>10</v>
      </c>
      <c r="F1169" s="22" t="s">
        <v>1</v>
      </c>
      <c r="G1169" s="22" t="s">
        <v>2</v>
      </c>
      <c r="H1169" s="22" t="s">
        <v>11</v>
      </c>
      <c r="I1169" s="22" t="s">
        <v>6</v>
      </c>
      <c r="J1169" s="22" t="s">
        <v>7</v>
      </c>
    </row>
    <row r="1170" spans="2:10" s="1" customFormat="1" ht="12.75" x14ac:dyDescent="0.2">
      <c r="B1170" s="55">
        <v>4.03</v>
      </c>
      <c r="C1170" s="56" t="s">
        <v>222</v>
      </c>
      <c r="D1170" s="60"/>
      <c r="E1170" s="40"/>
      <c r="F1170" s="40"/>
      <c r="G1170" s="40"/>
      <c r="H1170" s="40"/>
      <c r="I1170" s="40"/>
      <c r="J1170" s="41"/>
    </row>
    <row r="1171" spans="2:10" s="1" customFormat="1" ht="12.75" x14ac:dyDescent="0.2">
      <c r="B1171" s="57" t="s">
        <v>14</v>
      </c>
      <c r="C1171" s="58" t="s">
        <v>225</v>
      </c>
      <c r="D1171" s="60"/>
      <c r="E1171" s="40"/>
      <c r="F1171" s="40"/>
      <c r="G1171" s="40"/>
      <c r="H1171" s="40"/>
      <c r="I1171" s="40"/>
      <c r="J1171" s="41"/>
    </row>
    <row r="1172" spans="2:10" s="1" customFormat="1" ht="12.75" x14ac:dyDescent="0.2">
      <c r="B1172" s="43" t="s">
        <v>15</v>
      </c>
      <c r="C1172" s="43" t="s">
        <v>359</v>
      </c>
      <c r="D1172" s="60"/>
      <c r="E1172" s="40"/>
      <c r="F1172" s="40"/>
      <c r="G1172" s="40"/>
      <c r="H1172" s="40"/>
      <c r="I1172" s="44">
        <f>SUM(H1173:H1173)</f>
        <v>7.65</v>
      </c>
      <c r="J1172" s="45" t="str">
        <f>+J1173</f>
        <v>ml</v>
      </c>
    </row>
    <row r="1173" spans="2:10" s="1" customFormat="1" ht="12.75" x14ac:dyDescent="0.2">
      <c r="B1173" s="43"/>
      <c r="C1173" s="39" t="s">
        <v>459</v>
      </c>
      <c r="D1173" s="60">
        <v>1</v>
      </c>
      <c r="E1173" s="40">
        <v>7.65</v>
      </c>
      <c r="F1173" s="40"/>
      <c r="G1173" s="40"/>
      <c r="H1173" s="40">
        <f>IF(AND(F1173=0,G1173=0),D1173*E1173,IF(AND(E1173=0,G1173=0),D1173*F1173,IF(AND(E1173=0,F1173=0),D1173*G1173,IF(AND(E1173=0),D1173*F1173*G1173,IF(AND(F1173=0),D1173*E1173*G1173,IF(AND(G1173=0),D1173*E1173*F1173,D1173*E1173*F1173*G1173))))))</f>
        <v>7.65</v>
      </c>
      <c r="I1173" s="40"/>
      <c r="J1173" s="41" t="str">
        <f>IF(AND(E1173=0,F1173&lt;&gt;0,G1173&lt;&gt;0),"m2",IF(AND(F1173=0,E1173&lt;&gt;0,G1173&lt;&gt;0),"m2",IF(AND(G1173=0,E1173&lt;&gt;0,F1173&lt;&gt;0),"m2",IF(AND(F1173=0,G1173=0),"ml",IF(AND(E1173=0,G1173=0),"ml",IF(AND(E1173=0,F1173=0),"ml",IF(AND(E1173&lt;&gt;0,F1173&lt;&gt;0,G1173&lt;&gt;0),"m3",0)))))))</f>
        <v>ml</v>
      </c>
    </row>
    <row r="1174" spans="2:10" s="1" customFormat="1" ht="12.75" x14ac:dyDescent="0.2">
      <c r="B1174" s="43"/>
      <c r="C1174" s="39"/>
      <c r="D1174" s="40"/>
      <c r="E1174" s="40"/>
      <c r="F1174" s="40"/>
      <c r="G1174" s="40"/>
      <c r="H1174" s="40"/>
      <c r="I1174" s="40"/>
      <c r="J1174" s="41" t="str">
        <f>IF(AND(E1174=0,F1174&lt;&gt;0,G1174&lt;&gt;0),"m2",IF(AND(F1174=0,E1174&lt;&gt;0,G1174&lt;&gt;0),"m2",IF(AND(G1174=0,E1174&lt;&gt;0,F1174&lt;&gt;0),"m2",IF(AND(F1174=0,G1174=0),"ml",IF(AND(E1174=0,G1174=0),"ml",IF(AND(E1174=0,F1174=0),"ml",IF(AND(E1174&lt;&gt;0,F1174&lt;&gt;0,G1174&lt;&gt;0),"m3",0)))))))</f>
        <v>ml</v>
      </c>
    </row>
    <row r="1175" spans="2:10" s="1" customFormat="1" ht="12.75" x14ac:dyDescent="0.2">
      <c r="B1175" s="43" t="s">
        <v>232</v>
      </c>
      <c r="C1175" s="43" t="s">
        <v>235</v>
      </c>
      <c r="D1175" s="60"/>
      <c r="E1175" s="40"/>
      <c r="F1175" s="40"/>
      <c r="G1175" s="40"/>
      <c r="H1175" s="40"/>
      <c r="I1175" s="44">
        <f>SUM(H1176:H1177)</f>
        <v>0</v>
      </c>
      <c r="J1175" s="45" t="str">
        <f>+J1176</f>
        <v>ml</v>
      </c>
    </row>
    <row r="1176" spans="2:10" s="1" customFormat="1" ht="12.75" x14ac:dyDescent="0.2">
      <c r="B1176" s="57"/>
      <c r="C1176" s="39" t="s">
        <v>378</v>
      </c>
      <c r="D1176" s="40"/>
      <c r="E1176" s="40"/>
      <c r="F1176" s="40"/>
      <c r="G1176" s="40"/>
      <c r="H1176" s="40">
        <f>IF(AND(F1176=0,G1176=0),D1176*E1176,IF(AND(E1176=0,G1176=0),D1176*F1176,IF(AND(E1176=0,F1176=0),D1176*G1176,IF(AND(E1176=0),D1176*F1176*G1176,IF(AND(F1176=0),D1176*E1176*G1176,IF(AND(G1176=0),D1176*E1176*F1176,D1176*E1176*F1176*G1176))))))</f>
        <v>0</v>
      </c>
      <c r="I1176" s="40"/>
      <c r="J1176" s="41" t="str">
        <f>IF(AND(E1176=0,F1176&lt;&gt;0,G1176&lt;&gt;0),"m2",IF(AND(F1176=0,E1176&lt;&gt;0,G1176&lt;&gt;0),"m2",IF(AND(G1176=0,E1176&lt;&gt;0,F1176&lt;&gt;0),"m2",IF(AND(F1176=0,G1176=0),"ml",IF(AND(E1176=0,G1176=0),"ml",IF(AND(E1176=0,F1176=0),"ml",IF(AND(E1176&lt;&gt;0,F1176&lt;&gt;0,G1176&lt;&gt;0),"m3",0)))))))</f>
        <v>ml</v>
      </c>
    </row>
    <row r="1177" spans="2:10" s="1" customFormat="1" ht="12.75" x14ac:dyDescent="0.2">
      <c r="B1177" s="57"/>
      <c r="C1177" s="39" t="s">
        <v>379</v>
      </c>
      <c r="D1177" s="40"/>
      <c r="E1177" s="40"/>
      <c r="F1177" s="40"/>
      <c r="G1177" s="40"/>
      <c r="H1177" s="40">
        <f>IF(AND(F1177=0,G1177=0),D1177*E1177,IF(AND(E1177=0,G1177=0),D1177*F1177,IF(AND(E1177=0,F1177=0),D1177*G1177,IF(AND(E1177=0),D1177*F1177*G1177,IF(AND(F1177=0),D1177*E1177*G1177,IF(AND(G1177=0),D1177*E1177*F1177,D1177*E1177*F1177*G1177))))))</f>
        <v>0</v>
      </c>
      <c r="I1177" s="40"/>
      <c r="J1177" s="41" t="str">
        <f>IF(AND(E1177=0,F1177&lt;&gt;0,G1177&lt;&gt;0),"m2",IF(AND(F1177=0,E1177&lt;&gt;0,G1177&lt;&gt;0),"m2",IF(AND(G1177=0,E1177&lt;&gt;0,F1177&lt;&gt;0),"m2",IF(AND(F1177=0,G1177=0),"ml",IF(AND(E1177=0,G1177=0),"ml",IF(AND(E1177=0,F1177=0),"ml",IF(AND(E1177&lt;&gt;0,F1177&lt;&gt;0,G1177&lt;&gt;0),"m3",0)))))))</f>
        <v>ml</v>
      </c>
    </row>
    <row r="1178" spans="2:10" s="1" customFormat="1" ht="12.75" x14ac:dyDescent="0.2">
      <c r="B1178" s="43" t="s">
        <v>233</v>
      </c>
      <c r="C1178" s="43" t="s">
        <v>236</v>
      </c>
      <c r="D1178" s="60"/>
      <c r="E1178" s="40"/>
      <c r="F1178" s="40"/>
      <c r="G1178" s="40"/>
      <c r="H1178" s="40"/>
      <c r="I1178" s="44">
        <f>SUM(H1179:H1180)</f>
        <v>137.25</v>
      </c>
      <c r="J1178" s="45" t="str">
        <f>+J1179</f>
        <v>ml</v>
      </c>
    </row>
    <row r="1179" spans="2:10" s="1" customFormat="1" ht="12.75" x14ac:dyDescent="0.2">
      <c r="B1179" s="57"/>
      <c r="C1179" s="39" t="s">
        <v>378</v>
      </c>
      <c r="D1179" s="40">
        <v>8</v>
      </c>
      <c r="E1179" s="40">
        <v>12.95</v>
      </c>
      <c r="F1179" s="40"/>
      <c r="G1179" s="40"/>
      <c r="H1179" s="40">
        <f>IF(AND(F1179=0,G1179=0),D1179*E1179,IF(AND(E1179=0,G1179=0),D1179*F1179,IF(AND(E1179=0,F1179=0),D1179*G1179,IF(AND(E1179=0),D1179*F1179*G1179,IF(AND(F1179=0),D1179*E1179*G1179,IF(AND(G1179=0),D1179*E1179*F1179,D1179*E1179*F1179*G1179))))))</f>
        <v>103.6</v>
      </c>
      <c r="I1179" s="40"/>
      <c r="J1179" s="41" t="str">
        <f>IF(AND(E1179=0,F1179&lt;&gt;0,G1179&lt;&gt;0),"m2",IF(AND(F1179=0,E1179&lt;&gt;0,G1179&lt;&gt;0),"m2",IF(AND(G1179=0,E1179&lt;&gt;0,F1179&lt;&gt;0),"m2",IF(AND(F1179=0,G1179=0),"ml",IF(AND(E1179=0,G1179=0),"ml",IF(AND(E1179=0,F1179=0),"ml",IF(AND(E1179&lt;&gt;0,F1179&lt;&gt;0,G1179&lt;&gt;0),"m3",0)))))))</f>
        <v>ml</v>
      </c>
    </row>
    <row r="1180" spans="2:10" s="1" customFormat="1" ht="12.75" x14ac:dyDescent="0.2">
      <c r="B1180" s="57"/>
      <c r="C1180" s="39" t="s">
        <v>379</v>
      </c>
      <c r="D1180" s="40">
        <v>1</v>
      </c>
      <c r="E1180" s="40">
        <v>33.65</v>
      </c>
      <c r="F1180" s="40"/>
      <c r="G1180" s="40"/>
      <c r="H1180" s="40">
        <f>IF(AND(F1180=0,G1180=0),D1180*E1180,IF(AND(E1180=0,G1180=0),D1180*F1180,IF(AND(E1180=0,F1180=0),D1180*G1180,IF(AND(E1180=0),D1180*F1180*G1180,IF(AND(F1180=0),D1180*E1180*G1180,IF(AND(G1180=0),D1180*E1180*F1180,D1180*E1180*F1180*G1180))))))</f>
        <v>33.65</v>
      </c>
      <c r="I1180" s="40"/>
      <c r="J1180" s="41" t="str">
        <f>IF(AND(E1180=0,F1180&lt;&gt;0,G1180&lt;&gt;0),"m2",IF(AND(F1180=0,E1180&lt;&gt;0,G1180&lt;&gt;0),"m2",IF(AND(G1180=0,E1180&lt;&gt;0,F1180&lt;&gt;0),"m2",IF(AND(F1180=0,G1180=0),"ml",IF(AND(E1180=0,G1180=0),"ml",IF(AND(E1180=0,F1180=0),"ml",IF(AND(E1180&lt;&gt;0,F1180&lt;&gt;0,G1180&lt;&gt;0),"m3",0)))))))</f>
        <v>ml</v>
      </c>
    </row>
    <row r="1181" spans="2:10" s="1" customFormat="1" ht="12.75" x14ac:dyDescent="0.2">
      <c r="B1181" s="43" t="s">
        <v>234</v>
      </c>
      <c r="C1181" s="43" t="s">
        <v>267</v>
      </c>
      <c r="D1181" s="60"/>
      <c r="E1181" s="40"/>
      <c r="F1181" s="40"/>
      <c r="G1181" s="40"/>
      <c r="H1181" s="40"/>
      <c r="I1181" s="44">
        <f>SUM(H1182:H1182)</f>
        <v>0</v>
      </c>
      <c r="J1181" s="45" t="s">
        <v>345</v>
      </c>
    </row>
    <row r="1182" spans="2:10" s="1" customFormat="1" ht="12.75" x14ac:dyDescent="0.2">
      <c r="B1182" s="43"/>
      <c r="C1182" s="77"/>
      <c r="D1182" s="60">
        <v>0</v>
      </c>
      <c r="E1182" s="40"/>
      <c r="F1182" s="40"/>
      <c r="G1182" s="40"/>
      <c r="H1182" s="40">
        <f>+D1182</f>
        <v>0</v>
      </c>
      <c r="I1182" s="44"/>
      <c r="J1182" s="45"/>
    </row>
    <row r="1183" spans="2:10" s="1" customFormat="1" ht="12.75" x14ac:dyDescent="0.2">
      <c r="B1183" s="43" t="s">
        <v>268</v>
      </c>
      <c r="C1183" s="43" t="s">
        <v>347</v>
      </c>
      <c r="D1183" s="60"/>
      <c r="E1183" s="40"/>
      <c r="F1183" s="40"/>
      <c r="G1183" s="40"/>
      <c r="H1183" s="40"/>
      <c r="I1183" s="44">
        <f>SUM(H1184:H1185)</f>
        <v>70.5</v>
      </c>
      <c r="J1183" s="45" t="s">
        <v>345</v>
      </c>
    </row>
    <row r="1184" spans="2:10" s="1" customFormat="1" ht="12.75" x14ac:dyDescent="0.2">
      <c r="B1184" s="57"/>
      <c r="C1184" s="39" t="s">
        <v>772</v>
      </c>
      <c r="D1184" s="60">
        <v>4</v>
      </c>
      <c r="E1184" s="40">
        <v>14.8</v>
      </c>
      <c r="F1184" s="40"/>
      <c r="G1184" s="40"/>
      <c r="H1184" s="40">
        <f t="shared" ref="H1184:H1185" si="70">IF(AND(F1184=0,G1184=0),D1184*E1184,IF(AND(E1184=0,G1184=0),D1184*F1184,IF(AND(E1184=0,F1184=0),D1184*G1184,IF(AND(E1184=0),D1184*F1184*G1184,IF(AND(F1184=0),D1184*E1184*G1184,IF(AND(G1184=0),D1184*E1184*F1184,D1184*E1184*F1184*G1184))))))</f>
        <v>59.2</v>
      </c>
      <c r="I1184" s="40"/>
      <c r="J1184" s="41" t="s">
        <v>345</v>
      </c>
    </row>
    <row r="1185" spans="1:10" s="1" customFormat="1" ht="12.75" x14ac:dyDescent="0.2">
      <c r="B1185" s="57"/>
      <c r="C1185" s="39" t="s">
        <v>451</v>
      </c>
      <c r="D1185" s="60">
        <v>1</v>
      </c>
      <c r="E1185" s="89">
        <v>11.3</v>
      </c>
      <c r="F1185" s="40"/>
      <c r="G1185" s="40"/>
      <c r="H1185" s="40">
        <f t="shared" si="70"/>
        <v>11.3</v>
      </c>
      <c r="I1185" s="40"/>
      <c r="J1185" s="41" t="s">
        <v>345</v>
      </c>
    </row>
    <row r="1186" spans="1:10" s="1" customFormat="1" ht="12.75" x14ac:dyDescent="0.2">
      <c r="B1186" s="57"/>
      <c r="C1186" s="39" t="s">
        <v>660</v>
      </c>
      <c r="D1186" s="60">
        <v>1</v>
      </c>
      <c r="E1186" s="89">
        <v>4.6500000000000004</v>
      </c>
      <c r="F1186" s="40"/>
      <c r="G1186" s="40"/>
      <c r="H1186" s="40"/>
      <c r="I1186" s="40"/>
      <c r="J1186" s="41"/>
    </row>
    <row r="1187" spans="1:10" s="1" customFormat="1" ht="12.75" x14ac:dyDescent="0.2">
      <c r="B1187" s="57"/>
      <c r="C1187" s="39"/>
      <c r="D1187" s="60"/>
      <c r="E1187" s="40"/>
      <c r="F1187" s="40"/>
      <c r="G1187" s="40"/>
      <c r="H1187" s="40"/>
      <c r="I1187" s="40"/>
      <c r="J1187" s="41"/>
    </row>
    <row r="1188" spans="1:10" s="1" customFormat="1" ht="12.75" x14ac:dyDescent="0.2">
      <c r="B1188" s="43" t="s">
        <v>270</v>
      </c>
      <c r="C1188" s="43" t="s">
        <v>269</v>
      </c>
      <c r="D1188" s="60"/>
      <c r="E1188" s="40"/>
      <c r="F1188" s="40"/>
      <c r="G1188" s="40"/>
      <c r="H1188" s="40"/>
      <c r="I1188" s="44">
        <f>SUM(H1189:H1189)</f>
        <v>0</v>
      </c>
      <c r="J1188" s="45"/>
    </row>
    <row r="1189" spans="1:10" s="1" customFormat="1" ht="12.75" x14ac:dyDescent="0.2">
      <c r="B1189" s="43"/>
      <c r="C1189" s="77"/>
      <c r="D1189" s="40"/>
      <c r="E1189" s="40"/>
      <c r="F1189" s="40"/>
      <c r="G1189" s="40"/>
      <c r="H1189" s="40">
        <f t="shared" ref="H1189" si="71">IF(AND(F1189=0,G1189=0),D1189*E1189,IF(AND(E1189=0,G1189=0),D1189*F1189,IF(AND(E1189=0,F1189=0),D1189*G1189,IF(AND(E1189=0),D1189*F1189*G1189,IF(AND(F1189=0),D1189*E1189*G1189,IF(AND(G1189=0),D1189*E1189*F1189,D1189*E1189*F1189*G1189))))))</f>
        <v>0</v>
      </c>
      <c r="I1189" s="40"/>
      <c r="J1189" s="41" t="str">
        <f t="shared" ref="J1189" si="72">IF(AND(E1189=0,F1189&lt;&gt;0,G1189&lt;&gt;0),"m2",IF(AND(F1189=0,E1189&lt;&gt;0,G1189&lt;&gt;0),"m2",IF(AND(G1189=0,E1189&lt;&gt;0,F1189&lt;&gt;0),"m2",IF(AND(F1189=0,G1189=0),"ml",IF(AND(E1189=0,G1189=0),"ml",IF(AND(E1189=0,F1189=0),"ml",IF(AND(E1189&lt;&gt;0,F1189&lt;&gt;0,G1189&lt;&gt;0),"m3",0)))))))</f>
        <v>ml</v>
      </c>
    </row>
    <row r="1190" spans="1:10" s="1" customFormat="1" ht="12.75" x14ac:dyDescent="0.2">
      <c r="B1190" s="43"/>
      <c r="I1190" s="40"/>
      <c r="J1190" s="41"/>
    </row>
    <row r="1191" spans="1:10" s="1" customFormat="1" ht="12.75" x14ac:dyDescent="0.2">
      <c r="B1191" s="43" t="s">
        <v>342</v>
      </c>
      <c r="C1191" s="43" t="s">
        <v>271</v>
      </c>
      <c r="D1191" s="60"/>
      <c r="E1191" s="40"/>
      <c r="F1191" s="40"/>
      <c r="G1191" s="40"/>
      <c r="H1191" s="40"/>
      <c r="I1191" s="44">
        <f>SUM(H1192:H1193)</f>
        <v>5</v>
      </c>
      <c r="J1191" s="45" t="str">
        <f>+J1192</f>
        <v>und</v>
      </c>
    </row>
    <row r="1192" spans="1:10" s="1" customFormat="1" ht="12.75" x14ac:dyDescent="0.2">
      <c r="B1192" s="57"/>
      <c r="C1192" s="39" t="s">
        <v>370</v>
      </c>
      <c r="D1192" s="40">
        <v>4</v>
      </c>
      <c r="E1192" s="40"/>
      <c r="F1192" s="40"/>
      <c r="G1192" s="40"/>
      <c r="H1192" s="40">
        <f>+D1192</f>
        <v>4</v>
      </c>
      <c r="I1192" s="40"/>
      <c r="J1192" s="41" t="s">
        <v>13</v>
      </c>
    </row>
    <row r="1193" spans="1:10" s="1" customFormat="1" ht="12.75" x14ac:dyDescent="0.2">
      <c r="B1193" s="57"/>
      <c r="C1193" s="39" t="s">
        <v>642</v>
      </c>
      <c r="D1193" s="60">
        <v>1</v>
      </c>
      <c r="E1193" s="40"/>
      <c r="F1193" s="40"/>
      <c r="G1193" s="40"/>
      <c r="H1193" s="40">
        <v>1</v>
      </c>
      <c r="I1193" s="40"/>
      <c r="J1193" s="41"/>
    </row>
    <row r="1194" spans="1:10" s="1" customFormat="1" ht="12.75" x14ac:dyDescent="0.2">
      <c r="B1194" s="43" t="s">
        <v>346</v>
      </c>
      <c r="C1194" s="43" t="s">
        <v>348</v>
      </c>
      <c r="D1194" s="60"/>
      <c r="E1194" s="40"/>
      <c r="F1194" s="40"/>
      <c r="G1194" s="40"/>
      <c r="H1194" s="40"/>
      <c r="I1194" s="44">
        <f>SUM(H1195:H1196)</f>
        <v>5</v>
      </c>
      <c r="J1194" s="45" t="str">
        <f>+J1195</f>
        <v>und</v>
      </c>
    </row>
    <row r="1195" spans="1:10" s="1" customFormat="1" ht="12.75" x14ac:dyDescent="0.2">
      <c r="B1195" s="57"/>
      <c r="C1195" s="39" t="s">
        <v>349</v>
      </c>
      <c r="D1195" s="40">
        <v>4</v>
      </c>
      <c r="E1195" s="40"/>
      <c r="F1195" s="40"/>
      <c r="G1195" s="40"/>
      <c r="H1195" s="40">
        <f>+D1195</f>
        <v>4</v>
      </c>
      <c r="I1195" s="40"/>
      <c r="J1195" s="41" t="s">
        <v>13</v>
      </c>
    </row>
    <row r="1196" spans="1:10" s="1" customFormat="1" ht="12.75" x14ac:dyDescent="0.2">
      <c r="B1196" s="57"/>
      <c r="C1196" s="39" t="s">
        <v>642</v>
      </c>
      <c r="D1196" s="60">
        <v>1</v>
      </c>
      <c r="E1196" s="40"/>
      <c r="F1196" s="40"/>
      <c r="G1196" s="40"/>
      <c r="H1196" s="40">
        <v>1</v>
      </c>
      <c r="I1196" s="40"/>
      <c r="J1196" s="41"/>
    </row>
    <row r="1197" spans="1:10" s="1" customFormat="1" ht="12.75" x14ac:dyDescent="0.2">
      <c r="B1197" s="57" t="s">
        <v>16</v>
      </c>
      <c r="C1197" s="58" t="s">
        <v>224</v>
      </c>
      <c r="D1197" s="60"/>
      <c r="E1197" s="40"/>
      <c r="F1197" s="40"/>
      <c r="G1197" s="40"/>
      <c r="H1197" s="40"/>
      <c r="I1197" s="40"/>
      <c r="J1197" s="41"/>
    </row>
    <row r="1198" spans="1:10" s="1" customFormat="1" ht="12.75" x14ac:dyDescent="0.2">
      <c r="B1198" s="43" t="s">
        <v>17</v>
      </c>
      <c r="C1198" s="43" t="s">
        <v>343</v>
      </c>
      <c r="D1198" s="60"/>
      <c r="E1198" s="40"/>
      <c r="F1198" s="40"/>
      <c r="G1198" s="40"/>
      <c r="H1198" s="40"/>
      <c r="I1198" s="44">
        <f>SUM(H1199:H1199)</f>
        <v>0</v>
      </c>
      <c r="J1198" s="45" t="str">
        <f>+J1199</f>
        <v>ml</v>
      </c>
    </row>
    <row r="1199" spans="1:10" s="1" customFormat="1" ht="12.75" x14ac:dyDescent="0.2">
      <c r="A1199" s="111"/>
      <c r="B1199" s="57"/>
      <c r="C1199" s="39" t="s">
        <v>344</v>
      </c>
      <c r="D1199" s="40"/>
      <c r="E1199" s="40"/>
      <c r="F1199" s="40"/>
      <c r="G1199" s="40"/>
      <c r="H1199" s="40">
        <f>IF(AND(F1199=0,G1199=0),D1199*E1199,IF(AND(E1199=0,G1199=0),D1199*F1199,IF(AND(E1199=0,F1199=0),D1199*G1199,IF(AND(E1199=0),D1199*F1199*G1199,IF(AND(F1199=0),D1199*E1199*G1199,IF(AND(G1199=0),D1199*E1199*F1199,D1199*E1199*F1199*G1199))))))</f>
        <v>0</v>
      </c>
      <c r="I1199" s="40"/>
      <c r="J1199" s="41" t="str">
        <f>IF(AND(E1199=0,F1199&lt;&gt;0,G1199&lt;&gt;0),"m2",IF(AND(F1199=0,E1199&lt;&gt;0,G1199&lt;&gt;0),"m2",IF(AND(G1199=0,E1199&lt;&gt;0,F1199&lt;&gt;0),"m2",IF(AND(F1199=0,G1199=0),"ml",IF(AND(E1199=0,G1199=0),"ml",IF(AND(E1199=0,F1199=0),"ml",IF(AND(E1199&lt;&gt;0,F1199&lt;&gt;0,G1199&lt;&gt;0),"m3",0)))))))</f>
        <v>ml</v>
      </c>
    </row>
    <row r="1200" spans="1:10" s="1" customFormat="1" ht="12.75" x14ac:dyDescent="0.2">
      <c r="A1200" s="111"/>
      <c r="B1200" s="43" t="s">
        <v>240</v>
      </c>
      <c r="C1200" s="43" t="s">
        <v>237</v>
      </c>
      <c r="D1200" s="60"/>
      <c r="E1200" s="40"/>
      <c r="F1200" s="40"/>
      <c r="G1200" s="40"/>
      <c r="H1200" s="40"/>
      <c r="I1200" s="44">
        <f>SUM(H1201:H1202)</f>
        <v>26.4</v>
      </c>
      <c r="J1200" s="45" t="str">
        <f>+J1205</f>
        <v>ml</v>
      </c>
    </row>
    <row r="1201" spans="2:10" s="1" customFormat="1" ht="12.75" x14ac:dyDescent="0.2">
      <c r="B1201" s="57"/>
      <c r="C1201" s="39" t="s">
        <v>686</v>
      </c>
      <c r="D1201" s="60">
        <v>1</v>
      </c>
      <c r="E1201" s="40">
        <v>9</v>
      </c>
      <c r="F1201" s="40"/>
      <c r="G1201" s="40"/>
      <c r="H1201" s="40">
        <f>IF(AND(F1201=0,G1201=0),D1201*E1201,IF(AND(E1201=0,G1201=0),D1201*F1201,IF(AND(E1201=0,F1201=0),D1201*G1201,IF(AND(E1201=0),D1201*F1201*G1201,IF(AND(F1201=0),D1201*E1201*G1201,IF(AND(G1201=0),D1201*E1201*F1201,D1201*E1201*F1201*G1201))))))</f>
        <v>9</v>
      </c>
      <c r="I1201" s="40"/>
      <c r="J1201" s="41" t="str">
        <f>IF(AND(E1201=0,F1201&lt;&gt;0,G1201&lt;&gt;0),"m2",IF(AND(F1201=0,E1201&lt;&gt;0,G1201&lt;&gt;0),"m2",IF(AND(G1201=0,E1201&lt;&gt;0,F1201&lt;&gt;0),"m2",IF(AND(F1201=0,G1201=0),"ml",IF(AND(E1201=0,G1201=0),"ml",IF(AND(E1201=0,F1201=0),"ml",IF(AND(E1201&lt;&gt;0,F1201&lt;&gt;0,G1201&lt;&gt;0),"m3",0)))))))</f>
        <v>ml</v>
      </c>
    </row>
    <row r="1202" spans="2:10" s="1" customFormat="1" ht="12.75" x14ac:dyDescent="0.2">
      <c r="B1202" s="60"/>
      <c r="C1202" s="39" t="s">
        <v>687</v>
      </c>
      <c r="D1202" s="60">
        <v>1</v>
      </c>
      <c r="E1202" s="40">
        <v>17.399999999999999</v>
      </c>
      <c r="F1202" s="40"/>
      <c r="G1202" s="40"/>
      <c r="H1202" s="40">
        <f>IF(AND(F1202=0,G1202=0),D1202*E1202,IF(AND(E1202=0,G1202=0),D1202*F1202,IF(AND(E1202=0,F1202=0),D1202*G1202,IF(AND(E1202=0),D1202*F1202*G1202,IF(AND(F1202=0),D1202*E1202*G1202,IF(AND(G1202=0),D1202*E1202*F1202,D1202*E1202*F1202*G1202))))))</f>
        <v>17.399999999999999</v>
      </c>
      <c r="I1202" s="44"/>
      <c r="J1202" s="45"/>
    </row>
    <row r="1203" spans="2:10" s="1" customFormat="1" ht="12.75" x14ac:dyDescent="0.2">
      <c r="B1203" s="60"/>
      <c r="C1203" s="39"/>
      <c r="D1203" s="60"/>
      <c r="E1203" s="86"/>
      <c r="F1203" s="40"/>
      <c r="G1203" s="40"/>
      <c r="H1203" s="40"/>
      <c r="I1203" s="44"/>
      <c r="J1203" s="45"/>
    </row>
    <row r="1204" spans="2:10" s="1" customFormat="1" ht="12.75" x14ac:dyDescent="0.2">
      <c r="B1204" s="43" t="s">
        <v>241</v>
      </c>
      <c r="C1204" s="43" t="s">
        <v>239</v>
      </c>
      <c r="D1204" s="60"/>
      <c r="E1204" s="40"/>
      <c r="F1204" s="40"/>
      <c r="G1204" s="40"/>
      <c r="H1204" s="40"/>
      <c r="I1204" s="44">
        <f>SUM(H1205:H1205)</f>
        <v>2</v>
      </c>
      <c r="J1204" s="45" t="str">
        <f>+J1209</f>
        <v>ml</v>
      </c>
    </row>
    <row r="1205" spans="2:10" s="1" customFormat="1" ht="12.75" x14ac:dyDescent="0.2">
      <c r="B1205" s="57"/>
      <c r="C1205" s="39" t="s">
        <v>435</v>
      </c>
      <c r="D1205" s="60">
        <v>1</v>
      </c>
      <c r="E1205" s="40">
        <v>2</v>
      </c>
      <c r="F1205" s="40"/>
      <c r="G1205" s="40"/>
      <c r="H1205" s="40">
        <f>IF(AND(F1205=0,G1205=0),D1205*E1205,IF(AND(E1205=0,G1205=0),D1205*F1205,IF(AND(E1205=0,F1205=0),D1205*G1205,IF(AND(E1205=0),D1205*F1205*G1205,IF(AND(F1205=0),D1205*E1205*G1205,IF(AND(G1205=0),D1205*E1205*F1205,D1205*E1205*F1205*G1205))))))</f>
        <v>2</v>
      </c>
      <c r="I1205" s="40"/>
      <c r="J1205" s="41" t="str">
        <f>IF(AND(E1205=0,F1205&lt;&gt;0,G1205&lt;&gt;0),"m2",IF(AND(F1205=0,E1205&lt;&gt;0,G1205&lt;&gt;0),"m2",IF(AND(G1205=0,E1205&lt;&gt;0,F1205&lt;&gt;0),"m2",IF(AND(F1205=0,G1205=0),"ml",IF(AND(E1205=0,G1205=0),"ml",IF(AND(E1205=0,F1205=0),"ml",IF(AND(E1205&lt;&gt;0,F1205&lt;&gt;0,G1205&lt;&gt;0),"m3",0)))))))</f>
        <v>ml</v>
      </c>
    </row>
    <row r="1206" spans="2:10" s="1" customFormat="1" ht="12.75" x14ac:dyDescent="0.2">
      <c r="B1206" s="57"/>
      <c r="C1206" s="39"/>
      <c r="D1206" s="60"/>
      <c r="E1206" s="86"/>
      <c r="F1206" s="40"/>
      <c r="G1206" s="40"/>
      <c r="H1206" s="40"/>
      <c r="I1206" s="44"/>
      <c r="J1206" s="45"/>
    </row>
    <row r="1207" spans="2:10" s="1" customFormat="1" ht="12.75" x14ac:dyDescent="0.2">
      <c r="B1207" s="43" t="s">
        <v>243</v>
      </c>
      <c r="C1207" s="43" t="s">
        <v>242</v>
      </c>
      <c r="D1207" s="40"/>
      <c r="E1207" s="40"/>
      <c r="F1207" s="40"/>
      <c r="G1207" s="40"/>
      <c r="H1207" s="40"/>
      <c r="I1207" s="40"/>
      <c r="J1207" s="41" t="str">
        <f>IF(AND(E1207=0,F1207&lt;&gt;0,G1207&lt;&gt;0),"m2",IF(AND(F1207=0,E1207&lt;&gt;0,G1207&lt;&gt;0),"m2",IF(AND(G1207=0,E1207&lt;&gt;0,F1207&lt;&gt;0),"m2",IF(AND(F1207=0,G1207=0),"ml",IF(AND(E1207=0,G1207=0),"ml",IF(AND(E1207=0,F1207=0),"ml",IF(AND(E1207&lt;&gt;0,F1207&lt;&gt;0,G1207&lt;&gt;0),"m3",0)))))))</f>
        <v>ml</v>
      </c>
    </row>
    <row r="1208" spans="2:10" s="1" customFormat="1" ht="12.75" x14ac:dyDescent="0.2">
      <c r="B1208" s="57"/>
      <c r="C1208" s="39" t="s">
        <v>401</v>
      </c>
      <c r="D1208" s="60"/>
      <c r="E1208" s="40"/>
      <c r="F1208" s="40"/>
      <c r="G1208" s="40"/>
      <c r="H1208" s="40"/>
      <c r="J1208" s="45" t="str">
        <f>+J1209</f>
        <v>ml</v>
      </c>
    </row>
    <row r="1209" spans="2:10" s="1" customFormat="1" ht="12.75" x14ac:dyDescent="0.2">
      <c r="B1209" s="43" t="s">
        <v>244</v>
      </c>
      <c r="C1209" s="43" t="s">
        <v>245</v>
      </c>
      <c r="D1209" s="60"/>
      <c r="E1209" s="40"/>
      <c r="F1209" s="40"/>
      <c r="G1209" s="40"/>
      <c r="H1209" s="40"/>
      <c r="I1209" s="44">
        <f>SUM(H1210:H1211)</f>
        <v>26.4</v>
      </c>
      <c r="J1209" s="41" t="str">
        <f>IF(AND(E1209=0,F1209&lt;&gt;0,G1209&lt;&gt;0),"m2",IF(AND(F1209=0,E1209&lt;&gt;0,G1209&lt;&gt;0),"m2",IF(AND(G1209=0,E1209&lt;&gt;0,F1209&lt;&gt;0),"m2",IF(AND(F1209=0,G1209=0),"ml",IF(AND(E1209=0,G1209=0),"ml",IF(AND(E1209=0,F1209=0),"ml",IF(AND(E1209&lt;&gt;0,F1209&lt;&gt;0,G1209&lt;&gt;0),"m3",0)))))))</f>
        <v>ml</v>
      </c>
    </row>
    <row r="1210" spans="2:10" s="1" customFormat="1" ht="12.75" x14ac:dyDescent="0.2">
      <c r="B1210" s="57"/>
      <c r="C1210" s="39" t="s">
        <v>686</v>
      </c>
      <c r="D1210" s="60">
        <v>1</v>
      </c>
      <c r="E1210" s="40">
        <v>9</v>
      </c>
      <c r="F1210" s="40"/>
      <c r="G1210" s="40"/>
      <c r="H1210" s="40">
        <f>IF(AND(F1210=0,G1210=0),D1210*E1210,IF(AND(E1210=0,G1210=0),D1210*F1210,IF(AND(E1210=0,F1210=0),D1210*G1210,IF(AND(E1210=0),D1210*F1210*G1210,IF(AND(F1210=0),D1210*E1210*G1210,IF(AND(G1210=0),D1210*E1210*F1210,D1210*E1210*F1210*G1210))))))</f>
        <v>9</v>
      </c>
      <c r="I1210" s="40"/>
      <c r="J1210" s="41"/>
    </row>
    <row r="1211" spans="2:10" s="1" customFormat="1" ht="12.75" x14ac:dyDescent="0.2">
      <c r="B1211" s="57"/>
      <c r="C1211" s="39" t="s">
        <v>687</v>
      </c>
      <c r="D1211" s="60">
        <v>1</v>
      </c>
      <c r="E1211" s="40">
        <v>17.399999999999999</v>
      </c>
      <c r="F1211" s="40"/>
      <c r="G1211" s="40"/>
      <c r="H1211" s="40">
        <f>IF(AND(F1211=0,G1211=0),D1211*E1211,IF(AND(E1211=0,G1211=0),D1211*F1211,IF(AND(E1211=0,F1211=0),D1211*G1211,IF(AND(E1211=0),D1211*F1211*G1211,IF(AND(F1211=0),D1211*E1211*G1211,IF(AND(G1211=0),D1211*E1211*F1211,D1211*E1211*F1211*G1211))))))</f>
        <v>17.399999999999999</v>
      </c>
    </row>
    <row r="1212" spans="2:10" s="1" customFormat="1" ht="12.75" x14ac:dyDescent="0.2">
      <c r="B1212" s="43" t="s">
        <v>248</v>
      </c>
      <c r="C1212" s="43" t="s">
        <v>246</v>
      </c>
      <c r="D1212" s="40"/>
      <c r="E1212" s="40"/>
      <c r="F1212" s="40"/>
      <c r="G1212" s="40"/>
      <c r="H1212" s="40"/>
      <c r="I1212" s="44">
        <f>SUM(H1213:H1214)</f>
        <v>11.3</v>
      </c>
      <c r="J1212" s="45" t="str">
        <f>+J1213</f>
        <v>ml</v>
      </c>
    </row>
    <row r="1213" spans="2:10" s="1" customFormat="1" ht="12.75" x14ac:dyDescent="0.2">
      <c r="B1213" s="57"/>
      <c r="C1213" s="39" t="s">
        <v>435</v>
      </c>
      <c r="D1213" s="60">
        <v>1</v>
      </c>
      <c r="E1213" s="40">
        <v>2</v>
      </c>
      <c r="F1213" s="40"/>
      <c r="G1213" s="40"/>
      <c r="H1213" s="40">
        <f>IF(AND(F1213=0,G1213=0),D1213*E1213,IF(AND(E1213=0,G1213=0),D1213*F1213,IF(AND(E1213=0,F1213=0),D1213*G1213,IF(AND(E1213=0),D1213*F1213*G1213,IF(AND(F1213=0),D1213*E1213*G1213,IF(AND(G1213=0),D1213*E1213*F1213,D1213*E1213*F1213*G1213))))))</f>
        <v>2</v>
      </c>
      <c r="I1213" s="44"/>
      <c r="J1213" s="41" t="str">
        <f>IF(AND(E1212=0,F1212&lt;&gt;0,G1212&lt;&gt;0),"m2",IF(AND(F1212=0,E1212&lt;&gt;0,G1212&lt;&gt;0),"m2",IF(AND(G1212=0,E1212&lt;&gt;0,F1212&lt;&gt;0),"m2",IF(AND(F1212=0,G1212=0),"ml",IF(AND(E1212=0,G1212=0),"ml",IF(AND(E1212=0,F1212=0),"ml",IF(AND(E1212&lt;&gt;0,F1212&lt;&gt;0,G1212&lt;&gt;0),"m3",0)))))))</f>
        <v>ml</v>
      </c>
    </row>
    <row r="1214" spans="2:10" s="1" customFormat="1" ht="12.75" x14ac:dyDescent="0.2">
      <c r="B1214" s="57"/>
      <c r="C1214" s="39" t="s">
        <v>684</v>
      </c>
      <c r="D1214" s="8">
        <v>1</v>
      </c>
      <c r="E1214" s="86">
        <v>9.3000000000000007</v>
      </c>
      <c r="F1214" s="40"/>
      <c r="G1214" s="40"/>
      <c r="H1214" s="40">
        <f>IF(AND(F1214=0,G1214=0),D1214*E1214,IF(AND(E1214=0,G1214=0),D1214*F1214,IF(AND(E1214=0,F1214=0),D1214*G1214,IF(AND(E1214=0),D1214*F1214*G1214,IF(AND(F1214=0),D1214*E1214*G1214,IF(AND(G1214=0),D1214*E1214*F1214,D1214*E1214*F1214*G1214))))))</f>
        <v>9.3000000000000007</v>
      </c>
      <c r="I1214" s="44"/>
      <c r="J1214" s="45"/>
    </row>
    <row r="1215" spans="2:10" s="1" customFormat="1" ht="12.75" x14ac:dyDescent="0.2">
      <c r="B1215" s="57"/>
      <c r="C1215" s="39"/>
      <c r="D1215" s="60"/>
      <c r="E1215" s="40"/>
      <c r="F1215" s="40"/>
      <c r="G1215" s="40"/>
      <c r="H1215" s="40"/>
      <c r="I1215" s="44">
        <f>SUM(H1216:H1216)</f>
        <v>0</v>
      </c>
      <c r="J1215" s="45" t="str">
        <f>+J1216</f>
        <v>ml</v>
      </c>
    </row>
    <row r="1216" spans="2:10" s="1" customFormat="1" ht="12.75" x14ac:dyDescent="0.2">
      <c r="B1216" s="43" t="s">
        <v>249</v>
      </c>
      <c r="C1216" s="43" t="s">
        <v>247</v>
      </c>
      <c r="D1216" s="40"/>
      <c r="E1216" s="40"/>
      <c r="F1216" s="40"/>
      <c r="G1216" s="40"/>
      <c r="H1216" s="40">
        <f>IF(AND(F1216=0,G1216=0),D1216*E1216,IF(AND(E1216=0,G1216=0),D1216*F1216,IF(AND(E1216=0,F1216=0),D1216*G1216,IF(AND(E1216=0),D1216*F1216*G1216,IF(AND(F1216=0),D1216*E1216*G1216,IF(AND(G1216=0),D1216*E1216*F1216,D1216*E1216*F1216*G1216))))))</f>
        <v>0</v>
      </c>
      <c r="I1216" s="40"/>
      <c r="J1216" s="41" t="str">
        <f>IF(AND(E1216=0,F1216&lt;&gt;0,G1216&lt;&gt;0),"m2",IF(AND(F1216=0,E1216&lt;&gt;0,G1216&lt;&gt;0),"m2",IF(AND(G1216=0,E1216&lt;&gt;0,F1216&lt;&gt;0),"m2",IF(AND(F1216=0,G1216=0),"ml",IF(AND(E1216=0,G1216=0),"ml",IF(AND(E1216=0,F1216=0),"ml",IF(AND(E1216&lt;&gt;0,F1216&lt;&gt;0,G1216&lt;&gt;0),"m3",0)))))))</f>
        <v>ml</v>
      </c>
    </row>
    <row r="1217" spans="2:10" s="1" customFormat="1" ht="12.75" x14ac:dyDescent="0.2">
      <c r="B1217" s="57"/>
      <c r="C1217" s="39" t="s">
        <v>396</v>
      </c>
      <c r="D1217" s="60"/>
      <c r="E1217" s="40"/>
      <c r="F1217" s="40"/>
      <c r="G1217" s="40"/>
      <c r="H1217" s="40"/>
      <c r="I1217" s="44">
        <f>SUM(H1218:H1219)</f>
        <v>0</v>
      </c>
      <c r="J1217" s="45" t="str">
        <f>+J1219</f>
        <v>ml</v>
      </c>
    </row>
    <row r="1218" spans="2:10" s="1" customFormat="1" ht="12.75" x14ac:dyDescent="0.2">
      <c r="B1218" s="43" t="s">
        <v>256</v>
      </c>
      <c r="C1218" s="43" t="s">
        <v>226</v>
      </c>
      <c r="D1218" s="40"/>
      <c r="E1218" s="40"/>
      <c r="F1218" s="40"/>
      <c r="G1218" s="40"/>
      <c r="H1218" s="40">
        <f>IF(AND(F1218=0,G1218=0),D1218*E1218,IF(AND(E1218=0,G1218=0),D1218*F1218,IF(AND(E1218=0,F1218=0),D1218*G1218,IF(AND(E1218=0),D1218*F1218*G1218,IF(AND(F1218=0),D1218*E1218*G1218,IF(AND(G1218=0),D1218*E1218*F1218,D1218*E1218*F1218*G1218))))))</f>
        <v>0</v>
      </c>
      <c r="I1218" s="40"/>
      <c r="J1218" s="41" t="str">
        <f>IF(AND(E1218=0,F1218&lt;&gt;0,G1218&lt;&gt;0),"m2",IF(AND(F1218=0,E1218&lt;&gt;0,G1218&lt;&gt;0),"m2",IF(AND(G1218=0,E1218&lt;&gt;0,F1218&lt;&gt;0),"m2",IF(AND(F1218=0,G1218=0),"ml",IF(AND(E1218=0,G1218=0),"ml",IF(AND(E1218=0,F1218=0),"ml",IF(AND(E1218&lt;&gt;0,F1218&lt;&gt;0,G1218&lt;&gt;0),"m3",0)))))))</f>
        <v>ml</v>
      </c>
    </row>
    <row r="1219" spans="2:10" s="1" customFormat="1" ht="12.75" x14ac:dyDescent="0.2">
      <c r="B1219" s="43"/>
      <c r="C1219" s="39" t="s">
        <v>371</v>
      </c>
      <c r="D1219" s="40"/>
      <c r="E1219" s="40"/>
      <c r="F1219" s="40"/>
      <c r="G1219" s="40"/>
      <c r="H1219" s="40">
        <f>IF(AND(F1219=0,G1219=0),D1219*E1219,IF(AND(E1219=0,G1219=0),D1219*F1219,IF(AND(E1219=0,F1219=0),D1219*G1219,IF(AND(E1219=0),D1219*F1219*G1219,IF(AND(F1219=0),D1219*E1219*G1219,IF(AND(G1219=0),D1219*E1219*F1219,D1219*E1219*F1219*G1219))))))</f>
        <v>0</v>
      </c>
      <c r="I1219" s="40"/>
      <c r="J1219" s="41" t="str">
        <f>IF(AND(E1219=0,F1219&lt;&gt;0,G1219&lt;&gt;0),"m2",IF(AND(F1219=0,E1219&lt;&gt;0,G1219&lt;&gt;0),"m2",IF(AND(G1219=0,E1219&lt;&gt;0,F1219&lt;&gt;0),"m2",IF(AND(F1219=0,G1219=0),"ml",IF(AND(E1219=0,G1219=0),"ml",IF(AND(E1219=0,F1219=0),"ml",IF(AND(E1219&lt;&gt;0,F1219&lt;&gt;0,G1219&lt;&gt;0),"m3",0)))))))</f>
        <v>ml</v>
      </c>
    </row>
    <row r="1220" spans="2:10" s="1" customFormat="1" ht="12.75" x14ac:dyDescent="0.2">
      <c r="B1220" s="57"/>
      <c r="C1220" s="39" t="s">
        <v>371</v>
      </c>
    </row>
    <row r="1221" spans="2:10" s="1" customFormat="1" ht="12.75" x14ac:dyDescent="0.2">
      <c r="B1221" s="43" t="s">
        <v>597</v>
      </c>
      <c r="C1221" s="43" t="s">
        <v>490</v>
      </c>
      <c r="D1221" s="60"/>
      <c r="E1221" s="40"/>
      <c r="F1221" s="40"/>
      <c r="G1221" s="40"/>
      <c r="H1221" s="40"/>
      <c r="I1221" s="44">
        <f>SUM(H1222:H1222)</f>
        <v>7.3</v>
      </c>
      <c r="J1221" s="45" t="str">
        <f>+J1222</f>
        <v>ml</v>
      </c>
    </row>
    <row r="1222" spans="2:10" s="1" customFormat="1" ht="12.75" x14ac:dyDescent="0.2">
      <c r="B1222" s="57"/>
      <c r="C1222" s="39" t="s">
        <v>491</v>
      </c>
      <c r="D1222" s="40">
        <v>1</v>
      </c>
      <c r="E1222" s="40">
        <v>7.3</v>
      </c>
      <c r="F1222" s="40"/>
      <c r="G1222" s="40"/>
      <c r="H1222" s="40">
        <f>IF(AND(F1222=0,G1222=0),D1222*E1222,IF(AND(E1222=0,G1222=0),D1222*F1222,IF(AND(E1222=0,F1222=0),D1222*G1222,IF(AND(E1222=0),D1222*F1222*G1222,IF(AND(F1222=0),D1222*E1222*G1222,IF(AND(G1222=0),D1222*E1222*F1222,D1222*E1222*F1222*G1222))))))</f>
        <v>7.3</v>
      </c>
      <c r="I1222" s="40"/>
      <c r="J1222" s="41" t="str">
        <f>IF(AND(E1222=0,F1222&lt;&gt;0,G1222&lt;&gt;0),"m2",IF(AND(F1222=0,E1222&lt;&gt;0,G1222&lt;&gt;0),"m2",IF(AND(G1222=0,E1222&lt;&gt;0,F1222&lt;&gt;0),"m2",IF(AND(F1222=0,G1222=0),"ml",IF(AND(E1222=0,G1222=0),"ml",IF(AND(E1222=0,F1222=0),"ml",IF(AND(E1222&lt;&gt;0,F1222&lt;&gt;0,G1222&lt;&gt;0),"m3",0)))))))</f>
        <v>ml</v>
      </c>
    </row>
    <row r="1223" spans="2:10" s="1" customFormat="1" ht="12.75" x14ac:dyDescent="0.2">
      <c r="B1223" s="57"/>
      <c r="C1223" s="39"/>
      <c r="D1223" s="60"/>
      <c r="E1223" s="40"/>
      <c r="F1223" s="40"/>
      <c r="G1223" s="40"/>
      <c r="H1223" s="40"/>
      <c r="I1223" s="40"/>
      <c r="J1223" s="41"/>
    </row>
    <row r="1224" spans="2:10" s="1" customFormat="1" ht="12.75" x14ac:dyDescent="0.2">
      <c r="B1224" s="43" t="s">
        <v>598</v>
      </c>
      <c r="C1224" s="43" t="s">
        <v>468</v>
      </c>
      <c r="D1224" s="60"/>
      <c r="E1224" s="40"/>
      <c r="F1224" s="40"/>
      <c r="G1224" s="40"/>
      <c r="H1224" s="40"/>
      <c r="I1224" s="44">
        <f>SUM(H1225:H1225)</f>
        <v>24.19</v>
      </c>
      <c r="J1224" s="45" t="s">
        <v>345</v>
      </c>
    </row>
    <row r="1225" spans="2:10" s="1" customFormat="1" ht="12.75" x14ac:dyDescent="0.2">
      <c r="B1225" s="57"/>
      <c r="C1225" s="39" t="s">
        <v>494</v>
      </c>
      <c r="D1225" s="1">
        <v>1</v>
      </c>
      <c r="E1225" s="40">
        <f>5.22+12.22+5.75+1</f>
        <v>24.19</v>
      </c>
      <c r="F1225" s="40"/>
      <c r="G1225" s="40"/>
      <c r="H1225" s="40">
        <f>IF(AND(F1225=0,G1225=0),D1225*E1225,IF(AND(E1225=0,G1225=0),D1225*F1225,IF(AND(E1225=0,F1225=0),D1225*G1225,IF(AND(E1225=0),D1225*F1225*G1225,IF(AND(F1225=0),D1225*E1225*G1225,IF(AND(G1225=0),D1225*E1225*F1225,D1225*E1225*F1225*G1225))))))</f>
        <v>24.19</v>
      </c>
      <c r="I1225" s="40"/>
      <c r="J1225" s="41"/>
    </row>
    <row r="1226" spans="2:10" s="1" customFormat="1" ht="12.75" x14ac:dyDescent="0.2">
      <c r="B1226" s="57"/>
      <c r="C1226" s="39"/>
      <c r="D1226" s="60"/>
      <c r="E1226" s="40"/>
      <c r="F1226" s="40"/>
      <c r="G1226" s="40"/>
      <c r="H1226" s="40"/>
      <c r="I1226" s="40"/>
      <c r="J1226" s="41"/>
    </row>
    <row r="1227" spans="2:10" s="1" customFormat="1" ht="12.75" x14ac:dyDescent="0.2">
      <c r="B1227" s="43" t="s">
        <v>257</v>
      </c>
      <c r="C1227" s="43" t="s">
        <v>228</v>
      </c>
      <c r="D1227" s="60"/>
      <c r="E1227" s="40"/>
      <c r="F1227" s="40"/>
      <c r="G1227" s="40"/>
      <c r="H1227" s="40"/>
      <c r="I1227" s="44">
        <f>SUM(H1228:H1228)</f>
        <v>0</v>
      </c>
      <c r="J1227" s="45" t="str">
        <f>+J1228</f>
        <v>ml</v>
      </c>
    </row>
    <row r="1228" spans="2:10" s="1" customFormat="1" ht="12.75" x14ac:dyDescent="0.2">
      <c r="B1228" s="57"/>
      <c r="C1228" s="39" t="s">
        <v>399</v>
      </c>
      <c r="D1228" s="40"/>
      <c r="E1228" s="40"/>
      <c r="F1228" s="40"/>
      <c r="G1228" s="40"/>
      <c r="H1228" s="40">
        <f>IF(AND(F1228=0,G1228=0),D1228*E1228,IF(AND(E1228=0,G1228=0),D1228*F1228,IF(AND(E1228=0,F1228=0),D1228*G1228,IF(AND(E1228=0),D1228*F1228*G1228,IF(AND(F1228=0),D1228*E1228*G1228,IF(AND(G1228=0),D1228*E1228*F1228,D1228*E1228*F1228*G1228))))))</f>
        <v>0</v>
      </c>
      <c r="I1228" s="40"/>
      <c r="J1228" s="41" t="str">
        <f>IF(AND(E1228=0,F1228&lt;&gt;0,G1228&lt;&gt;0),"m2",IF(AND(F1228=0,E1228&lt;&gt;0,G1228&lt;&gt;0),"m2",IF(AND(G1228=0,E1228&lt;&gt;0,F1228&lt;&gt;0),"m2",IF(AND(F1228=0,G1228=0),"ml",IF(AND(E1228=0,G1228=0),"ml",IF(AND(E1228=0,F1228=0),"ml",IF(AND(E1228&lt;&gt;0,F1228&lt;&gt;0,G1228&lt;&gt;0),"m3",0)))))))</f>
        <v>ml</v>
      </c>
    </row>
    <row r="1229" spans="2:10" s="1" customFormat="1" ht="12.75" x14ac:dyDescent="0.2">
      <c r="B1229" s="43" t="s">
        <v>258</v>
      </c>
      <c r="C1229" s="43" t="s">
        <v>250</v>
      </c>
      <c r="D1229" s="60"/>
      <c r="E1229" s="40"/>
      <c r="F1229" s="40"/>
      <c r="G1229" s="40"/>
      <c r="H1229" s="40"/>
      <c r="I1229" s="44">
        <f>SUM(H1230:H1230)</f>
        <v>25</v>
      </c>
      <c r="J1229" s="45" t="str">
        <f>+J1230</f>
        <v>ml</v>
      </c>
    </row>
    <row r="1230" spans="2:10" s="1" customFormat="1" ht="12.75" x14ac:dyDescent="0.2">
      <c r="B1230" s="57"/>
      <c r="C1230" s="39" t="s">
        <v>496</v>
      </c>
      <c r="D1230" s="40">
        <v>1</v>
      </c>
      <c r="E1230" s="40">
        <v>25</v>
      </c>
      <c r="F1230" s="40"/>
      <c r="G1230" s="40"/>
      <c r="H1230" s="40">
        <f>IF(AND(F1230=0,G1230=0),D1230*E1230,IF(AND(E1230=0,G1230=0),D1230*F1230,IF(AND(E1230=0,F1230=0),D1230*G1230,IF(AND(E1230=0),D1230*F1230*G1230,IF(AND(F1230=0),D1230*E1230*G1230,IF(AND(G1230=0),D1230*E1230*F1230,D1230*E1230*F1230*G1230))))))</f>
        <v>25</v>
      </c>
      <c r="I1230" s="40"/>
      <c r="J1230" s="41" t="str">
        <f>IF(AND(E1230=0,F1230&lt;&gt;0,G1230&lt;&gt;0),"m2",IF(AND(F1230=0,E1230&lt;&gt;0,G1230&lt;&gt;0),"m2",IF(AND(G1230=0,E1230&lt;&gt;0,F1230&lt;&gt;0),"m2",IF(AND(F1230=0,G1230=0),"ml",IF(AND(E1230=0,G1230=0),"ml",IF(AND(E1230=0,F1230=0),"ml",IF(AND(E1230&lt;&gt;0,F1230&lt;&gt;0,G1230&lt;&gt;0),"m3",0)))))))</f>
        <v>ml</v>
      </c>
    </row>
    <row r="1231" spans="2:10" s="1" customFormat="1" ht="12.75" x14ac:dyDescent="0.2">
      <c r="B1231" s="57"/>
      <c r="C1231" s="39"/>
      <c r="D1231" s="60"/>
      <c r="E1231" s="40"/>
      <c r="F1231" s="40"/>
      <c r="G1231" s="40"/>
      <c r="H1231" s="40"/>
      <c r="I1231" s="40"/>
      <c r="J1231" s="41"/>
    </row>
    <row r="1232" spans="2:10" s="1" customFormat="1" ht="12.75" x14ac:dyDescent="0.2">
      <c r="B1232" s="43" t="s">
        <v>259</v>
      </c>
      <c r="C1232" s="43" t="s">
        <v>251</v>
      </c>
      <c r="D1232" s="60"/>
      <c r="E1232" s="40"/>
      <c r="F1232" s="40"/>
      <c r="G1232" s="40"/>
      <c r="H1232" s="40"/>
      <c r="I1232" s="44">
        <f>SUM(H1233:H1233)</f>
        <v>0</v>
      </c>
      <c r="J1232" s="45" t="str">
        <f>+J1233</f>
        <v>ml</v>
      </c>
    </row>
    <row r="1233" spans="2:10" s="1" customFormat="1" ht="12.75" x14ac:dyDescent="0.2">
      <c r="B1233" s="57"/>
      <c r="C1233" s="39" t="s">
        <v>389</v>
      </c>
      <c r="D1233" s="40"/>
      <c r="E1233" s="40"/>
      <c r="F1233" s="40"/>
      <c r="G1233" s="40"/>
      <c r="H1233" s="40">
        <f>IF(AND(F1233=0,G1233=0),D1233*E1233,IF(AND(E1233=0,G1233=0),D1233*F1233,IF(AND(E1233=0,F1233=0),D1233*G1233,IF(AND(E1233=0),D1233*F1233*G1233,IF(AND(F1233=0),D1233*E1233*G1233,IF(AND(G1233=0),D1233*E1233*F1233,D1233*E1233*F1233*G1233))))))</f>
        <v>0</v>
      </c>
      <c r="I1233" s="40"/>
      <c r="J1233" s="41" t="str">
        <f>IF(AND(E1233=0,F1233&lt;&gt;0,G1233&lt;&gt;0),"m2",IF(AND(F1233=0,E1233&lt;&gt;0,G1233&lt;&gt;0),"m2",IF(AND(G1233=0,E1233&lt;&gt;0,F1233&lt;&gt;0),"m2",IF(AND(F1233=0,G1233=0),"ml",IF(AND(E1233=0,G1233=0),"ml",IF(AND(E1233=0,F1233=0),"ml",IF(AND(E1233&lt;&gt;0,F1233&lt;&gt;0,G1233&lt;&gt;0),"m3",0)))))))</f>
        <v>ml</v>
      </c>
    </row>
    <row r="1234" spans="2:10" s="1" customFormat="1" ht="12.75" x14ac:dyDescent="0.2">
      <c r="B1234" s="43" t="s">
        <v>260</v>
      </c>
      <c r="C1234" s="43" t="s">
        <v>252</v>
      </c>
      <c r="D1234" s="60"/>
      <c r="E1234" s="40"/>
      <c r="F1234" s="40"/>
      <c r="G1234" s="40"/>
      <c r="H1234" s="40"/>
      <c r="I1234" s="44">
        <f>SUM(H1235:H1235)</f>
        <v>0</v>
      </c>
      <c r="J1234" s="45" t="str">
        <f>+J1235</f>
        <v>ml</v>
      </c>
    </row>
    <row r="1235" spans="2:10" s="1" customFormat="1" ht="12.75" x14ac:dyDescent="0.2">
      <c r="B1235" s="57"/>
      <c r="C1235" s="39" t="s">
        <v>397</v>
      </c>
      <c r="D1235" s="40"/>
      <c r="E1235" s="40"/>
      <c r="F1235" s="40"/>
      <c r="G1235" s="40"/>
      <c r="H1235" s="40">
        <f>IF(AND(F1235=0,G1235=0),D1235*E1235,IF(AND(E1235=0,G1235=0),D1235*F1235,IF(AND(E1235=0,F1235=0),D1235*G1235,IF(AND(E1235=0),D1235*F1235*G1235,IF(AND(F1235=0),D1235*E1235*G1235,IF(AND(G1235=0),D1235*E1235*F1235,D1235*E1235*F1235*G1235))))))</f>
        <v>0</v>
      </c>
      <c r="I1235" s="40"/>
      <c r="J1235" s="41" t="str">
        <f>IF(AND(E1235=0,F1235&lt;&gt;0,G1235&lt;&gt;0),"m2",IF(AND(F1235=0,E1235&lt;&gt;0,G1235&lt;&gt;0),"m2",IF(AND(G1235=0,E1235&lt;&gt;0,F1235&lt;&gt;0),"m2",IF(AND(F1235=0,G1235=0),"ml",IF(AND(E1235=0,G1235=0),"ml",IF(AND(E1235=0,F1235=0),"ml",IF(AND(E1235&lt;&gt;0,F1235&lt;&gt;0,G1235&lt;&gt;0),"m3",0)))))))</f>
        <v>ml</v>
      </c>
    </row>
    <row r="1236" spans="2:10" s="1" customFormat="1" ht="12.75" x14ac:dyDescent="0.2">
      <c r="B1236" s="43" t="s">
        <v>261</v>
      </c>
      <c r="C1236" s="43" t="s">
        <v>253</v>
      </c>
      <c r="D1236" s="60"/>
      <c r="E1236" s="40"/>
      <c r="F1236" s="40"/>
      <c r="G1236" s="40"/>
      <c r="H1236" s="40"/>
      <c r="I1236" s="44">
        <f>SUM(H1237:H1237)</f>
        <v>0</v>
      </c>
      <c r="J1236" s="45" t="str">
        <f>+J1237</f>
        <v>und</v>
      </c>
    </row>
    <row r="1237" spans="2:10" s="1" customFormat="1" ht="12.75" x14ac:dyDescent="0.2">
      <c r="B1237" s="43"/>
      <c r="C1237" s="39" t="s">
        <v>402</v>
      </c>
      <c r="D1237" s="40"/>
      <c r="E1237" s="40"/>
      <c r="F1237" s="40"/>
      <c r="G1237" s="40"/>
      <c r="H1237" s="40">
        <f t="shared" ref="H1237" si="73">+D1237</f>
        <v>0</v>
      </c>
      <c r="I1237" s="40"/>
      <c r="J1237" s="41" t="s">
        <v>13</v>
      </c>
    </row>
    <row r="1238" spans="2:10" s="1" customFormat="1" ht="12.75" x14ac:dyDescent="0.2">
      <c r="B1238" s="43" t="s">
        <v>262</v>
      </c>
      <c r="C1238" s="43" t="s">
        <v>254</v>
      </c>
      <c r="D1238" s="60"/>
      <c r="E1238" s="40"/>
      <c r="F1238" s="40"/>
      <c r="G1238" s="40"/>
      <c r="H1238" s="40"/>
      <c r="I1238" s="44">
        <f>SUM(H1239:H1239)</f>
        <v>0</v>
      </c>
      <c r="J1238" s="45" t="str">
        <f>+J1239</f>
        <v>und</v>
      </c>
    </row>
    <row r="1239" spans="2:10" s="1" customFormat="1" ht="12.75" x14ac:dyDescent="0.2">
      <c r="B1239" s="57"/>
      <c r="C1239" s="39" t="s">
        <v>238</v>
      </c>
      <c r="D1239" s="40"/>
      <c r="E1239" s="40"/>
      <c r="F1239" s="40"/>
      <c r="G1239" s="40"/>
      <c r="H1239" s="40">
        <f>+D1239</f>
        <v>0</v>
      </c>
      <c r="I1239" s="40"/>
      <c r="J1239" s="41" t="s">
        <v>13</v>
      </c>
    </row>
    <row r="1240" spans="2:10" s="1" customFormat="1" ht="12.75" x14ac:dyDescent="0.2">
      <c r="B1240" s="43" t="s">
        <v>350</v>
      </c>
      <c r="C1240" s="43" t="s">
        <v>255</v>
      </c>
      <c r="D1240" s="60"/>
      <c r="E1240" s="40"/>
      <c r="F1240" s="40"/>
      <c r="G1240" s="40"/>
      <c r="H1240" s="40"/>
      <c r="I1240" s="44">
        <f>SUM(H1241:H1241)</f>
        <v>0</v>
      </c>
      <c r="J1240" s="45" t="str">
        <f>+J1241</f>
        <v>und</v>
      </c>
    </row>
    <row r="1241" spans="2:10" s="1" customFormat="1" ht="12.75" x14ac:dyDescent="0.2">
      <c r="B1241" s="57"/>
      <c r="C1241" s="39" t="s">
        <v>395</v>
      </c>
      <c r="D1241" s="40"/>
      <c r="E1241" s="40"/>
      <c r="F1241" s="40"/>
      <c r="G1241" s="40"/>
      <c r="H1241" s="40">
        <f>+D1241</f>
        <v>0</v>
      </c>
      <c r="I1241" s="40"/>
      <c r="J1241" s="41" t="s">
        <v>13</v>
      </c>
    </row>
    <row r="1242" spans="2:10" s="1" customFormat="1" ht="12.75" x14ac:dyDescent="0.2">
      <c r="B1242" s="57"/>
      <c r="C1242" s="39"/>
      <c r="D1242" s="60"/>
      <c r="E1242" s="40"/>
      <c r="F1242" s="40"/>
      <c r="G1242" s="40"/>
      <c r="H1242" s="40"/>
      <c r="I1242" s="40"/>
      <c r="J1242" s="41"/>
    </row>
    <row r="1243" spans="2:10" s="1" customFormat="1" ht="12.75" x14ac:dyDescent="0.2">
      <c r="B1243" s="93" t="s">
        <v>538</v>
      </c>
      <c r="C1243" s="92" t="s">
        <v>440</v>
      </c>
      <c r="D1243" s="23"/>
      <c r="E1243" s="23"/>
      <c r="F1243" s="40"/>
      <c r="G1243" s="40"/>
      <c r="I1243" s="44">
        <f>SUM(H1244:H1245)</f>
        <v>23.15</v>
      </c>
      <c r="J1243" s="45" t="s">
        <v>345</v>
      </c>
    </row>
    <row r="1244" spans="2:10" s="1" customFormat="1" ht="12.75" x14ac:dyDescent="0.2">
      <c r="B1244" s="57"/>
      <c r="C1244" s="46" t="s">
        <v>443</v>
      </c>
      <c r="D1244" s="8">
        <v>1</v>
      </c>
      <c r="E1244" s="86">
        <f>20.5+0.9+1.75</f>
        <v>23.15</v>
      </c>
      <c r="F1244" s="40"/>
      <c r="G1244" s="40"/>
      <c r="H1244" s="40">
        <f>IF(AND(F1244=0,G1244=0),D1244*E1244,IF(AND(E1244=0,G1244=0),D1244*F1244,IF(AND(E1244=0,F1244=0),D1244*G1244,IF(AND(E1244=0),D1244*F1244*G1244,IF(AND(F1244=0),D1244*E1244*G1244,IF(AND(G1244=0),D1244*E1244*F1244,D1244*E1244*F1244*G1244))))))</f>
        <v>23.15</v>
      </c>
      <c r="I1244" s="40"/>
      <c r="J1244" s="41"/>
    </row>
    <row r="1245" spans="2:10" s="1" customFormat="1" ht="12.75" x14ac:dyDescent="0.2">
      <c r="B1245" s="57"/>
      <c r="C1245" s="92" t="s">
        <v>441</v>
      </c>
      <c r="D1245" s="87"/>
      <c r="E1245" s="88"/>
      <c r="F1245" s="40" t="s">
        <v>681</v>
      </c>
      <c r="G1245" s="40" t="s">
        <v>682</v>
      </c>
      <c r="I1245" s="40">
        <f>+SUM(G1246:G1247)</f>
        <v>5.6999999999999993</v>
      </c>
      <c r="J1245" s="41"/>
    </row>
    <row r="1246" spans="2:10" s="1" customFormat="1" ht="12.75" x14ac:dyDescent="0.2">
      <c r="B1246" s="57"/>
      <c r="C1246" s="39" t="s">
        <v>437</v>
      </c>
      <c r="D1246" s="1">
        <f>4+4+4</f>
        <v>12</v>
      </c>
      <c r="E1246" s="1">
        <v>1</v>
      </c>
      <c r="F1246" s="40">
        <v>0.25</v>
      </c>
      <c r="G1246" s="40">
        <f>+D1246*E1246*F1246</f>
        <v>3</v>
      </c>
      <c r="H1246" s="40"/>
      <c r="I1246" s="40"/>
      <c r="J1246" s="41"/>
    </row>
    <row r="1247" spans="2:10" s="1" customFormat="1" ht="12.75" x14ac:dyDescent="0.2">
      <c r="B1247" s="57"/>
      <c r="C1247" s="39" t="s">
        <v>438</v>
      </c>
      <c r="D1247" s="60">
        <v>6</v>
      </c>
      <c r="E1247" s="40">
        <f>0.6*2+0.6</f>
        <v>1.7999999999999998</v>
      </c>
      <c r="F1247" s="40">
        <v>0.25</v>
      </c>
      <c r="G1247" s="40">
        <f>+D1247*E1247*F1247</f>
        <v>2.6999999999999997</v>
      </c>
      <c r="H1247" s="40"/>
      <c r="I1247" s="40"/>
      <c r="J1247" s="41"/>
    </row>
    <row r="1248" spans="2:10" s="1" customFormat="1" ht="12.75" x14ac:dyDescent="0.2">
      <c r="B1248" s="57"/>
      <c r="C1248" s="39"/>
      <c r="D1248" s="40"/>
      <c r="E1248" s="40"/>
      <c r="F1248" s="40"/>
      <c r="G1248" s="40"/>
      <c r="H1248" s="40"/>
      <c r="I1248" s="40"/>
      <c r="J1248" s="41"/>
    </row>
    <row r="1249" spans="2:10" s="1" customFormat="1" ht="12.75" x14ac:dyDescent="0.2">
      <c r="B1249" s="93" t="s">
        <v>592</v>
      </c>
      <c r="C1249" s="93" t="s">
        <v>561</v>
      </c>
      <c r="D1249" s="60"/>
      <c r="E1249" s="40"/>
      <c r="F1249" s="40"/>
      <c r="G1249" s="40"/>
      <c r="H1249" s="40"/>
      <c r="I1249" s="44">
        <f>+SUM(H1250:H1251)</f>
        <v>2</v>
      </c>
      <c r="J1249" s="45" t="s">
        <v>345</v>
      </c>
    </row>
    <row r="1250" spans="2:10" s="1" customFormat="1" ht="12.75" x14ac:dyDescent="0.2">
      <c r="B1250" s="57"/>
      <c r="C1250" s="39" t="s">
        <v>391</v>
      </c>
      <c r="D1250" s="40">
        <v>1</v>
      </c>
      <c r="E1250" s="40">
        <v>1</v>
      </c>
      <c r="F1250" s="40"/>
      <c r="G1250" s="40"/>
      <c r="H1250" s="40">
        <f t="shared" ref="H1250:H1251" si="74">IF(AND(F1250=0,G1250=0),D1250*E1250,IF(AND(E1250=0,G1250=0),D1250*F1250,IF(AND(E1250=0,F1250=0),D1250*G1250,IF(AND(E1250=0),D1250*F1250*G1250,IF(AND(F1250=0),D1250*E1250*G1250,IF(AND(G1250=0),D1250*E1250*F1250,D1250*E1250*F1250*G1250))))))</f>
        <v>1</v>
      </c>
      <c r="I1250" s="40"/>
      <c r="J1250" s="41"/>
    </row>
    <row r="1251" spans="2:10" s="1" customFormat="1" ht="12.75" x14ac:dyDescent="0.2">
      <c r="B1251" s="57"/>
      <c r="C1251" s="39" t="s">
        <v>382</v>
      </c>
      <c r="D1251" s="40">
        <v>1</v>
      </c>
      <c r="E1251" s="40">
        <v>1</v>
      </c>
      <c r="F1251" s="40"/>
      <c r="G1251" s="40"/>
      <c r="H1251" s="40">
        <f t="shared" si="74"/>
        <v>1</v>
      </c>
      <c r="I1251" s="40"/>
      <c r="J1251" s="41"/>
    </row>
    <row r="1252" spans="2:10" s="1" customFormat="1" ht="12.75" x14ac:dyDescent="0.2">
      <c r="B1252" s="57"/>
      <c r="C1252" s="39"/>
      <c r="D1252" s="60"/>
      <c r="E1252" s="40"/>
      <c r="F1252" s="40"/>
      <c r="G1252" s="40"/>
      <c r="H1252" s="40"/>
      <c r="I1252" s="40"/>
      <c r="J1252" s="41"/>
    </row>
    <row r="1253" spans="2:10" s="1" customFormat="1" ht="12.75" x14ac:dyDescent="0.2">
      <c r="B1253" s="107" t="s">
        <v>699</v>
      </c>
      <c r="C1253" s="343" t="s">
        <v>698</v>
      </c>
      <c r="D1253" s="60"/>
      <c r="E1253" s="40"/>
      <c r="F1253" s="40"/>
      <c r="G1253" s="40"/>
      <c r="H1253" s="40"/>
      <c r="I1253" s="44">
        <f>SUM(H1254:H1255)</f>
        <v>2</v>
      </c>
      <c r="J1253" s="41" t="s">
        <v>13</v>
      </c>
    </row>
    <row r="1254" spans="2:10" s="1" customFormat="1" ht="12.75" x14ac:dyDescent="0.2">
      <c r="B1254" s="43"/>
      <c r="C1254" s="39" t="s">
        <v>391</v>
      </c>
      <c r="D1254" s="40">
        <v>1</v>
      </c>
      <c r="E1254" s="40"/>
      <c r="F1254" s="40"/>
      <c r="G1254" s="40"/>
      <c r="H1254" s="40">
        <f>+D1254</f>
        <v>1</v>
      </c>
      <c r="I1254" s="40"/>
      <c r="J1254" s="41"/>
    </row>
    <row r="1255" spans="2:10" s="1" customFormat="1" ht="12.75" x14ac:dyDescent="0.2">
      <c r="B1255" s="57"/>
      <c r="C1255" s="39" t="s">
        <v>382</v>
      </c>
      <c r="D1255" s="40">
        <v>1</v>
      </c>
      <c r="E1255" s="40"/>
      <c r="F1255" s="40"/>
      <c r="G1255" s="40"/>
      <c r="H1255" s="40">
        <f>+D1255</f>
        <v>1</v>
      </c>
      <c r="I1255" s="40"/>
      <c r="J1255" s="41"/>
    </row>
    <row r="1256" spans="2:10" s="1" customFormat="1" ht="12.75" x14ac:dyDescent="0.2">
      <c r="B1256" s="57"/>
      <c r="C1256" s="39"/>
      <c r="D1256" s="60"/>
      <c r="E1256" s="40"/>
      <c r="F1256" s="40"/>
      <c r="G1256" s="40"/>
      <c r="H1256" s="40"/>
      <c r="I1256" s="40"/>
      <c r="J1256" s="41"/>
    </row>
    <row r="1257" spans="2:10" s="1" customFormat="1" ht="12.75" x14ac:dyDescent="0.2">
      <c r="B1257" s="46"/>
      <c r="C1257" s="59"/>
      <c r="D1257" s="60"/>
      <c r="E1257" s="40"/>
      <c r="F1257" s="40"/>
      <c r="G1257" s="40"/>
      <c r="H1257" s="40"/>
      <c r="I1257" s="40"/>
      <c r="J1257" s="41"/>
    </row>
    <row r="1258" spans="2:10" s="1" customFormat="1" ht="12.75" x14ac:dyDescent="0.2">
      <c r="B1258" s="107" t="s">
        <v>717</v>
      </c>
      <c r="C1258" s="343" t="s">
        <v>735</v>
      </c>
      <c r="D1258" s="60"/>
      <c r="E1258" s="40"/>
      <c r="F1258" s="40"/>
      <c r="G1258" s="40"/>
      <c r="H1258" s="40"/>
      <c r="I1258" s="40">
        <f>+SUM(H1259:H1262)</f>
        <v>5.79</v>
      </c>
      <c r="J1258" s="41" t="s">
        <v>45</v>
      </c>
    </row>
    <row r="1259" spans="2:10" s="1" customFormat="1" ht="12.75" x14ac:dyDescent="0.2">
      <c r="B1259" s="107"/>
      <c r="C1259" s="39" t="s">
        <v>391</v>
      </c>
      <c r="D1259" s="40">
        <v>1</v>
      </c>
      <c r="E1259" s="40">
        <f>0.6*2+0.9*2</f>
        <v>3</v>
      </c>
      <c r="F1259" s="40"/>
      <c r="G1259" s="40">
        <f>0.57+0.2</f>
        <v>0.77</v>
      </c>
      <c r="H1259" s="40">
        <f t="shared" ref="H1259:H1262" si="75">IF(AND(F1259=0,G1259=0),D1259*E1259,IF(AND(E1259=0,G1259=0),D1259*F1259,IF(AND(E1259=0,F1259=0),D1259*G1259,IF(AND(E1259=0),D1259*F1259*G1259,IF(AND(F1259=0),D1259*E1259*G1259,IF(AND(G1259=0),D1259*E1259*F1259,D1259*E1259*F1259*G1259))))))</f>
        <v>2.31</v>
      </c>
      <c r="I1259" s="40"/>
      <c r="J1259" s="41"/>
    </row>
    <row r="1260" spans="2:10" s="1" customFormat="1" ht="12.75" x14ac:dyDescent="0.2">
      <c r="B1260" s="107"/>
      <c r="C1260" s="39"/>
      <c r="D1260" s="40">
        <v>1</v>
      </c>
      <c r="E1260" s="40">
        <v>0.6</v>
      </c>
      <c r="F1260" s="40"/>
      <c r="G1260" s="40">
        <v>0.9</v>
      </c>
      <c r="H1260" s="40">
        <f t="shared" si="75"/>
        <v>0.54</v>
      </c>
      <c r="I1260" s="40"/>
      <c r="J1260" s="41"/>
    </row>
    <row r="1261" spans="2:10" s="1" customFormat="1" ht="12.75" x14ac:dyDescent="0.2">
      <c r="B1261" s="107"/>
      <c r="C1261" s="39" t="s">
        <v>382</v>
      </c>
      <c r="D1261" s="40">
        <v>1</v>
      </c>
      <c r="E1261" s="40">
        <v>3</v>
      </c>
      <c r="F1261" s="40"/>
      <c r="G1261" s="40">
        <f>0.6+0.2</f>
        <v>0.8</v>
      </c>
      <c r="H1261" s="40">
        <f t="shared" si="75"/>
        <v>2.4000000000000004</v>
      </c>
      <c r="I1261" s="40"/>
      <c r="J1261" s="41"/>
    </row>
    <row r="1262" spans="2:10" s="1" customFormat="1" ht="12.75" x14ac:dyDescent="0.2">
      <c r="B1262" s="107"/>
      <c r="C1262" s="59"/>
      <c r="D1262" s="40">
        <v>1</v>
      </c>
      <c r="E1262" s="40">
        <v>0.6</v>
      </c>
      <c r="F1262" s="40"/>
      <c r="G1262" s="40">
        <v>0.9</v>
      </c>
      <c r="H1262" s="40">
        <f t="shared" si="75"/>
        <v>0.54</v>
      </c>
      <c r="I1262" s="40"/>
      <c r="J1262" s="41"/>
    </row>
    <row r="1263" spans="2:10" s="1" customFormat="1" ht="12.75" x14ac:dyDescent="0.2">
      <c r="B1263" s="107"/>
      <c r="C1263" s="39"/>
      <c r="D1263" s="40"/>
      <c r="E1263" s="40"/>
      <c r="F1263" s="40"/>
      <c r="G1263" s="40"/>
      <c r="H1263" s="40"/>
      <c r="I1263" s="40"/>
      <c r="J1263" s="41"/>
    </row>
    <row r="1264" spans="2:10" s="1" customFormat="1" ht="12.75" x14ac:dyDescent="0.2">
      <c r="B1264" s="107" t="s">
        <v>734</v>
      </c>
      <c r="C1264" s="343" t="s">
        <v>736</v>
      </c>
      <c r="D1264" s="60"/>
      <c r="E1264" s="40"/>
      <c r="F1264" s="40"/>
      <c r="G1264" s="40"/>
      <c r="H1264" s="40"/>
      <c r="I1264" s="40">
        <f>+SUM(H1265:H1272)</f>
        <v>71.439999999999984</v>
      </c>
      <c r="J1264" s="41" t="s">
        <v>45</v>
      </c>
    </row>
    <row r="1265" spans="2:10" s="1" customFormat="1" ht="12.75" x14ac:dyDescent="0.2">
      <c r="B1265" s="46"/>
      <c r="C1265" s="39" t="s">
        <v>721</v>
      </c>
      <c r="D1265" s="60">
        <v>2</v>
      </c>
      <c r="E1265" s="40">
        <v>9</v>
      </c>
      <c r="F1265" s="40"/>
      <c r="G1265" s="40">
        <f>0.3+0.15</f>
        <v>0.44999999999999996</v>
      </c>
      <c r="H1265" s="40">
        <f>IF(AND(F1265=0,G1265=0),D1265*E1265,IF(AND(E1265=0,G1265=0),D1265*F1265,IF(AND(E1265=0,F1265=0),D1265*G1265,IF(AND(E1265=0),D1265*F1265*G1265,IF(AND(F1265=0),D1265*E1265*G1265,IF(AND(G1265=0),D1265*E1265*F1265,D1265*E1265*F1265*G1265))))))</f>
        <v>8.1</v>
      </c>
      <c r="I1265" s="40"/>
      <c r="J1265" s="41"/>
    </row>
    <row r="1266" spans="2:10" s="1" customFormat="1" ht="12.75" x14ac:dyDescent="0.2">
      <c r="B1266" s="46"/>
      <c r="C1266" s="39"/>
      <c r="D1266" s="60">
        <v>1</v>
      </c>
      <c r="E1266" s="40">
        <v>9</v>
      </c>
      <c r="F1266" s="40"/>
      <c r="G1266" s="40">
        <v>0.2</v>
      </c>
      <c r="H1266" s="40">
        <f t="shared" ref="H1266:H1272" si="76">IF(AND(F1266=0,G1266=0),D1266*E1266,IF(AND(E1266=0,G1266=0),D1266*F1266,IF(AND(E1266=0,F1266=0),D1266*G1266,IF(AND(E1266=0),D1266*F1266*G1266,IF(AND(F1266=0),D1266*E1266*G1266,IF(AND(G1266=0),D1266*E1266*F1266,D1266*E1266*F1266*G1266))))))</f>
        <v>1.8</v>
      </c>
      <c r="I1266" s="40"/>
      <c r="J1266" s="41"/>
    </row>
    <row r="1267" spans="2:10" s="1" customFormat="1" ht="12.75" x14ac:dyDescent="0.2">
      <c r="B1267" s="46"/>
      <c r="C1267" s="39" t="s">
        <v>729</v>
      </c>
      <c r="D1267" s="60">
        <v>2</v>
      </c>
      <c r="E1267" s="40">
        <v>17.399999999999999</v>
      </c>
      <c r="F1267" s="40"/>
      <c r="G1267" s="40">
        <f>0.4+0.15</f>
        <v>0.55000000000000004</v>
      </c>
      <c r="H1267" s="40">
        <f t="shared" si="76"/>
        <v>19.14</v>
      </c>
      <c r="I1267" s="40"/>
      <c r="J1267" s="41"/>
    </row>
    <row r="1268" spans="2:10" s="1" customFormat="1" ht="12.75" x14ac:dyDescent="0.2">
      <c r="B1268" s="46"/>
      <c r="C1268" s="39"/>
      <c r="D1268" s="60">
        <v>1</v>
      </c>
      <c r="E1268" s="40">
        <v>17.399999999999999</v>
      </c>
      <c r="F1268" s="40"/>
      <c r="G1268" s="40">
        <v>0.2</v>
      </c>
      <c r="H1268" s="40">
        <f t="shared" si="76"/>
        <v>3.48</v>
      </c>
      <c r="I1268" s="40"/>
      <c r="J1268" s="41"/>
    </row>
    <row r="1269" spans="2:10" s="1" customFormat="1" ht="12.75" x14ac:dyDescent="0.2">
      <c r="B1269" s="46"/>
      <c r="C1269" s="39" t="s">
        <v>435</v>
      </c>
      <c r="D1269" s="60">
        <v>2</v>
      </c>
      <c r="E1269" s="40">
        <v>2</v>
      </c>
      <c r="F1269" s="40"/>
      <c r="G1269" s="40">
        <f>0.22+0.15</f>
        <v>0.37</v>
      </c>
      <c r="H1269" s="40">
        <f t="shared" si="76"/>
        <v>1.48</v>
      </c>
      <c r="I1269" s="40"/>
      <c r="J1269" s="41"/>
    </row>
    <row r="1270" spans="2:10" s="1" customFormat="1" ht="12.75" x14ac:dyDescent="0.2">
      <c r="B1270" s="46"/>
      <c r="C1270" s="39"/>
      <c r="D1270" s="23">
        <v>1</v>
      </c>
      <c r="E1270" s="24">
        <v>2</v>
      </c>
      <c r="F1270" s="40"/>
      <c r="G1270" s="40">
        <v>0.2</v>
      </c>
      <c r="H1270" s="40">
        <f t="shared" si="76"/>
        <v>0.4</v>
      </c>
      <c r="I1270" s="40"/>
      <c r="J1270" s="41"/>
    </row>
    <row r="1271" spans="2:10" s="1" customFormat="1" ht="12.75" x14ac:dyDescent="0.2">
      <c r="B1271" s="46"/>
      <c r="C1271" s="39" t="s">
        <v>443</v>
      </c>
      <c r="D1271" s="8">
        <v>2</v>
      </c>
      <c r="E1271" s="86">
        <f>20.5+0.9+1.75</f>
        <v>23.15</v>
      </c>
      <c r="F1271" s="40"/>
      <c r="G1271" s="40">
        <f>0.45+0.2</f>
        <v>0.65</v>
      </c>
      <c r="H1271" s="40">
        <f t="shared" si="76"/>
        <v>30.094999999999999</v>
      </c>
      <c r="I1271" s="40"/>
      <c r="J1271" s="41"/>
    </row>
    <row r="1272" spans="2:10" s="1" customFormat="1" ht="12.75" x14ac:dyDescent="0.2">
      <c r="B1272" s="46"/>
      <c r="C1272" s="39"/>
      <c r="D1272" s="8">
        <v>1</v>
      </c>
      <c r="E1272" s="86">
        <v>23.15</v>
      </c>
      <c r="F1272" s="40"/>
      <c r="G1272" s="40">
        <v>0.3</v>
      </c>
      <c r="H1272" s="40">
        <f t="shared" si="76"/>
        <v>6.9449999999999994</v>
      </c>
      <c r="I1272" s="40"/>
      <c r="J1272" s="41"/>
    </row>
    <row r="1273" spans="2:10" s="1" customFormat="1" ht="12.75" x14ac:dyDescent="0.2">
      <c r="B1273" s="57"/>
      <c r="C1273" s="39"/>
      <c r="D1273" s="60"/>
      <c r="E1273" s="40"/>
      <c r="F1273" s="40"/>
      <c r="G1273" s="40"/>
      <c r="H1273" s="40"/>
      <c r="I1273" s="40"/>
      <c r="J1273" s="41"/>
    </row>
    <row r="1274" spans="2:10" s="1" customFormat="1" ht="12.75" x14ac:dyDescent="0.2">
      <c r="B1274" s="57" t="s">
        <v>18</v>
      </c>
      <c r="C1274" s="58" t="s">
        <v>223</v>
      </c>
      <c r="D1274" s="60"/>
      <c r="E1274" s="40"/>
      <c r="F1274" s="40"/>
      <c r="G1274" s="40"/>
      <c r="H1274" s="40"/>
      <c r="I1274" s="40"/>
      <c r="J1274" s="41"/>
    </row>
    <row r="1275" spans="2:10" s="1" customFormat="1" ht="12.75" x14ac:dyDescent="0.2">
      <c r="B1275" s="43" t="s">
        <v>19</v>
      </c>
      <c r="C1275" s="43" t="s">
        <v>265</v>
      </c>
      <c r="D1275" s="60"/>
      <c r="E1275" s="40"/>
      <c r="F1275" s="40"/>
      <c r="G1275" s="40"/>
      <c r="H1275" s="40"/>
      <c r="I1275" s="44">
        <f>SUM(H1276:H1276)</f>
        <v>4</v>
      </c>
      <c r="J1275" s="45" t="s">
        <v>13</v>
      </c>
    </row>
    <row r="1276" spans="2:10" s="1" customFormat="1" ht="12.75" x14ac:dyDescent="0.2">
      <c r="B1276" s="46"/>
      <c r="C1276" s="39" t="s">
        <v>231</v>
      </c>
      <c r="D1276" s="40">
        <v>4</v>
      </c>
      <c r="E1276" s="40"/>
      <c r="F1276" s="40"/>
      <c r="G1276" s="40"/>
      <c r="H1276" s="40">
        <f>+D1276</f>
        <v>4</v>
      </c>
      <c r="I1276" s="40"/>
      <c r="J1276" s="41" t="s">
        <v>13</v>
      </c>
    </row>
    <row r="1277" spans="2:10" s="1" customFormat="1" ht="12.75" x14ac:dyDescent="0.2">
      <c r="B1277" s="43" t="s">
        <v>20</v>
      </c>
      <c r="C1277" s="43" t="s">
        <v>272</v>
      </c>
      <c r="D1277" s="60"/>
      <c r="E1277" s="40"/>
      <c r="F1277" s="40"/>
      <c r="G1277" s="40"/>
      <c r="H1277" s="40"/>
      <c r="I1277" s="44">
        <f>SUM(H1278:H1279)</f>
        <v>72</v>
      </c>
      <c r="J1277" s="45" t="str">
        <f>+J1278</f>
        <v>und</v>
      </c>
    </row>
    <row r="1278" spans="2:10" s="1" customFormat="1" ht="12.75" x14ac:dyDescent="0.2">
      <c r="B1278" s="46"/>
      <c r="C1278" s="39" t="s">
        <v>772</v>
      </c>
      <c r="D1278" s="60">
        <f>+D1184*ROUNDUP(E1184/1,0)</f>
        <v>60</v>
      </c>
      <c r="E1278" s="40"/>
      <c r="F1278" s="40"/>
      <c r="G1278" s="40"/>
      <c r="H1278" s="40">
        <f>+D1278</f>
        <v>60</v>
      </c>
      <c r="I1278" s="40"/>
      <c r="J1278" s="41" t="s">
        <v>13</v>
      </c>
    </row>
    <row r="1279" spans="2:10" s="1" customFormat="1" ht="12.75" x14ac:dyDescent="0.2">
      <c r="B1279" s="46"/>
      <c r="C1279" s="39" t="s">
        <v>451</v>
      </c>
      <c r="D1279" s="60">
        <f>+D1185*ROUNDUP(E1185/1,0)</f>
        <v>12</v>
      </c>
      <c r="E1279" s="40"/>
      <c r="F1279" s="40"/>
      <c r="G1279" s="40"/>
      <c r="H1279" s="40">
        <f>+D1279</f>
        <v>12</v>
      </c>
      <c r="I1279" s="40"/>
      <c r="J1279" s="41"/>
    </row>
    <row r="1280" spans="2:10" s="1" customFormat="1" ht="12.75" x14ac:dyDescent="0.2">
      <c r="B1280" s="46"/>
      <c r="C1280" s="39"/>
      <c r="D1280" s="60"/>
      <c r="E1280" s="40"/>
      <c r="F1280" s="40"/>
      <c r="G1280" s="40"/>
      <c r="H1280" s="40"/>
      <c r="I1280" s="40"/>
      <c r="J1280" s="41"/>
    </row>
    <row r="1281" spans="2:10" s="1" customFormat="1" ht="12.75" x14ac:dyDescent="0.2">
      <c r="B1281" s="43" t="s">
        <v>21</v>
      </c>
      <c r="C1281" s="43" t="s">
        <v>266</v>
      </c>
      <c r="D1281" s="60"/>
      <c r="E1281" s="40"/>
      <c r="F1281" s="40"/>
      <c r="G1281" s="40"/>
      <c r="H1281" s="40"/>
      <c r="I1281" s="44">
        <f>SUM(H1282:H1282)</f>
        <v>0</v>
      </c>
      <c r="J1281" s="45" t="str">
        <f>+J1282</f>
        <v>und</v>
      </c>
    </row>
    <row r="1282" spans="2:10" s="1" customFormat="1" ht="12.75" x14ac:dyDescent="0.2">
      <c r="B1282" s="43"/>
      <c r="C1282" s="39" t="s">
        <v>71</v>
      </c>
      <c r="D1282" s="40"/>
      <c r="E1282" s="40"/>
      <c r="F1282" s="40"/>
      <c r="G1282" s="40"/>
      <c r="H1282" s="40">
        <f t="shared" ref="H1282" si="77">+D1282</f>
        <v>0</v>
      </c>
      <c r="I1282" s="40"/>
      <c r="J1282" s="41" t="s">
        <v>13</v>
      </c>
    </row>
    <row r="1283" spans="2:10" s="1" customFormat="1" ht="12.75" x14ac:dyDescent="0.2">
      <c r="B1283" s="43" t="s">
        <v>273</v>
      </c>
      <c r="C1283" s="43" t="s">
        <v>354</v>
      </c>
      <c r="D1283" s="60"/>
      <c r="E1283" s="40"/>
      <c r="F1283" s="40"/>
      <c r="G1283" s="40"/>
      <c r="H1283" s="40"/>
      <c r="I1283" s="44">
        <f>SUM(H1284:H1284)</f>
        <v>5</v>
      </c>
      <c r="J1283" s="45" t="str">
        <f>+J1284</f>
        <v>und</v>
      </c>
    </row>
    <row r="1284" spans="2:10" s="1" customFormat="1" ht="12.75" x14ac:dyDescent="0.2">
      <c r="B1284" s="43"/>
      <c r="C1284" s="39" t="s">
        <v>459</v>
      </c>
      <c r="D1284" s="60">
        <v>1</v>
      </c>
      <c r="E1284" s="40">
        <v>5</v>
      </c>
      <c r="F1284" s="40"/>
      <c r="G1284" s="40"/>
      <c r="H1284" s="40">
        <f>IF(AND(F1284=0,G1284=0),D1284*E1284,IF(AND(E1284=0,G1284=0),D1284*F1284,IF(AND(E1284=0,F1284=0),D1284*G1284,IF(AND(E1284=0),D1284*F1284*G1284,IF(AND(F1284=0),D1284*E1284*G1284,IF(AND(G1284=0),D1284*E1284*F1284,D1284*E1284*F1284*G1284))))))</f>
        <v>5</v>
      </c>
      <c r="I1284" s="40"/>
      <c r="J1284" s="41" t="s">
        <v>13</v>
      </c>
    </row>
    <row r="1285" spans="2:10" s="1" customFormat="1" ht="12.75" x14ac:dyDescent="0.2">
      <c r="B1285" s="43" t="s">
        <v>274</v>
      </c>
      <c r="C1285" s="43" t="s">
        <v>357</v>
      </c>
      <c r="D1285" s="60"/>
      <c r="E1285" s="40"/>
      <c r="F1285" s="40"/>
      <c r="G1285" s="40"/>
      <c r="H1285" s="40"/>
      <c r="I1285" s="44">
        <f>SUM(H1286:H1286)</f>
        <v>1</v>
      </c>
      <c r="J1285" s="45" t="str">
        <f>+J1286</f>
        <v>und</v>
      </c>
    </row>
    <row r="1286" spans="2:10" s="1" customFormat="1" ht="12.75" x14ac:dyDescent="0.2">
      <c r="B1286" s="43"/>
      <c r="C1286" s="39" t="s">
        <v>375</v>
      </c>
      <c r="D1286" s="40">
        <v>1</v>
      </c>
      <c r="E1286" s="40">
        <v>1</v>
      </c>
      <c r="F1286" s="40"/>
      <c r="G1286" s="40"/>
      <c r="H1286" s="40">
        <f t="shared" ref="H1286" si="78">+D1286</f>
        <v>1</v>
      </c>
      <c r="I1286" s="40"/>
      <c r="J1286" s="41" t="s">
        <v>13</v>
      </c>
    </row>
    <row r="1287" spans="2:10" s="1" customFormat="1" ht="12.75" x14ac:dyDescent="0.2">
      <c r="B1287" s="43" t="s">
        <v>355</v>
      </c>
      <c r="C1287" s="43" t="s">
        <v>263</v>
      </c>
      <c r="D1287" s="60"/>
      <c r="E1287" s="40"/>
      <c r="F1287" s="40"/>
      <c r="G1287" s="40"/>
      <c r="H1287" s="40"/>
      <c r="I1287" s="44">
        <f>SUM(H1288:H1288)</f>
        <v>0</v>
      </c>
      <c r="J1287" s="45" t="str">
        <f>+J1288</f>
        <v>und</v>
      </c>
    </row>
    <row r="1288" spans="2:10" s="1" customFormat="1" ht="12.75" x14ac:dyDescent="0.2">
      <c r="B1288" s="46"/>
      <c r="C1288" s="39" t="s">
        <v>420</v>
      </c>
      <c r="D1288" s="40"/>
      <c r="E1288" s="40"/>
      <c r="F1288" s="40"/>
      <c r="G1288" s="40"/>
      <c r="H1288" s="40">
        <f>+D1288</f>
        <v>0</v>
      </c>
      <c r="I1288" s="40"/>
      <c r="J1288" s="41" t="s">
        <v>13</v>
      </c>
    </row>
    <row r="1289" spans="2:10" s="1" customFormat="1" ht="12.75" x14ac:dyDescent="0.2">
      <c r="B1289" s="43" t="s">
        <v>356</v>
      </c>
      <c r="C1289" s="43" t="s">
        <v>264</v>
      </c>
      <c r="D1289" s="60"/>
      <c r="E1289" s="40"/>
      <c r="F1289" s="40"/>
      <c r="G1289" s="40"/>
      <c r="H1289" s="40"/>
      <c r="I1289" s="44">
        <f>SUM(H1290:H1290)</f>
        <v>0</v>
      </c>
      <c r="J1289" s="45" t="str">
        <f>+J1290</f>
        <v>und</v>
      </c>
    </row>
    <row r="1290" spans="2:10" s="1" customFormat="1" ht="12.75" x14ac:dyDescent="0.2">
      <c r="B1290" s="46"/>
      <c r="C1290" s="39" t="s">
        <v>420</v>
      </c>
      <c r="D1290" s="40"/>
      <c r="E1290" s="40"/>
      <c r="F1290" s="40"/>
      <c r="G1290" s="40"/>
      <c r="H1290" s="40">
        <f>+D1290</f>
        <v>0</v>
      </c>
      <c r="I1290" s="40"/>
      <c r="J1290" s="41" t="s">
        <v>13</v>
      </c>
    </row>
    <row r="1291" spans="2:10" s="1" customFormat="1" ht="12.75" x14ac:dyDescent="0.2">
      <c r="B1291" s="43" t="s">
        <v>659</v>
      </c>
      <c r="C1291" s="43" t="s">
        <v>657</v>
      </c>
      <c r="D1291" s="60"/>
      <c r="E1291" s="40"/>
      <c r="F1291" s="40"/>
      <c r="G1291" s="40"/>
      <c r="H1291" s="40"/>
      <c r="I1291" s="44">
        <f>+SUM(H1292:H1294)</f>
        <v>13</v>
      </c>
      <c r="J1291" s="45" t="s">
        <v>13</v>
      </c>
    </row>
    <row r="1292" spans="2:10" s="1" customFormat="1" ht="12.75" x14ac:dyDescent="0.2">
      <c r="B1292" s="46"/>
      <c r="C1292" s="59" t="s">
        <v>661</v>
      </c>
      <c r="D1292" s="60">
        <v>4</v>
      </c>
      <c r="E1292" s="40">
        <v>1</v>
      </c>
      <c r="F1292" s="40"/>
      <c r="G1292" s="40"/>
      <c r="H1292" s="40">
        <f t="shared" ref="H1292" si="79">+D1292</f>
        <v>4</v>
      </c>
      <c r="I1292" s="40"/>
      <c r="J1292" s="41"/>
    </row>
    <row r="1293" spans="2:10" s="1" customFormat="1" ht="12.75" x14ac:dyDescent="0.2">
      <c r="B1293" s="46"/>
      <c r="C1293" s="59" t="s">
        <v>673</v>
      </c>
      <c r="D1293" s="60">
        <v>8</v>
      </c>
      <c r="E1293" s="40"/>
      <c r="F1293" s="40"/>
      <c r="G1293" s="40"/>
      <c r="H1293" s="40">
        <f>+D1293</f>
        <v>8</v>
      </c>
      <c r="I1293" s="40"/>
      <c r="J1293" s="41"/>
    </row>
    <row r="1294" spans="2:10" s="1" customFormat="1" ht="14.25" customHeight="1" x14ac:dyDescent="0.2">
      <c r="B1294" s="46"/>
      <c r="C1294" s="59"/>
      <c r="D1294" s="60">
        <v>1</v>
      </c>
      <c r="E1294" s="40"/>
      <c r="F1294" s="40"/>
      <c r="G1294" s="40"/>
      <c r="H1294" s="40">
        <f>+D1294</f>
        <v>1</v>
      </c>
      <c r="I1294" s="40"/>
      <c r="J1294" s="41"/>
    </row>
    <row r="1295" spans="2:10" s="1" customFormat="1" ht="12.75" x14ac:dyDescent="0.2">
      <c r="B1295" s="46"/>
      <c r="C1295" s="59"/>
      <c r="D1295" s="60"/>
      <c r="E1295" s="40"/>
      <c r="F1295" s="40"/>
      <c r="G1295" s="40"/>
      <c r="H1295" s="40"/>
      <c r="I1295" s="40"/>
      <c r="J1295" s="41"/>
    </row>
    <row r="1296" spans="2:10" s="1" customFormat="1" ht="14.25" customHeight="1" x14ac:dyDescent="0.2">
      <c r="B1296" s="93" t="s">
        <v>659</v>
      </c>
      <c r="C1296" s="372" t="s">
        <v>657</v>
      </c>
      <c r="D1296" s="60"/>
      <c r="E1296" s="40"/>
      <c r="F1296" s="40"/>
      <c r="G1296" s="40"/>
      <c r="H1296" s="40"/>
      <c r="I1296" s="44">
        <f>+SUM(H1297:H1297)</f>
        <v>8</v>
      </c>
      <c r="J1296" s="45" t="s">
        <v>13</v>
      </c>
    </row>
    <row r="1297" spans="2:10" s="1" customFormat="1" ht="14.25" customHeight="1" x14ac:dyDescent="0.2">
      <c r="B1297" s="46"/>
      <c r="C1297" s="39" t="s">
        <v>456</v>
      </c>
      <c r="E1297" s="40"/>
      <c r="F1297" s="40"/>
      <c r="G1297" s="40"/>
      <c r="H1297" s="40">
        <f>+D1293</f>
        <v>8</v>
      </c>
      <c r="I1297" s="40"/>
      <c r="J1297" s="41"/>
    </row>
    <row r="1298" spans="2:10" s="1" customFormat="1" ht="14.25" customHeight="1" x14ac:dyDescent="0.2">
      <c r="B1298" s="46"/>
      <c r="C1298" s="59"/>
      <c r="D1298" s="60"/>
      <c r="E1298" s="40"/>
      <c r="F1298" s="40"/>
      <c r="G1298" s="40"/>
      <c r="H1298" s="40"/>
      <c r="I1298" s="40"/>
      <c r="J1298" s="41"/>
    </row>
    <row r="1299" spans="2:10" s="1" customFormat="1" ht="12.75" x14ac:dyDescent="0.2">
      <c r="B1299" s="93" t="s">
        <v>600</v>
      </c>
      <c r="C1299" s="93" t="s">
        <v>497</v>
      </c>
      <c r="D1299" s="60"/>
      <c r="E1299" s="40"/>
      <c r="F1299" s="40"/>
      <c r="G1299" s="40"/>
      <c r="H1299" s="40"/>
      <c r="I1299" s="44">
        <f>+SUM(H1300:H1300)</f>
        <v>1</v>
      </c>
      <c r="J1299" s="45" t="s">
        <v>13</v>
      </c>
    </row>
    <row r="1300" spans="2:10" s="1" customFormat="1" ht="12.75" x14ac:dyDescent="0.2">
      <c r="B1300" s="46"/>
      <c r="C1300" s="39" t="s">
        <v>495</v>
      </c>
      <c r="D1300" s="60">
        <v>1</v>
      </c>
      <c r="E1300" s="40">
        <v>1</v>
      </c>
      <c r="F1300" s="40"/>
      <c r="G1300" s="40"/>
      <c r="H1300" s="40">
        <f>+D1300</f>
        <v>1</v>
      </c>
      <c r="I1300" s="40"/>
      <c r="J1300" s="41"/>
    </row>
    <row r="1301" spans="2:10" s="1" customFormat="1" ht="14.25" customHeight="1" x14ac:dyDescent="0.2">
      <c r="B1301" s="93" t="s">
        <v>601</v>
      </c>
      <c r="C1301" s="93" t="s">
        <v>477</v>
      </c>
      <c r="D1301" s="60"/>
      <c r="E1301" s="40"/>
      <c r="F1301" s="40"/>
      <c r="G1301" s="40"/>
      <c r="H1301" s="40"/>
      <c r="I1301" s="44">
        <f>+SUM(H1302)</f>
        <v>5</v>
      </c>
      <c r="J1301" s="45" t="s">
        <v>13</v>
      </c>
    </row>
    <row r="1302" spans="2:10" s="1" customFormat="1" ht="12.75" x14ac:dyDescent="0.2">
      <c r="B1302" s="46"/>
      <c r="C1302" s="39" t="s">
        <v>493</v>
      </c>
      <c r="D1302" s="60">
        <v>5</v>
      </c>
      <c r="E1302" s="40"/>
      <c r="F1302" s="40"/>
      <c r="G1302" s="40"/>
      <c r="H1302" s="40">
        <f>+D1302</f>
        <v>5</v>
      </c>
      <c r="I1302" s="40"/>
      <c r="J1302" s="41"/>
    </row>
    <row r="1303" spans="2:10" s="1" customFormat="1" ht="12.75" x14ac:dyDescent="0.2">
      <c r="B1303" s="46"/>
      <c r="C1303" s="59"/>
      <c r="D1303" s="60"/>
      <c r="E1303" s="40"/>
      <c r="F1303" s="40"/>
      <c r="G1303" s="40"/>
      <c r="H1303" s="40"/>
      <c r="I1303" s="40"/>
      <c r="J1303" s="41"/>
    </row>
    <row r="1304" spans="2:10" s="1" customFormat="1" ht="12.75" x14ac:dyDescent="0.2">
      <c r="B1304" s="46"/>
      <c r="C1304" s="59"/>
      <c r="D1304" s="60"/>
      <c r="E1304" s="40"/>
      <c r="F1304" s="40"/>
      <c r="G1304" s="40"/>
      <c r="H1304" s="40"/>
      <c r="I1304" s="40"/>
      <c r="J1304" s="41"/>
    </row>
    <row r="1305" spans="2:10" s="1" customFormat="1" ht="12.75" x14ac:dyDescent="0.2">
      <c r="B1305" s="93" t="s">
        <v>607</v>
      </c>
      <c r="C1305" s="93" t="s">
        <v>517</v>
      </c>
      <c r="D1305" s="60"/>
      <c r="E1305" s="40"/>
      <c r="F1305" s="40"/>
      <c r="G1305" s="40"/>
      <c r="H1305" s="40"/>
      <c r="I1305" s="44">
        <f>+SUM(H1306:H1307)</f>
        <v>1</v>
      </c>
      <c r="J1305" s="45" t="s">
        <v>13</v>
      </c>
    </row>
    <row r="1306" spans="2:10" s="1" customFormat="1" ht="12.75" x14ac:dyDescent="0.2">
      <c r="B1306" s="46"/>
      <c r="C1306" s="39" t="s">
        <v>525</v>
      </c>
      <c r="D1306" s="60">
        <v>1</v>
      </c>
      <c r="E1306" s="40"/>
      <c r="F1306" s="40"/>
      <c r="G1306" s="40"/>
      <c r="H1306" s="40">
        <f>+D1306</f>
        <v>1</v>
      </c>
      <c r="I1306" s="40"/>
      <c r="J1306" s="41"/>
    </row>
    <row r="1307" spans="2:10" s="1" customFormat="1" ht="12.75" x14ac:dyDescent="0.2">
      <c r="B1307" s="46"/>
      <c r="C1307" s="59"/>
      <c r="D1307" s="60"/>
      <c r="E1307" s="40"/>
      <c r="F1307" s="40"/>
      <c r="G1307" s="40"/>
      <c r="H1307" s="40"/>
      <c r="I1307" s="40"/>
      <c r="J1307" s="41"/>
    </row>
    <row r="1308" spans="2:10" s="1" customFormat="1" ht="12.75" x14ac:dyDescent="0.2">
      <c r="B1308" s="46"/>
      <c r="C1308" s="39"/>
      <c r="D1308" s="60"/>
      <c r="E1308" s="40"/>
      <c r="F1308" s="40"/>
      <c r="G1308" s="40"/>
      <c r="H1308" s="40"/>
      <c r="I1308" s="40"/>
      <c r="J1308" s="41"/>
    </row>
    <row r="1309" spans="2:10" s="1" customFormat="1" ht="12.75" x14ac:dyDescent="0.2">
      <c r="B1309" s="93" t="s">
        <v>608</v>
      </c>
      <c r="C1309" s="93" t="s">
        <v>534</v>
      </c>
      <c r="D1309" s="60"/>
      <c r="E1309" s="40"/>
      <c r="F1309" s="40"/>
      <c r="G1309" s="40"/>
      <c r="H1309" s="40"/>
      <c r="I1309" s="44">
        <f>+SUM(H1310:H1311)</f>
        <v>1</v>
      </c>
      <c r="J1309" s="45" t="s">
        <v>13</v>
      </c>
    </row>
    <row r="1310" spans="2:10" s="1" customFormat="1" ht="12.75" x14ac:dyDescent="0.2">
      <c r="B1310" s="46"/>
      <c r="C1310" s="39" t="s">
        <v>495</v>
      </c>
      <c r="D1310" s="60">
        <v>1</v>
      </c>
      <c r="E1310" s="40"/>
      <c r="F1310" s="40"/>
      <c r="G1310" s="40"/>
      <c r="H1310" s="40">
        <f>+D1310</f>
        <v>1</v>
      </c>
      <c r="I1310" s="40"/>
      <c r="J1310" s="41"/>
    </row>
    <row r="1311" spans="2:10" s="1" customFormat="1" ht="12.75" x14ac:dyDescent="0.2">
      <c r="B1311" s="46"/>
      <c r="C1311" s="59"/>
      <c r="D1311" s="60"/>
      <c r="E1311" s="40"/>
      <c r="F1311" s="40"/>
      <c r="G1311" s="40"/>
      <c r="H1311" s="40"/>
      <c r="I1311" s="40"/>
      <c r="J1311" s="41"/>
    </row>
    <row r="1312" spans="2:10" s="1" customFormat="1" ht="12.75" x14ac:dyDescent="0.2">
      <c r="B1312" s="93" t="s">
        <v>609</v>
      </c>
      <c r="C1312" s="93" t="s">
        <v>537</v>
      </c>
      <c r="D1312" s="60"/>
      <c r="E1312" s="40"/>
      <c r="F1312" s="40"/>
      <c r="G1312" s="40"/>
      <c r="H1312" s="40"/>
      <c r="I1312" s="44">
        <f>+SUM(H1313:H1313)</f>
        <v>1</v>
      </c>
      <c r="J1312" s="45" t="s">
        <v>13</v>
      </c>
    </row>
    <row r="1313" spans="2:10" s="1" customFormat="1" ht="14.25" customHeight="1" x14ac:dyDescent="0.2">
      <c r="B1313" s="46"/>
      <c r="C1313" s="39" t="s">
        <v>525</v>
      </c>
      <c r="D1313" s="60">
        <v>1</v>
      </c>
      <c r="E1313" s="40"/>
      <c r="F1313" s="40"/>
      <c r="G1313" s="40"/>
      <c r="H1313" s="40">
        <f>+D1313</f>
        <v>1</v>
      </c>
      <c r="I1313" s="40"/>
      <c r="J1313" s="41"/>
    </row>
    <row r="1314" spans="2:10" s="1" customFormat="1" ht="14.25" customHeight="1" x14ac:dyDescent="0.2">
      <c r="B1314" s="93" t="s">
        <v>611</v>
      </c>
      <c r="C1314" s="93" t="s">
        <v>535</v>
      </c>
      <c r="D1314" s="60"/>
      <c r="E1314" s="40"/>
      <c r="F1314" s="40"/>
      <c r="G1314" s="40"/>
      <c r="H1314" s="40"/>
      <c r="I1314" s="44">
        <f>+SUM(H1315:H1315)</f>
        <v>1</v>
      </c>
      <c r="J1314" s="45" t="s">
        <v>13</v>
      </c>
    </row>
    <row r="1315" spans="2:10" s="1" customFormat="1" ht="12.75" x14ac:dyDescent="0.2">
      <c r="B1315" s="46"/>
      <c r="C1315" s="39" t="s">
        <v>495</v>
      </c>
      <c r="D1315" s="60">
        <v>1</v>
      </c>
      <c r="E1315" s="40"/>
      <c r="F1315" s="40"/>
      <c r="G1315" s="40"/>
      <c r="H1315" s="40">
        <f>+D1315</f>
        <v>1</v>
      </c>
      <c r="I1315" s="40"/>
      <c r="J1315" s="41"/>
    </row>
    <row r="1316" spans="2:10" s="1" customFormat="1" ht="14.25" customHeight="1" x14ac:dyDescent="0.2">
      <c r="B1316" s="46"/>
      <c r="C1316" s="39"/>
      <c r="D1316" s="60"/>
      <c r="E1316" s="40"/>
      <c r="F1316" s="40"/>
      <c r="G1316" s="40"/>
      <c r="H1316" s="40"/>
      <c r="I1316" s="40"/>
      <c r="J1316" s="41"/>
    </row>
    <row r="1317" spans="2:10" s="1" customFormat="1" ht="12.75" x14ac:dyDescent="0.2">
      <c r="B1317" s="46"/>
      <c r="C1317" s="59"/>
      <c r="D1317" s="60"/>
      <c r="E1317" s="40"/>
      <c r="F1317" s="40"/>
      <c r="G1317" s="40"/>
      <c r="H1317" s="40"/>
      <c r="I1317" s="40"/>
      <c r="J1317" s="41"/>
    </row>
    <row r="1318" spans="2:10" s="1" customFormat="1" ht="12.75" x14ac:dyDescent="0.2">
      <c r="B1318" s="73" t="s">
        <v>14</v>
      </c>
      <c r="C1318" s="73" t="s">
        <v>615</v>
      </c>
      <c r="D1318" s="60"/>
      <c r="E1318" s="40"/>
      <c r="F1318" s="40"/>
      <c r="G1318" s="40"/>
      <c r="H1318" s="40"/>
      <c r="I1318" s="40"/>
      <c r="J1318" s="41"/>
    </row>
    <row r="1319" spans="2:10" s="1" customFormat="1" ht="12.75" x14ac:dyDescent="0.2">
      <c r="B1319" s="25" t="s">
        <v>766</v>
      </c>
      <c r="C1319" s="28" t="s">
        <v>616</v>
      </c>
      <c r="D1319" s="60"/>
      <c r="E1319" s="40"/>
      <c r="F1319" s="40"/>
      <c r="G1319" s="40"/>
      <c r="H1319" s="40"/>
      <c r="I1319" s="40">
        <f>+SUM(H1320:H1333)</f>
        <v>58.611179999999997</v>
      </c>
      <c r="J1319" s="41" t="s">
        <v>45</v>
      </c>
    </row>
    <row r="1320" spans="2:10" s="1" customFormat="1" ht="12.75" x14ac:dyDescent="0.2">
      <c r="B1320" s="46"/>
      <c r="C1320" s="39" t="s">
        <v>721</v>
      </c>
      <c r="D1320" s="60">
        <v>1</v>
      </c>
      <c r="E1320" s="40">
        <v>9</v>
      </c>
      <c r="F1320" s="40">
        <v>0.4</v>
      </c>
      <c r="G1320" s="40"/>
      <c r="H1320" s="40">
        <f t="shared" ref="H1320:H1333" si="80">IF(AND(F1320=0,G1320=0),D1320*E1320,IF(AND(E1320=0,G1320=0),D1320*F1320,IF(AND(E1320=0,F1320=0),D1320*G1320,IF(AND(E1320=0),D1320*F1320*G1320,IF(AND(F1320=0),D1320*E1320*G1320,IF(AND(G1320=0),D1320*E1320*F1320,D1320*E1320*F1320*G1320))))))</f>
        <v>3.6</v>
      </c>
      <c r="I1320" s="40"/>
      <c r="J1320" s="41"/>
    </row>
    <row r="1321" spans="2:10" s="1" customFormat="1" ht="12.75" x14ac:dyDescent="0.2">
      <c r="B1321" s="46"/>
      <c r="C1321" s="39" t="s">
        <v>722</v>
      </c>
      <c r="D1321" s="60">
        <v>1</v>
      </c>
      <c r="E1321" s="40">
        <v>17.399999999999999</v>
      </c>
      <c r="F1321" s="40">
        <v>0.4</v>
      </c>
      <c r="G1321" s="40"/>
      <c r="H1321" s="40">
        <f t="shared" si="80"/>
        <v>6.96</v>
      </c>
      <c r="I1321" s="40"/>
      <c r="J1321" s="41"/>
    </row>
    <row r="1322" spans="2:10" s="1" customFormat="1" ht="12.75" x14ac:dyDescent="0.2">
      <c r="B1322" s="46"/>
      <c r="C1322" s="39" t="s">
        <v>723</v>
      </c>
      <c r="D1322" s="60">
        <v>1</v>
      </c>
      <c r="E1322" s="40">
        <v>2</v>
      </c>
      <c r="F1322" s="40">
        <v>0.5</v>
      </c>
      <c r="G1322" s="40"/>
      <c r="H1322" s="40">
        <f t="shared" si="80"/>
        <v>1</v>
      </c>
      <c r="I1322" s="40"/>
      <c r="J1322" s="41"/>
    </row>
    <row r="1323" spans="2:10" s="1" customFormat="1" ht="12.75" x14ac:dyDescent="0.2">
      <c r="B1323" s="46"/>
      <c r="C1323" s="39" t="s">
        <v>443</v>
      </c>
      <c r="D1323" s="8">
        <v>1</v>
      </c>
      <c r="E1323" s="86">
        <f>20.5+0.9+1.75</f>
        <v>23.15</v>
      </c>
      <c r="F1323" s="40">
        <v>0.5</v>
      </c>
      <c r="G1323" s="40"/>
      <c r="H1323" s="40">
        <f t="shared" si="80"/>
        <v>11.574999999999999</v>
      </c>
      <c r="I1323" s="40"/>
      <c r="J1323" s="41"/>
    </row>
    <row r="1324" spans="2:10" s="1" customFormat="1" ht="12.75" x14ac:dyDescent="0.2">
      <c r="B1324" s="46"/>
      <c r="C1324" s="39" t="s">
        <v>391</v>
      </c>
      <c r="D1324" s="40">
        <v>1</v>
      </c>
      <c r="E1324" s="40">
        <v>0.9</v>
      </c>
      <c r="F1324" s="40">
        <v>1.2</v>
      </c>
      <c r="G1324" s="40"/>
      <c r="H1324" s="40">
        <f t="shared" si="80"/>
        <v>1.08</v>
      </c>
      <c r="I1324" s="40"/>
      <c r="J1324" s="41"/>
    </row>
    <row r="1325" spans="2:10" s="1" customFormat="1" ht="12.75" x14ac:dyDescent="0.2">
      <c r="B1325" s="46"/>
      <c r="C1325" s="39" t="s">
        <v>382</v>
      </c>
      <c r="D1325" s="40">
        <v>1</v>
      </c>
      <c r="E1325" s="40">
        <v>0.9</v>
      </c>
      <c r="F1325" s="40">
        <v>1.2</v>
      </c>
      <c r="G1325" s="40"/>
      <c r="H1325" s="40">
        <f t="shared" si="80"/>
        <v>1.08</v>
      </c>
      <c r="I1325" s="40"/>
      <c r="J1325" s="41"/>
    </row>
    <row r="1326" spans="2:10" s="1" customFormat="1" ht="12.75" x14ac:dyDescent="0.2">
      <c r="B1326" s="46"/>
      <c r="C1326" s="43" t="s">
        <v>490</v>
      </c>
      <c r="D1326" s="60"/>
      <c r="E1326" s="40"/>
      <c r="F1326" s="40"/>
      <c r="G1326" s="40"/>
      <c r="H1326" s="40">
        <f t="shared" si="80"/>
        <v>0</v>
      </c>
      <c r="I1326" s="40"/>
      <c r="J1326" s="41"/>
    </row>
    <row r="1327" spans="2:10" s="1" customFormat="1" ht="12.75" x14ac:dyDescent="0.2">
      <c r="B1327" s="46"/>
      <c r="C1327" s="39" t="s">
        <v>491</v>
      </c>
      <c r="D1327" s="40">
        <v>1</v>
      </c>
      <c r="E1327" s="40">
        <v>7.3</v>
      </c>
      <c r="F1327" s="40">
        <f>4*0.0254+0.4</f>
        <v>0.50160000000000005</v>
      </c>
      <c r="G1327" s="40"/>
      <c r="H1327" s="40">
        <f t="shared" si="80"/>
        <v>3.66168</v>
      </c>
      <c r="I1327" s="40"/>
      <c r="J1327" s="41"/>
    </row>
    <row r="1328" spans="2:10" s="1" customFormat="1" ht="12.75" x14ac:dyDescent="0.2">
      <c r="B1328" s="46"/>
      <c r="C1328" s="39"/>
      <c r="D1328" s="60"/>
      <c r="E1328" s="40"/>
      <c r="F1328" s="40"/>
      <c r="G1328" s="40"/>
      <c r="H1328" s="40"/>
      <c r="I1328" s="40"/>
      <c r="J1328" s="41"/>
    </row>
    <row r="1329" spans="2:10" s="1" customFormat="1" ht="12.75" x14ac:dyDescent="0.2">
      <c r="B1329" s="46"/>
      <c r="C1329" s="43" t="s">
        <v>468</v>
      </c>
      <c r="D1329" s="60"/>
      <c r="E1329" s="40"/>
      <c r="F1329" s="40"/>
      <c r="G1329" s="40"/>
      <c r="H1329" s="40"/>
      <c r="I1329" s="40"/>
      <c r="J1329" s="41"/>
    </row>
    <row r="1330" spans="2:10" s="1" customFormat="1" ht="12.75" x14ac:dyDescent="0.2">
      <c r="B1330" s="46"/>
      <c r="C1330" s="39" t="s">
        <v>494</v>
      </c>
      <c r="D1330" s="1">
        <v>1</v>
      </c>
      <c r="E1330" s="40">
        <f>5.22+12.22+5.75+1</f>
        <v>24.19</v>
      </c>
      <c r="F1330" s="40">
        <v>0.55000000000000004</v>
      </c>
      <c r="G1330" s="40"/>
      <c r="H1330" s="40">
        <f t="shared" si="80"/>
        <v>13.304500000000003</v>
      </c>
      <c r="I1330" s="40"/>
      <c r="J1330" s="41"/>
    </row>
    <row r="1331" spans="2:10" s="1" customFormat="1" ht="12.75" x14ac:dyDescent="0.2">
      <c r="B1331" s="46"/>
      <c r="C1331" s="39"/>
      <c r="D1331" s="60"/>
      <c r="E1331" s="40"/>
      <c r="F1331" s="40"/>
      <c r="G1331" s="40"/>
      <c r="H1331" s="40"/>
      <c r="I1331" s="40"/>
      <c r="J1331" s="41"/>
    </row>
    <row r="1332" spans="2:10" s="1" customFormat="1" ht="12.75" x14ac:dyDescent="0.2">
      <c r="B1332" s="46"/>
      <c r="C1332" s="43" t="s">
        <v>250</v>
      </c>
      <c r="D1332" s="60"/>
      <c r="E1332" s="40"/>
      <c r="F1332" s="40"/>
      <c r="G1332" s="40"/>
      <c r="H1332" s="40"/>
      <c r="I1332" s="40"/>
      <c r="J1332" s="41"/>
    </row>
    <row r="1333" spans="2:10" s="1" customFormat="1" ht="12.75" x14ac:dyDescent="0.2">
      <c r="B1333" s="46"/>
      <c r="C1333" s="39" t="s">
        <v>496</v>
      </c>
      <c r="D1333" s="40">
        <v>1</v>
      </c>
      <c r="E1333" s="40">
        <v>25</v>
      </c>
      <c r="F1333" s="40">
        <f>10*0.0254+0.4</f>
        <v>0.65400000000000003</v>
      </c>
      <c r="G1333" s="40"/>
      <c r="H1333" s="40">
        <f t="shared" si="80"/>
        <v>16.350000000000001</v>
      </c>
      <c r="I1333" s="40"/>
      <c r="J1333" s="41"/>
    </row>
    <row r="1334" spans="2:10" s="1" customFormat="1" ht="12.75" x14ac:dyDescent="0.2">
      <c r="B1334" s="46"/>
      <c r="C1334" s="59"/>
      <c r="D1334" s="60"/>
      <c r="E1334" s="40"/>
      <c r="F1334" s="40"/>
      <c r="G1334" s="40"/>
      <c r="H1334" s="40"/>
      <c r="I1334" s="40"/>
      <c r="J1334" s="41"/>
    </row>
    <row r="1335" spans="2:10" s="1" customFormat="1" ht="12.75" x14ac:dyDescent="0.2">
      <c r="B1335" s="46"/>
      <c r="C1335" s="59"/>
      <c r="D1335" s="60"/>
      <c r="E1335" s="40"/>
      <c r="F1335" s="40"/>
      <c r="G1335" s="40"/>
      <c r="H1335" s="40"/>
      <c r="I1335" s="40"/>
      <c r="J1335" s="41"/>
    </row>
    <row r="1336" spans="2:10" s="1" customFormat="1" ht="14.25" customHeight="1" x14ac:dyDescent="0.2">
      <c r="B1336" s="43"/>
      <c r="C1336" s="43"/>
      <c r="D1336" s="60"/>
      <c r="E1336" s="40"/>
      <c r="F1336" s="40"/>
      <c r="G1336" s="40"/>
      <c r="H1336" s="40"/>
      <c r="I1336" s="44"/>
      <c r="J1336" s="45"/>
    </row>
    <row r="1337" spans="2:10" x14ac:dyDescent="0.25">
      <c r="B1337" s="73" t="s">
        <v>22</v>
      </c>
      <c r="C1337" s="73" t="s">
        <v>614</v>
      </c>
      <c r="D1337" s="23"/>
      <c r="E1337" s="23"/>
      <c r="F1337" s="23"/>
      <c r="G1337" s="23"/>
      <c r="H1337" s="24"/>
      <c r="I1337" s="25"/>
      <c r="J1337" s="26"/>
    </row>
    <row r="1338" spans="2:10" s="1" customFormat="1" ht="12.75" x14ac:dyDescent="0.2">
      <c r="B1338" s="25" t="s">
        <v>23</v>
      </c>
      <c r="C1338" s="1" t="s">
        <v>622</v>
      </c>
      <c r="D1338" s="60"/>
      <c r="E1338" s="40"/>
      <c r="F1338" s="40"/>
      <c r="G1338" s="40"/>
      <c r="H1338" s="24"/>
      <c r="I1338" s="25">
        <f>+SUM(H1339:H1342)</f>
        <v>14.4985</v>
      </c>
      <c r="J1338" s="26" t="s">
        <v>4</v>
      </c>
    </row>
    <row r="1339" spans="2:10" s="1" customFormat="1" ht="12.75" x14ac:dyDescent="0.2">
      <c r="B1339" s="25"/>
      <c r="C1339" s="39" t="s">
        <v>686</v>
      </c>
      <c r="D1339" s="60">
        <v>1</v>
      </c>
      <c r="E1339" s="40">
        <v>9</v>
      </c>
      <c r="F1339" s="40">
        <v>0.4</v>
      </c>
      <c r="G1339" s="40">
        <f>0.3+0.2</f>
        <v>0.5</v>
      </c>
      <c r="H1339" s="40">
        <f>IF(AND(F1339=0,G1339=0),D1339*E1339,IF(AND(E1339=0,G1339=0),D1339*F1339,IF(AND(E1339=0,F1339=0),D1339*G1339,IF(AND(E1339=0),D1339*F1339*G1339,IF(AND(F1339=0),D1339*E1339*G1339,IF(AND(G1339=0),D1339*E1339*F1339,D1339*E1339*F1339*G1339))))))</f>
        <v>1.8</v>
      </c>
      <c r="I1339" s="40"/>
      <c r="J1339" s="41"/>
    </row>
    <row r="1340" spans="2:10" s="1" customFormat="1" ht="12.75" x14ac:dyDescent="0.2">
      <c r="B1340" s="57"/>
      <c r="C1340" s="39" t="s">
        <v>687</v>
      </c>
      <c r="D1340" s="60">
        <v>1</v>
      </c>
      <c r="E1340" s="40">
        <v>17.399999999999999</v>
      </c>
      <c r="F1340" s="40">
        <v>0.4</v>
      </c>
      <c r="G1340" s="40">
        <f>0.4+0.2</f>
        <v>0.60000000000000009</v>
      </c>
      <c r="H1340" s="40">
        <f t="shared" ref="H1340:H1342" si="81">IF(AND(F1340=0,G1340=0),D1340*E1340,IF(AND(E1340=0,G1340=0),D1340*F1340,IF(AND(E1340=0,F1340=0),D1340*G1340,IF(AND(E1340=0),D1340*F1340*G1340,IF(AND(F1340=0),D1340*E1340*G1340,IF(AND(G1340=0),D1340*E1340*F1340,D1340*E1340*F1340*G1340))))))</f>
        <v>4.1760000000000002</v>
      </c>
      <c r="I1340" s="40"/>
      <c r="J1340" s="41"/>
    </row>
    <row r="1341" spans="2:10" s="1" customFormat="1" ht="12.75" x14ac:dyDescent="0.2">
      <c r="B1341" s="57"/>
      <c r="C1341" s="39" t="s">
        <v>435</v>
      </c>
      <c r="D1341" s="60">
        <v>1</v>
      </c>
      <c r="E1341" s="40">
        <v>2</v>
      </c>
      <c r="F1341" s="40">
        <v>0.5</v>
      </c>
      <c r="G1341" s="40">
        <f>0.22+0.2</f>
        <v>0.42000000000000004</v>
      </c>
      <c r="H1341" s="40">
        <f t="shared" si="81"/>
        <v>0.42000000000000004</v>
      </c>
      <c r="I1341" s="40"/>
      <c r="J1341" s="41"/>
    </row>
    <row r="1342" spans="2:10" s="1" customFormat="1" ht="12.75" x14ac:dyDescent="0.2">
      <c r="B1342" s="57"/>
      <c r="C1342" s="39" t="s">
        <v>443</v>
      </c>
      <c r="D1342" s="8">
        <v>1</v>
      </c>
      <c r="E1342" s="86">
        <f>20.5+0.9+1.75</f>
        <v>23.15</v>
      </c>
      <c r="F1342" s="40">
        <v>0.5</v>
      </c>
      <c r="G1342" s="40">
        <f>0.45+0.25</f>
        <v>0.7</v>
      </c>
      <c r="H1342" s="40">
        <f t="shared" si="81"/>
        <v>8.1024999999999991</v>
      </c>
      <c r="I1342" s="40"/>
      <c r="J1342" s="41"/>
    </row>
    <row r="1343" spans="2:10" s="1" customFormat="1" ht="12.75" x14ac:dyDescent="0.2">
      <c r="B1343" s="57"/>
      <c r="C1343" s="39"/>
      <c r="D1343" s="60"/>
      <c r="E1343" s="40"/>
      <c r="F1343" s="40"/>
      <c r="G1343" s="40"/>
      <c r="H1343" s="40"/>
      <c r="I1343" s="40"/>
      <c r="J1343" s="41"/>
    </row>
    <row r="1344" spans="2:10" s="1" customFormat="1" ht="12.75" x14ac:dyDescent="0.2">
      <c r="B1344" s="25" t="s">
        <v>24</v>
      </c>
      <c r="C1344" s="1" t="s">
        <v>623</v>
      </c>
      <c r="D1344" s="60"/>
      <c r="E1344" s="40"/>
      <c r="F1344" s="40"/>
      <c r="G1344" s="40"/>
      <c r="H1344" s="24"/>
      <c r="I1344" s="25">
        <f>+SUM(H1345:H1346)</f>
        <v>1.8036000000000001</v>
      </c>
      <c r="J1344" s="26" t="s">
        <v>4</v>
      </c>
    </row>
    <row r="1345" spans="2:10" s="1" customFormat="1" ht="12.75" x14ac:dyDescent="0.2">
      <c r="B1345" s="57"/>
      <c r="C1345" s="39" t="s">
        <v>391</v>
      </c>
      <c r="D1345" s="40">
        <v>1</v>
      </c>
      <c r="E1345" s="40">
        <v>0.9</v>
      </c>
      <c r="F1345" s="40">
        <v>1.2</v>
      </c>
      <c r="G1345" s="40">
        <f>0.57+0.25</f>
        <v>0.82</v>
      </c>
      <c r="H1345" s="40">
        <f>IF(AND(F1345=0,G1345=0),D1345*E1345,IF(AND(E1345=0,G1345=0),D1345*F1345,IF(AND(E1345=0,F1345=0),D1345*G1345,IF(AND(E1345=0),D1345*F1345*G1345,IF(AND(F1345=0),D1345*E1345*G1345,IF(AND(G1345=0),D1345*E1345*F1345,D1345*E1345*F1345*G1345))))))</f>
        <v>0.88560000000000005</v>
      </c>
      <c r="I1345" s="40"/>
      <c r="J1345" s="41"/>
    </row>
    <row r="1346" spans="2:10" s="1" customFormat="1" ht="12.75" x14ac:dyDescent="0.2">
      <c r="B1346" s="57"/>
      <c r="C1346" s="39" t="s">
        <v>382</v>
      </c>
      <c r="D1346" s="40">
        <v>1</v>
      </c>
      <c r="E1346" s="40">
        <v>0.9</v>
      </c>
      <c r="F1346" s="40">
        <v>1.2</v>
      </c>
      <c r="G1346" s="40">
        <f>0.6+0.25</f>
        <v>0.85</v>
      </c>
      <c r="H1346" s="40">
        <f>IF(AND(F1346=0,G1346=0),D1346*E1346,IF(AND(E1346=0,G1346=0),D1346*F1346,IF(AND(E1346=0,F1346=0),D1346*G1346,IF(AND(E1346=0),D1346*F1346*G1346,IF(AND(F1346=0),D1346*E1346*G1346,IF(AND(G1346=0),D1346*E1346*F1346,D1346*E1346*F1346*G1346))))))</f>
        <v>0.91800000000000004</v>
      </c>
      <c r="I1346" s="40"/>
      <c r="J1346" s="41"/>
    </row>
    <row r="1347" spans="2:10" s="1" customFormat="1" ht="12.75" x14ac:dyDescent="0.2">
      <c r="B1347" s="46"/>
      <c r="C1347" s="59"/>
      <c r="D1347" s="60"/>
      <c r="E1347" s="40"/>
      <c r="F1347" s="40"/>
      <c r="G1347" s="40"/>
      <c r="H1347" s="40"/>
      <c r="I1347" s="40"/>
      <c r="J1347" s="41"/>
    </row>
    <row r="1348" spans="2:10" s="1" customFormat="1" ht="12.75" x14ac:dyDescent="0.2">
      <c r="B1348" s="25" t="s">
        <v>631</v>
      </c>
      <c r="C1348" s="28" t="s">
        <v>719</v>
      </c>
      <c r="D1348" s="60"/>
      <c r="E1348" s="40"/>
      <c r="F1348" s="40"/>
      <c r="G1348" s="40"/>
      <c r="H1348" s="40"/>
      <c r="I1348" s="40">
        <f>+SUM(H1349:H1352)</f>
        <v>84.789999999999992</v>
      </c>
      <c r="J1348" s="41" t="s">
        <v>45</v>
      </c>
    </row>
    <row r="1349" spans="2:10" s="1" customFormat="1" ht="12.75" x14ac:dyDescent="0.2">
      <c r="B1349" s="46"/>
      <c r="C1349" s="39" t="s">
        <v>686</v>
      </c>
      <c r="D1349" s="60">
        <v>1</v>
      </c>
      <c r="E1349" s="40">
        <v>9</v>
      </c>
      <c r="F1349" s="40">
        <v>0.4</v>
      </c>
      <c r="G1349" s="40">
        <f>0.3+0.2</f>
        <v>0.5</v>
      </c>
      <c r="H1349" s="40">
        <f>+(F1349+G1349*2)*E1349</f>
        <v>12.6</v>
      </c>
      <c r="I1349" s="40"/>
      <c r="J1349" s="41"/>
    </row>
    <row r="1350" spans="2:10" s="1" customFormat="1" ht="12.75" x14ac:dyDescent="0.2">
      <c r="B1350" s="46"/>
      <c r="C1350" s="39" t="s">
        <v>687</v>
      </c>
      <c r="D1350" s="60">
        <v>1</v>
      </c>
      <c r="E1350" s="40">
        <v>17.399999999999999</v>
      </c>
      <c r="F1350" s="40">
        <v>0.4</v>
      </c>
      <c r="G1350" s="40">
        <f>0.4+0.2</f>
        <v>0.60000000000000009</v>
      </c>
      <c r="H1350" s="40">
        <f t="shared" ref="H1350:H1352" si="82">+(F1350+G1350*2)*E1350</f>
        <v>27.84</v>
      </c>
      <c r="I1350" s="40"/>
      <c r="J1350" s="41"/>
    </row>
    <row r="1351" spans="2:10" s="1" customFormat="1" ht="12.75" x14ac:dyDescent="0.2">
      <c r="B1351" s="46"/>
      <c r="C1351" s="39" t="s">
        <v>435</v>
      </c>
      <c r="D1351" s="60">
        <v>1</v>
      </c>
      <c r="E1351" s="40">
        <v>2</v>
      </c>
      <c r="F1351" s="40">
        <v>0.5</v>
      </c>
      <c r="G1351" s="40">
        <f>0.22+0.2</f>
        <v>0.42000000000000004</v>
      </c>
      <c r="H1351" s="40">
        <f t="shared" si="82"/>
        <v>2.68</v>
      </c>
      <c r="I1351" s="40"/>
      <c r="J1351" s="41"/>
    </row>
    <row r="1352" spans="2:10" s="1" customFormat="1" ht="12.75" x14ac:dyDescent="0.2">
      <c r="B1352" s="46"/>
      <c r="C1352" s="39" t="s">
        <v>443</v>
      </c>
      <c r="D1352" s="8">
        <v>1</v>
      </c>
      <c r="E1352" s="86">
        <f>20.5+0.9+1.75</f>
        <v>23.15</v>
      </c>
      <c r="F1352" s="40">
        <v>0.5</v>
      </c>
      <c r="G1352" s="40">
        <f>0.45+0.2</f>
        <v>0.65</v>
      </c>
      <c r="H1352" s="40">
        <f t="shared" si="82"/>
        <v>41.67</v>
      </c>
      <c r="I1352" s="40"/>
      <c r="J1352" s="41"/>
    </row>
    <row r="1353" spans="2:10" s="1" customFormat="1" ht="12.75" x14ac:dyDescent="0.2">
      <c r="B1353" s="46"/>
      <c r="C1353" s="59"/>
      <c r="D1353" s="23"/>
      <c r="E1353" s="24"/>
      <c r="F1353" s="40"/>
      <c r="G1353" s="40"/>
      <c r="H1353" s="40"/>
      <c r="I1353" s="40"/>
      <c r="J1353" s="41"/>
    </row>
    <row r="1354" spans="2:10" s="1" customFormat="1" ht="12.75" x14ac:dyDescent="0.2">
      <c r="B1354" s="46"/>
      <c r="C1354" s="59"/>
      <c r="D1354" s="60"/>
      <c r="E1354" s="40"/>
      <c r="F1354" s="40"/>
      <c r="G1354" s="40"/>
      <c r="H1354" s="40"/>
      <c r="I1354" s="40"/>
      <c r="J1354" s="41"/>
    </row>
    <row r="1355" spans="2:10" s="1" customFormat="1" ht="12.75" x14ac:dyDescent="0.2">
      <c r="B1355" s="107" t="s">
        <v>632</v>
      </c>
      <c r="C1355" s="343" t="s">
        <v>794</v>
      </c>
      <c r="D1355" s="60"/>
      <c r="E1355" s="40"/>
      <c r="F1355" s="40" t="s">
        <v>795</v>
      </c>
      <c r="G1355" s="40"/>
      <c r="H1355" s="40"/>
      <c r="I1355" s="40">
        <f>+SUM(H1356:H1366)</f>
        <v>407.58850294794655</v>
      </c>
      <c r="J1355" s="41" t="s">
        <v>12</v>
      </c>
    </row>
    <row r="1356" spans="2:10" s="1" customFormat="1" ht="12.75" x14ac:dyDescent="0.2">
      <c r="B1356" s="380"/>
      <c r="C1356" s="39" t="s">
        <v>772</v>
      </c>
      <c r="D1356" s="60">
        <v>4</v>
      </c>
      <c r="E1356" s="40">
        <v>14.8</v>
      </c>
      <c r="F1356" s="40">
        <v>1.64</v>
      </c>
      <c r="G1356" s="40"/>
      <c r="H1356" s="40">
        <f t="shared" ref="H1356:H1358" si="83">IF(AND(F1356=0,G1356=0),D1356*E1356,IF(AND(E1356=0,G1356=0),D1356*F1356,IF(AND(E1356=0,F1356=0),D1356*G1356,IF(AND(E1356=0),D1356*F1356*G1356,IF(AND(F1356=0),D1356*E1356*G1356,IF(AND(G1356=0),D1356*E1356*F1356,D1356*E1356*F1356*G1356))))))</f>
        <v>97.087999999999994</v>
      </c>
      <c r="I1356" s="40"/>
      <c r="J1356" s="41"/>
    </row>
    <row r="1357" spans="2:10" s="1" customFormat="1" ht="12.75" x14ac:dyDescent="0.2">
      <c r="B1357" s="380"/>
      <c r="C1357" s="39" t="s">
        <v>451</v>
      </c>
      <c r="D1357" s="60">
        <v>1</v>
      </c>
      <c r="E1357" s="89">
        <v>11.3</v>
      </c>
      <c r="F1357" s="40">
        <v>1.64</v>
      </c>
      <c r="G1357" s="40"/>
      <c r="H1357" s="40">
        <f t="shared" si="83"/>
        <v>18.532</v>
      </c>
      <c r="I1357" s="40"/>
      <c r="J1357" s="41"/>
    </row>
    <row r="1358" spans="2:10" s="1" customFormat="1" ht="12.75" x14ac:dyDescent="0.2">
      <c r="B1358" s="380"/>
      <c r="C1358" s="39" t="s">
        <v>660</v>
      </c>
      <c r="D1358" s="60">
        <v>1</v>
      </c>
      <c r="E1358" s="89">
        <v>4.6500000000000004</v>
      </c>
      <c r="F1358" s="40">
        <v>1.64</v>
      </c>
      <c r="G1358" s="40"/>
      <c r="H1358" s="40">
        <f t="shared" si="83"/>
        <v>7.6260000000000003</v>
      </c>
      <c r="I1358" s="40"/>
      <c r="J1358" s="41"/>
    </row>
    <row r="1359" spans="2:10" s="1" customFormat="1" ht="12.75" x14ac:dyDescent="0.2">
      <c r="B1359" s="380"/>
      <c r="C1359" s="43" t="s">
        <v>490</v>
      </c>
      <c r="D1359" s="60"/>
      <c r="E1359" s="40"/>
      <c r="G1359" s="40"/>
      <c r="H1359" s="40"/>
      <c r="I1359" s="40"/>
      <c r="J1359" s="41"/>
    </row>
    <row r="1360" spans="2:10" s="1" customFormat="1" ht="12.75" x14ac:dyDescent="0.2">
      <c r="B1360" s="380"/>
      <c r="C1360" s="39" t="s">
        <v>491</v>
      </c>
      <c r="D1360" s="40">
        <v>1</v>
      </c>
      <c r="E1360" s="40">
        <v>7.3</v>
      </c>
      <c r="F1360" s="40">
        <f>13.58/5</f>
        <v>2.7160000000000002</v>
      </c>
      <c r="G1360" s="40"/>
      <c r="H1360" s="40">
        <f t="shared" ref="H1360:H1363" si="84">IF(AND(F1360=0,G1360=0),D1360*E1360,IF(AND(E1360=0,G1360=0),D1360*F1360,IF(AND(E1360=0,F1360=0),D1360*G1360,IF(AND(E1360=0),D1360*F1360*G1360,IF(AND(F1360=0),D1360*E1360*G1360,IF(AND(G1360=0),D1360*E1360*F1360,D1360*E1360*F1360*G1360))))))</f>
        <v>19.826800000000002</v>
      </c>
      <c r="I1360" s="40"/>
      <c r="J1360" s="41"/>
    </row>
    <row r="1361" spans="2:10" s="1" customFormat="1" ht="12.75" x14ac:dyDescent="0.2">
      <c r="B1361" s="380"/>
      <c r="C1361" s="39"/>
      <c r="D1361" s="60"/>
      <c r="E1361" s="40"/>
      <c r="F1361" s="40"/>
      <c r="G1361" s="40"/>
      <c r="H1361" s="40"/>
      <c r="I1361" s="40"/>
      <c r="J1361" s="41"/>
    </row>
    <row r="1362" spans="2:10" s="1" customFormat="1" ht="12.75" x14ac:dyDescent="0.2">
      <c r="B1362" s="380"/>
      <c r="C1362" s="43" t="s">
        <v>468</v>
      </c>
      <c r="D1362" s="60"/>
      <c r="E1362" s="40"/>
      <c r="F1362" s="40"/>
      <c r="G1362" s="40"/>
      <c r="H1362" s="40"/>
      <c r="I1362" s="40"/>
      <c r="J1362" s="41"/>
    </row>
    <row r="1363" spans="2:10" s="1" customFormat="1" ht="12.75" x14ac:dyDescent="0.2">
      <c r="B1363" s="380"/>
      <c r="C1363" s="39" t="s">
        <v>494</v>
      </c>
      <c r="D1363" s="1">
        <v>1</v>
      </c>
      <c r="E1363" s="40">
        <f>5.22+12.22+5.75+1</f>
        <v>24.19</v>
      </c>
      <c r="F1363" s="40">
        <f>18.14/5.83</f>
        <v>3.1114922813036023</v>
      </c>
      <c r="G1363" s="40"/>
      <c r="H1363" s="40">
        <f t="shared" si="84"/>
        <v>75.266998284734143</v>
      </c>
      <c r="I1363" s="40"/>
      <c r="J1363" s="41"/>
    </row>
    <row r="1364" spans="2:10" s="1" customFormat="1" ht="12.75" x14ac:dyDescent="0.2">
      <c r="B1364" s="380"/>
      <c r="C1364" s="39"/>
      <c r="E1364" s="40"/>
      <c r="F1364" s="40"/>
      <c r="G1364" s="40"/>
      <c r="H1364" s="40"/>
      <c r="I1364" s="40"/>
      <c r="J1364" s="41"/>
    </row>
    <row r="1365" spans="2:10" s="1" customFormat="1" ht="12.75" x14ac:dyDescent="0.2">
      <c r="B1365" s="380"/>
      <c r="C1365" s="43" t="s">
        <v>250</v>
      </c>
      <c r="D1365" s="60"/>
      <c r="E1365" s="40"/>
      <c r="F1365" s="40"/>
      <c r="G1365" s="40"/>
      <c r="H1365" s="40"/>
      <c r="I1365" s="40"/>
      <c r="J1365" s="41"/>
    </row>
    <row r="1366" spans="2:10" s="1" customFormat="1" ht="12.75" x14ac:dyDescent="0.2">
      <c r="B1366" s="380"/>
      <c r="C1366" s="39" t="s">
        <v>496</v>
      </c>
      <c r="D1366" s="40">
        <v>1</v>
      </c>
      <c r="E1366" s="40">
        <v>25</v>
      </c>
      <c r="F1366" s="23">
        <f>43.83/5.79</f>
        <v>7.5699481865284968</v>
      </c>
      <c r="G1366" s="23"/>
      <c r="H1366" s="40">
        <f t="shared" ref="H1366" si="85">IF(AND(F1366=0,G1366=0),D1366*E1366,IF(AND(E1366=0,G1366=0),D1366*F1366,IF(AND(E1366=0,F1366=0),D1366*G1366,IF(AND(E1366=0),D1366*F1366*G1366,IF(AND(F1366=0),D1366*E1366*G1366,IF(AND(G1366=0),D1366*E1366*F1366,D1366*E1366*F1366*G1366))))))</f>
        <v>189.24870466321241</v>
      </c>
      <c r="I1366" s="24"/>
      <c r="J1366" s="26"/>
    </row>
    <row r="1367" spans="2:10" s="1" customFormat="1" ht="12.75" x14ac:dyDescent="0.2">
      <c r="B1367" s="380"/>
      <c r="C1367" s="111"/>
      <c r="D1367" s="23"/>
      <c r="E1367" s="23"/>
      <c r="F1367" s="23"/>
      <c r="G1367" s="23"/>
      <c r="H1367" s="23"/>
      <c r="I1367" s="24"/>
      <c r="J1367" s="26"/>
    </row>
    <row r="1368" spans="2:10" s="1" customFormat="1" ht="12.75" x14ac:dyDescent="0.2">
      <c r="B1368" s="380"/>
      <c r="C1368" s="111"/>
      <c r="D1368" s="23"/>
      <c r="E1368" s="23"/>
      <c r="F1368" s="23"/>
      <c r="G1368" s="23"/>
      <c r="H1368" s="23"/>
      <c r="I1368" s="24"/>
      <c r="J1368" s="26"/>
    </row>
    <row r="1369" spans="2:10" x14ac:dyDescent="0.25">
      <c r="B1369" s="107" t="s">
        <v>777</v>
      </c>
      <c r="C1369" s="370" t="s">
        <v>779</v>
      </c>
      <c r="D1369" s="23"/>
      <c r="E1369" s="23"/>
      <c r="F1369" s="23"/>
      <c r="G1369" s="23"/>
      <c r="I1369" s="24">
        <f>+SUM(H1370:H1375)</f>
        <v>25.294999999999998</v>
      </c>
      <c r="J1369" s="26" t="s">
        <v>45</v>
      </c>
    </row>
    <row r="1370" spans="2:10" x14ac:dyDescent="0.25">
      <c r="B1370" s="107"/>
      <c r="C1370" s="39" t="s">
        <v>391</v>
      </c>
      <c r="D1370" s="40">
        <v>1</v>
      </c>
      <c r="E1370" s="40">
        <v>0.9</v>
      </c>
      <c r="F1370" s="40">
        <v>1.2</v>
      </c>
      <c r="G1370" s="40"/>
      <c r="H1370" s="40">
        <f t="shared" ref="H1370:H1375" si="86">IF(AND(F1370=0,G1370=0),D1370*E1370,IF(AND(E1370=0,G1370=0),D1370*F1370,IF(AND(E1370=0,F1370=0),D1370*G1370,IF(AND(E1370=0),D1370*F1370*G1370,IF(AND(F1370=0),D1370*E1370*G1370,IF(AND(G1370=0),D1370*E1370*F1370,D1370*E1370*F1370*G1370))))))</f>
        <v>1.08</v>
      </c>
      <c r="I1370" s="25"/>
      <c r="J1370" s="26"/>
    </row>
    <row r="1371" spans="2:10" x14ac:dyDescent="0.25">
      <c r="B1371" s="107"/>
      <c r="C1371" s="39" t="s">
        <v>382</v>
      </c>
      <c r="D1371" s="40">
        <v>1</v>
      </c>
      <c r="E1371" s="40">
        <v>0.9</v>
      </c>
      <c r="F1371" s="40">
        <v>1.2</v>
      </c>
      <c r="G1371" s="40"/>
      <c r="H1371" s="40">
        <f t="shared" si="86"/>
        <v>1.08</v>
      </c>
      <c r="I1371" s="25"/>
      <c r="J1371" s="26"/>
    </row>
    <row r="1372" spans="2:10" x14ac:dyDescent="0.25">
      <c r="B1372" s="107"/>
      <c r="C1372" s="39" t="s">
        <v>787</v>
      </c>
      <c r="D1372" s="60">
        <v>1</v>
      </c>
      <c r="E1372" s="40">
        <v>9</v>
      </c>
      <c r="F1372" s="40">
        <v>0.4</v>
      </c>
      <c r="G1372" s="40"/>
      <c r="H1372" s="40">
        <f t="shared" si="86"/>
        <v>3.6</v>
      </c>
      <c r="I1372" s="25"/>
      <c r="J1372" s="26"/>
    </row>
    <row r="1373" spans="2:10" x14ac:dyDescent="0.25">
      <c r="B1373" s="107"/>
      <c r="C1373" s="39" t="s">
        <v>722</v>
      </c>
      <c r="D1373" s="60">
        <v>1</v>
      </c>
      <c r="E1373" s="40">
        <v>17.399999999999999</v>
      </c>
      <c r="F1373" s="40">
        <v>0.4</v>
      </c>
      <c r="G1373" s="40"/>
      <c r="H1373" s="40">
        <f t="shared" si="86"/>
        <v>6.96</v>
      </c>
      <c r="I1373" s="25"/>
      <c r="J1373" s="26"/>
    </row>
    <row r="1374" spans="2:10" x14ac:dyDescent="0.25">
      <c r="B1374" s="107"/>
      <c r="C1374" s="39" t="s">
        <v>788</v>
      </c>
      <c r="D1374" s="60">
        <v>1</v>
      </c>
      <c r="E1374" s="40">
        <v>2</v>
      </c>
      <c r="F1374" s="40">
        <v>0.5</v>
      </c>
      <c r="G1374" s="40"/>
      <c r="H1374" s="40">
        <f t="shared" si="86"/>
        <v>1</v>
      </c>
      <c r="I1374" s="25"/>
      <c r="J1374" s="26"/>
    </row>
    <row r="1375" spans="2:10" x14ac:dyDescent="0.25">
      <c r="B1375" s="107"/>
      <c r="C1375" s="39" t="s">
        <v>443</v>
      </c>
      <c r="D1375" s="8">
        <v>1</v>
      </c>
      <c r="E1375" s="86">
        <f>20.5+0.9+1.75</f>
        <v>23.15</v>
      </c>
      <c r="F1375" s="40">
        <v>0.5</v>
      </c>
      <c r="G1375" s="40"/>
      <c r="H1375" s="40">
        <f t="shared" si="86"/>
        <v>11.574999999999999</v>
      </c>
      <c r="I1375" s="25"/>
      <c r="J1375" s="26"/>
    </row>
    <row r="1376" spans="2:10" x14ac:dyDescent="0.25">
      <c r="B1376" s="107"/>
      <c r="C1376" s="111"/>
      <c r="D1376" s="23"/>
      <c r="E1376" s="23"/>
      <c r="F1376" s="23"/>
      <c r="G1376" s="23"/>
      <c r="H1376" s="24"/>
      <c r="I1376" s="25"/>
      <c r="J1376" s="26"/>
    </row>
    <row r="1377" spans="2:10" x14ac:dyDescent="0.25">
      <c r="B1377" s="107"/>
      <c r="C1377" s="370"/>
      <c r="D1377" s="23"/>
      <c r="E1377" s="23"/>
      <c r="F1377" s="23"/>
      <c r="G1377" s="23"/>
      <c r="H1377" s="24"/>
      <c r="I1377" s="25"/>
      <c r="J1377" s="26"/>
    </row>
    <row r="1378" spans="2:10" s="1" customFormat="1" ht="12.75" x14ac:dyDescent="0.2">
      <c r="B1378" s="107" t="s">
        <v>778</v>
      </c>
      <c r="C1378" s="370" t="s">
        <v>776</v>
      </c>
      <c r="D1378" s="60"/>
      <c r="E1378" s="40"/>
      <c r="F1378" s="40"/>
      <c r="G1378" s="40"/>
      <c r="H1378" s="40"/>
      <c r="I1378" s="40">
        <f>+H1380+H1384+H1389-H1382-H1386-H1391</f>
        <v>119.9244667276004</v>
      </c>
      <c r="J1378" s="41" t="s">
        <v>4</v>
      </c>
    </row>
    <row r="1379" spans="2:10" s="1" customFormat="1" ht="12.75" x14ac:dyDescent="0.2">
      <c r="B1379" s="46"/>
      <c r="C1379" s="43" t="s">
        <v>490</v>
      </c>
      <c r="D1379" s="60"/>
      <c r="E1379" s="40"/>
      <c r="F1379" s="40"/>
      <c r="G1379" s="40"/>
      <c r="H1379" s="40"/>
      <c r="I1379" s="40"/>
      <c r="J1379" s="41"/>
    </row>
    <row r="1380" spans="2:10" s="1" customFormat="1" ht="12.75" x14ac:dyDescent="0.2">
      <c r="B1380" s="46"/>
      <c r="C1380" s="39" t="s">
        <v>491</v>
      </c>
      <c r="D1380" s="40">
        <v>1</v>
      </c>
      <c r="E1380" s="40">
        <v>7.3</v>
      </c>
      <c r="F1380" s="40">
        <f>4*0.0254+0.4</f>
        <v>0.50160000000000005</v>
      </c>
      <c r="G1380" s="40">
        <v>0.35</v>
      </c>
      <c r="H1380" s="40">
        <f t="shared" ref="H1380" si="87">+(F1380+G1380*2)*E1380</f>
        <v>8.7716799999999999</v>
      </c>
      <c r="I1380" s="40"/>
      <c r="J1380" s="41"/>
    </row>
    <row r="1381" spans="2:10" s="1" customFormat="1" ht="12.75" x14ac:dyDescent="0.2">
      <c r="B1381" s="46"/>
      <c r="F1381" s="40" t="s">
        <v>786</v>
      </c>
      <c r="G1381" s="40">
        <v>4</v>
      </c>
      <c r="I1381" s="40"/>
      <c r="J1381" s="41"/>
    </row>
    <row r="1382" spans="2:10" s="1" customFormat="1" ht="12.75" x14ac:dyDescent="0.2">
      <c r="B1382" s="46"/>
      <c r="C1382" s="39" t="s">
        <v>784</v>
      </c>
      <c r="D1382" s="60">
        <v>1</v>
      </c>
      <c r="E1382" s="40">
        <f>+SUM(E1380:E1380)</f>
        <v>7.3</v>
      </c>
      <c r="F1382" s="40" t="s">
        <v>785</v>
      </c>
      <c r="G1382" s="40">
        <f>+PI()*((G1381*0.0254)^2)/4</f>
        <v>8.107319665559963E-3</v>
      </c>
      <c r="H1382" s="40">
        <f>+E1382*G1382</f>
        <v>5.9183433558587725E-2</v>
      </c>
      <c r="I1382" s="40"/>
      <c r="J1382" s="41"/>
    </row>
    <row r="1383" spans="2:10" s="1" customFormat="1" ht="12.75" x14ac:dyDescent="0.2">
      <c r="B1383" s="46"/>
      <c r="C1383" s="43" t="s">
        <v>468</v>
      </c>
      <c r="D1383" s="60"/>
      <c r="E1383" s="40"/>
      <c r="F1383" s="40"/>
      <c r="G1383" s="40"/>
      <c r="H1383" s="40"/>
      <c r="I1383" s="40"/>
      <c r="J1383" s="41"/>
    </row>
    <row r="1384" spans="2:10" s="1" customFormat="1" ht="12.75" x14ac:dyDescent="0.2">
      <c r="B1384" s="46"/>
      <c r="C1384" s="39" t="s">
        <v>494</v>
      </c>
      <c r="D1384" s="1">
        <v>1</v>
      </c>
      <c r="E1384" s="40">
        <f>5.22+12.22+5.75+1</f>
        <v>24.19</v>
      </c>
      <c r="F1384" s="40">
        <v>1</v>
      </c>
      <c r="G1384" s="40">
        <v>1</v>
      </c>
      <c r="H1384" s="40">
        <f t="shared" ref="H1384" si="88">+(F1384+G1384*2)*E1384</f>
        <v>72.570000000000007</v>
      </c>
      <c r="I1384" s="40"/>
      <c r="J1384" s="41"/>
    </row>
    <row r="1385" spans="2:10" s="1" customFormat="1" ht="12.75" x14ac:dyDescent="0.2">
      <c r="B1385" s="46"/>
      <c r="F1385" s="40" t="s">
        <v>786</v>
      </c>
      <c r="G1385" s="40">
        <v>6</v>
      </c>
      <c r="I1385" s="40"/>
      <c r="J1385" s="41"/>
    </row>
    <row r="1386" spans="2:10" s="1" customFormat="1" ht="12.75" x14ac:dyDescent="0.2">
      <c r="B1386" s="46"/>
      <c r="C1386" s="39" t="s">
        <v>784</v>
      </c>
      <c r="D1386" s="60">
        <v>1</v>
      </c>
      <c r="E1386" s="40">
        <f>+SUM(E1384:E1384)</f>
        <v>24.19</v>
      </c>
      <c r="F1386" s="40" t="s">
        <v>785</v>
      </c>
      <c r="G1386" s="40">
        <f>+PI()*((G1385*0.0254)^2)/4</f>
        <v>1.8241469247509915E-2</v>
      </c>
      <c r="H1386" s="40">
        <f>+E1386*G1386</f>
        <v>0.44126114109726489</v>
      </c>
      <c r="I1386" s="40"/>
      <c r="J1386" s="41"/>
    </row>
    <row r="1387" spans="2:10" s="1" customFormat="1" ht="12.75" x14ac:dyDescent="0.2">
      <c r="B1387" s="46"/>
      <c r="C1387" s="39"/>
      <c r="D1387" s="60"/>
      <c r="E1387" s="40"/>
      <c r="F1387" s="40"/>
      <c r="G1387" s="40"/>
      <c r="H1387" s="40"/>
      <c r="I1387" s="40"/>
      <c r="J1387" s="41"/>
    </row>
    <row r="1388" spans="2:10" s="1" customFormat="1" ht="12.75" x14ac:dyDescent="0.2">
      <c r="B1388" s="46"/>
      <c r="C1388" s="43" t="s">
        <v>250</v>
      </c>
      <c r="D1388" s="60"/>
      <c r="E1388" s="40"/>
      <c r="F1388" s="40"/>
      <c r="G1388" s="40"/>
      <c r="H1388" s="40"/>
      <c r="I1388" s="40"/>
      <c r="J1388" s="41"/>
    </row>
    <row r="1389" spans="2:10" s="1" customFormat="1" ht="12.75" x14ac:dyDescent="0.2">
      <c r="B1389" s="46"/>
      <c r="C1389" s="39" t="s">
        <v>496</v>
      </c>
      <c r="D1389" s="40">
        <v>1</v>
      </c>
      <c r="E1389" s="40">
        <v>25</v>
      </c>
      <c r="F1389" s="40">
        <f>10*0.0254+0.4</f>
        <v>0.65400000000000003</v>
      </c>
      <c r="G1389" s="40">
        <v>0.48</v>
      </c>
      <c r="H1389" s="40">
        <f t="shared" ref="H1389" si="89">+(F1389+G1389*2)*E1389</f>
        <v>40.349999999999994</v>
      </c>
      <c r="I1389" s="40"/>
      <c r="J1389" s="41"/>
    </row>
    <row r="1390" spans="2:10" s="1" customFormat="1" ht="12.75" x14ac:dyDescent="0.2">
      <c r="B1390" s="46"/>
      <c r="F1390" s="40" t="s">
        <v>786</v>
      </c>
      <c r="G1390" s="40">
        <v>10</v>
      </c>
      <c r="I1390" s="40"/>
      <c r="J1390" s="41"/>
    </row>
    <row r="1391" spans="2:10" s="1" customFormat="1" ht="12.75" x14ac:dyDescent="0.2">
      <c r="B1391" s="46"/>
      <c r="C1391" s="39" t="s">
        <v>784</v>
      </c>
      <c r="D1391" s="60">
        <v>1</v>
      </c>
      <c r="E1391" s="40">
        <f>+SUM(E1389:E1389)</f>
        <v>25</v>
      </c>
      <c r="F1391" s="40" t="s">
        <v>785</v>
      </c>
      <c r="G1391" s="40">
        <f>+PI()*((G1390*0.0254)^2)/4</f>
        <v>5.0670747909749778E-2</v>
      </c>
      <c r="H1391" s="40">
        <f>+E1391*G1391</f>
        <v>1.2667686977437445</v>
      </c>
      <c r="I1391" s="40"/>
      <c r="J1391" s="41"/>
    </row>
    <row r="1392" spans="2:10" s="1" customFormat="1" ht="12.75" x14ac:dyDescent="0.2">
      <c r="B1392" s="46"/>
      <c r="C1392" s="59"/>
      <c r="D1392" s="23"/>
      <c r="E1392" s="24"/>
      <c r="F1392" s="40"/>
      <c r="G1392" s="40"/>
      <c r="H1392" s="40"/>
      <c r="I1392" s="40"/>
      <c r="J1392" s="41"/>
    </row>
    <row r="1393" spans="2:10" s="1" customFormat="1" ht="12.75" x14ac:dyDescent="0.2">
      <c r="B1393" s="46"/>
      <c r="C1393" s="59"/>
      <c r="D1393" s="60"/>
      <c r="E1393" s="40"/>
      <c r="F1393" s="40"/>
      <c r="G1393" s="40"/>
      <c r="H1393" s="40"/>
      <c r="I1393" s="40"/>
      <c r="J1393" s="41"/>
    </row>
    <row r="1394" spans="2:10" s="1" customFormat="1" ht="12.75" x14ac:dyDescent="0.2">
      <c r="B1394" s="25" t="s">
        <v>709</v>
      </c>
      <c r="C1394" s="28" t="s">
        <v>718</v>
      </c>
      <c r="D1394" s="60"/>
      <c r="E1394" s="40"/>
      <c r="F1394" s="40"/>
      <c r="G1394" s="40"/>
      <c r="H1394" s="40"/>
      <c r="I1394" s="40">
        <f>+SUM(H1396:H1402)</f>
        <v>121.69168000000001</v>
      </c>
      <c r="J1394" s="41" t="s">
        <v>45</v>
      </c>
    </row>
    <row r="1395" spans="2:10" s="1" customFormat="1" ht="12.75" x14ac:dyDescent="0.2">
      <c r="B1395" s="46"/>
      <c r="C1395" s="43" t="s">
        <v>490</v>
      </c>
      <c r="D1395" s="60"/>
      <c r="E1395" s="40"/>
      <c r="F1395" s="40"/>
      <c r="G1395" s="40"/>
      <c r="H1395" s="40"/>
      <c r="I1395" s="40"/>
      <c r="J1395" s="41"/>
    </row>
    <row r="1396" spans="2:10" s="1" customFormat="1" ht="12.75" x14ac:dyDescent="0.2">
      <c r="B1396" s="46"/>
      <c r="C1396" s="39" t="s">
        <v>491</v>
      </c>
      <c r="D1396" s="40">
        <v>1</v>
      </c>
      <c r="E1396" s="40">
        <v>7.3</v>
      </c>
      <c r="F1396" s="40">
        <f>4*0.0254+0.4</f>
        <v>0.50160000000000005</v>
      </c>
      <c r="G1396" s="40">
        <v>0.35</v>
      </c>
      <c r="H1396" s="40">
        <f t="shared" ref="H1396" si="90">+(F1396+G1396*2)*E1396</f>
        <v>8.7716799999999999</v>
      </c>
      <c r="I1396" s="40"/>
      <c r="J1396" s="41"/>
    </row>
    <row r="1397" spans="2:10" s="1" customFormat="1" ht="12.75" x14ac:dyDescent="0.2">
      <c r="B1397" s="46"/>
      <c r="C1397" s="39"/>
      <c r="D1397" s="60"/>
      <c r="E1397" s="40"/>
      <c r="F1397" s="40"/>
      <c r="G1397" s="40"/>
      <c r="H1397" s="40"/>
      <c r="I1397" s="40"/>
      <c r="J1397" s="41"/>
    </row>
    <row r="1398" spans="2:10" s="1" customFormat="1" ht="12.75" x14ac:dyDescent="0.2">
      <c r="B1398" s="46"/>
      <c r="C1398" s="43" t="s">
        <v>468</v>
      </c>
      <c r="D1398" s="60"/>
      <c r="E1398" s="40"/>
      <c r="F1398" s="40"/>
      <c r="G1398" s="40"/>
      <c r="H1398" s="40"/>
      <c r="I1398" s="40"/>
      <c r="J1398" s="41"/>
    </row>
    <row r="1399" spans="2:10" s="1" customFormat="1" ht="12.75" x14ac:dyDescent="0.2">
      <c r="B1399" s="46"/>
      <c r="C1399" s="39" t="s">
        <v>494</v>
      </c>
      <c r="D1399" s="1">
        <v>1</v>
      </c>
      <c r="E1399" s="40">
        <f>5.22+12.22+5.75+1</f>
        <v>24.19</v>
      </c>
      <c r="F1399" s="40">
        <v>1</v>
      </c>
      <c r="G1399" s="40">
        <v>1</v>
      </c>
      <c r="H1399" s="40">
        <f t="shared" ref="H1399" si="91">+(F1399+G1399*2)*E1399</f>
        <v>72.570000000000007</v>
      </c>
      <c r="I1399" s="40"/>
      <c r="J1399" s="41"/>
    </row>
    <row r="1400" spans="2:10" s="1" customFormat="1" ht="12.75" x14ac:dyDescent="0.2">
      <c r="B1400" s="46"/>
      <c r="C1400" s="39"/>
      <c r="D1400" s="60"/>
      <c r="E1400" s="40"/>
      <c r="F1400" s="40"/>
      <c r="G1400" s="40"/>
      <c r="H1400" s="40"/>
      <c r="I1400" s="40"/>
      <c r="J1400" s="41"/>
    </row>
    <row r="1401" spans="2:10" s="1" customFormat="1" ht="12.75" x14ac:dyDescent="0.2">
      <c r="B1401" s="46"/>
      <c r="C1401" s="43" t="s">
        <v>250</v>
      </c>
      <c r="D1401" s="60"/>
      <c r="E1401" s="40"/>
      <c r="F1401" s="40"/>
      <c r="G1401" s="40"/>
      <c r="H1401" s="40"/>
      <c r="I1401" s="40"/>
      <c r="J1401" s="41"/>
    </row>
    <row r="1402" spans="2:10" s="1" customFormat="1" ht="12.75" x14ac:dyDescent="0.2">
      <c r="B1402" s="46"/>
      <c r="C1402" s="39" t="s">
        <v>496</v>
      </c>
      <c r="D1402" s="40">
        <v>1</v>
      </c>
      <c r="E1402" s="40">
        <v>25</v>
      </c>
      <c r="F1402" s="40">
        <f>10*0.0254+0.4</f>
        <v>0.65400000000000003</v>
      </c>
      <c r="G1402" s="40">
        <v>0.48</v>
      </c>
      <c r="H1402" s="40">
        <f t="shared" ref="H1402" si="92">+(F1402+G1402*2)*E1402</f>
        <v>40.349999999999994</v>
      </c>
      <c r="I1402" s="40"/>
      <c r="J1402" s="41"/>
    </row>
    <row r="1403" spans="2:10" s="1" customFormat="1" ht="12.75" x14ac:dyDescent="0.2">
      <c r="B1403" s="46"/>
      <c r="C1403" s="59"/>
      <c r="D1403" s="60"/>
      <c r="E1403" s="40"/>
      <c r="F1403" s="40"/>
      <c r="G1403" s="40"/>
      <c r="H1403" s="40"/>
      <c r="I1403" s="40"/>
      <c r="J1403" s="41"/>
    </row>
    <row r="1404" spans="2:10" s="1" customFormat="1" ht="12.75" x14ac:dyDescent="0.2">
      <c r="B1404" s="46"/>
      <c r="C1404" s="59"/>
      <c r="D1404" s="60"/>
      <c r="E1404" s="40"/>
      <c r="F1404" s="40"/>
      <c r="G1404" s="40"/>
      <c r="H1404" s="40"/>
      <c r="I1404" s="40"/>
      <c r="J1404" s="41"/>
    </row>
    <row r="1405" spans="2:10" s="1" customFormat="1" ht="12.75" x14ac:dyDescent="0.2">
      <c r="B1405" s="25" t="s">
        <v>633</v>
      </c>
      <c r="C1405" s="28" t="s">
        <v>625</v>
      </c>
      <c r="D1405" s="60"/>
      <c r="E1405" s="40"/>
      <c r="F1405" s="40"/>
      <c r="G1405" s="40"/>
      <c r="H1405" s="40"/>
      <c r="I1405" s="40">
        <f>+SUM(H1406:H1417)</f>
        <v>8.1352999999999991</v>
      </c>
      <c r="J1405" s="41" t="s">
        <v>4</v>
      </c>
    </row>
    <row r="1406" spans="2:10" s="1" customFormat="1" ht="12.75" x14ac:dyDescent="0.2">
      <c r="B1406" s="46"/>
      <c r="C1406" s="39" t="s">
        <v>721</v>
      </c>
      <c r="D1406" s="60">
        <v>2</v>
      </c>
      <c r="E1406" s="40">
        <v>9</v>
      </c>
      <c r="F1406" s="40">
        <v>0.1</v>
      </c>
      <c r="G1406" s="40">
        <v>0.3</v>
      </c>
      <c r="H1406" s="40">
        <f t="shared" ref="H1406:H1417" si="93">IF(AND(F1406=0,G1406=0),D1406*E1406,IF(AND(E1406=0,G1406=0),D1406*F1406,IF(AND(E1406=0,F1406=0),D1406*G1406,IF(AND(E1406=0),D1406*F1406*G1406,IF(AND(F1406=0),D1406*E1406*G1406,IF(AND(G1406=0),D1406*E1406*F1406,D1406*E1406*F1406*G1406))))))</f>
        <v>0.54</v>
      </c>
      <c r="I1406" s="40"/>
      <c r="J1406" s="41"/>
    </row>
    <row r="1407" spans="2:10" s="1" customFormat="1" ht="12.75" x14ac:dyDescent="0.2">
      <c r="B1407" s="46"/>
      <c r="C1407" s="39"/>
      <c r="D1407" s="60">
        <v>1</v>
      </c>
      <c r="E1407" s="40">
        <v>9</v>
      </c>
      <c r="F1407" s="40">
        <v>0.4</v>
      </c>
      <c r="G1407" s="40">
        <v>0.1</v>
      </c>
      <c r="H1407" s="40">
        <f t="shared" si="93"/>
        <v>0.36000000000000004</v>
      </c>
      <c r="I1407" s="40"/>
      <c r="J1407" s="41"/>
    </row>
    <row r="1408" spans="2:10" s="1" customFormat="1" ht="12.75" x14ac:dyDescent="0.2">
      <c r="B1408" s="46"/>
      <c r="C1408" s="39" t="s">
        <v>729</v>
      </c>
      <c r="D1408" s="60">
        <v>1</v>
      </c>
      <c r="E1408" s="40">
        <v>17.399999999999999</v>
      </c>
      <c r="F1408" s="40">
        <v>0.1</v>
      </c>
      <c r="G1408" s="40">
        <v>0.4</v>
      </c>
      <c r="H1408" s="40">
        <f t="shared" si="93"/>
        <v>0.69600000000000006</v>
      </c>
      <c r="I1408" s="40"/>
      <c r="J1408" s="41"/>
    </row>
    <row r="1409" spans="2:10" s="1" customFormat="1" ht="12.75" x14ac:dyDescent="0.2">
      <c r="B1409" s="46"/>
      <c r="C1409" s="39"/>
      <c r="D1409" s="60">
        <v>1</v>
      </c>
      <c r="E1409" s="40">
        <v>17.399999999999999</v>
      </c>
      <c r="F1409" s="40">
        <v>0.4</v>
      </c>
      <c r="G1409" s="40">
        <v>0.1</v>
      </c>
      <c r="H1409" s="40">
        <f t="shared" si="93"/>
        <v>0.69600000000000006</v>
      </c>
      <c r="I1409" s="40"/>
      <c r="J1409" s="41"/>
    </row>
    <row r="1410" spans="2:10" s="1" customFormat="1" ht="12.75" x14ac:dyDescent="0.2">
      <c r="B1410" s="46"/>
      <c r="C1410" s="39" t="s">
        <v>435</v>
      </c>
      <c r="D1410" s="60">
        <v>2</v>
      </c>
      <c r="E1410" s="40">
        <v>2</v>
      </c>
      <c r="F1410" s="40">
        <v>0.1</v>
      </c>
      <c r="G1410" s="40">
        <v>0.22</v>
      </c>
      <c r="H1410" s="40">
        <f t="shared" si="93"/>
        <v>8.8000000000000009E-2</v>
      </c>
      <c r="I1410" s="40"/>
      <c r="J1410" s="41"/>
    </row>
    <row r="1411" spans="2:10" s="1" customFormat="1" ht="12.75" x14ac:dyDescent="0.2">
      <c r="B1411" s="46"/>
      <c r="C1411" s="39"/>
      <c r="D1411" s="23">
        <v>1</v>
      </c>
      <c r="E1411" s="24">
        <v>2</v>
      </c>
      <c r="F1411" s="40">
        <v>0.5</v>
      </c>
      <c r="G1411" s="40">
        <v>0.1</v>
      </c>
      <c r="H1411" s="40">
        <f t="shared" si="93"/>
        <v>0.1</v>
      </c>
      <c r="I1411" s="40"/>
      <c r="J1411" s="41"/>
    </row>
    <row r="1412" spans="2:10" s="1" customFormat="1" ht="12.75" x14ac:dyDescent="0.2">
      <c r="B1412" s="46"/>
      <c r="C1412" s="39" t="s">
        <v>443</v>
      </c>
      <c r="D1412" s="8">
        <v>2</v>
      </c>
      <c r="E1412" s="86">
        <f>20.5+0.9+1.75</f>
        <v>23.15</v>
      </c>
      <c r="F1412" s="40">
        <v>0.15</v>
      </c>
      <c r="G1412" s="40">
        <v>0.45</v>
      </c>
      <c r="H1412" s="40">
        <f t="shared" si="93"/>
        <v>3.1252499999999999</v>
      </c>
      <c r="I1412" s="40"/>
      <c r="J1412" s="41"/>
    </row>
    <row r="1413" spans="2:10" s="1" customFormat="1" ht="12.75" x14ac:dyDescent="0.2">
      <c r="B1413" s="46"/>
      <c r="C1413" s="39"/>
      <c r="D1413" s="8">
        <v>1</v>
      </c>
      <c r="E1413" s="86">
        <v>23.15</v>
      </c>
      <c r="F1413" s="40">
        <v>0.5</v>
      </c>
      <c r="G1413" s="40">
        <v>0.15</v>
      </c>
      <c r="H1413" s="40">
        <f t="shared" si="93"/>
        <v>1.7362499999999998</v>
      </c>
      <c r="I1413" s="40"/>
      <c r="J1413" s="41"/>
    </row>
    <row r="1414" spans="2:10" s="1" customFormat="1" ht="12.75" x14ac:dyDescent="0.2">
      <c r="B1414" s="46"/>
      <c r="C1414" s="39" t="s">
        <v>391</v>
      </c>
      <c r="D1414" s="40">
        <v>2</v>
      </c>
      <c r="E1414" s="40">
        <v>1.2</v>
      </c>
      <c r="F1414" s="40">
        <v>0.15</v>
      </c>
      <c r="G1414" s="40">
        <v>0.72</v>
      </c>
      <c r="H1414" s="40">
        <f t="shared" si="93"/>
        <v>0.25919999999999999</v>
      </c>
      <c r="I1414" s="40"/>
      <c r="J1414" s="41"/>
    </row>
    <row r="1415" spans="2:10" s="1" customFormat="1" ht="12.75" x14ac:dyDescent="0.2">
      <c r="B1415" s="46"/>
      <c r="C1415" s="39"/>
      <c r="D1415" s="40">
        <v>2</v>
      </c>
      <c r="E1415" s="40">
        <v>0.6</v>
      </c>
      <c r="F1415" s="40">
        <v>0.15</v>
      </c>
      <c r="G1415" s="40">
        <v>0.72</v>
      </c>
      <c r="H1415" s="40">
        <f t="shared" si="93"/>
        <v>0.12959999999999999</v>
      </c>
      <c r="I1415" s="40"/>
      <c r="J1415" s="41"/>
    </row>
    <row r="1416" spans="2:10" s="1" customFormat="1" ht="12.75" x14ac:dyDescent="0.2">
      <c r="B1416" s="46"/>
      <c r="C1416" s="39" t="s">
        <v>382</v>
      </c>
      <c r="D1416" s="40">
        <v>2</v>
      </c>
      <c r="E1416" s="40">
        <v>1.2</v>
      </c>
      <c r="F1416" s="40">
        <v>0.15</v>
      </c>
      <c r="G1416" s="40">
        <v>0.75</v>
      </c>
      <c r="H1416" s="40">
        <f t="shared" si="93"/>
        <v>0.27</v>
      </c>
      <c r="I1416" s="40"/>
      <c r="J1416" s="41"/>
    </row>
    <row r="1417" spans="2:10" s="1" customFormat="1" ht="12.75" x14ac:dyDescent="0.2">
      <c r="B1417" s="46"/>
      <c r="C1417" s="59"/>
      <c r="D1417" s="40">
        <v>2</v>
      </c>
      <c r="E1417" s="40">
        <v>0.6</v>
      </c>
      <c r="F1417" s="40">
        <v>0.15</v>
      </c>
      <c r="G1417" s="40">
        <v>0.75</v>
      </c>
      <c r="H1417" s="40">
        <f t="shared" si="93"/>
        <v>0.13500000000000001</v>
      </c>
      <c r="I1417" s="40"/>
      <c r="J1417" s="41"/>
    </row>
    <row r="1418" spans="2:10" s="1" customFormat="1" ht="12.75" x14ac:dyDescent="0.2">
      <c r="B1418" s="46"/>
      <c r="C1418" s="59"/>
      <c r="D1418" s="23"/>
      <c r="E1418" s="24"/>
      <c r="F1418" s="40"/>
      <c r="G1418" s="40"/>
      <c r="H1418" s="40"/>
      <c r="I1418" s="40"/>
      <c r="J1418" s="41"/>
    </row>
    <row r="1419" spans="2:10" s="1" customFormat="1" ht="12.75" x14ac:dyDescent="0.2">
      <c r="B1419" s="46"/>
      <c r="C1419" s="59"/>
      <c r="D1419" s="23"/>
      <c r="E1419" s="24"/>
      <c r="F1419" s="40"/>
      <c r="G1419" s="40"/>
      <c r="H1419" s="40"/>
      <c r="I1419" s="40"/>
      <c r="J1419" s="41"/>
    </row>
    <row r="1420" spans="2:10" s="1" customFormat="1" ht="12.75" x14ac:dyDescent="0.2">
      <c r="B1420" s="46"/>
      <c r="C1420" s="59"/>
      <c r="D1420" s="60"/>
      <c r="E1420" s="40"/>
      <c r="F1420" s="40"/>
      <c r="G1420" s="40"/>
      <c r="H1420" s="40"/>
      <c r="I1420" s="40"/>
      <c r="J1420" s="41"/>
    </row>
    <row r="1421" spans="2:10" s="1" customFormat="1" ht="12.75" x14ac:dyDescent="0.2">
      <c r="B1421" s="107" t="s">
        <v>790</v>
      </c>
      <c r="C1421" s="343" t="s">
        <v>789</v>
      </c>
      <c r="D1421" s="60" t="s">
        <v>791</v>
      </c>
      <c r="E1421" s="40"/>
      <c r="F1421" s="40"/>
      <c r="G1421" s="40"/>
      <c r="H1421" s="40"/>
      <c r="I1421" s="40">
        <f>+SUM(H1422:H1438)</f>
        <v>22.144838272399596</v>
      </c>
      <c r="J1421" s="41" t="s">
        <v>4</v>
      </c>
    </row>
    <row r="1422" spans="2:10" s="1" customFormat="1" ht="12.75" x14ac:dyDescent="0.2">
      <c r="B1422" s="107"/>
      <c r="C1422" s="39" t="s">
        <v>686</v>
      </c>
      <c r="D1422" s="60">
        <v>1.25</v>
      </c>
      <c r="E1422" s="40">
        <v>9</v>
      </c>
      <c r="F1422" s="40">
        <v>0.4</v>
      </c>
      <c r="G1422" s="40">
        <f>0.3+0.2</f>
        <v>0.5</v>
      </c>
      <c r="H1422" s="40">
        <f>IF(AND(F1422=0,G1422=0),D1422*E1422,IF(AND(E1422=0,G1422=0),D1422*F1422,IF(AND(E1422=0,F1422=0),D1422*G1422,IF(AND(E1422=0),D1422*F1422*G1422,IF(AND(F1422=0),D1422*E1422*G1422,IF(AND(G1422=0),D1422*E1422*F1422,D1422*E1422*F1422*G1422))))))</f>
        <v>2.25</v>
      </c>
      <c r="I1422" s="40"/>
      <c r="J1422" s="41"/>
    </row>
    <row r="1423" spans="2:10" s="1" customFormat="1" ht="12.75" x14ac:dyDescent="0.2">
      <c r="B1423" s="107"/>
      <c r="C1423" s="39" t="s">
        <v>687</v>
      </c>
      <c r="D1423" s="60">
        <v>1.25</v>
      </c>
      <c r="E1423" s="40">
        <v>17.399999999999999</v>
      </c>
      <c r="F1423" s="40">
        <v>0.4</v>
      </c>
      <c r="G1423" s="40">
        <f>0.4+0.2</f>
        <v>0.60000000000000009</v>
      </c>
      <c r="H1423" s="40">
        <f t="shared" ref="H1423:H1425" si="94">IF(AND(F1423=0,G1423=0),D1423*E1423,IF(AND(E1423=0,G1423=0),D1423*F1423,IF(AND(E1423=0,F1423=0),D1423*G1423,IF(AND(E1423=0),D1423*F1423*G1423,IF(AND(F1423=0),D1423*E1423*G1423,IF(AND(G1423=0),D1423*E1423*F1423,D1423*E1423*F1423*G1423))))))</f>
        <v>5.2200000000000015</v>
      </c>
      <c r="I1423" s="40"/>
      <c r="J1423" s="41"/>
    </row>
    <row r="1424" spans="2:10" s="1" customFormat="1" ht="12.75" x14ac:dyDescent="0.2">
      <c r="B1424" s="107"/>
      <c r="C1424" s="39" t="s">
        <v>435</v>
      </c>
      <c r="D1424" s="60">
        <v>1.25</v>
      </c>
      <c r="E1424" s="40">
        <v>2</v>
      </c>
      <c r="F1424" s="40">
        <v>0.5</v>
      </c>
      <c r="G1424" s="40">
        <f>0.22+0.2</f>
        <v>0.42000000000000004</v>
      </c>
      <c r="H1424" s="40">
        <f t="shared" si="94"/>
        <v>0.52500000000000002</v>
      </c>
      <c r="I1424" s="40"/>
      <c r="J1424" s="41"/>
    </row>
    <row r="1425" spans="2:10" s="1" customFormat="1" ht="12.75" x14ac:dyDescent="0.2">
      <c r="B1425" s="107"/>
      <c r="C1425" s="39" t="s">
        <v>443</v>
      </c>
      <c r="D1425" s="60">
        <v>1.25</v>
      </c>
      <c r="E1425" s="86">
        <f>20.5+0.9+1.75</f>
        <v>23.15</v>
      </c>
      <c r="F1425" s="40">
        <v>0.5</v>
      </c>
      <c r="G1425" s="40">
        <f>0.45+0.25</f>
        <v>0.7</v>
      </c>
      <c r="H1425" s="40">
        <f t="shared" si="94"/>
        <v>10.128124999999999</v>
      </c>
      <c r="I1425" s="40"/>
      <c r="J1425" s="41"/>
    </row>
    <row r="1426" spans="2:10" s="1" customFormat="1" ht="12.75" x14ac:dyDescent="0.2">
      <c r="B1426" s="107"/>
      <c r="C1426" s="39" t="s">
        <v>391</v>
      </c>
      <c r="D1426" s="60">
        <v>1.25</v>
      </c>
      <c r="E1426" s="40">
        <v>0.9</v>
      </c>
      <c r="F1426" s="40">
        <v>1.2</v>
      </c>
      <c r="G1426" s="40">
        <f>0.57+0.25</f>
        <v>0.82</v>
      </c>
      <c r="H1426" s="40">
        <f>IF(AND(F1426=0,G1426=0),D1426*E1426,IF(AND(E1426=0,G1426=0),D1426*F1426,IF(AND(E1426=0,F1426=0),D1426*G1426,IF(AND(E1426=0),D1426*F1426*G1426,IF(AND(F1426=0),D1426*E1426*G1426,IF(AND(G1426=0),D1426*E1426*F1426,D1426*E1426*F1426*G1426))))))</f>
        <v>1.1069999999999998</v>
      </c>
      <c r="I1426" s="40"/>
      <c r="J1426" s="41"/>
    </row>
    <row r="1427" spans="2:10" s="1" customFormat="1" ht="12.75" x14ac:dyDescent="0.2">
      <c r="B1427" s="107"/>
      <c r="C1427" s="39" t="s">
        <v>382</v>
      </c>
      <c r="D1427" s="60">
        <v>1.25</v>
      </c>
      <c r="E1427" s="40">
        <v>0.9</v>
      </c>
      <c r="F1427" s="40">
        <v>1.2</v>
      </c>
      <c r="G1427" s="40">
        <f>0.6+0.25</f>
        <v>0.85</v>
      </c>
      <c r="H1427" s="40">
        <f>IF(AND(F1427=0,G1427=0),D1427*E1427,IF(AND(E1427=0,G1427=0),D1427*F1427,IF(AND(E1427=0,F1427=0),D1427*G1427,IF(AND(E1427=0),D1427*F1427*G1427,IF(AND(F1427=0),D1427*E1427*G1427,IF(AND(G1427=0),D1427*E1427*F1427,D1427*E1427*F1427*G1427))))))</f>
        <v>1.1475</v>
      </c>
      <c r="I1427" s="40"/>
      <c r="J1427" s="41"/>
    </row>
    <row r="1428" spans="2:10" s="1" customFormat="1" ht="12.75" x14ac:dyDescent="0.2">
      <c r="B1428" s="46"/>
      <c r="C1428" s="59"/>
      <c r="D1428" s="60"/>
      <c r="E1428" s="40"/>
      <c r="F1428" s="40"/>
      <c r="G1428" s="40"/>
      <c r="H1428" s="40"/>
      <c r="I1428" s="40"/>
      <c r="J1428" s="41"/>
    </row>
    <row r="1429" spans="2:10" s="1" customFormat="1" ht="12.75" x14ac:dyDescent="0.2">
      <c r="B1429" s="46"/>
      <c r="C1429" s="43" t="s">
        <v>490</v>
      </c>
      <c r="D1429" s="60"/>
      <c r="E1429" s="40"/>
      <c r="F1429" s="40"/>
      <c r="G1429" s="40"/>
      <c r="H1429" s="40"/>
      <c r="I1429" s="40"/>
      <c r="J1429" s="41"/>
    </row>
    <row r="1430" spans="2:10" s="1" customFormat="1" ht="12.75" x14ac:dyDescent="0.2">
      <c r="B1430" s="46"/>
      <c r="F1430" s="40" t="s">
        <v>786</v>
      </c>
      <c r="G1430" s="40">
        <v>4</v>
      </c>
      <c r="I1430" s="40"/>
      <c r="J1430" s="41"/>
    </row>
    <row r="1431" spans="2:10" s="1" customFormat="1" ht="12.75" x14ac:dyDescent="0.2">
      <c r="B1431" s="46"/>
      <c r="C1431" s="39" t="s">
        <v>784</v>
      </c>
      <c r="D1431" s="60">
        <v>1.25</v>
      </c>
      <c r="E1431" s="40">
        <f>+E1382</f>
        <v>7.3</v>
      </c>
      <c r="F1431" s="40" t="s">
        <v>785</v>
      </c>
      <c r="G1431" s="40">
        <f>+PI()*((G1430*0.0254)^2)/4</f>
        <v>8.107319665559963E-3</v>
      </c>
      <c r="H1431" s="40">
        <f>+E1431*G1431</f>
        <v>5.9183433558587725E-2</v>
      </c>
      <c r="I1431" s="40"/>
      <c r="J1431" s="41"/>
    </row>
    <row r="1432" spans="2:10" s="1" customFormat="1" ht="12.75" x14ac:dyDescent="0.2">
      <c r="B1432" s="46"/>
      <c r="C1432" s="43" t="s">
        <v>468</v>
      </c>
      <c r="D1432" s="60"/>
      <c r="E1432" s="40"/>
      <c r="F1432" s="40"/>
      <c r="G1432" s="40"/>
      <c r="H1432" s="40"/>
      <c r="I1432" s="40"/>
      <c r="J1432" s="41"/>
    </row>
    <row r="1433" spans="2:10" s="1" customFormat="1" ht="12.75" x14ac:dyDescent="0.2">
      <c r="B1433" s="46"/>
      <c r="F1433" s="40" t="s">
        <v>786</v>
      </c>
      <c r="G1433" s="40">
        <v>6</v>
      </c>
      <c r="I1433" s="40"/>
      <c r="J1433" s="41"/>
    </row>
    <row r="1434" spans="2:10" s="1" customFormat="1" ht="12.75" x14ac:dyDescent="0.2">
      <c r="B1434" s="46"/>
      <c r="C1434" s="39" t="s">
        <v>784</v>
      </c>
      <c r="D1434" s="60">
        <v>1.25</v>
      </c>
      <c r="E1434" s="40">
        <f>+E1386</f>
        <v>24.19</v>
      </c>
      <c r="F1434" s="40" t="s">
        <v>785</v>
      </c>
      <c r="G1434" s="40">
        <f>+PI()*((G1433*0.0254)^2)/4</f>
        <v>1.8241469247509915E-2</v>
      </c>
      <c r="H1434" s="40">
        <f>+E1434*G1434</f>
        <v>0.44126114109726489</v>
      </c>
      <c r="I1434" s="40"/>
      <c r="J1434" s="41"/>
    </row>
    <row r="1435" spans="2:10" s="1" customFormat="1" ht="12.75" x14ac:dyDescent="0.2">
      <c r="B1435" s="46"/>
      <c r="C1435" s="39"/>
      <c r="D1435" s="60"/>
      <c r="E1435" s="40"/>
      <c r="F1435" s="40"/>
      <c r="G1435" s="40"/>
      <c r="H1435" s="40"/>
      <c r="I1435" s="40"/>
      <c r="J1435" s="41"/>
    </row>
    <row r="1436" spans="2:10" s="1" customFormat="1" ht="12.75" x14ac:dyDescent="0.2">
      <c r="B1436" s="46"/>
      <c r="C1436" s="43" t="s">
        <v>250</v>
      </c>
      <c r="D1436" s="60"/>
      <c r="E1436" s="40"/>
      <c r="F1436" s="40"/>
      <c r="G1436" s="40"/>
      <c r="H1436" s="40"/>
      <c r="I1436" s="40"/>
      <c r="J1436" s="41"/>
    </row>
    <row r="1437" spans="2:10" s="1" customFormat="1" ht="12.75" x14ac:dyDescent="0.2">
      <c r="B1437" s="46"/>
      <c r="F1437" s="40" t="s">
        <v>786</v>
      </c>
      <c r="G1437" s="40">
        <v>10</v>
      </c>
      <c r="I1437" s="40"/>
      <c r="J1437" s="41"/>
    </row>
    <row r="1438" spans="2:10" s="1" customFormat="1" ht="12.75" x14ac:dyDescent="0.2">
      <c r="B1438" s="46"/>
      <c r="C1438" s="39" t="s">
        <v>784</v>
      </c>
      <c r="D1438" s="60">
        <v>1.25</v>
      </c>
      <c r="E1438" s="40">
        <f>+E1391</f>
        <v>25</v>
      </c>
      <c r="F1438" s="40" t="s">
        <v>785</v>
      </c>
      <c r="G1438" s="40">
        <f>+PI()*((G1437*0.0254)^2)/4</f>
        <v>5.0670747909749778E-2</v>
      </c>
      <c r="H1438" s="40">
        <f>+E1438*G1438</f>
        <v>1.2667686977437445</v>
      </c>
      <c r="I1438" s="40"/>
      <c r="J1438" s="41"/>
    </row>
    <row r="1439" spans="2:10" s="1" customFormat="1" ht="12.75" x14ac:dyDescent="0.2">
      <c r="B1439" s="46"/>
      <c r="C1439" s="59"/>
      <c r="D1439" s="60"/>
      <c r="E1439" s="40"/>
      <c r="F1439" s="40"/>
      <c r="G1439" s="40"/>
      <c r="H1439" s="40"/>
      <c r="I1439" s="40"/>
      <c r="J1439" s="41"/>
    </row>
    <row r="1440" spans="2:10" s="1" customFormat="1" ht="12.75" x14ac:dyDescent="0.2">
      <c r="B1440" s="46"/>
      <c r="C1440" s="39"/>
      <c r="D1440" s="8"/>
      <c r="E1440" s="86"/>
      <c r="F1440" s="40"/>
      <c r="G1440" s="40"/>
      <c r="H1440" s="40"/>
      <c r="I1440" s="40"/>
      <c r="J1440" s="41"/>
    </row>
    <row r="1441" spans="2:10" s="1" customFormat="1" ht="12.75" x14ac:dyDescent="0.2">
      <c r="B1441" s="107" t="s">
        <v>634</v>
      </c>
      <c r="C1441" s="343" t="s">
        <v>624</v>
      </c>
      <c r="D1441" s="60"/>
      <c r="E1441" s="40"/>
      <c r="F1441" s="40"/>
      <c r="G1441" s="40"/>
      <c r="H1441" s="40"/>
      <c r="I1441" s="40">
        <f>+I1421</f>
        <v>22.144838272399596</v>
      </c>
      <c r="J1441" s="41" t="s">
        <v>4</v>
      </c>
    </row>
    <row r="1442" spans="2:10" s="1" customFormat="1" ht="12.75" x14ac:dyDescent="0.2">
      <c r="B1442" s="46"/>
      <c r="C1442" s="39"/>
      <c r="D1442" s="8"/>
      <c r="E1442" s="86"/>
      <c r="F1442" s="40"/>
      <c r="G1442" s="40"/>
      <c r="H1442" s="40"/>
      <c r="I1442" s="40"/>
      <c r="J1442" s="41"/>
    </row>
    <row r="1443" spans="2:10" s="1" customFormat="1" ht="12.75" x14ac:dyDescent="0.2">
      <c r="B1443" s="46"/>
      <c r="C1443" s="39"/>
      <c r="D1443" s="8"/>
      <c r="E1443" s="86"/>
      <c r="F1443" s="40"/>
      <c r="G1443" s="40"/>
      <c r="H1443" s="40"/>
      <c r="I1443" s="40"/>
      <c r="J1443" s="41"/>
    </row>
    <row r="1444" spans="2:10" s="1" customFormat="1" ht="12.75" x14ac:dyDescent="0.2">
      <c r="B1444" s="46"/>
      <c r="C1444" s="39"/>
      <c r="D1444" s="8"/>
      <c r="E1444" s="86"/>
      <c r="F1444" s="40"/>
      <c r="G1444" s="40"/>
      <c r="H1444" s="40"/>
      <c r="I1444" s="40"/>
      <c r="J1444" s="41"/>
    </row>
    <row r="1445" spans="2:10" s="1" customFormat="1" ht="12.75" x14ac:dyDescent="0.2">
      <c r="B1445" s="46"/>
      <c r="C1445" s="39"/>
      <c r="D1445" s="8"/>
      <c r="E1445" s="86"/>
      <c r="F1445" s="40"/>
      <c r="G1445" s="40"/>
      <c r="H1445" s="40"/>
      <c r="I1445" s="40"/>
      <c r="J1445" s="41"/>
    </row>
    <row r="1446" spans="2:10" s="1" customFormat="1" ht="12.75" x14ac:dyDescent="0.2">
      <c r="B1446" s="46"/>
      <c r="C1446" s="39"/>
      <c r="D1446" s="8"/>
      <c r="E1446" s="86"/>
      <c r="F1446" s="40"/>
      <c r="G1446" s="40"/>
      <c r="H1446" s="40"/>
      <c r="I1446" s="40"/>
      <c r="J1446" s="41"/>
    </row>
    <row r="1447" spans="2:10" s="1" customFormat="1" ht="12.75" x14ac:dyDescent="0.2">
      <c r="B1447" s="46"/>
      <c r="C1447" s="39"/>
      <c r="D1447" s="40"/>
      <c r="E1447" s="40"/>
      <c r="F1447" s="40"/>
      <c r="G1447" s="40"/>
      <c r="H1447" s="40"/>
      <c r="I1447" s="40"/>
      <c r="J1447" s="41"/>
    </row>
    <row r="1448" spans="2:10" s="1" customFormat="1" ht="12.75" x14ac:dyDescent="0.2">
      <c r="B1448" s="46"/>
      <c r="C1448" s="39"/>
      <c r="D1448" s="8"/>
      <c r="E1448" s="86"/>
      <c r="F1448" s="40"/>
      <c r="G1448" s="40"/>
      <c r="H1448" s="40"/>
      <c r="I1448" s="40"/>
      <c r="J1448" s="41"/>
    </row>
    <row r="1449" spans="2:10" s="1" customFormat="1" ht="12.75" x14ac:dyDescent="0.2">
      <c r="B1449" s="46"/>
      <c r="C1449" s="39"/>
      <c r="D1449" s="40"/>
      <c r="E1449" s="40"/>
      <c r="F1449" s="40"/>
      <c r="G1449" s="40"/>
      <c r="H1449" s="40"/>
      <c r="I1449" s="40"/>
      <c r="J1449" s="41"/>
    </row>
    <row r="1450" spans="2:10" s="1" customFormat="1" ht="12.75" x14ac:dyDescent="0.2">
      <c r="C1450" s="98" t="s">
        <v>37</v>
      </c>
      <c r="D1450" s="373"/>
      <c r="E1450" s="373"/>
      <c r="F1450" s="373"/>
      <c r="G1450" s="373"/>
      <c r="H1450" s="373"/>
    </row>
    <row r="1451" spans="2:10" s="1" customFormat="1" ht="12.75" x14ac:dyDescent="0.2">
      <c r="C1451" s="98" t="s">
        <v>38</v>
      </c>
      <c r="D1451" s="373"/>
      <c r="E1451" s="373"/>
      <c r="F1451" s="373"/>
      <c r="G1451" s="373"/>
      <c r="H1451" s="373"/>
    </row>
    <row r="1452" spans="2:10" s="1" customFormat="1" ht="12.75" x14ac:dyDescent="0.2">
      <c r="C1452" s="98" t="s">
        <v>39</v>
      </c>
      <c r="D1452" s="99"/>
      <c r="E1452" s="99"/>
      <c r="F1452" s="99"/>
      <c r="G1452" s="99"/>
      <c r="H1452" s="99"/>
    </row>
    <row r="1453" spans="2:10" s="1" customFormat="1" ht="12.75" x14ac:dyDescent="0.2">
      <c r="C1453" s="99" t="s">
        <v>40</v>
      </c>
      <c r="D1453" s="80"/>
      <c r="E1453" s="80"/>
      <c r="F1453" s="80"/>
      <c r="G1453" s="80"/>
      <c r="H1453" s="80"/>
    </row>
    <row r="1454" spans="2:10" s="1" customFormat="1" ht="24.75" customHeight="1" x14ac:dyDescent="0.2">
      <c r="C1454" s="80"/>
      <c r="D1454" s="101"/>
      <c r="E1454" s="101"/>
      <c r="F1454" s="101"/>
      <c r="G1454" s="101"/>
      <c r="H1454" s="101"/>
      <c r="I1454" s="101"/>
      <c r="J1454" s="102"/>
    </row>
    <row r="1455" spans="2:10" s="1" customFormat="1" ht="24.75" customHeight="1" x14ac:dyDescent="0.2">
      <c r="B1455" s="354" t="s">
        <v>65</v>
      </c>
      <c r="C1455" s="355"/>
      <c r="D1455" s="355"/>
      <c r="E1455" s="355"/>
      <c r="F1455" s="355"/>
      <c r="G1455" s="355"/>
      <c r="H1455" s="355"/>
      <c r="I1455" s="355"/>
      <c r="J1455" s="356"/>
    </row>
    <row r="1456" spans="2:10" s="1" customFormat="1" ht="21" thickBot="1" x14ac:dyDescent="0.25">
      <c r="B1456" s="363" t="s">
        <v>421</v>
      </c>
      <c r="C1456" s="364"/>
      <c r="D1456" s="364"/>
      <c r="E1456" s="364"/>
      <c r="F1456" s="364"/>
      <c r="G1456" s="364"/>
      <c r="H1456" s="364"/>
      <c r="I1456" s="364"/>
      <c r="J1456" s="365"/>
    </row>
    <row r="1457" spans="2:10" s="1" customFormat="1" ht="13.5" thickBot="1" x14ac:dyDescent="0.25">
      <c r="B1457" s="360"/>
      <c r="C1457" s="361"/>
      <c r="D1457" s="361"/>
      <c r="E1457" s="361"/>
      <c r="F1457" s="361"/>
      <c r="G1457" s="361"/>
      <c r="H1457" s="361"/>
      <c r="I1457" s="361"/>
      <c r="J1457" s="362"/>
    </row>
    <row r="1458" spans="2:10" s="1" customFormat="1" ht="165.75" x14ac:dyDescent="0.2">
      <c r="B1458" s="345" t="s">
        <v>27</v>
      </c>
      <c r="C1458" s="346"/>
      <c r="D1458" s="346"/>
      <c r="E1458" s="346"/>
      <c r="F1458" s="346"/>
      <c r="G1458" s="346" t="s">
        <v>8</v>
      </c>
      <c r="H1458" s="346">
        <v>42879</v>
      </c>
      <c r="I1458" s="346"/>
      <c r="J1458" s="347"/>
    </row>
    <row r="1459" spans="2:10" s="1" customFormat="1" ht="12.75" x14ac:dyDescent="0.2">
      <c r="B1459" s="2" t="s">
        <v>35</v>
      </c>
      <c r="C1459" s="3" t="s">
        <v>36</v>
      </c>
      <c r="D1459" s="8"/>
      <c r="E1459" s="8"/>
      <c r="F1459" s="3"/>
      <c r="G1459" s="9" t="s">
        <v>32</v>
      </c>
      <c r="H1459" s="4" t="s">
        <v>29</v>
      </c>
      <c r="I1459" s="10"/>
      <c r="J1459" s="11"/>
    </row>
    <row r="1460" spans="2:10" s="1" customFormat="1" ht="12.75" x14ac:dyDescent="0.2">
      <c r="B1460" s="2" t="s">
        <v>33</v>
      </c>
      <c r="C1460" s="3" t="s">
        <v>29</v>
      </c>
      <c r="D1460" s="8"/>
      <c r="E1460" s="8"/>
      <c r="F1460" s="3"/>
      <c r="G1460" s="9" t="s">
        <v>30</v>
      </c>
      <c r="H1460" s="4" t="s">
        <v>31</v>
      </c>
      <c r="I1460" s="10"/>
      <c r="J1460" s="11"/>
    </row>
    <row r="1461" spans="2:10" s="1" customFormat="1" ht="12.75" x14ac:dyDescent="0.2">
      <c r="B1461" s="2" t="s">
        <v>34</v>
      </c>
      <c r="C1461" s="3" t="s">
        <v>29</v>
      </c>
    </row>
    <row r="1462" spans="2:10" s="1" customFormat="1" ht="13.5" thickBot="1" x14ac:dyDescent="0.25">
      <c r="B1462" s="12" t="s">
        <v>43</v>
      </c>
      <c r="C1462" s="13" t="s">
        <v>44</v>
      </c>
    </row>
    <row r="1463" spans="2:10" s="1" customFormat="1" ht="12.75" x14ac:dyDescent="0.2">
      <c r="B1463" s="81"/>
      <c r="C1463" s="81"/>
      <c r="D1463" s="103"/>
      <c r="E1463" s="103"/>
      <c r="F1463" s="103"/>
      <c r="G1463" s="103"/>
      <c r="H1463" s="103"/>
      <c r="I1463" s="103"/>
      <c r="J1463" s="103"/>
    </row>
    <row r="1464" spans="2:10" s="1" customFormat="1" ht="12.75" x14ac:dyDescent="0.2">
      <c r="B1464" s="21" t="s">
        <v>5</v>
      </c>
      <c r="C1464" s="22" t="s">
        <v>0</v>
      </c>
      <c r="D1464" s="22" t="s">
        <v>9</v>
      </c>
      <c r="E1464" s="22" t="s">
        <v>10</v>
      </c>
      <c r="F1464" s="22" t="s">
        <v>1</v>
      </c>
      <c r="G1464" s="22" t="s">
        <v>2</v>
      </c>
      <c r="H1464" s="22" t="s">
        <v>11</v>
      </c>
      <c r="I1464" s="22" t="s">
        <v>6</v>
      </c>
      <c r="J1464" s="22" t="s">
        <v>7</v>
      </c>
    </row>
    <row r="1465" spans="2:10" s="1" customFormat="1" ht="12.75" x14ac:dyDescent="0.2">
      <c r="B1465" s="55">
        <v>4.03</v>
      </c>
      <c r="C1465" s="56" t="s">
        <v>222</v>
      </c>
      <c r="D1465" s="60"/>
      <c r="E1465" s="40"/>
      <c r="F1465" s="40"/>
      <c r="G1465" s="40"/>
      <c r="H1465" s="40"/>
      <c r="I1465" s="40"/>
      <c r="J1465" s="41"/>
    </row>
    <row r="1466" spans="2:10" s="1" customFormat="1" ht="12.75" x14ac:dyDescent="0.2">
      <c r="B1466" s="57" t="s">
        <v>14</v>
      </c>
      <c r="C1466" s="58" t="s">
        <v>225</v>
      </c>
      <c r="D1466" s="60"/>
      <c r="E1466" s="40"/>
      <c r="F1466" s="40"/>
      <c r="G1466" s="40"/>
      <c r="H1466" s="40"/>
      <c r="I1466" s="40"/>
      <c r="J1466" s="41"/>
    </row>
    <row r="1467" spans="2:10" s="1" customFormat="1" ht="12.75" x14ac:dyDescent="0.2">
      <c r="B1467" s="43" t="s">
        <v>15</v>
      </c>
      <c r="C1467" s="43" t="s">
        <v>359</v>
      </c>
      <c r="D1467" s="60"/>
      <c r="E1467" s="40"/>
      <c r="F1467" s="40"/>
      <c r="G1467" s="40"/>
      <c r="H1467" s="40"/>
      <c r="I1467" s="44">
        <f>SUM(H1468:H1469)</f>
        <v>23.1</v>
      </c>
      <c r="J1467" s="45" t="str">
        <f>+J1468</f>
        <v>ml</v>
      </c>
    </row>
    <row r="1468" spans="2:10" s="1" customFormat="1" ht="12.75" x14ac:dyDescent="0.2">
      <c r="B1468" s="43"/>
      <c r="C1468" s="39" t="s">
        <v>460</v>
      </c>
      <c r="D1468" s="40">
        <v>1</v>
      </c>
      <c r="E1468" s="40">
        <v>17</v>
      </c>
      <c r="F1468" s="40"/>
      <c r="G1468" s="40"/>
      <c r="H1468" s="40">
        <f>IF(AND(F1468=0,G1468=0),D1468*E1468,IF(AND(E1468=0,G1468=0),D1468*F1468,IF(AND(E1468=0,F1468=0),D1468*G1468,IF(AND(E1468=0),D1468*F1468*G1468,IF(AND(F1468=0),D1468*E1468*G1468,IF(AND(G1468=0),D1468*E1468*F1468,D1468*E1468*F1468*G1468))))))</f>
        <v>17</v>
      </c>
      <c r="I1468" s="40"/>
      <c r="J1468" s="41" t="str">
        <f>IF(AND(E1468=0,F1468&lt;&gt;0,G1468&lt;&gt;0),"m2",IF(AND(F1468=0,E1468&lt;&gt;0,G1468&lt;&gt;0),"m2",IF(AND(G1468=0,E1468&lt;&gt;0,F1468&lt;&gt;0),"m2",IF(AND(F1468=0,G1468=0),"ml",IF(AND(E1468=0,G1468=0),"ml",IF(AND(E1468=0,F1468=0),"ml",IF(AND(E1468&lt;&gt;0,F1468&lt;&gt;0,G1468&lt;&gt;0),"m3",0)))))))</f>
        <v>ml</v>
      </c>
    </row>
    <row r="1469" spans="2:10" s="1" customFormat="1" ht="12.75" x14ac:dyDescent="0.2">
      <c r="B1469" s="43"/>
      <c r="C1469" s="39" t="s">
        <v>461</v>
      </c>
      <c r="D1469" s="40">
        <v>1</v>
      </c>
      <c r="E1469" s="40">
        <v>6.1</v>
      </c>
      <c r="F1469" s="40"/>
      <c r="G1469" s="40"/>
      <c r="H1469" s="40">
        <f>IF(AND(F1469=0,G1469=0),D1469*E1469,IF(AND(E1469=0,G1469=0),D1469*F1469,IF(AND(E1469=0,F1469=0),D1469*G1469,IF(AND(E1469=0),D1469*F1469*G1469,IF(AND(F1469=0),D1469*E1469*G1469,IF(AND(G1469=0),D1469*E1469*F1469,D1469*E1469*F1469*G1469))))))</f>
        <v>6.1</v>
      </c>
      <c r="I1469" s="40"/>
      <c r="J1469" s="41" t="str">
        <f>IF(AND(E1469=0,F1469&lt;&gt;0,G1469&lt;&gt;0),"m2",IF(AND(F1469=0,E1469&lt;&gt;0,G1469&lt;&gt;0),"m2",IF(AND(G1469=0,E1469&lt;&gt;0,F1469&lt;&gt;0),"m2",IF(AND(F1469=0,G1469=0),"ml",IF(AND(E1469=0,G1469=0),"ml",IF(AND(E1469=0,F1469=0),"ml",IF(AND(E1469&lt;&gt;0,F1469&lt;&gt;0,G1469&lt;&gt;0),"m3",0)))))))</f>
        <v>ml</v>
      </c>
    </row>
    <row r="1470" spans="2:10" s="1" customFormat="1" ht="12.75" x14ac:dyDescent="0.2">
      <c r="B1470" s="43" t="s">
        <v>232</v>
      </c>
      <c r="C1470" s="43" t="s">
        <v>235</v>
      </c>
      <c r="D1470" s="60"/>
      <c r="E1470" s="40"/>
      <c r="F1470" s="40"/>
      <c r="G1470" s="40"/>
      <c r="H1470" s="40"/>
      <c r="I1470" s="44">
        <f>SUM(H1471:H1472)</f>
        <v>77.3</v>
      </c>
      <c r="J1470" s="45" t="str">
        <f>+J1471</f>
        <v>ml</v>
      </c>
    </row>
    <row r="1471" spans="2:10" s="1" customFormat="1" ht="12.75" x14ac:dyDescent="0.2">
      <c r="B1471" s="57"/>
      <c r="C1471" s="39" t="s">
        <v>378</v>
      </c>
      <c r="D1471" s="40">
        <v>5</v>
      </c>
      <c r="E1471" s="40">
        <v>11.6</v>
      </c>
      <c r="F1471" s="40"/>
      <c r="G1471" s="40"/>
      <c r="H1471" s="40">
        <f>IF(AND(F1471=0,G1471=0),D1471*E1471,IF(AND(E1471=0,G1471=0),D1471*F1471,IF(AND(E1471=0,F1471=0),D1471*G1471,IF(AND(E1471=0),D1471*F1471*G1471,IF(AND(F1471=0),D1471*E1471*G1471,IF(AND(G1471=0),D1471*E1471*F1471,D1471*E1471*F1471*G1471))))))</f>
        <v>58</v>
      </c>
      <c r="I1471" s="40"/>
      <c r="J1471" s="41" t="str">
        <f>IF(AND(E1471=0,F1471&lt;&gt;0,G1471&lt;&gt;0),"m2",IF(AND(F1471=0,E1471&lt;&gt;0,G1471&lt;&gt;0),"m2",IF(AND(G1471=0,E1471&lt;&gt;0,F1471&lt;&gt;0),"m2",IF(AND(F1471=0,G1471=0),"ml",IF(AND(E1471=0,G1471=0),"ml",IF(AND(E1471=0,F1471=0),"ml",IF(AND(E1471&lt;&gt;0,F1471&lt;&gt;0,G1471&lt;&gt;0),"m3",0)))))))</f>
        <v>ml</v>
      </c>
    </row>
    <row r="1472" spans="2:10" s="1" customFormat="1" ht="12.75" x14ac:dyDescent="0.2">
      <c r="B1472" s="57"/>
      <c r="C1472" s="39" t="s">
        <v>379</v>
      </c>
      <c r="D1472" s="40">
        <v>1</v>
      </c>
      <c r="E1472" s="40">
        <v>19.3</v>
      </c>
      <c r="F1472" s="40"/>
      <c r="G1472" s="40"/>
      <c r="H1472" s="40">
        <f>IF(AND(F1472=0,G1472=0),D1472*E1472,IF(AND(E1472=0,G1472=0),D1472*F1472,IF(AND(E1472=0,F1472=0),D1472*G1472,IF(AND(E1472=0),D1472*F1472*G1472,IF(AND(F1472=0),D1472*E1472*G1472,IF(AND(G1472=0),D1472*E1472*F1472,D1472*E1472*F1472*G1472))))))</f>
        <v>19.3</v>
      </c>
      <c r="I1472" s="40"/>
      <c r="J1472" s="41" t="str">
        <f>IF(AND(E1472=0,F1472&lt;&gt;0,G1472&lt;&gt;0),"m2",IF(AND(F1472=0,E1472&lt;&gt;0,G1472&lt;&gt;0),"m2",IF(AND(G1472=0,E1472&lt;&gt;0,F1472&lt;&gt;0),"m2",IF(AND(F1472=0,G1472=0),"ml",IF(AND(E1472=0,G1472=0),"ml",IF(AND(E1472=0,F1472=0),"ml",IF(AND(E1472&lt;&gt;0,F1472&lt;&gt;0,G1472&lt;&gt;0),"m3",0)))))))</f>
        <v>ml</v>
      </c>
    </row>
    <row r="1473" spans="2:10" s="1" customFormat="1" ht="12.75" x14ac:dyDescent="0.2">
      <c r="B1473" s="43" t="s">
        <v>233</v>
      </c>
      <c r="C1473" s="43" t="s">
        <v>236</v>
      </c>
      <c r="D1473" s="60"/>
      <c r="E1473" s="40"/>
      <c r="F1473" s="40"/>
      <c r="G1473" s="40"/>
      <c r="H1473" s="40"/>
      <c r="I1473" s="44">
        <f>SUM(H1474:H1475)</f>
        <v>0</v>
      </c>
      <c r="J1473" s="45" t="str">
        <f>+J1474</f>
        <v>ml</v>
      </c>
    </row>
    <row r="1474" spans="2:10" s="1" customFormat="1" ht="12.75" x14ac:dyDescent="0.2">
      <c r="B1474" s="57"/>
      <c r="C1474" s="39" t="s">
        <v>378</v>
      </c>
      <c r="D1474" s="40"/>
      <c r="E1474" s="40"/>
      <c r="F1474" s="40"/>
      <c r="G1474" s="40"/>
      <c r="H1474" s="40">
        <f>IF(AND(F1474=0,G1474=0),D1474*E1474,IF(AND(E1474=0,G1474=0),D1474*F1474,IF(AND(E1474=0,F1474=0),D1474*G1474,IF(AND(E1474=0),D1474*F1474*G1474,IF(AND(F1474=0),D1474*E1474*G1474,IF(AND(G1474=0),D1474*E1474*F1474,D1474*E1474*F1474*G1474))))))</f>
        <v>0</v>
      </c>
      <c r="I1474" s="40"/>
      <c r="J1474" s="41" t="str">
        <f>IF(AND(E1474=0,F1474&lt;&gt;0,G1474&lt;&gt;0),"m2",IF(AND(F1474=0,E1474&lt;&gt;0,G1474&lt;&gt;0),"m2",IF(AND(G1474=0,E1474&lt;&gt;0,F1474&lt;&gt;0),"m2",IF(AND(F1474=0,G1474=0),"ml",IF(AND(E1474=0,G1474=0),"ml",IF(AND(E1474=0,F1474=0),"ml",IF(AND(E1474&lt;&gt;0,F1474&lt;&gt;0,G1474&lt;&gt;0),"m3",0)))))))</f>
        <v>ml</v>
      </c>
    </row>
    <row r="1475" spans="2:10" s="1" customFormat="1" ht="12.75" x14ac:dyDescent="0.2">
      <c r="B1475" s="57"/>
      <c r="C1475" s="39" t="s">
        <v>379</v>
      </c>
      <c r="D1475" s="40"/>
      <c r="E1475" s="40"/>
      <c r="F1475" s="40"/>
      <c r="G1475" s="40"/>
      <c r="H1475" s="40">
        <f>IF(AND(F1475=0,G1475=0),D1475*E1475,IF(AND(E1475=0,G1475=0),D1475*F1475,IF(AND(E1475=0,F1475=0),D1475*G1475,IF(AND(E1475=0),D1475*F1475*G1475,IF(AND(F1475=0),D1475*E1475*G1475,IF(AND(G1475=0),D1475*E1475*F1475,D1475*E1475*F1475*G1475))))))</f>
        <v>0</v>
      </c>
      <c r="I1475" s="40"/>
      <c r="J1475" s="41" t="str">
        <f>IF(AND(E1475=0,F1475&lt;&gt;0,G1475&lt;&gt;0),"m2",IF(AND(F1475=0,E1475&lt;&gt;0,G1475&lt;&gt;0),"m2",IF(AND(G1475=0,E1475&lt;&gt;0,F1475&lt;&gt;0),"m2",IF(AND(F1475=0,G1475=0),"ml",IF(AND(E1475=0,G1475=0),"ml",IF(AND(E1475=0,F1475=0),"ml",IF(AND(E1475&lt;&gt;0,F1475&lt;&gt;0,G1475&lt;&gt;0),"m3",0)))))))</f>
        <v>ml</v>
      </c>
    </row>
    <row r="1476" spans="2:10" s="1" customFormat="1" ht="12.75" x14ac:dyDescent="0.2">
      <c r="B1476" s="43" t="s">
        <v>234</v>
      </c>
      <c r="C1476" s="43" t="s">
        <v>267</v>
      </c>
      <c r="D1476" s="60"/>
      <c r="E1476" s="40"/>
      <c r="F1476" s="40"/>
      <c r="G1476" s="40"/>
      <c r="H1476" s="40"/>
      <c r="I1476" s="44">
        <f>+SUM(H1477:H1478)</f>
        <v>61.3</v>
      </c>
      <c r="J1476" s="45" t="s">
        <v>345</v>
      </c>
    </row>
    <row r="1477" spans="2:10" s="1" customFormat="1" ht="12.75" x14ac:dyDescent="0.2">
      <c r="B1477" s="43"/>
      <c r="C1477" s="39" t="s">
        <v>464</v>
      </c>
      <c r="D1477" s="60">
        <v>5</v>
      </c>
      <c r="E1477" s="40">
        <f>9.8+1.5</f>
        <v>11.3</v>
      </c>
      <c r="F1477" s="40"/>
      <c r="G1477" s="40"/>
      <c r="H1477" s="40">
        <f>IF(AND(F1477=0,G1477=0),D1477*E1477,IF(AND(E1477=0,G1477=0),D1477*F1477,IF(AND(E1477=0,F1477=0),D1477*G1477,IF(AND(E1477=0),D1477*F1477*G1477,IF(AND(F1477=0),D1477*E1477*G1477,IF(AND(G1477=0),D1477*E1477*F1477,D1477*E1477*F1477*G1477))))))</f>
        <v>56.5</v>
      </c>
      <c r="I1477" s="44"/>
      <c r="J1477" s="45"/>
    </row>
    <row r="1478" spans="2:10" s="1" customFormat="1" ht="12.75" x14ac:dyDescent="0.2">
      <c r="B1478" s="43"/>
      <c r="C1478" s="39" t="s">
        <v>502</v>
      </c>
      <c r="D1478" s="60">
        <v>1</v>
      </c>
      <c r="E1478" s="40">
        <v>4.8</v>
      </c>
      <c r="F1478" s="40"/>
      <c r="H1478" s="40">
        <f>IF(AND(F1478=0,G1478=0),D1478*E1478,IF(AND(E1478=0,G1478=0),D1478*F1478,IF(AND(E1478=0,F1478=0),D1478*G1478,IF(AND(E1478=0),D1478*F1478*G1478,IF(AND(F1478=0),D1478*E1478*G1478,IF(AND(G1478=0),D1478*E1478*F1478,D1478*E1478*F1478*G1478))))))</f>
        <v>4.8</v>
      </c>
      <c r="I1478" s="44"/>
      <c r="J1478" s="45"/>
    </row>
    <row r="1479" spans="2:10" s="1" customFormat="1" ht="12.75" x14ac:dyDescent="0.2">
      <c r="B1479" s="43"/>
      <c r="C1479" s="77"/>
      <c r="D1479" s="60"/>
      <c r="E1479" s="40"/>
      <c r="F1479" s="40"/>
      <c r="G1479" s="40"/>
      <c r="H1479" s="40"/>
      <c r="I1479" s="44"/>
      <c r="J1479" s="45"/>
    </row>
    <row r="1480" spans="2:10" s="1" customFormat="1" ht="12.75" x14ac:dyDescent="0.2">
      <c r="B1480" s="43" t="s">
        <v>268</v>
      </c>
      <c r="C1480" s="43" t="s">
        <v>347</v>
      </c>
      <c r="D1480" s="60"/>
      <c r="E1480" s="40"/>
      <c r="F1480" s="40"/>
      <c r="G1480" s="40"/>
      <c r="H1480" s="40"/>
      <c r="I1480" s="44">
        <f>SUM(H1481:H1484)</f>
        <v>26.75</v>
      </c>
      <c r="J1480" s="45" t="str">
        <f>+J1481</f>
        <v>ml</v>
      </c>
    </row>
    <row r="1481" spans="2:10" s="1" customFormat="1" ht="12.75" x14ac:dyDescent="0.2">
      <c r="B1481" s="57"/>
      <c r="C1481" s="39" t="s">
        <v>460</v>
      </c>
      <c r="D1481" s="40">
        <v>1</v>
      </c>
      <c r="E1481" s="89">
        <v>11.3</v>
      </c>
      <c r="F1481" s="40"/>
      <c r="G1481" s="40"/>
      <c r="H1481" s="40">
        <f t="shared" ref="H1481:H1484" si="95">IF(AND(F1481=0,G1481=0),D1481*E1481,IF(AND(E1481=0,G1481=0),D1481*F1481,IF(AND(E1481=0,F1481=0),D1481*G1481,IF(AND(E1481=0),D1481*F1481*G1481,IF(AND(F1481=0),D1481*E1481*G1481,IF(AND(G1481=0),D1481*E1481*F1481,D1481*E1481*F1481*G1481))))))</f>
        <v>11.3</v>
      </c>
      <c r="I1481" s="40"/>
      <c r="J1481" s="41" t="str">
        <f t="shared" ref="J1481" si="96">IF(AND(E1481=0,F1481&lt;&gt;0,G1481&lt;&gt;0),"m2",IF(AND(F1481=0,E1481&lt;&gt;0,G1481&lt;&gt;0),"m2",IF(AND(G1481=0,E1481&lt;&gt;0,F1481&lt;&gt;0),"m2",IF(AND(F1481=0,G1481=0),"ml",IF(AND(E1481=0,G1481=0),"ml",IF(AND(E1481=0,F1481=0),"ml",IF(AND(E1481&lt;&gt;0,F1481&lt;&gt;0,G1481&lt;&gt;0),"m3",0)))))))</f>
        <v>ml</v>
      </c>
    </row>
    <row r="1482" spans="2:10" s="1" customFormat="1" ht="12.75" x14ac:dyDescent="0.2">
      <c r="B1482" s="57"/>
      <c r="C1482" s="39" t="s">
        <v>461</v>
      </c>
      <c r="D1482" s="40">
        <v>1</v>
      </c>
      <c r="E1482" s="89">
        <v>11.3</v>
      </c>
      <c r="F1482" s="40"/>
      <c r="G1482" s="40"/>
      <c r="H1482" s="40">
        <f t="shared" si="95"/>
        <v>11.3</v>
      </c>
      <c r="I1482" s="40"/>
      <c r="J1482" s="41"/>
    </row>
    <row r="1483" spans="2:10" s="1" customFormat="1" ht="12.75" x14ac:dyDescent="0.2">
      <c r="B1483" s="57"/>
      <c r="C1483" s="77"/>
      <c r="D1483" s="60">
        <v>1</v>
      </c>
      <c r="E1483" s="40">
        <v>1.65</v>
      </c>
      <c r="F1483" s="40"/>
      <c r="G1483" s="40"/>
      <c r="H1483" s="40">
        <f t="shared" si="95"/>
        <v>1.65</v>
      </c>
      <c r="I1483" s="40"/>
      <c r="J1483" s="41"/>
    </row>
    <row r="1484" spans="2:10" s="1" customFormat="1" ht="12.75" x14ac:dyDescent="0.2">
      <c r="B1484" s="57"/>
      <c r="C1484" s="77"/>
      <c r="D1484" s="60">
        <v>1</v>
      </c>
      <c r="E1484" s="40">
        <v>2.5</v>
      </c>
      <c r="F1484" s="40"/>
      <c r="G1484" s="40"/>
      <c r="H1484" s="40">
        <f t="shared" si="95"/>
        <v>2.5</v>
      </c>
      <c r="I1484" s="40"/>
      <c r="J1484" s="41"/>
    </row>
    <row r="1485" spans="2:10" s="1" customFormat="1" ht="12.75" x14ac:dyDescent="0.2">
      <c r="B1485" s="43" t="s">
        <v>270</v>
      </c>
      <c r="C1485" s="43" t="s">
        <v>269</v>
      </c>
      <c r="D1485" s="60"/>
      <c r="E1485" s="40"/>
      <c r="F1485" s="40"/>
      <c r="G1485" s="40"/>
      <c r="H1485" s="40"/>
      <c r="I1485" s="44">
        <f>SUM(H1486:H1492)</f>
        <v>0</v>
      </c>
      <c r="J1485" s="45" t="str">
        <f>+J1486</f>
        <v>ml</v>
      </c>
    </row>
    <row r="1486" spans="2:10" s="1" customFormat="1" ht="12.75" x14ac:dyDescent="0.2">
      <c r="B1486" s="43"/>
      <c r="C1486" s="77" t="s">
        <v>71</v>
      </c>
      <c r="D1486" s="40"/>
      <c r="E1486" s="40"/>
      <c r="F1486" s="40"/>
      <c r="G1486" s="40"/>
      <c r="H1486" s="40">
        <f t="shared" ref="H1486:H1492" si="97">IF(AND(F1486=0,G1486=0),D1486*E1486,IF(AND(E1486=0,G1486=0),D1486*F1486,IF(AND(E1486=0,F1486=0),D1486*G1486,IF(AND(E1486=0),D1486*F1486*G1486,IF(AND(F1486=0),D1486*E1486*G1486,IF(AND(G1486=0),D1486*E1486*F1486,D1486*E1486*F1486*G1486))))))</f>
        <v>0</v>
      </c>
      <c r="I1486" s="40"/>
      <c r="J1486" s="41" t="str">
        <f t="shared" ref="J1486:J1492" si="98">IF(AND(E1486=0,F1486&lt;&gt;0,G1486&lt;&gt;0),"m2",IF(AND(F1486=0,E1486&lt;&gt;0,G1486&lt;&gt;0),"m2",IF(AND(G1486=0,E1486&lt;&gt;0,F1486&lt;&gt;0),"m2",IF(AND(F1486=0,G1486=0),"ml",IF(AND(E1486=0,G1486=0),"ml",IF(AND(E1486=0,F1486=0),"ml",IF(AND(E1486&lt;&gt;0,F1486&lt;&gt;0,G1486&lt;&gt;0),"m3",0)))))))</f>
        <v>ml</v>
      </c>
    </row>
    <row r="1487" spans="2:10" s="1" customFormat="1" ht="12.75" x14ac:dyDescent="0.2">
      <c r="B1487" s="43"/>
      <c r="C1487" s="39" t="s">
        <v>349</v>
      </c>
      <c r="D1487" s="40"/>
      <c r="E1487" s="40"/>
      <c r="F1487" s="40"/>
      <c r="G1487" s="40"/>
      <c r="H1487" s="40">
        <f t="shared" si="97"/>
        <v>0</v>
      </c>
      <c r="I1487" s="40"/>
      <c r="J1487" s="41" t="str">
        <f t="shared" si="98"/>
        <v>ml</v>
      </c>
    </row>
    <row r="1488" spans="2:10" s="1" customFormat="1" ht="12.75" x14ac:dyDescent="0.2">
      <c r="B1488" s="43"/>
      <c r="C1488" s="39" t="s">
        <v>369</v>
      </c>
      <c r="D1488" s="40"/>
      <c r="E1488" s="40"/>
      <c r="F1488" s="40"/>
      <c r="G1488" s="40"/>
      <c r="H1488" s="40">
        <f t="shared" si="97"/>
        <v>0</v>
      </c>
      <c r="I1488" s="40"/>
      <c r="J1488" s="41" t="str">
        <f t="shared" si="98"/>
        <v>ml</v>
      </c>
    </row>
    <row r="1489" spans="2:10" s="1" customFormat="1" ht="12.75" x14ac:dyDescent="0.2">
      <c r="B1489" s="43"/>
      <c r="C1489" s="77" t="s">
        <v>72</v>
      </c>
      <c r="D1489" s="40"/>
      <c r="E1489" s="40"/>
      <c r="F1489" s="40"/>
      <c r="G1489" s="40"/>
      <c r="H1489" s="40">
        <f t="shared" si="97"/>
        <v>0</v>
      </c>
      <c r="I1489" s="40"/>
      <c r="J1489" s="41" t="str">
        <f t="shared" si="98"/>
        <v>ml</v>
      </c>
    </row>
    <row r="1490" spans="2:10" s="1" customFormat="1" ht="12.75" x14ac:dyDescent="0.2">
      <c r="B1490" s="43"/>
      <c r="C1490" s="39" t="s">
        <v>349</v>
      </c>
      <c r="D1490" s="40"/>
      <c r="E1490" s="40"/>
      <c r="F1490" s="40"/>
      <c r="G1490" s="40"/>
      <c r="H1490" s="40">
        <f t="shared" si="97"/>
        <v>0</v>
      </c>
      <c r="I1490" s="40"/>
      <c r="J1490" s="41" t="str">
        <f t="shared" si="98"/>
        <v>ml</v>
      </c>
    </row>
    <row r="1491" spans="2:10" s="1" customFormat="1" ht="12.75" x14ac:dyDescent="0.2">
      <c r="B1491" s="43"/>
      <c r="C1491" s="77" t="s">
        <v>73</v>
      </c>
      <c r="D1491" s="40"/>
      <c r="E1491" s="40"/>
      <c r="F1491" s="40"/>
      <c r="G1491" s="40"/>
      <c r="H1491" s="40">
        <f t="shared" si="97"/>
        <v>0</v>
      </c>
      <c r="I1491" s="40"/>
      <c r="J1491" s="41" t="str">
        <f t="shared" si="98"/>
        <v>ml</v>
      </c>
    </row>
    <row r="1492" spans="2:10" s="1" customFormat="1" ht="12.75" x14ac:dyDescent="0.2">
      <c r="B1492" s="43"/>
      <c r="C1492" s="39" t="s">
        <v>349</v>
      </c>
      <c r="D1492" s="40"/>
      <c r="E1492" s="40"/>
      <c r="F1492" s="40"/>
      <c r="G1492" s="40"/>
      <c r="H1492" s="40">
        <f t="shared" si="97"/>
        <v>0</v>
      </c>
      <c r="I1492" s="40"/>
      <c r="J1492" s="41" t="str">
        <f t="shared" si="98"/>
        <v>ml</v>
      </c>
    </row>
    <row r="1493" spans="2:10" s="1" customFormat="1" ht="12.75" x14ac:dyDescent="0.2">
      <c r="B1493" s="43" t="s">
        <v>342</v>
      </c>
      <c r="C1493" s="43" t="s">
        <v>271</v>
      </c>
      <c r="D1493" s="60"/>
      <c r="E1493" s="40"/>
      <c r="F1493" s="40"/>
      <c r="G1493" s="40"/>
      <c r="H1493" s="40"/>
      <c r="I1493" s="44">
        <f>SUM(H1494:H1495)</f>
        <v>4</v>
      </c>
      <c r="J1493" s="45" t="str">
        <f>+J1494</f>
        <v>und</v>
      </c>
    </row>
    <row r="1494" spans="2:10" s="1" customFormat="1" ht="12.75" x14ac:dyDescent="0.2">
      <c r="B1494" s="57"/>
      <c r="C1494" s="39" t="s">
        <v>502</v>
      </c>
      <c r="D1494" s="40">
        <v>2</v>
      </c>
      <c r="E1494" s="40"/>
      <c r="F1494" s="40"/>
      <c r="G1494" s="40"/>
      <c r="H1494" s="40">
        <f>+D1494</f>
        <v>2</v>
      </c>
      <c r="I1494" s="40"/>
      <c r="J1494" s="41" t="s">
        <v>13</v>
      </c>
    </row>
    <row r="1495" spans="2:10" s="1" customFormat="1" ht="12.75" x14ac:dyDescent="0.2">
      <c r="B1495" s="57"/>
      <c r="C1495" s="39" t="s">
        <v>643</v>
      </c>
      <c r="D1495" s="60">
        <v>2</v>
      </c>
      <c r="E1495" s="40"/>
      <c r="F1495" s="40"/>
      <c r="G1495" s="40"/>
      <c r="H1495" s="40">
        <f>+D1495</f>
        <v>2</v>
      </c>
      <c r="I1495" s="40"/>
      <c r="J1495" s="41"/>
    </row>
    <row r="1496" spans="2:10" s="1" customFormat="1" ht="12.75" x14ac:dyDescent="0.2">
      <c r="B1496" s="43" t="s">
        <v>346</v>
      </c>
      <c r="C1496" s="43" t="s">
        <v>348</v>
      </c>
      <c r="D1496" s="60"/>
      <c r="E1496" s="40"/>
      <c r="F1496" s="40"/>
      <c r="G1496" s="40"/>
      <c r="H1496" s="40"/>
      <c r="I1496" s="44">
        <f>SUM(H1497:H1498)</f>
        <v>2</v>
      </c>
      <c r="J1496" s="45" t="str">
        <f>+J1497</f>
        <v>und</v>
      </c>
    </row>
    <row r="1497" spans="2:10" s="1" customFormat="1" ht="12.75" x14ac:dyDescent="0.2">
      <c r="B1497" s="57"/>
      <c r="C1497" s="39" t="s">
        <v>349</v>
      </c>
      <c r="D1497" s="40">
        <v>0</v>
      </c>
      <c r="E1497" s="40"/>
      <c r="F1497" s="40"/>
      <c r="G1497" s="40"/>
      <c r="H1497" s="40">
        <f>+D1497</f>
        <v>0</v>
      </c>
      <c r="I1497" s="40"/>
      <c r="J1497" s="41" t="s">
        <v>13</v>
      </c>
    </row>
    <row r="1498" spans="2:10" s="1" customFormat="1" ht="12.75" x14ac:dyDescent="0.2">
      <c r="B1498" s="57"/>
      <c r="C1498" s="39" t="s">
        <v>643</v>
      </c>
      <c r="D1498" s="60">
        <v>2</v>
      </c>
      <c r="E1498" s="40"/>
      <c r="F1498" s="40"/>
      <c r="G1498" s="40"/>
      <c r="H1498" s="40">
        <f>+D1498</f>
        <v>2</v>
      </c>
      <c r="I1498" s="40"/>
      <c r="J1498" s="41"/>
    </row>
    <row r="1499" spans="2:10" s="1" customFormat="1" ht="12.75" x14ac:dyDescent="0.2">
      <c r="B1499" s="57" t="s">
        <v>16</v>
      </c>
      <c r="C1499" s="58" t="s">
        <v>224</v>
      </c>
      <c r="D1499" s="60"/>
      <c r="E1499" s="40"/>
      <c r="F1499" s="40"/>
      <c r="G1499" s="40"/>
      <c r="H1499" s="40"/>
      <c r="I1499" s="40"/>
      <c r="J1499" s="41"/>
    </row>
    <row r="1500" spans="2:10" s="1" customFormat="1" ht="12.75" x14ac:dyDescent="0.2">
      <c r="B1500" s="43" t="s">
        <v>17</v>
      </c>
      <c r="C1500" s="43" t="s">
        <v>343</v>
      </c>
      <c r="D1500" s="60"/>
      <c r="E1500" s="40"/>
      <c r="F1500" s="40"/>
      <c r="G1500" s="40"/>
      <c r="H1500" s="40"/>
      <c r="I1500" s="44">
        <f>SUM(H1501:H1501)</f>
        <v>0</v>
      </c>
      <c r="J1500" s="45" t="str">
        <f>+J1501</f>
        <v>ml</v>
      </c>
    </row>
    <row r="1501" spans="2:10" s="1" customFormat="1" ht="12.75" x14ac:dyDescent="0.2">
      <c r="B1501" s="57"/>
      <c r="C1501" s="39" t="s">
        <v>344</v>
      </c>
      <c r="D1501" s="40"/>
      <c r="E1501" s="40"/>
      <c r="F1501" s="40"/>
      <c r="G1501" s="40"/>
      <c r="H1501" s="40">
        <f>IF(AND(F1501=0,G1501=0),D1501*E1501,IF(AND(E1501=0,G1501=0),D1501*F1501,IF(AND(E1501=0,F1501=0),D1501*G1501,IF(AND(E1501=0),D1501*F1501*G1501,IF(AND(F1501=0),D1501*E1501*G1501,IF(AND(G1501=0),D1501*E1501*F1501,D1501*E1501*F1501*G1501))))))</f>
        <v>0</v>
      </c>
      <c r="I1501" s="40"/>
      <c r="J1501" s="41" t="str">
        <f>IF(AND(E1501=0,F1501&lt;&gt;0,G1501&lt;&gt;0),"m2",IF(AND(F1501=0,E1501&lt;&gt;0,G1501&lt;&gt;0),"m2",IF(AND(G1501=0,E1501&lt;&gt;0,F1501&lt;&gt;0),"m2",IF(AND(F1501=0,G1501=0),"ml",IF(AND(E1501=0,G1501=0),"ml",IF(AND(E1501=0,F1501=0),"ml",IF(AND(E1501&lt;&gt;0,F1501&lt;&gt;0,G1501&lt;&gt;0),"m3",0)))))))</f>
        <v>ml</v>
      </c>
    </row>
    <row r="1502" spans="2:10" s="1" customFormat="1" ht="12.75" x14ac:dyDescent="0.2">
      <c r="B1502" s="57"/>
      <c r="C1502" s="39"/>
      <c r="D1502" s="23"/>
      <c r="E1502" s="23"/>
      <c r="F1502" s="40"/>
      <c r="G1502" s="40"/>
      <c r="H1502" s="40"/>
      <c r="I1502" s="40"/>
      <c r="J1502" s="41"/>
    </row>
    <row r="1503" spans="2:10" s="1" customFormat="1" ht="12.75" x14ac:dyDescent="0.2">
      <c r="B1503" s="43" t="s">
        <v>240</v>
      </c>
      <c r="C1503" s="43" t="s">
        <v>237</v>
      </c>
      <c r="F1503" s="40"/>
      <c r="G1503" s="40"/>
      <c r="H1503" s="40"/>
      <c r="I1503" s="44">
        <f>SUM(H1504)</f>
        <v>0</v>
      </c>
      <c r="J1503" s="45" t="str">
        <f>+J1506</f>
        <v>ml</v>
      </c>
    </row>
    <row r="1504" spans="2:10" s="1" customFormat="1" ht="12.75" x14ac:dyDescent="0.2">
      <c r="B1504" s="57"/>
      <c r="C1504" s="39"/>
      <c r="D1504" s="40"/>
      <c r="E1504" s="40"/>
      <c r="F1504" s="40"/>
      <c r="G1504" s="40"/>
      <c r="H1504" s="40"/>
      <c r="I1504" s="40"/>
      <c r="J1504" s="41" t="str">
        <f>IF(AND(E1504=0,F1504&lt;&gt;0,G1504&lt;&gt;0),"m2",IF(AND(F1504=0,E1504&lt;&gt;0,G1504&lt;&gt;0),"m2",IF(AND(G1504=0,E1504&lt;&gt;0,F1504&lt;&gt;0),"m2",IF(AND(F1504=0,G1504=0),"ml",IF(AND(E1504=0,G1504=0),"ml",IF(AND(E1504=0,F1504=0),"ml",IF(AND(E1504&lt;&gt;0,F1504&lt;&gt;0,G1504&lt;&gt;0),"m3",0)))))))</f>
        <v>ml</v>
      </c>
    </row>
    <row r="1505" spans="2:10" s="1" customFormat="1" ht="12.75" x14ac:dyDescent="0.2">
      <c r="B1505" s="43" t="s">
        <v>241</v>
      </c>
      <c r="C1505" s="43" t="s">
        <v>239</v>
      </c>
      <c r="D1505" s="60"/>
      <c r="E1505" s="40"/>
      <c r="F1505" s="40"/>
      <c r="G1505" s="40"/>
      <c r="H1505" s="40"/>
      <c r="I1505" s="44">
        <f>SUM(H1506)</f>
        <v>7.5</v>
      </c>
      <c r="J1505" s="45" t="s">
        <v>345</v>
      </c>
    </row>
    <row r="1506" spans="2:10" s="1" customFormat="1" ht="12.75" x14ac:dyDescent="0.2">
      <c r="B1506" s="57"/>
      <c r="C1506" s="39" t="s">
        <v>549</v>
      </c>
      <c r="D1506" s="40">
        <v>1</v>
      </c>
      <c r="E1506" s="40">
        <v>7.5</v>
      </c>
      <c r="F1506" s="40"/>
      <c r="G1506" s="40"/>
      <c r="H1506" s="40">
        <f>IF(AND(F1506=0,G1506=0),D1506*E1506,IF(AND(E1506=0,G1506=0),D1506*F1506,IF(AND(E1506=0,F1506=0),D1506*G1506,IF(AND(E1506=0),D1506*F1506*G1506,IF(AND(F1506=0),D1506*E1506*G1506,IF(AND(G1506=0),D1506*E1506*F1506,D1506*E1506*F1506*G1506))))))</f>
        <v>7.5</v>
      </c>
      <c r="I1506" s="40"/>
      <c r="J1506" s="41" t="str">
        <f>IF(AND(E1506=0,F1506&lt;&gt;0,G1506&lt;&gt;0),"m2",IF(AND(F1506=0,E1506&lt;&gt;0,G1506&lt;&gt;0),"m2",IF(AND(G1506=0,E1506&lt;&gt;0,F1506&lt;&gt;0),"m2",IF(AND(F1506=0,G1506=0),"ml",IF(AND(E1506=0,G1506=0),"ml",IF(AND(E1506=0,F1506=0),"ml",IF(AND(E1506&lt;&gt;0,F1506&lt;&gt;0,G1506&lt;&gt;0),"m3",0)))))))</f>
        <v>ml</v>
      </c>
    </row>
    <row r="1507" spans="2:10" s="1" customFormat="1" ht="12.75" x14ac:dyDescent="0.2">
      <c r="B1507" s="43" t="s">
        <v>243</v>
      </c>
      <c r="C1507" s="43" t="s">
        <v>242</v>
      </c>
      <c r="D1507" s="60"/>
      <c r="E1507" s="40"/>
      <c r="F1507" s="40"/>
      <c r="G1507" s="40"/>
      <c r="H1507" s="40"/>
      <c r="I1507" s="44">
        <f>SUM(H1508:H1508)</f>
        <v>0</v>
      </c>
      <c r="J1507" s="45" t="str">
        <f>+J1508</f>
        <v>ml</v>
      </c>
    </row>
    <row r="1508" spans="2:10" s="1" customFormat="1" ht="12.75" x14ac:dyDescent="0.2">
      <c r="B1508" s="57"/>
      <c r="C1508" s="39" t="s">
        <v>401</v>
      </c>
      <c r="D1508" s="40"/>
      <c r="E1508" s="40"/>
      <c r="F1508" s="40"/>
      <c r="G1508" s="40"/>
      <c r="H1508" s="40">
        <f>IF(AND(F1508=0,G1508=0),D1508*E1508,IF(AND(E1508=0,G1508=0),D1508*F1508,IF(AND(E1508=0,F1508=0),D1508*G1508,IF(AND(E1508=0),D1508*F1508*G1508,IF(AND(F1508=0),D1508*E1508*G1508,IF(AND(G1508=0),D1508*E1508*F1508,D1508*E1508*F1508*G1508))))))</f>
        <v>0</v>
      </c>
      <c r="I1508" s="40"/>
      <c r="J1508" s="41" t="str">
        <f>IF(AND(E1508=0,F1508&lt;&gt;0,G1508&lt;&gt;0),"m2",IF(AND(F1508=0,E1508&lt;&gt;0,G1508&lt;&gt;0),"m2",IF(AND(G1508=0,E1508&lt;&gt;0,F1508&lt;&gt;0),"m2",IF(AND(F1508=0,G1508=0),"ml",IF(AND(E1508=0,G1508=0),"ml",IF(AND(E1508=0,F1508=0),"ml",IF(AND(E1508&lt;&gt;0,F1508&lt;&gt;0,G1508&lt;&gt;0),"m3",0)))))))</f>
        <v>ml</v>
      </c>
    </row>
    <row r="1509" spans="2:10" s="1" customFormat="1" ht="12.75" x14ac:dyDescent="0.2">
      <c r="B1509" s="43" t="s">
        <v>244</v>
      </c>
      <c r="C1509" s="43" t="s">
        <v>245</v>
      </c>
      <c r="D1509" s="60"/>
      <c r="E1509" s="40"/>
      <c r="F1509" s="40"/>
      <c r="G1509" s="40"/>
      <c r="H1509" s="40"/>
      <c r="I1509" s="44">
        <f>SUM(H1510:H1511)</f>
        <v>0</v>
      </c>
      <c r="J1509" s="45" t="str">
        <f>+J1510</f>
        <v>ml</v>
      </c>
    </row>
    <row r="1510" spans="2:10" s="1" customFormat="1" ht="12.75" x14ac:dyDescent="0.2">
      <c r="B1510" s="57"/>
      <c r="F1510" s="40"/>
      <c r="G1510" s="40"/>
      <c r="H1510" s="40"/>
      <c r="I1510" s="40"/>
      <c r="J1510" s="41" t="str">
        <f>IF(AND(E1513=0,F1510&lt;&gt;0,G1510&lt;&gt;0),"m2",IF(AND(F1510=0,E1513&lt;&gt;0,G1510&lt;&gt;0),"m2",IF(AND(G1510=0,E1513&lt;&gt;0,F1510&lt;&gt;0),"m2",IF(AND(F1510=0,G1510=0),"ml",IF(AND(E1513=0,G1510=0),"ml",IF(AND(E1513=0,F1510=0),"ml",IF(AND(E1513&lt;&gt;0,F1510&lt;&gt;0,G1510&lt;&gt;0),"m3",0)))))))</f>
        <v>ml</v>
      </c>
    </row>
    <row r="1511" spans="2:10" s="1" customFormat="1" ht="12.75" x14ac:dyDescent="0.2">
      <c r="B1511" s="57"/>
      <c r="C1511" s="39"/>
      <c r="F1511" s="40"/>
      <c r="G1511" s="40"/>
      <c r="H1511" s="40"/>
      <c r="I1511" s="40"/>
      <c r="J1511" s="41" t="str">
        <f>IF(AND(E1506=0,F1511&lt;&gt;0,G1511&lt;&gt;0),"m2",IF(AND(F1511=0,E1506&lt;&gt;0,G1511&lt;&gt;0),"m2",IF(AND(G1511=0,E1506&lt;&gt;0,F1511&lt;&gt;0),"m2",IF(AND(F1511=0,G1511=0),"ml",IF(AND(E1506=0,G1511=0),"ml",IF(AND(E1506=0,F1511=0),"ml",IF(AND(E1506&lt;&gt;0,F1511&lt;&gt;0,G1511&lt;&gt;0),"m3",0)))))))</f>
        <v>ml</v>
      </c>
    </row>
    <row r="1512" spans="2:10" s="1" customFormat="1" ht="12.75" x14ac:dyDescent="0.2">
      <c r="B1512" s="43" t="s">
        <v>248</v>
      </c>
      <c r="C1512" s="43" t="s">
        <v>246</v>
      </c>
      <c r="D1512" s="60"/>
      <c r="E1512" s="40"/>
      <c r="F1512" s="40"/>
      <c r="G1512" s="40"/>
      <c r="H1512" s="40"/>
      <c r="I1512" s="44">
        <f>SUM(H1513)</f>
        <v>8</v>
      </c>
      <c r="J1512" s="45" t="s">
        <v>345</v>
      </c>
    </row>
    <row r="1513" spans="2:10" s="1" customFormat="1" ht="12.75" x14ac:dyDescent="0.2">
      <c r="B1513" s="57"/>
      <c r="C1513" s="39" t="s">
        <v>549</v>
      </c>
      <c r="D1513" s="40">
        <v>1</v>
      </c>
      <c r="E1513" s="40">
        <v>8</v>
      </c>
      <c r="F1513" s="40"/>
      <c r="G1513" s="40"/>
      <c r="H1513" s="40">
        <f>IF(AND(F1513=0,G1513=0),D1513*E1513,IF(AND(E1513=0,G1513=0),D1513*F1513,IF(AND(E1513=0,F1513=0),D1513*G1513,IF(AND(E1513=0),D1513*F1513*G1513,IF(AND(F1513=0),D1513*E1513*G1513,IF(AND(G1513=0),D1513*E1513*F1513,D1513*E1513*F1513*G1513))))))</f>
        <v>8</v>
      </c>
      <c r="I1513" s="40"/>
      <c r="J1513" s="41" t="s">
        <v>345</v>
      </c>
    </row>
    <row r="1514" spans="2:10" s="1" customFormat="1" ht="12.75" x14ac:dyDescent="0.2">
      <c r="B1514" s="43" t="s">
        <v>249</v>
      </c>
      <c r="C1514" s="43" t="s">
        <v>247</v>
      </c>
      <c r="D1514" s="60"/>
      <c r="E1514" s="40"/>
      <c r="F1514" s="40"/>
      <c r="G1514" s="40"/>
      <c r="H1514" s="40"/>
      <c r="I1514" s="44">
        <f>SUM(H1515:H1515)</f>
        <v>0</v>
      </c>
      <c r="J1514" s="45" t="str">
        <f>+J1515</f>
        <v>ml</v>
      </c>
    </row>
    <row r="1515" spans="2:10" s="1" customFormat="1" ht="12.75" x14ac:dyDescent="0.2">
      <c r="B1515" s="57"/>
      <c r="C1515" s="39" t="s">
        <v>396</v>
      </c>
      <c r="D1515" s="40"/>
      <c r="E1515" s="40"/>
      <c r="F1515" s="40"/>
      <c r="G1515" s="40"/>
      <c r="H1515" s="40">
        <f>IF(AND(F1515=0,G1515=0),D1515*E1515,IF(AND(E1515=0,G1515=0),D1515*F1515,IF(AND(E1515=0,F1515=0),D1515*G1515,IF(AND(E1515=0),D1515*F1515*G1515,IF(AND(F1515=0),D1515*E1515*G1515,IF(AND(G1515=0),D1515*E1515*F1515,D1515*E1515*F1515*G1515))))))</f>
        <v>0</v>
      </c>
      <c r="I1515" s="40"/>
      <c r="J1515" s="41" t="str">
        <f>IF(AND(E1515=0,F1515&lt;&gt;0,G1515&lt;&gt;0),"m2",IF(AND(F1515=0,E1515&lt;&gt;0,G1515&lt;&gt;0),"m2",IF(AND(G1515=0,E1515&lt;&gt;0,F1515&lt;&gt;0),"m2",IF(AND(F1515=0,G1515=0),"ml",IF(AND(E1515=0,G1515=0),"ml",IF(AND(E1515=0,F1515=0),"ml",IF(AND(E1515&lt;&gt;0,F1515&lt;&gt;0,G1515&lt;&gt;0),"m3",0)))))))</f>
        <v>ml</v>
      </c>
    </row>
    <row r="1516" spans="2:10" s="1" customFormat="1" ht="12.75" x14ac:dyDescent="0.2">
      <c r="B1516" s="43" t="s">
        <v>256</v>
      </c>
      <c r="C1516" s="43" t="s">
        <v>226</v>
      </c>
      <c r="D1516" s="60"/>
      <c r="E1516" s="40"/>
      <c r="F1516" s="40"/>
      <c r="G1516" s="40"/>
      <c r="H1516" s="40"/>
      <c r="I1516" s="44">
        <f>SUM(H1517:H1518)</f>
        <v>0.7</v>
      </c>
      <c r="J1516" s="45" t="str">
        <f>+J1518</f>
        <v>ml</v>
      </c>
    </row>
    <row r="1517" spans="2:10" s="1" customFormat="1" ht="12.75" x14ac:dyDescent="0.2">
      <c r="B1517" s="57"/>
      <c r="C1517" s="39" t="s">
        <v>390</v>
      </c>
      <c r="D1517" s="40">
        <v>1</v>
      </c>
      <c r="E1517" s="40">
        <v>0.7</v>
      </c>
      <c r="F1517" s="40"/>
      <c r="G1517" s="40"/>
      <c r="H1517" s="40">
        <f>IF(AND(F1517=0,G1517=0),D1517*E1517,IF(AND(E1517=0,G1517=0),D1517*F1517,IF(AND(E1517=0,F1517=0),D1517*G1517,IF(AND(E1517=0),D1517*F1517*G1517,IF(AND(F1517=0),D1517*E1517*G1517,IF(AND(G1517=0),D1517*E1517*F1517,D1517*E1517*F1517*G1517))))))</f>
        <v>0.7</v>
      </c>
      <c r="I1517" s="40"/>
      <c r="J1517" s="41"/>
    </row>
    <row r="1518" spans="2:10" s="1" customFormat="1" ht="12.75" x14ac:dyDescent="0.2">
      <c r="B1518" s="57"/>
      <c r="C1518" s="39"/>
      <c r="D1518" s="40"/>
      <c r="E1518" s="40"/>
      <c r="F1518" s="40"/>
      <c r="G1518" s="40"/>
      <c r="H1518" s="40"/>
      <c r="I1518" s="40"/>
      <c r="J1518" s="41" t="str">
        <f>IF(AND(E1518=0,F1518&lt;&gt;0,G1518&lt;&gt;0),"m2",IF(AND(F1518=0,E1518&lt;&gt;0,G1518&lt;&gt;0),"m2",IF(AND(G1518=0,E1518&lt;&gt;0,F1518&lt;&gt;0),"m2",IF(AND(F1518=0,G1518=0),"ml",IF(AND(E1518=0,G1518=0),"ml",IF(AND(E1518=0,F1518=0),"ml",IF(AND(E1518&lt;&gt;0,F1518&lt;&gt;0,G1518&lt;&gt;0),"m3",0)))))))</f>
        <v>ml</v>
      </c>
    </row>
    <row r="1519" spans="2:10" s="1" customFormat="1" ht="12.75" x14ac:dyDescent="0.2">
      <c r="B1519" s="57"/>
      <c r="C1519" s="39"/>
      <c r="D1519" s="60"/>
      <c r="E1519" s="40"/>
      <c r="F1519" s="40"/>
      <c r="G1519" s="40"/>
      <c r="H1519" s="40"/>
      <c r="I1519" s="40"/>
      <c r="J1519" s="41"/>
    </row>
    <row r="1520" spans="2:10" s="1" customFormat="1" ht="12.75" x14ac:dyDescent="0.2">
      <c r="B1520" s="43" t="s">
        <v>597</v>
      </c>
      <c r="C1520" s="43" t="s">
        <v>490</v>
      </c>
      <c r="D1520" s="60"/>
      <c r="E1520" s="40"/>
      <c r="F1520" s="40"/>
      <c r="G1520" s="40"/>
      <c r="H1520" s="40"/>
      <c r="I1520" s="44">
        <f>SUM(H1521:H1521)</f>
        <v>17.45</v>
      </c>
      <c r="J1520" s="45" t="str">
        <f>+J1521</f>
        <v>ml</v>
      </c>
    </row>
    <row r="1521" spans="2:10" s="1" customFormat="1" ht="12.75" x14ac:dyDescent="0.2">
      <c r="B1521" s="57"/>
      <c r="C1521" s="39" t="s">
        <v>499</v>
      </c>
      <c r="D1521" s="40">
        <v>1</v>
      </c>
      <c r="E1521" s="40">
        <v>17.45</v>
      </c>
      <c r="F1521" s="40"/>
      <c r="G1521" s="40"/>
      <c r="H1521" s="40">
        <f>IF(AND(F1521=0,G1521=0),D1521*E1521,IF(AND(E1521=0,G1521=0),D1521*F1521,IF(AND(E1521=0,F1521=0),D1521*G1521,IF(AND(E1521=0),D1521*F1521*G1521,IF(AND(F1521=0),D1521*E1521*G1521,IF(AND(G1521=0),D1521*E1521*F1521,D1521*E1521*F1521*G1521))))))</f>
        <v>17.45</v>
      </c>
      <c r="I1521" s="40"/>
      <c r="J1521" s="41" t="str">
        <f>IF(AND(E1521=0,F1521&lt;&gt;0,G1521&lt;&gt;0),"m2",IF(AND(F1521=0,E1521&lt;&gt;0,G1521&lt;&gt;0),"m2",IF(AND(G1521=0,E1521&lt;&gt;0,F1521&lt;&gt;0),"m2",IF(AND(F1521=0,G1521=0),"ml",IF(AND(E1521=0,G1521=0),"ml",IF(AND(E1521=0,F1521=0),"ml",IF(AND(E1521&lt;&gt;0,F1521&lt;&gt;0,G1521&lt;&gt;0),"m3",0)))))))</f>
        <v>ml</v>
      </c>
    </row>
    <row r="1522" spans="2:10" s="1" customFormat="1" ht="12.75" x14ac:dyDescent="0.2">
      <c r="B1522" s="57"/>
      <c r="C1522" s="39"/>
      <c r="D1522" s="60"/>
      <c r="E1522" s="40"/>
      <c r="F1522" s="40"/>
      <c r="G1522" s="40"/>
      <c r="H1522" s="40"/>
      <c r="I1522" s="40"/>
      <c r="J1522" s="41"/>
    </row>
    <row r="1523" spans="2:10" s="1" customFormat="1" ht="12.75" x14ac:dyDescent="0.2">
      <c r="B1523" s="57"/>
      <c r="C1523" s="39"/>
      <c r="D1523" s="60"/>
      <c r="E1523" s="40"/>
      <c r="F1523" s="40"/>
      <c r="G1523" s="40"/>
      <c r="H1523" s="40"/>
      <c r="I1523" s="40"/>
      <c r="J1523" s="41"/>
    </row>
    <row r="1524" spans="2:10" s="1" customFormat="1" ht="12.75" x14ac:dyDescent="0.2">
      <c r="B1524" s="43" t="s">
        <v>257</v>
      </c>
      <c r="C1524" s="43" t="s">
        <v>228</v>
      </c>
      <c r="D1524" s="60"/>
      <c r="E1524" s="40"/>
      <c r="F1524" s="40"/>
      <c r="G1524" s="40"/>
      <c r="H1524" s="40"/>
      <c r="I1524" s="44">
        <f>SUM(H1525:H1525)</f>
        <v>0</v>
      </c>
      <c r="J1524" s="45" t="str">
        <f>+J1525</f>
        <v>ml</v>
      </c>
    </row>
    <row r="1525" spans="2:10" s="1" customFormat="1" ht="12.75" x14ac:dyDescent="0.2">
      <c r="B1525" s="57"/>
      <c r="C1525" s="39" t="s">
        <v>399</v>
      </c>
      <c r="D1525" s="40"/>
      <c r="E1525" s="40"/>
      <c r="F1525" s="40"/>
      <c r="G1525" s="40"/>
      <c r="H1525" s="40">
        <f>IF(AND(F1525=0,G1525=0),D1525*E1525,IF(AND(E1525=0,G1525=0),D1525*F1525,IF(AND(E1525=0,F1525=0),D1525*G1525,IF(AND(E1525=0),D1525*F1525*G1525,IF(AND(F1525=0),D1525*E1525*G1525,IF(AND(G1525=0),D1525*E1525*F1525,D1525*E1525*F1525*G1525))))))</f>
        <v>0</v>
      </c>
      <c r="I1525" s="40"/>
      <c r="J1525" s="41" t="str">
        <f>IF(AND(E1525=0,F1525&lt;&gt;0,G1525&lt;&gt;0),"m2",IF(AND(F1525=0,E1525&lt;&gt;0,G1525&lt;&gt;0),"m2",IF(AND(G1525=0,E1525&lt;&gt;0,F1525&lt;&gt;0),"m2",IF(AND(F1525=0,G1525=0),"ml",IF(AND(E1525=0,G1525=0),"ml",IF(AND(E1525=0,F1525=0),"ml",IF(AND(E1525&lt;&gt;0,F1525&lt;&gt;0,G1525&lt;&gt;0),"m3",0)))))))</f>
        <v>ml</v>
      </c>
    </row>
    <row r="1526" spans="2:10" s="1" customFormat="1" ht="12.75" x14ac:dyDescent="0.2">
      <c r="B1526" s="43" t="s">
        <v>258</v>
      </c>
      <c r="C1526" s="43" t="s">
        <v>250</v>
      </c>
      <c r="D1526" s="60"/>
      <c r="E1526" s="40"/>
      <c r="F1526" s="40"/>
      <c r="G1526" s="40"/>
      <c r="H1526" s="40"/>
      <c r="I1526" s="44">
        <f>SUM(H1527:H1529)</f>
        <v>31.03</v>
      </c>
      <c r="J1526" s="45" t="s">
        <v>345</v>
      </c>
    </row>
    <row r="1527" spans="2:10" s="1" customFormat="1" ht="12.75" x14ac:dyDescent="0.2">
      <c r="B1527" s="57"/>
      <c r="C1527" s="39" t="s">
        <v>498</v>
      </c>
      <c r="D1527" s="1">
        <v>1</v>
      </c>
      <c r="E1527" s="40">
        <f>1.1+22.93</f>
        <v>24.03</v>
      </c>
      <c r="F1527" s="40"/>
      <c r="G1527" s="40"/>
      <c r="H1527" s="40">
        <f>IF(AND(F1527=0,G1527=0),D1527*E1527,IF(AND(E1527=0,G1527=0),D1527*F1527,IF(AND(E1527=0,F1527=0),D1527*G1527,IF(AND(E1527=0),D1527*F1527*G1527,IF(AND(F1527=0),D1527*E1527*G1527,IF(AND(G1527=0),D1527*E1527*F1527,D1527*E1527*F1527*G1527))))))</f>
        <v>24.03</v>
      </c>
      <c r="I1527" s="40"/>
      <c r="J1527" s="41"/>
    </row>
    <row r="1528" spans="2:10" s="1" customFormat="1" ht="12.75" x14ac:dyDescent="0.2">
      <c r="B1528" s="57"/>
      <c r="C1528" s="39" t="s">
        <v>676</v>
      </c>
      <c r="D1528" s="60">
        <v>1</v>
      </c>
      <c r="E1528" s="40">
        <v>3.7</v>
      </c>
      <c r="F1528" s="40"/>
      <c r="G1528" s="40"/>
      <c r="H1528" s="40">
        <f>IF(AND(F1528=0,G1528=0),D1528*E1528,IF(AND(E1528=0,G1528=0),D1528*F1528,IF(AND(E1528=0,F1528=0),D1528*G1528,IF(AND(E1528=0),D1528*F1528*G1528,IF(AND(F1528=0),D1528*E1528*G1528,IF(AND(G1528=0),D1528*E1528*F1528,D1528*E1528*F1528*G1528))))))</f>
        <v>3.7</v>
      </c>
      <c r="I1528" s="40"/>
      <c r="J1528" s="41"/>
    </row>
    <row r="1529" spans="2:10" s="1" customFormat="1" ht="12.75" x14ac:dyDescent="0.2">
      <c r="B1529" s="57"/>
      <c r="C1529" s="39" t="s">
        <v>677</v>
      </c>
      <c r="D1529" s="60">
        <v>1</v>
      </c>
      <c r="E1529" s="40">
        <v>3.3</v>
      </c>
      <c r="F1529" s="40"/>
      <c r="G1529" s="40"/>
      <c r="H1529" s="40">
        <f>IF(AND(F1529=0,G1529=0),D1529*E1529,IF(AND(E1529=0,G1529=0),D1529*F1529,IF(AND(E1529=0,F1529=0),D1529*G1529,IF(AND(E1529=0),D1529*F1529*G1529,IF(AND(F1529=0),D1529*E1529*G1529,IF(AND(G1529=0),D1529*E1529*F1529,D1529*E1529*F1529*G1529))))))</f>
        <v>3.3</v>
      </c>
      <c r="I1529" s="40"/>
      <c r="J1529" s="41"/>
    </row>
    <row r="1530" spans="2:10" s="1" customFormat="1" ht="12.75" x14ac:dyDescent="0.2">
      <c r="B1530" s="57"/>
      <c r="C1530" s="39"/>
      <c r="D1530" s="60"/>
      <c r="E1530" s="40"/>
      <c r="F1530" s="40"/>
      <c r="G1530" s="40"/>
      <c r="H1530" s="40"/>
      <c r="I1530" s="40"/>
      <c r="J1530" s="41"/>
    </row>
    <row r="1531" spans="2:10" s="1" customFormat="1" ht="12.75" x14ac:dyDescent="0.2">
      <c r="B1531" s="43" t="s">
        <v>259</v>
      </c>
      <c r="C1531" s="43" t="s">
        <v>251</v>
      </c>
      <c r="D1531" s="60"/>
      <c r="E1531" s="40"/>
      <c r="F1531" s="40"/>
      <c r="G1531" s="40"/>
      <c r="H1531" s="40"/>
      <c r="I1531" s="44">
        <f>SUM(H1532:H1532)</f>
        <v>0</v>
      </c>
      <c r="J1531" s="45" t="str">
        <f>+J1532</f>
        <v>ml</v>
      </c>
    </row>
    <row r="1532" spans="2:10" s="1" customFormat="1" ht="12.75" x14ac:dyDescent="0.2">
      <c r="B1532" s="57"/>
      <c r="C1532" s="39" t="s">
        <v>389</v>
      </c>
      <c r="D1532" s="40"/>
      <c r="E1532" s="40"/>
      <c r="F1532" s="40"/>
      <c r="G1532" s="40"/>
      <c r="H1532" s="40">
        <f>IF(AND(F1532=0,G1532=0),D1532*E1532,IF(AND(E1532=0,G1532=0),D1532*F1532,IF(AND(E1532=0,F1532=0),D1532*G1532,IF(AND(E1532=0),D1532*F1532*G1532,IF(AND(F1532=0),D1532*E1532*G1532,IF(AND(G1532=0),D1532*E1532*F1532,D1532*E1532*F1532*G1532))))))</f>
        <v>0</v>
      </c>
      <c r="I1532" s="40"/>
      <c r="J1532" s="41" t="str">
        <f>IF(AND(E1532=0,F1532&lt;&gt;0,G1532&lt;&gt;0),"m2",IF(AND(F1532=0,E1532&lt;&gt;0,G1532&lt;&gt;0),"m2",IF(AND(G1532=0,E1532&lt;&gt;0,F1532&lt;&gt;0),"m2",IF(AND(F1532=0,G1532=0),"ml",IF(AND(E1532=0,G1532=0),"ml",IF(AND(E1532=0,F1532=0),"ml",IF(AND(E1532&lt;&gt;0,F1532&lt;&gt;0,G1532&lt;&gt;0),"m3",0)))))))</f>
        <v>ml</v>
      </c>
    </row>
    <row r="1533" spans="2:10" s="1" customFormat="1" ht="12.75" x14ac:dyDescent="0.2">
      <c r="B1533" s="43" t="s">
        <v>260</v>
      </c>
      <c r="C1533" s="43" t="s">
        <v>252</v>
      </c>
      <c r="D1533" s="60"/>
      <c r="E1533" s="40"/>
      <c r="F1533" s="40"/>
      <c r="G1533" s="40"/>
      <c r="H1533" s="40"/>
      <c r="I1533" s="44">
        <f>SUM(H1534:H1534)</f>
        <v>80</v>
      </c>
      <c r="J1533" s="45" t="str">
        <f>+J1534</f>
        <v>ml</v>
      </c>
    </row>
    <row r="1534" spans="2:10" s="1" customFormat="1" ht="12.75" x14ac:dyDescent="0.2">
      <c r="B1534" s="57"/>
      <c r="C1534" s="39" t="s">
        <v>678</v>
      </c>
      <c r="D1534" s="40">
        <v>1</v>
      </c>
      <c r="E1534" s="40">
        <v>80</v>
      </c>
      <c r="F1534" s="40"/>
      <c r="G1534" s="40"/>
      <c r="H1534" s="40">
        <f>IF(AND(F1534=0,G1534=0),D1534*E1534,IF(AND(E1534=0,G1534=0),D1534*F1534,IF(AND(E1534=0,F1534=0),D1534*G1534,IF(AND(E1534=0),D1534*F1534*G1534,IF(AND(F1534=0),D1534*E1534*G1534,IF(AND(G1534=0),D1534*E1534*F1534,D1534*E1534*F1534*G1534))))))</f>
        <v>80</v>
      </c>
      <c r="I1534" s="40"/>
      <c r="J1534" s="41" t="str">
        <f>IF(AND(E1534=0,F1534&lt;&gt;0,G1534&lt;&gt;0),"m2",IF(AND(F1534=0,E1534&lt;&gt;0,G1534&lt;&gt;0),"m2",IF(AND(G1534=0,E1534&lt;&gt;0,F1534&lt;&gt;0),"m2",IF(AND(F1534=0,G1534=0),"ml",IF(AND(E1534=0,G1534=0),"ml",IF(AND(E1534=0,F1534=0),"ml",IF(AND(E1534&lt;&gt;0,F1534&lt;&gt;0,G1534&lt;&gt;0),"m3",0)))))))</f>
        <v>ml</v>
      </c>
    </row>
    <row r="1535" spans="2:10" s="1" customFormat="1" ht="12.75" x14ac:dyDescent="0.2">
      <c r="B1535" s="57"/>
      <c r="C1535" s="39"/>
      <c r="D1535" s="60"/>
      <c r="E1535" s="40"/>
      <c r="F1535" s="40"/>
      <c r="G1535" s="40"/>
      <c r="H1535" s="40"/>
      <c r="I1535" s="40"/>
      <c r="J1535" s="41"/>
    </row>
    <row r="1536" spans="2:10" s="1" customFormat="1" ht="12.75" x14ac:dyDescent="0.2">
      <c r="B1536" s="43" t="s">
        <v>261</v>
      </c>
      <c r="C1536" s="43" t="s">
        <v>253</v>
      </c>
      <c r="D1536" s="60"/>
      <c r="E1536" s="40"/>
      <c r="F1536" s="40"/>
      <c r="G1536" s="40"/>
      <c r="H1536" s="40"/>
      <c r="I1536" s="44">
        <f>SUM(H1537:H1537)</f>
        <v>0</v>
      </c>
      <c r="J1536" s="45" t="str">
        <f>+J1537</f>
        <v>und</v>
      </c>
    </row>
    <row r="1537" spans="2:10" s="1" customFormat="1" ht="12.75" x14ac:dyDescent="0.2">
      <c r="B1537" s="43"/>
      <c r="C1537" s="39" t="s">
        <v>402</v>
      </c>
      <c r="D1537" s="40"/>
      <c r="E1537" s="40"/>
      <c r="F1537" s="40"/>
      <c r="G1537" s="40"/>
      <c r="H1537" s="40">
        <f>+D1537</f>
        <v>0</v>
      </c>
      <c r="I1537" s="40"/>
      <c r="J1537" s="41" t="s">
        <v>13</v>
      </c>
    </row>
    <row r="1538" spans="2:10" s="1" customFormat="1" ht="12.75" x14ac:dyDescent="0.2">
      <c r="B1538" s="43" t="s">
        <v>262</v>
      </c>
      <c r="C1538" s="43" t="s">
        <v>254</v>
      </c>
      <c r="D1538" s="60"/>
      <c r="E1538" s="40"/>
      <c r="F1538" s="40"/>
      <c r="G1538" s="40"/>
      <c r="H1538" s="40"/>
      <c r="I1538" s="44">
        <f>SUM(H1539:H1539)</f>
        <v>0</v>
      </c>
      <c r="J1538" s="45" t="str">
        <f>+J1539</f>
        <v>und</v>
      </c>
    </row>
    <row r="1539" spans="2:10" s="1" customFormat="1" ht="12.75" x14ac:dyDescent="0.2">
      <c r="B1539" s="57"/>
      <c r="C1539" s="39" t="s">
        <v>238</v>
      </c>
      <c r="D1539" s="40"/>
      <c r="E1539" s="40"/>
      <c r="F1539" s="40"/>
      <c r="G1539" s="40"/>
      <c r="H1539" s="40">
        <f>+D1539</f>
        <v>0</v>
      </c>
      <c r="I1539" s="40"/>
      <c r="J1539" s="41" t="s">
        <v>13</v>
      </c>
    </row>
    <row r="1540" spans="2:10" s="1" customFormat="1" ht="12.75" x14ac:dyDescent="0.2">
      <c r="B1540" s="43" t="s">
        <v>350</v>
      </c>
      <c r="C1540" s="43" t="s">
        <v>255</v>
      </c>
      <c r="D1540" s="60"/>
      <c r="E1540" s="40"/>
      <c r="F1540" s="40"/>
      <c r="G1540" s="40"/>
      <c r="H1540" s="40"/>
      <c r="I1540" s="44">
        <f>SUM(H1541:H1541)</f>
        <v>0</v>
      </c>
      <c r="J1540" s="45" t="str">
        <f>+J1541</f>
        <v>und</v>
      </c>
    </row>
    <row r="1541" spans="2:10" s="1" customFormat="1" ht="12.75" x14ac:dyDescent="0.2">
      <c r="B1541" s="57"/>
      <c r="C1541" s="39" t="s">
        <v>395</v>
      </c>
      <c r="D1541" s="40"/>
      <c r="E1541" s="40"/>
      <c r="F1541" s="40"/>
      <c r="G1541" s="40"/>
      <c r="H1541" s="40">
        <f>+D1541</f>
        <v>0</v>
      </c>
      <c r="I1541" s="40"/>
      <c r="J1541" s="41" t="s">
        <v>13</v>
      </c>
    </row>
    <row r="1542" spans="2:10" s="1" customFormat="1" ht="12.75" x14ac:dyDescent="0.2">
      <c r="B1542" s="57"/>
      <c r="C1542" s="39"/>
      <c r="D1542" s="60"/>
      <c r="E1542" s="40"/>
      <c r="F1542" s="40"/>
      <c r="G1542" s="40"/>
      <c r="H1542" s="40"/>
      <c r="I1542" s="40"/>
      <c r="J1542" s="41"/>
    </row>
    <row r="1543" spans="2:10" s="1" customFormat="1" ht="12.75" x14ac:dyDescent="0.2">
      <c r="B1543" s="57"/>
      <c r="C1543" s="39"/>
      <c r="D1543" s="40"/>
      <c r="E1543" s="40"/>
      <c r="F1543" s="40"/>
      <c r="G1543" s="40"/>
      <c r="H1543" s="40"/>
      <c r="I1543" s="40"/>
      <c r="J1543" s="41"/>
    </row>
    <row r="1544" spans="2:10" s="1" customFormat="1" ht="12.75" x14ac:dyDescent="0.2">
      <c r="B1544" s="93" t="s">
        <v>592</v>
      </c>
      <c r="C1544" s="93" t="s">
        <v>561</v>
      </c>
      <c r="D1544" s="60"/>
      <c r="E1544" s="40"/>
      <c r="F1544" s="40"/>
      <c r="G1544" s="40"/>
      <c r="H1544" s="40"/>
      <c r="I1544" s="44">
        <f>+SUM(H1545:H1545)</f>
        <v>1</v>
      </c>
      <c r="J1544" s="45" t="s">
        <v>345</v>
      </c>
    </row>
    <row r="1545" spans="2:10" s="1" customFormat="1" ht="12.75" x14ac:dyDescent="0.2">
      <c r="B1545" s="57"/>
      <c r="C1545" s="39" t="s">
        <v>374</v>
      </c>
      <c r="D1545" s="40">
        <v>1</v>
      </c>
      <c r="E1545" s="40">
        <v>1</v>
      </c>
      <c r="F1545" s="40"/>
      <c r="G1545" s="40"/>
      <c r="H1545" s="40">
        <f t="shared" ref="H1545" si="99">IF(AND(F1545=0,G1545=0),D1545*E1545,IF(AND(E1545=0,G1545=0),D1545*F1545,IF(AND(E1545=0,F1545=0),D1545*G1545,IF(AND(E1545=0),D1545*F1545*G1545,IF(AND(F1545=0),D1545*E1545*G1545,IF(AND(G1545=0),D1545*E1545*F1545,D1545*E1545*F1545*G1545))))))</f>
        <v>1</v>
      </c>
      <c r="I1545" s="40"/>
      <c r="J1545" s="41"/>
    </row>
    <row r="1546" spans="2:10" s="1" customFormat="1" ht="12.75" x14ac:dyDescent="0.2">
      <c r="B1546" s="93" t="s">
        <v>694</v>
      </c>
      <c r="C1546" s="93" t="s">
        <v>695</v>
      </c>
      <c r="D1546" s="60"/>
      <c r="E1546" s="40"/>
      <c r="F1546" s="40"/>
      <c r="G1546" s="40"/>
      <c r="H1546" s="40"/>
      <c r="I1546" s="44">
        <f>SUM(H1547)</f>
        <v>1</v>
      </c>
      <c r="J1546" s="45" t="s">
        <v>13</v>
      </c>
    </row>
    <row r="1547" spans="2:10" s="1" customFormat="1" ht="12.75" x14ac:dyDescent="0.2">
      <c r="B1547" s="57"/>
      <c r="C1547" s="39" t="s">
        <v>390</v>
      </c>
      <c r="D1547" s="40">
        <v>1</v>
      </c>
      <c r="E1547" s="40"/>
      <c r="F1547" s="40"/>
      <c r="G1547" s="40"/>
      <c r="H1547" s="40">
        <f>+D1547</f>
        <v>1</v>
      </c>
      <c r="I1547" s="40"/>
      <c r="J1547" s="41"/>
    </row>
    <row r="1548" spans="2:10" s="1" customFormat="1" ht="12.75" x14ac:dyDescent="0.2">
      <c r="B1548" s="107" t="s">
        <v>699</v>
      </c>
      <c r="C1548" s="343" t="s">
        <v>698</v>
      </c>
      <c r="D1548" s="60"/>
      <c r="E1548" s="40"/>
      <c r="F1548" s="40"/>
      <c r="G1548" s="40"/>
      <c r="H1548" s="40"/>
      <c r="I1548" s="44">
        <f>SUM(H1549)</f>
        <v>1</v>
      </c>
      <c r="J1548" s="45" t="s">
        <v>13</v>
      </c>
    </row>
    <row r="1549" spans="2:10" s="1" customFormat="1" ht="12.75" x14ac:dyDescent="0.2">
      <c r="B1549" s="43"/>
      <c r="C1549" s="39" t="s">
        <v>374</v>
      </c>
      <c r="D1549" s="40">
        <v>1</v>
      </c>
      <c r="E1549" s="40"/>
      <c r="F1549" s="40"/>
      <c r="G1549" s="40"/>
      <c r="H1549" s="40">
        <f t="shared" ref="H1549" si="100">+D1549</f>
        <v>1</v>
      </c>
      <c r="I1549" s="40"/>
      <c r="J1549" s="41"/>
    </row>
    <row r="1550" spans="2:10" s="1" customFormat="1" ht="12.75" x14ac:dyDescent="0.2">
      <c r="B1550" s="57"/>
      <c r="C1550" s="39"/>
      <c r="D1550" s="60"/>
      <c r="E1550" s="40"/>
      <c r="F1550" s="40"/>
      <c r="G1550" s="40"/>
      <c r="H1550" s="40"/>
      <c r="I1550" s="40"/>
      <c r="J1550" s="41"/>
    </row>
    <row r="1551" spans="2:10" s="1" customFormat="1" ht="12.75" x14ac:dyDescent="0.2">
      <c r="B1551" s="46"/>
      <c r="C1551" s="59"/>
      <c r="D1551" s="60"/>
      <c r="E1551" s="40"/>
      <c r="F1551" s="40"/>
      <c r="G1551" s="40"/>
      <c r="H1551" s="40"/>
      <c r="I1551" s="40"/>
      <c r="J1551" s="41"/>
    </row>
    <row r="1552" spans="2:10" s="1" customFormat="1" ht="12.75" x14ac:dyDescent="0.2">
      <c r="B1552" s="107" t="s">
        <v>717</v>
      </c>
      <c r="C1552" s="343" t="s">
        <v>735</v>
      </c>
      <c r="D1552" s="60"/>
      <c r="E1552" s="40"/>
      <c r="F1552" s="40"/>
      <c r="G1552" s="40"/>
      <c r="H1552" s="40"/>
      <c r="I1552" s="40">
        <f>+SUM(H1553:H1556)</f>
        <v>5.7800000000000011</v>
      </c>
      <c r="J1552" s="41" t="s">
        <v>45</v>
      </c>
    </row>
    <row r="1553" spans="2:10" s="1" customFormat="1" ht="12.75" x14ac:dyDescent="0.2">
      <c r="B1553" s="107"/>
      <c r="C1553" s="39" t="s">
        <v>374</v>
      </c>
      <c r="D1553" s="40">
        <v>1</v>
      </c>
      <c r="E1553" s="40">
        <v>3</v>
      </c>
      <c r="F1553" s="40"/>
      <c r="G1553" s="40">
        <f>1.1+0.2</f>
        <v>1.3</v>
      </c>
      <c r="H1553" s="40">
        <f t="shared" ref="H1553:H1556" si="101">IF(AND(F1553=0,G1553=0),D1553*E1553,IF(AND(E1553=0,G1553=0),D1553*F1553,IF(AND(E1553=0,F1553=0),D1553*G1553,IF(AND(E1553=0),D1553*F1553*G1553,IF(AND(F1553=0),D1553*E1553*G1553,IF(AND(G1553=0),D1553*E1553*F1553,D1553*E1553*F1553*G1553))))))</f>
        <v>3.9000000000000004</v>
      </c>
      <c r="I1553" s="40"/>
      <c r="J1553" s="41"/>
    </row>
    <row r="1554" spans="2:10" s="1" customFormat="1" ht="12.75" x14ac:dyDescent="0.2">
      <c r="B1554" s="107"/>
      <c r="C1554" s="39"/>
      <c r="D1554" s="40">
        <v>1</v>
      </c>
      <c r="E1554" s="40">
        <v>0.6</v>
      </c>
      <c r="F1554" s="40"/>
      <c r="G1554" s="40">
        <v>0.9</v>
      </c>
      <c r="H1554" s="40">
        <f t="shared" si="101"/>
        <v>0.54</v>
      </c>
      <c r="I1554" s="40"/>
      <c r="J1554" s="41"/>
    </row>
    <row r="1555" spans="2:10" s="1" customFormat="1" ht="12.75" x14ac:dyDescent="0.2">
      <c r="B1555" s="107"/>
      <c r="C1555" s="39" t="s">
        <v>390</v>
      </c>
      <c r="D1555" s="40">
        <v>1</v>
      </c>
      <c r="E1555" s="40">
        <f>0.8+1.2</f>
        <v>2</v>
      </c>
      <c r="F1555" s="40"/>
      <c r="G1555" s="40">
        <f>0.4+0.15</f>
        <v>0.55000000000000004</v>
      </c>
      <c r="H1555" s="40">
        <f t="shared" si="101"/>
        <v>1.1000000000000001</v>
      </c>
      <c r="I1555" s="40"/>
      <c r="J1555" s="41"/>
    </row>
    <row r="1556" spans="2:10" s="1" customFormat="1" ht="12.75" x14ac:dyDescent="0.2">
      <c r="B1556" s="107"/>
      <c r="C1556" s="59"/>
      <c r="D1556" s="60">
        <v>1</v>
      </c>
      <c r="E1556" s="40">
        <v>0.4</v>
      </c>
      <c r="F1556" s="40"/>
      <c r="G1556" s="40">
        <v>0.6</v>
      </c>
      <c r="H1556" s="40">
        <f t="shared" si="101"/>
        <v>0.24</v>
      </c>
      <c r="I1556" s="40"/>
      <c r="J1556" s="41"/>
    </row>
    <row r="1557" spans="2:10" s="1" customFormat="1" ht="12.75" x14ac:dyDescent="0.2">
      <c r="B1557" s="107"/>
      <c r="C1557" s="39"/>
      <c r="D1557" s="40"/>
      <c r="E1557" s="40"/>
      <c r="F1557" s="40"/>
      <c r="G1557" s="40"/>
      <c r="H1557" s="40"/>
      <c r="I1557" s="40"/>
      <c r="J1557" s="41"/>
    </row>
    <row r="1558" spans="2:10" s="1" customFormat="1" ht="12.75" x14ac:dyDescent="0.2">
      <c r="B1558" s="107"/>
      <c r="C1558" s="59"/>
      <c r="D1558" s="60"/>
      <c r="E1558" s="40"/>
      <c r="F1558" s="40"/>
      <c r="G1558" s="40"/>
      <c r="H1558" s="40"/>
      <c r="I1558" s="40"/>
      <c r="J1558" s="41"/>
    </row>
    <row r="1559" spans="2:10" s="1" customFormat="1" ht="12.75" x14ac:dyDescent="0.2">
      <c r="B1559" s="107" t="s">
        <v>734</v>
      </c>
      <c r="C1559" s="343" t="s">
        <v>736</v>
      </c>
      <c r="D1559" s="60"/>
      <c r="E1559" s="40"/>
      <c r="F1559" s="40"/>
      <c r="G1559" s="40"/>
      <c r="H1559" s="40"/>
      <c r="I1559" s="40">
        <f>+SUM(H1560:H1561)</f>
        <v>8.7000000000000011</v>
      </c>
      <c r="J1559" s="41" t="s">
        <v>45</v>
      </c>
    </row>
    <row r="1560" spans="2:10" s="1" customFormat="1" ht="12.75" x14ac:dyDescent="0.2">
      <c r="B1560" s="46"/>
      <c r="C1560" s="39" t="s">
        <v>549</v>
      </c>
      <c r="D1560" s="40">
        <v>2</v>
      </c>
      <c r="E1560" s="40">
        <v>7.5</v>
      </c>
      <c r="F1560" s="40"/>
      <c r="G1560" s="40">
        <f>0.28+0.15</f>
        <v>0.43000000000000005</v>
      </c>
      <c r="H1560" s="40">
        <f t="shared" ref="H1560:H1561" si="102">IF(AND(F1560=0,G1560=0),D1560*E1560,IF(AND(E1560=0,G1560=0),D1560*F1560,IF(AND(E1560=0,F1560=0),D1560*G1560,IF(AND(E1560=0),D1560*F1560*G1560,IF(AND(F1560=0),D1560*E1560*G1560,IF(AND(G1560=0),D1560*E1560*F1560,D1560*E1560*F1560*G1560))))))</f>
        <v>6.4500000000000011</v>
      </c>
      <c r="I1560" s="40"/>
      <c r="J1560" s="41"/>
    </row>
    <row r="1561" spans="2:10" s="1" customFormat="1" ht="12.75" x14ac:dyDescent="0.2">
      <c r="B1561" s="46"/>
      <c r="D1561" s="60">
        <v>1</v>
      </c>
      <c r="E1561" s="40">
        <v>7.5</v>
      </c>
      <c r="F1561" s="40"/>
      <c r="G1561" s="40">
        <v>0.3</v>
      </c>
      <c r="H1561" s="40">
        <f t="shared" si="102"/>
        <v>2.25</v>
      </c>
      <c r="I1561" s="40"/>
      <c r="J1561" s="41"/>
    </row>
    <row r="1562" spans="2:10" s="1" customFormat="1" ht="12.75" x14ac:dyDescent="0.2">
      <c r="B1562" s="46"/>
      <c r="C1562" s="59"/>
      <c r="D1562" s="60"/>
      <c r="E1562" s="40"/>
      <c r="F1562" s="40"/>
      <c r="G1562" s="40"/>
      <c r="H1562" s="40"/>
      <c r="I1562" s="40"/>
      <c r="J1562" s="41"/>
    </row>
    <row r="1563" spans="2:10" s="1" customFormat="1" ht="12.75" x14ac:dyDescent="0.2">
      <c r="B1563" s="57" t="s">
        <v>18</v>
      </c>
      <c r="C1563" s="58" t="s">
        <v>223</v>
      </c>
      <c r="D1563" s="60"/>
      <c r="E1563" s="40"/>
      <c r="F1563" s="40"/>
      <c r="G1563" s="40"/>
      <c r="H1563" s="40"/>
      <c r="I1563" s="40"/>
      <c r="J1563" s="41"/>
    </row>
    <row r="1564" spans="2:10" s="1" customFormat="1" ht="12.75" x14ac:dyDescent="0.2">
      <c r="B1564" s="43" t="s">
        <v>19</v>
      </c>
      <c r="C1564" s="43" t="s">
        <v>265</v>
      </c>
      <c r="D1564" s="60"/>
      <c r="E1564" s="40"/>
      <c r="F1564" s="40"/>
      <c r="G1564" s="40"/>
      <c r="H1564" s="40"/>
      <c r="I1564" s="44">
        <f>SUM(H1565:H1565)</f>
        <v>5</v>
      </c>
      <c r="J1564" s="45" t="s">
        <v>13</v>
      </c>
    </row>
    <row r="1565" spans="2:10" s="1" customFormat="1" ht="12.75" x14ac:dyDescent="0.2">
      <c r="B1565" s="46"/>
      <c r="C1565" s="39" t="s">
        <v>231</v>
      </c>
      <c r="D1565" s="40">
        <v>5</v>
      </c>
      <c r="E1565" s="40"/>
      <c r="F1565" s="40"/>
      <c r="G1565" s="40"/>
      <c r="H1565" s="40">
        <f>+D1565</f>
        <v>5</v>
      </c>
      <c r="I1565" s="40"/>
      <c r="J1565" s="41" t="s">
        <v>13</v>
      </c>
    </row>
    <row r="1566" spans="2:10" s="1" customFormat="1" ht="12.75" x14ac:dyDescent="0.2">
      <c r="B1566" s="43" t="s">
        <v>20</v>
      </c>
      <c r="C1566" s="43" t="s">
        <v>272</v>
      </c>
      <c r="D1566" s="60"/>
      <c r="E1566" s="40"/>
      <c r="F1566" s="40"/>
      <c r="G1566" s="40"/>
      <c r="H1566" s="40"/>
      <c r="I1566" s="44">
        <f>SUM(H1567:H1568)</f>
        <v>24</v>
      </c>
      <c r="J1566" s="45" t="str">
        <f>+J1567</f>
        <v>und</v>
      </c>
    </row>
    <row r="1567" spans="2:10" s="1" customFormat="1" ht="12.75" x14ac:dyDescent="0.2">
      <c r="B1567" s="46"/>
      <c r="C1567" s="39" t="s">
        <v>460</v>
      </c>
      <c r="D1567" s="40">
        <f>+ROUNDUP(E1481/1,0)</f>
        <v>12</v>
      </c>
      <c r="F1567" s="40"/>
      <c r="G1567" s="40"/>
      <c r="H1567" s="40">
        <f>+D1567</f>
        <v>12</v>
      </c>
      <c r="I1567" s="40"/>
      <c r="J1567" s="41" t="s">
        <v>13</v>
      </c>
    </row>
    <row r="1568" spans="2:10" s="1" customFormat="1" ht="12.75" x14ac:dyDescent="0.2">
      <c r="B1568" s="46"/>
      <c r="C1568" s="39" t="s">
        <v>461</v>
      </c>
      <c r="D1568" s="40">
        <f>+ROUNDUP(E1482/1,0)</f>
        <v>12</v>
      </c>
      <c r="F1568" s="40"/>
      <c r="G1568" s="40"/>
      <c r="H1568" s="40">
        <f>+D1568</f>
        <v>12</v>
      </c>
      <c r="I1568" s="40"/>
      <c r="J1568" s="41" t="s">
        <v>13</v>
      </c>
    </row>
    <row r="1569" spans="2:10" s="1" customFormat="1" ht="12.75" x14ac:dyDescent="0.2">
      <c r="B1569" s="46"/>
      <c r="C1569" s="77"/>
      <c r="D1569" s="40"/>
      <c r="E1569" s="40"/>
      <c r="F1569" s="40"/>
      <c r="G1569" s="40"/>
      <c r="H1569" s="40"/>
      <c r="I1569" s="40"/>
      <c r="J1569" s="41" t="s">
        <v>13</v>
      </c>
    </row>
    <row r="1570" spans="2:10" s="1" customFormat="1" ht="12.75" x14ac:dyDescent="0.2">
      <c r="B1570" s="43" t="s">
        <v>21</v>
      </c>
      <c r="C1570" s="43" t="s">
        <v>266</v>
      </c>
      <c r="D1570" s="60"/>
      <c r="E1570" s="40"/>
      <c r="F1570" s="40"/>
      <c r="G1570" s="40"/>
      <c r="H1570" s="40"/>
      <c r="I1570" s="44">
        <f>SUM(H1571:H1573)</f>
        <v>0</v>
      </c>
      <c r="J1570" s="45" t="str">
        <f>+J1571</f>
        <v>und</v>
      </c>
    </row>
    <row r="1571" spans="2:10" s="1" customFormat="1" ht="12.75" x14ac:dyDescent="0.2">
      <c r="B1571" s="43"/>
      <c r="C1571" s="39" t="s">
        <v>71</v>
      </c>
      <c r="D1571" s="40"/>
      <c r="E1571" s="40"/>
      <c r="F1571" s="40"/>
      <c r="G1571" s="40"/>
      <c r="H1571" s="40">
        <f>+D1571</f>
        <v>0</v>
      </c>
      <c r="I1571" s="40"/>
      <c r="J1571" s="41" t="s">
        <v>13</v>
      </c>
    </row>
    <row r="1572" spans="2:10" s="1" customFormat="1" ht="12.75" x14ac:dyDescent="0.2">
      <c r="B1572" s="43"/>
      <c r="C1572" s="39" t="s">
        <v>72</v>
      </c>
      <c r="D1572" s="40"/>
      <c r="E1572" s="40"/>
      <c r="F1572" s="40"/>
      <c r="G1572" s="40"/>
      <c r="H1572" s="40">
        <f>+D1572</f>
        <v>0</v>
      </c>
      <c r="I1572" s="40"/>
      <c r="J1572" s="41" t="s">
        <v>13</v>
      </c>
    </row>
    <row r="1573" spans="2:10" s="1" customFormat="1" ht="12.75" x14ac:dyDescent="0.2">
      <c r="B1573" s="43"/>
      <c r="C1573" s="39" t="s">
        <v>73</v>
      </c>
      <c r="D1573" s="40"/>
      <c r="E1573" s="40"/>
      <c r="F1573" s="40"/>
      <c r="G1573" s="40"/>
      <c r="H1573" s="40">
        <f>+D1573</f>
        <v>0</v>
      </c>
      <c r="I1573" s="40"/>
      <c r="J1573" s="41" t="s">
        <v>13</v>
      </c>
    </row>
    <row r="1574" spans="2:10" s="1" customFormat="1" ht="12.75" x14ac:dyDescent="0.2">
      <c r="B1574" s="43" t="s">
        <v>273</v>
      </c>
      <c r="C1574" s="43" t="s">
        <v>354</v>
      </c>
      <c r="D1574" s="60"/>
      <c r="E1574" s="40"/>
      <c r="F1574" s="40"/>
      <c r="G1574" s="40"/>
      <c r="H1574" s="40"/>
      <c r="I1574" s="44">
        <f>SUM(H1575:H1576)</f>
        <v>14</v>
      </c>
      <c r="J1574" s="45" t="str">
        <f>+J1575</f>
        <v>und</v>
      </c>
    </row>
    <row r="1575" spans="2:10" s="1" customFormat="1" ht="12.75" x14ac:dyDescent="0.2">
      <c r="B1575" s="43"/>
      <c r="C1575" s="39" t="s">
        <v>460</v>
      </c>
      <c r="D1575" s="40">
        <v>1</v>
      </c>
      <c r="E1575" s="40">
        <v>10</v>
      </c>
      <c r="F1575" s="40"/>
      <c r="G1575" s="40"/>
      <c r="H1575" s="40">
        <f>IF(AND(F1575=0,G1575=0),D1575*E1575,IF(AND(E1575=0,G1575=0),D1575*F1575,IF(AND(E1575=0,F1575=0),D1575*G1575,IF(AND(E1575=0),D1575*F1575*G1575,IF(AND(F1575=0),D1575*E1575*G1575,IF(AND(G1575=0),D1575*E1575*F1575,D1575*E1575*F1575*G1575))))))</f>
        <v>10</v>
      </c>
      <c r="I1575" s="40"/>
      <c r="J1575" s="41" t="s">
        <v>13</v>
      </c>
    </row>
    <row r="1576" spans="2:10" s="1" customFormat="1" ht="12.75" x14ac:dyDescent="0.2">
      <c r="B1576" s="43"/>
      <c r="C1576" s="39" t="s">
        <v>461</v>
      </c>
      <c r="D1576" s="40">
        <v>1</v>
      </c>
      <c r="E1576" s="40">
        <v>4</v>
      </c>
      <c r="F1576" s="40"/>
      <c r="G1576" s="40"/>
      <c r="H1576" s="40">
        <f>IF(AND(F1576=0,G1576=0),D1576*E1576,IF(AND(E1576=0,G1576=0),D1576*F1576,IF(AND(E1576=0,F1576=0),D1576*G1576,IF(AND(E1576=0),D1576*F1576*G1576,IF(AND(F1576=0),D1576*E1576*G1576,IF(AND(G1576=0),D1576*E1576*F1576,D1576*E1576*F1576*G1576))))))</f>
        <v>4</v>
      </c>
      <c r="I1576" s="40"/>
      <c r="J1576" s="41"/>
    </row>
    <row r="1577" spans="2:10" s="1" customFormat="1" ht="12.75" x14ac:dyDescent="0.2">
      <c r="B1577" s="43" t="s">
        <v>274</v>
      </c>
      <c r="C1577" s="43" t="s">
        <v>357</v>
      </c>
      <c r="D1577" s="60"/>
      <c r="E1577" s="40"/>
      <c r="F1577" s="40"/>
      <c r="G1577" s="40"/>
      <c r="H1577" s="40"/>
      <c r="I1577" s="44">
        <f>SUM(H1578:H1578)</f>
        <v>1</v>
      </c>
      <c r="J1577" s="45" t="str">
        <f>+J1578</f>
        <v>und</v>
      </c>
    </row>
    <row r="1578" spans="2:10" s="1" customFormat="1" ht="12.75" x14ac:dyDescent="0.2">
      <c r="B1578" s="43"/>
      <c r="C1578" s="39" t="s">
        <v>375</v>
      </c>
      <c r="D1578" s="40">
        <v>1</v>
      </c>
      <c r="E1578" s="40">
        <v>1</v>
      </c>
      <c r="F1578" s="40"/>
      <c r="G1578" s="40"/>
      <c r="H1578" s="40">
        <f>+D1578</f>
        <v>1</v>
      </c>
      <c r="I1578" s="40"/>
      <c r="J1578" s="41" t="s">
        <v>13</v>
      </c>
    </row>
    <row r="1579" spans="2:10" s="1" customFormat="1" ht="12.75" x14ac:dyDescent="0.2">
      <c r="B1579" s="43" t="s">
        <v>355</v>
      </c>
      <c r="C1579" s="43" t="s">
        <v>263</v>
      </c>
      <c r="D1579" s="60"/>
      <c r="E1579" s="40"/>
      <c r="F1579" s="40"/>
      <c r="G1579" s="40"/>
      <c r="H1579" s="40"/>
      <c r="I1579" s="44">
        <f>SUM(H1580:H1580)</f>
        <v>0</v>
      </c>
      <c r="J1579" s="45" t="str">
        <f>+J1580</f>
        <v>und</v>
      </c>
    </row>
    <row r="1580" spans="2:10" s="1" customFormat="1" ht="14.25" customHeight="1" x14ac:dyDescent="0.2">
      <c r="B1580" s="46"/>
      <c r="C1580" s="39" t="s">
        <v>420</v>
      </c>
      <c r="D1580" s="40"/>
      <c r="E1580" s="40"/>
      <c r="F1580" s="40"/>
      <c r="G1580" s="40"/>
      <c r="H1580" s="40">
        <f>+D1580</f>
        <v>0</v>
      </c>
      <c r="I1580" s="40"/>
      <c r="J1580" s="41" t="s">
        <v>13</v>
      </c>
    </row>
    <row r="1581" spans="2:10" s="1" customFormat="1" ht="12.75" x14ac:dyDescent="0.2">
      <c r="B1581" s="43" t="s">
        <v>356</v>
      </c>
      <c r="C1581" s="43" t="s">
        <v>264</v>
      </c>
      <c r="D1581" s="60"/>
      <c r="E1581" s="40"/>
      <c r="F1581" s="40"/>
      <c r="G1581" s="40"/>
      <c r="H1581" s="40"/>
      <c r="I1581" s="44">
        <f>SUM(H1582:H1582)</f>
        <v>1</v>
      </c>
      <c r="J1581" s="45" t="str">
        <f>+J1582</f>
        <v>und</v>
      </c>
    </row>
    <row r="1582" spans="2:10" s="1" customFormat="1" ht="12.75" x14ac:dyDescent="0.2">
      <c r="B1582" s="46"/>
      <c r="C1582" s="39" t="s">
        <v>501</v>
      </c>
      <c r="D1582" s="40">
        <v>1</v>
      </c>
      <c r="E1582" s="40">
        <v>1</v>
      </c>
      <c r="F1582" s="40"/>
      <c r="G1582" s="40"/>
      <c r="H1582" s="40">
        <f>+D1582</f>
        <v>1</v>
      </c>
      <c r="I1582" s="40"/>
      <c r="J1582" s="41" t="s">
        <v>13</v>
      </c>
    </row>
    <row r="1583" spans="2:10" s="1" customFormat="1" ht="12.75" x14ac:dyDescent="0.2">
      <c r="B1583" s="46"/>
      <c r="C1583" s="59"/>
      <c r="D1583" s="60"/>
      <c r="E1583" s="40"/>
      <c r="F1583" s="40"/>
      <c r="G1583" s="40"/>
      <c r="H1583" s="40"/>
      <c r="I1583" s="40"/>
      <c r="J1583" s="41"/>
    </row>
    <row r="1584" spans="2:10" s="1" customFormat="1" ht="14.25" customHeight="1" x14ac:dyDescent="0.2">
      <c r="B1584" s="43" t="s">
        <v>659</v>
      </c>
      <c r="C1584" s="43" t="s">
        <v>657</v>
      </c>
      <c r="D1584" s="60"/>
      <c r="E1584" s="40"/>
      <c r="F1584" s="40"/>
      <c r="G1584" s="40"/>
      <c r="H1584" s="40"/>
      <c r="I1584" s="44">
        <f>+SUM(H1585:H1586)</f>
        <v>8</v>
      </c>
      <c r="J1584" s="45" t="s">
        <v>13</v>
      </c>
    </row>
    <row r="1585" spans="2:10" s="1" customFormat="1" ht="14.25" customHeight="1" x14ac:dyDescent="0.2">
      <c r="B1585" s="46"/>
      <c r="C1585" s="59" t="s">
        <v>661</v>
      </c>
      <c r="D1585" s="60">
        <v>4</v>
      </c>
      <c r="E1585" s="40">
        <v>1</v>
      </c>
      <c r="F1585" s="40"/>
      <c r="G1585" s="40"/>
      <c r="H1585" s="40">
        <f t="shared" ref="H1585:H1586" si="103">+D1585</f>
        <v>4</v>
      </c>
      <c r="I1585" s="40"/>
      <c r="J1585" s="41"/>
    </row>
    <row r="1586" spans="2:10" s="1" customFormat="1" ht="14.25" customHeight="1" x14ac:dyDescent="0.2">
      <c r="B1586" s="46"/>
      <c r="C1586" s="59"/>
      <c r="D1586" s="60">
        <v>4</v>
      </c>
      <c r="E1586" s="40">
        <v>1</v>
      </c>
      <c r="F1586" s="40"/>
      <c r="G1586" s="40"/>
      <c r="H1586" s="40">
        <f t="shared" si="103"/>
        <v>4</v>
      </c>
      <c r="I1586" s="40"/>
      <c r="J1586" s="41"/>
    </row>
    <row r="1587" spans="2:10" s="1" customFormat="1" ht="14.25" customHeight="1" x14ac:dyDescent="0.2">
      <c r="B1587" s="43" t="s">
        <v>659</v>
      </c>
      <c r="C1587" s="372" t="s">
        <v>657</v>
      </c>
      <c r="D1587" s="60"/>
      <c r="E1587" s="40"/>
      <c r="F1587" s="40"/>
      <c r="G1587" s="40"/>
      <c r="H1587" s="40"/>
      <c r="I1587" s="44">
        <f>+SUM(H1588:H1588)</f>
        <v>10</v>
      </c>
      <c r="J1587" s="45" t="s">
        <v>13</v>
      </c>
    </row>
    <row r="1588" spans="2:10" s="1" customFormat="1" ht="12.75" x14ac:dyDescent="0.2">
      <c r="B1588" s="46"/>
      <c r="C1588" s="39" t="s">
        <v>456</v>
      </c>
      <c r="D1588" s="60">
        <f>5*2</f>
        <v>10</v>
      </c>
      <c r="E1588" s="40"/>
      <c r="F1588" s="40"/>
      <c r="G1588" s="40"/>
      <c r="H1588" s="40">
        <f>+D1588</f>
        <v>10</v>
      </c>
      <c r="I1588" s="40"/>
      <c r="J1588" s="41"/>
    </row>
    <row r="1589" spans="2:10" s="1" customFormat="1" ht="12.75" x14ac:dyDescent="0.2">
      <c r="B1589" s="46"/>
      <c r="C1589" s="39"/>
      <c r="D1589" s="60"/>
      <c r="E1589" s="40"/>
      <c r="F1589" s="40"/>
      <c r="G1589" s="40"/>
      <c r="H1589" s="40"/>
      <c r="I1589" s="40"/>
      <c r="J1589" s="41"/>
    </row>
    <row r="1590" spans="2:10" s="1" customFormat="1" ht="12.75" x14ac:dyDescent="0.2">
      <c r="B1590" s="43" t="s">
        <v>600</v>
      </c>
      <c r="C1590" s="43" t="s">
        <v>497</v>
      </c>
      <c r="D1590" s="60"/>
      <c r="E1590" s="40"/>
      <c r="F1590" s="40"/>
      <c r="G1590" s="40"/>
      <c r="H1590" s="40"/>
      <c r="I1590" s="44">
        <f>+SUM(H1591:H1592)</f>
        <v>2</v>
      </c>
      <c r="J1590" s="45" t="s">
        <v>13</v>
      </c>
    </row>
    <row r="1591" spans="2:10" s="1" customFormat="1" ht="12.75" x14ac:dyDescent="0.2">
      <c r="B1591" s="46"/>
      <c r="C1591" s="39" t="s">
        <v>664</v>
      </c>
      <c r="D1591" s="60">
        <v>1</v>
      </c>
      <c r="E1591" s="40"/>
      <c r="F1591" s="40"/>
      <c r="G1591" s="40"/>
      <c r="H1591" s="40">
        <f>+D1591</f>
        <v>1</v>
      </c>
      <c r="I1591" s="40"/>
      <c r="J1591" s="41"/>
    </row>
    <row r="1592" spans="2:10" s="1" customFormat="1" ht="12.75" x14ac:dyDescent="0.2">
      <c r="B1592" s="46"/>
      <c r="C1592" s="59"/>
      <c r="D1592" s="60">
        <v>1</v>
      </c>
      <c r="E1592" s="40"/>
      <c r="F1592" s="40"/>
      <c r="G1592" s="40"/>
      <c r="H1592" s="40">
        <f>+D1592</f>
        <v>1</v>
      </c>
      <c r="I1592" s="40"/>
      <c r="J1592" s="41"/>
    </row>
    <row r="1593" spans="2:10" s="1" customFormat="1" ht="12.75" x14ac:dyDescent="0.2">
      <c r="B1593" s="46"/>
      <c r="C1593" s="59"/>
      <c r="D1593" s="60"/>
      <c r="E1593" s="40"/>
      <c r="F1593" s="40"/>
      <c r="G1593" s="40"/>
      <c r="H1593" s="40"/>
      <c r="I1593" s="40"/>
      <c r="J1593" s="41"/>
    </row>
    <row r="1594" spans="2:10" s="1" customFormat="1" ht="14.25" customHeight="1" x14ac:dyDescent="0.2">
      <c r="B1594" s="43" t="s">
        <v>603</v>
      </c>
      <c r="C1594" s="43" t="s">
        <v>500</v>
      </c>
      <c r="D1594" s="60"/>
      <c r="E1594" s="40"/>
      <c r="F1594" s="40"/>
      <c r="G1594" s="40"/>
      <c r="H1594" s="40"/>
      <c r="I1594" s="44">
        <f>+SUM(H1595:H1595)</f>
        <v>1</v>
      </c>
      <c r="J1594" s="45" t="s">
        <v>13</v>
      </c>
    </row>
    <row r="1595" spans="2:10" s="1" customFormat="1" ht="12.75" x14ac:dyDescent="0.2">
      <c r="B1595" s="46"/>
      <c r="C1595" s="39" t="s">
        <v>498</v>
      </c>
      <c r="D1595" s="60">
        <v>1</v>
      </c>
      <c r="E1595" s="40"/>
      <c r="F1595" s="40"/>
      <c r="G1595" s="40"/>
      <c r="H1595" s="40">
        <f>+D1595</f>
        <v>1</v>
      </c>
      <c r="I1595" s="40"/>
      <c r="J1595" s="41"/>
    </row>
    <row r="1596" spans="2:10" s="1" customFormat="1" ht="12.75" x14ac:dyDescent="0.2">
      <c r="B1596" s="46"/>
      <c r="C1596" s="59"/>
      <c r="D1596" s="60"/>
      <c r="E1596" s="40"/>
      <c r="F1596" s="40"/>
      <c r="G1596" s="40"/>
      <c r="H1596" s="40"/>
      <c r="I1596" s="40"/>
      <c r="J1596" s="41"/>
    </row>
    <row r="1597" spans="2:10" s="1" customFormat="1" ht="12.75" x14ac:dyDescent="0.2">
      <c r="B1597" s="46"/>
      <c r="C1597" s="39"/>
      <c r="D1597" s="60"/>
      <c r="E1597" s="40"/>
      <c r="F1597" s="40"/>
      <c r="G1597" s="40"/>
      <c r="H1597" s="40"/>
      <c r="I1597" s="40"/>
      <c r="J1597" s="41"/>
    </row>
    <row r="1598" spans="2:10" s="1" customFormat="1" ht="12.75" x14ac:dyDescent="0.2">
      <c r="B1598" s="43" t="s">
        <v>605</v>
      </c>
      <c r="C1598" s="43" t="s">
        <v>560</v>
      </c>
      <c r="D1598" s="60"/>
      <c r="E1598" s="40"/>
      <c r="F1598" s="40"/>
      <c r="G1598" s="40"/>
      <c r="H1598" s="40"/>
      <c r="I1598" s="44">
        <f>+SUM(H1599:H1599)</f>
        <v>1</v>
      </c>
      <c r="J1598" s="45" t="s">
        <v>13</v>
      </c>
    </row>
    <row r="1599" spans="2:10" s="1" customFormat="1" ht="12.75" x14ac:dyDescent="0.2">
      <c r="B1599" s="46"/>
      <c r="C1599" s="39" t="s">
        <v>466</v>
      </c>
      <c r="D1599" s="60">
        <v>1</v>
      </c>
      <c r="E1599" s="40"/>
      <c r="F1599" s="40"/>
      <c r="G1599" s="40"/>
      <c r="H1599" s="40">
        <f>+D1599</f>
        <v>1</v>
      </c>
      <c r="I1599" s="40"/>
      <c r="J1599" s="41"/>
    </row>
    <row r="1600" spans="2:10" s="1" customFormat="1" ht="12.75" x14ac:dyDescent="0.2">
      <c r="B1600" s="46"/>
      <c r="C1600" s="39"/>
      <c r="D1600" s="60"/>
      <c r="E1600" s="40"/>
      <c r="F1600" s="40"/>
      <c r="G1600" s="40"/>
      <c r="H1600" s="40"/>
      <c r="I1600" s="40"/>
      <c r="J1600" s="41"/>
    </row>
    <row r="1601" spans="2:10" s="1" customFormat="1" ht="12.75" x14ac:dyDescent="0.2">
      <c r="B1601" s="93" t="s">
        <v>607</v>
      </c>
      <c r="C1601" s="93" t="s">
        <v>517</v>
      </c>
      <c r="D1601" s="60"/>
      <c r="E1601" s="40"/>
      <c r="F1601" s="40"/>
      <c r="G1601" s="40"/>
      <c r="H1601" s="40"/>
      <c r="I1601" s="44">
        <f>+SUM(H1602:H1603)</f>
        <v>4</v>
      </c>
      <c r="J1601" s="45" t="s">
        <v>13</v>
      </c>
    </row>
    <row r="1602" spans="2:10" s="1" customFormat="1" ht="12.75" x14ac:dyDescent="0.2">
      <c r="B1602" s="46"/>
      <c r="C1602" s="59" t="s">
        <v>503</v>
      </c>
      <c r="D1602" s="60">
        <v>4</v>
      </c>
      <c r="E1602" s="40"/>
      <c r="F1602" s="40"/>
      <c r="G1602" s="40"/>
      <c r="H1602" s="40">
        <f>+D1602</f>
        <v>4</v>
      </c>
      <c r="I1602" s="40"/>
      <c r="J1602" s="41"/>
    </row>
    <row r="1603" spans="2:10" s="1" customFormat="1" ht="12.75" x14ac:dyDescent="0.2">
      <c r="B1603" s="46"/>
      <c r="C1603" s="59"/>
      <c r="D1603" s="60"/>
      <c r="E1603" s="40"/>
      <c r="F1603" s="40"/>
      <c r="G1603" s="40"/>
      <c r="H1603" s="40"/>
      <c r="I1603" s="40"/>
      <c r="J1603" s="41"/>
    </row>
    <row r="1604" spans="2:10" s="1" customFormat="1" ht="12.75" x14ac:dyDescent="0.2">
      <c r="B1604" s="43" t="s">
        <v>609</v>
      </c>
      <c r="C1604" s="43" t="s">
        <v>537</v>
      </c>
      <c r="D1604" s="60"/>
      <c r="E1604" s="40"/>
      <c r="F1604" s="40"/>
      <c r="G1604" s="40"/>
      <c r="H1604" s="40"/>
      <c r="I1604" s="44">
        <f>+SUM(H1605:H1605)</f>
        <v>4</v>
      </c>
      <c r="J1604" s="45" t="s">
        <v>13</v>
      </c>
    </row>
    <row r="1605" spans="2:10" s="1" customFormat="1" ht="12.75" x14ac:dyDescent="0.2">
      <c r="B1605" s="46"/>
      <c r="C1605" s="59" t="s">
        <v>503</v>
      </c>
      <c r="D1605" s="60">
        <v>4</v>
      </c>
      <c r="E1605" s="40"/>
      <c r="F1605" s="40"/>
      <c r="G1605" s="40"/>
      <c r="H1605" s="40">
        <f>+D1605</f>
        <v>4</v>
      </c>
      <c r="I1605" s="40"/>
      <c r="J1605" s="41"/>
    </row>
    <row r="1606" spans="2:10" s="1" customFormat="1" ht="12.75" x14ac:dyDescent="0.2">
      <c r="B1606" s="46"/>
      <c r="C1606" s="59"/>
      <c r="D1606" s="60"/>
      <c r="E1606" s="40"/>
      <c r="F1606" s="40"/>
      <c r="G1606" s="40"/>
      <c r="H1606" s="40"/>
      <c r="I1606" s="40"/>
      <c r="J1606" s="41"/>
    </row>
    <row r="1607" spans="2:10" s="1" customFormat="1" ht="12.75" x14ac:dyDescent="0.2">
      <c r="B1607" s="73" t="s">
        <v>14</v>
      </c>
      <c r="C1607" s="73" t="s">
        <v>615</v>
      </c>
      <c r="D1607" s="60"/>
      <c r="E1607" s="40"/>
      <c r="F1607" s="40"/>
      <c r="G1607" s="40"/>
      <c r="H1607" s="40"/>
      <c r="I1607" s="40"/>
      <c r="J1607" s="41"/>
    </row>
    <row r="1608" spans="2:10" s="1" customFormat="1" ht="12.75" x14ac:dyDescent="0.2">
      <c r="B1608" s="25" t="s">
        <v>766</v>
      </c>
      <c r="C1608" s="28" t="s">
        <v>616</v>
      </c>
      <c r="D1608" s="60"/>
      <c r="E1608" s="40"/>
      <c r="F1608" s="40"/>
      <c r="G1608" s="40"/>
      <c r="H1608" s="40"/>
      <c r="I1608" s="40">
        <f>+SUM(H1609:H1620)</f>
        <v>94.680420000000012</v>
      </c>
      <c r="J1608" s="41" t="s">
        <v>45</v>
      </c>
    </row>
    <row r="1609" spans="2:10" s="1" customFormat="1" ht="12.75" x14ac:dyDescent="0.2">
      <c r="B1609" s="46"/>
      <c r="C1609" s="39" t="s">
        <v>549</v>
      </c>
      <c r="D1609" s="40">
        <v>1</v>
      </c>
      <c r="E1609" s="40">
        <v>7.5</v>
      </c>
      <c r="F1609" s="40">
        <v>0.5</v>
      </c>
      <c r="G1609" s="40"/>
      <c r="H1609" s="40">
        <f t="shared" ref="H1609:H1620" si="104">IF(AND(F1609=0,G1609=0),D1609*E1609,IF(AND(E1609=0,G1609=0),D1609*F1609,IF(AND(E1609=0,F1609=0),D1609*G1609,IF(AND(E1609=0),D1609*F1609*G1609,IF(AND(F1609=0),D1609*E1609*G1609,IF(AND(G1609=0),D1609*E1609*F1609,D1609*E1609*F1609*G1609))))))</f>
        <v>3.75</v>
      </c>
      <c r="I1609" s="40"/>
      <c r="J1609" s="41"/>
    </row>
    <row r="1610" spans="2:10" s="1" customFormat="1" ht="12.75" x14ac:dyDescent="0.2">
      <c r="B1610" s="46"/>
      <c r="C1610" s="39" t="s">
        <v>374</v>
      </c>
      <c r="D1610" s="40">
        <v>1</v>
      </c>
      <c r="E1610" s="40">
        <v>0.9</v>
      </c>
      <c r="F1610" s="40">
        <v>1.2</v>
      </c>
      <c r="G1610" s="40"/>
      <c r="H1610" s="40">
        <f t="shared" si="104"/>
        <v>1.08</v>
      </c>
      <c r="I1610" s="40"/>
      <c r="J1610" s="41"/>
    </row>
    <row r="1611" spans="2:10" s="1" customFormat="1" ht="12.75" x14ac:dyDescent="0.2">
      <c r="B1611" s="46"/>
      <c r="C1611" s="39" t="s">
        <v>390</v>
      </c>
      <c r="D1611" s="40">
        <v>1</v>
      </c>
      <c r="E1611" s="40">
        <v>0.6</v>
      </c>
      <c r="F1611" s="40">
        <v>0.8</v>
      </c>
      <c r="G1611" s="40"/>
      <c r="H1611" s="40">
        <f t="shared" si="104"/>
        <v>0.48</v>
      </c>
      <c r="I1611" s="40"/>
      <c r="J1611" s="41"/>
    </row>
    <row r="1612" spans="2:10" s="1" customFormat="1" ht="12.75" x14ac:dyDescent="0.2">
      <c r="B1612" s="46"/>
      <c r="C1612" s="43" t="s">
        <v>490</v>
      </c>
      <c r="D1612" s="60"/>
      <c r="E1612" s="40"/>
      <c r="F1612" s="40"/>
      <c r="G1612" s="40"/>
      <c r="H1612" s="40">
        <f t="shared" si="104"/>
        <v>0</v>
      </c>
      <c r="I1612" s="40"/>
      <c r="J1612" s="41"/>
    </row>
    <row r="1613" spans="2:10" s="1" customFormat="1" ht="12.75" x14ac:dyDescent="0.2">
      <c r="B1613" s="46"/>
      <c r="C1613" s="39" t="s">
        <v>499</v>
      </c>
      <c r="D1613" s="40">
        <v>1</v>
      </c>
      <c r="E1613" s="40">
        <v>17.45</v>
      </c>
      <c r="F1613" s="40">
        <f>4*0.0254+0.4</f>
        <v>0.50160000000000005</v>
      </c>
      <c r="G1613" s="40"/>
      <c r="H1613" s="40">
        <f t="shared" si="104"/>
        <v>8.7529199999999996</v>
      </c>
      <c r="I1613" s="40"/>
      <c r="J1613" s="41"/>
    </row>
    <row r="1614" spans="2:10" s="1" customFormat="1" ht="12.75" x14ac:dyDescent="0.2">
      <c r="B1614" s="46"/>
      <c r="C1614" s="39"/>
      <c r="D1614" s="60"/>
      <c r="E1614" s="40"/>
      <c r="F1614" s="40"/>
      <c r="G1614" s="40"/>
      <c r="H1614" s="40"/>
      <c r="I1614" s="40"/>
      <c r="J1614" s="41"/>
    </row>
    <row r="1615" spans="2:10" s="1" customFormat="1" ht="12.75" x14ac:dyDescent="0.2">
      <c r="B1615" s="46"/>
      <c r="C1615" s="43" t="s">
        <v>250</v>
      </c>
      <c r="D1615" s="60"/>
      <c r="E1615" s="40"/>
      <c r="F1615" s="40"/>
      <c r="G1615" s="40"/>
      <c r="H1615" s="40"/>
      <c r="I1615" s="40"/>
      <c r="J1615" s="41"/>
    </row>
    <row r="1616" spans="2:10" s="1" customFormat="1" ht="12.75" x14ac:dyDescent="0.2">
      <c r="B1616" s="46"/>
      <c r="C1616" s="39" t="s">
        <v>498</v>
      </c>
      <c r="D1616" s="1">
        <v>1</v>
      </c>
      <c r="E1616" s="40">
        <f>1.1+22.93</f>
        <v>24.03</v>
      </c>
      <c r="F1616" s="40">
        <v>0.65</v>
      </c>
      <c r="G1616" s="40"/>
      <c r="H1616" s="40">
        <f t="shared" si="104"/>
        <v>15.619500000000002</v>
      </c>
      <c r="I1616" s="40"/>
      <c r="J1616" s="41"/>
    </row>
    <row r="1617" spans="2:10" s="1" customFormat="1" ht="12.75" x14ac:dyDescent="0.2">
      <c r="B1617" s="46"/>
      <c r="C1617" s="39" t="s">
        <v>676</v>
      </c>
      <c r="D1617" s="60">
        <v>1</v>
      </c>
      <c r="E1617" s="40">
        <v>3.7</v>
      </c>
      <c r="F1617" s="40">
        <v>0.65</v>
      </c>
      <c r="G1617" s="40"/>
      <c r="H1617" s="40">
        <f t="shared" si="104"/>
        <v>2.4050000000000002</v>
      </c>
      <c r="I1617" s="40"/>
      <c r="J1617" s="41"/>
    </row>
    <row r="1618" spans="2:10" s="1" customFormat="1" ht="12.75" x14ac:dyDescent="0.2">
      <c r="B1618" s="46"/>
      <c r="C1618" s="39" t="s">
        <v>677</v>
      </c>
      <c r="D1618" s="60">
        <v>1</v>
      </c>
      <c r="E1618" s="40">
        <v>3.3</v>
      </c>
      <c r="F1618" s="40">
        <v>0.65</v>
      </c>
      <c r="G1618" s="40"/>
      <c r="H1618" s="40">
        <f t="shared" si="104"/>
        <v>2.145</v>
      </c>
      <c r="I1618" s="40"/>
      <c r="J1618" s="41"/>
    </row>
    <row r="1619" spans="2:10" s="1" customFormat="1" ht="12.75" x14ac:dyDescent="0.2">
      <c r="B1619" s="46"/>
      <c r="C1619" s="43" t="s">
        <v>252</v>
      </c>
      <c r="D1619" s="60"/>
      <c r="E1619" s="40"/>
      <c r="F1619" s="40"/>
      <c r="G1619" s="40"/>
      <c r="H1619" s="40"/>
      <c r="I1619" s="40"/>
      <c r="J1619" s="41"/>
    </row>
    <row r="1620" spans="2:10" s="1" customFormat="1" ht="12.75" x14ac:dyDescent="0.2">
      <c r="B1620" s="46"/>
      <c r="C1620" s="39" t="s">
        <v>678</v>
      </c>
      <c r="D1620" s="40">
        <v>1</v>
      </c>
      <c r="E1620" s="40">
        <v>80</v>
      </c>
      <c r="F1620" s="40">
        <f>14*0.0254+0.4</f>
        <v>0.75560000000000005</v>
      </c>
      <c r="G1620" s="40"/>
      <c r="H1620" s="40">
        <f t="shared" si="104"/>
        <v>60.448000000000008</v>
      </c>
      <c r="I1620" s="40"/>
      <c r="J1620" s="41"/>
    </row>
    <row r="1621" spans="2:10" s="1" customFormat="1" ht="12.75" x14ac:dyDescent="0.2">
      <c r="B1621" s="46"/>
      <c r="C1621" s="59"/>
      <c r="D1621" s="60"/>
      <c r="E1621" s="40"/>
      <c r="F1621" s="40"/>
      <c r="G1621" s="40"/>
      <c r="H1621" s="40"/>
      <c r="I1621" s="40"/>
      <c r="J1621" s="41"/>
    </row>
    <row r="1622" spans="2:10" s="1" customFormat="1" ht="12.75" x14ac:dyDescent="0.2">
      <c r="B1622" s="46"/>
      <c r="C1622" s="59"/>
      <c r="D1622" s="60"/>
      <c r="E1622" s="40"/>
      <c r="F1622" s="40"/>
      <c r="G1622" s="40"/>
      <c r="H1622" s="40"/>
      <c r="I1622" s="40"/>
      <c r="J1622" s="41"/>
    </row>
    <row r="1623" spans="2:10" x14ac:dyDescent="0.25">
      <c r="B1623" s="73" t="s">
        <v>22</v>
      </c>
      <c r="C1623" s="73" t="s">
        <v>614</v>
      </c>
      <c r="D1623" s="23"/>
      <c r="E1623" s="23"/>
      <c r="F1623" s="23"/>
      <c r="G1623" s="23"/>
      <c r="H1623" s="24"/>
      <c r="I1623" s="25"/>
      <c r="J1623" s="26"/>
    </row>
    <row r="1624" spans="2:10" s="1" customFormat="1" ht="12.75" x14ac:dyDescent="0.2">
      <c r="B1624" s="25" t="s">
        <v>23</v>
      </c>
      <c r="C1624" s="1" t="s">
        <v>622</v>
      </c>
      <c r="D1624" s="60"/>
      <c r="E1624" s="40"/>
      <c r="F1624" s="40"/>
      <c r="G1624" s="40"/>
      <c r="H1624" s="24"/>
      <c r="I1624" s="25">
        <f>+SUM(H1625)</f>
        <v>1.8</v>
      </c>
      <c r="J1624" s="26" t="s">
        <v>4</v>
      </c>
    </row>
    <row r="1625" spans="2:10" s="1" customFormat="1" ht="12.75" x14ac:dyDescent="0.2">
      <c r="B1625" s="25"/>
      <c r="C1625" s="39" t="s">
        <v>549</v>
      </c>
      <c r="D1625" s="40">
        <v>1</v>
      </c>
      <c r="E1625" s="40">
        <v>7.5</v>
      </c>
      <c r="F1625" s="40">
        <v>0.5</v>
      </c>
      <c r="G1625" s="40">
        <f>0.28+0.2</f>
        <v>0.48000000000000004</v>
      </c>
      <c r="H1625" s="40">
        <f>IF(AND(F1625=0,G1625=0),D1625*E1625,IF(AND(E1625=0,G1625=0),D1625*F1625,IF(AND(E1625=0,F1625=0),D1625*G1625,IF(AND(E1625=0),D1625*F1625*G1625,IF(AND(F1625=0),D1625*E1625*G1625,IF(AND(G1625=0),D1625*E1625*F1625,D1625*E1625*F1625*G1625))))))</f>
        <v>1.8</v>
      </c>
      <c r="I1625" s="40"/>
      <c r="J1625" s="41"/>
    </row>
    <row r="1626" spans="2:10" s="1" customFormat="1" ht="12.75" x14ac:dyDescent="0.2">
      <c r="B1626" s="25"/>
      <c r="D1626" s="60"/>
      <c r="E1626" s="40"/>
      <c r="F1626" s="40"/>
      <c r="G1626" s="40"/>
      <c r="H1626" s="40"/>
      <c r="I1626" s="40"/>
      <c r="J1626" s="41"/>
    </row>
    <row r="1627" spans="2:10" s="1" customFormat="1" ht="12.75" x14ac:dyDescent="0.2">
      <c r="B1627" s="25" t="s">
        <v>24</v>
      </c>
      <c r="C1627" s="1" t="s">
        <v>623</v>
      </c>
      <c r="D1627" s="60"/>
      <c r="E1627" s="40"/>
      <c r="F1627" s="40"/>
      <c r="G1627" s="40"/>
      <c r="H1627" s="24"/>
      <c r="I1627" s="25">
        <f>+SUM(H1628:H1630)</f>
        <v>1.7460000000000002</v>
      </c>
      <c r="J1627" s="26" t="s">
        <v>4</v>
      </c>
    </row>
    <row r="1628" spans="2:10" s="1" customFormat="1" ht="12.75" x14ac:dyDescent="0.2">
      <c r="B1628" s="57"/>
      <c r="C1628" s="39" t="s">
        <v>374</v>
      </c>
      <c r="D1628" s="40">
        <v>1</v>
      </c>
      <c r="E1628" s="40">
        <v>0.9</v>
      </c>
      <c r="F1628" s="40">
        <v>1.2</v>
      </c>
      <c r="G1628" s="40">
        <f>1.1+0.25</f>
        <v>1.35</v>
      </c>
      <c r="H1628" s="40">
        <f>IF(AND(F1628=0,G1628=0),D1628*E1628,IF(AND(E1628=0,G1628=0),D1628*F1628,IF(AND(E1628=0,F1628=0),D1628*G1628,IF(AND(E1628=0),D1628*F1628*G1628,IF(AND(F1628=0),D1628*E1628*G1628,IF(AND(G1628=0),D1628*E1628*F1628,D1628*E1628*F1628*G1628))))))</f>
        <v>1.4580000000000002</v>
      </c>
      <c r="I1628" s="40"/>
      <c r="J1628" s="41"/>
    </row>
    <row r="1629" spans="2:10" s="1" customFormat="1" ht="12.75" x14ac:dyDescent="0.2">
      <c r="B1629" s="57"/>
      <c r="C1629" s="39" t="s">
        <v>390</v>
      </c>
      <c r="D1629" s="40">
        <v>1</v>
      </c>
      <c r="E1629" s="40">
        <v>0.6</v>
      </c>
      <c r="F1629" s="40">
        <v>0.8</v>
      </c>
      <c r="G1629" s="40">
        <f>0.4+0.2</f>
        <v>0.60000000000000009</v>
      </c>
      <c r="H1629" s="40">
        <f>IF(AND(F1629=0,G1629=0),D1629*E1629,IF(AND(E1629=0,G1629=0),D1629*F1629,IF(AND(E1629=0,F1629=0),D1629*G1629,IF(AND(E1629=0),D1629*F1629*G1629,IF(AND(F1629=0),D1629*E1629*G1629,IF(AND(G1629=0),D1629*E1629*F1629,D1629*E1629*F1629*G1629))))))</f>
        <v>0.28800000000000003</v>
      </c>
      <c r="I1629" s="40"/>
      <c r="J1629" s="41"/>
    </row>
    <row r="1630" spans="2:10" s="1" customFormat="1" ht="12.75" x14ac:dyDescent="0.2">
      <c r="B1630" s="57"/>
      <c r="C1630" s="39"/>
      <c r="D1630" s="60"/>
      <c r="E1630" s="40"/>
      <c r="F1630" s="40"/>
      <c r="G1630" s="40"/>
      <c r="H1630" s="40"/>
      <c r="I1630" s="40"/>
      <c r="J1630" s="41"/>
    </row>
    <row r="1631" spans="2:10" s="1" customFormat="1" ht="12.75" x14ac:dyDescent="0.2">
      <c r="B1631" s="46"/>
      <c r="C1631" s="59"/>
      <c r="D1631" s="60"/>
      <c r="E1631" s="40"/>
      <c r="F1631" s="40"/>
      <c r="G1631" s="40"/>
      <c r="H1631" s="40"/>
      <c r="I1631" s="40"/>
      <c r="J1631" s="41"/>
    </row>
    <row r="1632" spans="2:10" x14ac:dyDescent="0.25">
      <c r="B1632" s="107" t="s">
        <v>777</v>
      </c>
      <c r="C1632" s="370" t="s">
        <v>779</v>
      </c>
      <c r="D1632" s="23"/>
      <c r="E1632" s="23"/>
      <c r="F1632" s="23"/>
      <c r="G1632" s="23"/>
      <c r="I1632" s="24">
        <f>+SUM(H1633:H1635)</f>
        <v>5.3100000000000005</v>
      </c>
      <c r="J1632" s="26" t="s">
        <v>45</v>
      </c>
    </row>
    <row r="1633" spans="2:10" x14ac:dyDescent="0.25">
      <c r="B1633" s="107"/>
      <c r="C1633" s="39" t="s">
        <v>374</v>
      </c>
      <c r="D1633" s="40">
        <v>1</v>
      </c>
      <c r="E1633" s="40">
        <v>0.9</v>
      </c>
      <c r="F1633" s="40">
        <v>1.2</v>
      </c>
      <c r="G1633" s="40"/>
      <c r="H1633" s="40">
        <f>IF(AND(F1633=0,G1633=0),D1633*E1633,IF(AND(E1633=0,G1633=0),D1633*F1633,IF(AND(E1633=0,F1633=0),D1633*G1633,IF(AND(E1633=0),D1633*F1633*G1633,IF(AND(F1633=0),D1633*E1633*G1633,IF(AND(G1633=0),D1633*E1633*F1633,D1633*E1633*F1633*G1633))))))</f>
        <v>1.08</v>
      </c>
      <c r="I1633" s="25"/>
      <c r="J1633" s="26"/>
    </row>
    <row r="1634" spans="2:10" x14ac:dyDescent="0.25">
      <c r="B1634" s="107"/>
      <c r="C1634" s="39" t="s">
        <v>390</v>
      </c>
      <c r="D1634" s="40">
        <v>1</v>
      </c>
      <c r="E1634" s="40">
        <v>0.6</v>
      </c>
      <c r="F1634" s="40">
        <v>0.8</v>
      </c>
      <c r="G1634" s="40"/>
      <c r="H1634" s="40">
        <f>IF(AND(F1634=0,G1634=0),D1634*E1634,IF(AND(E1634=0,G1634=0),D1634*F1634,IF(AND(E1634=0,F1634=0),D1634*G1634,IF(AND(E1634=0),D1634*F1634*G1634,IF(AND(F1634=0),D1634*E1634*G1634,IF(AND(G1634=0),D1634*E1634*F1634,D1634*E1634*F1634*G1634))))))</f>
        <v>0.48</v>
      </c>
      <c r="I1634" s="25"/>
      <c r="J1634" s="26"/>
    </row>
    <row r="1635" spans="2:10" x14ac:dyDescent="0.25">
      <c r="B1635" s="107"/>
      <c r="C1635" s="39" t="s">
        <v>549</v>
      </c>
      <c r="D1635" s="40">
        <v>1</v>
      </c>
      <c r="E1635" s="40">
        <v>7.5</v>
      </c>
      <c r="F1635" s="40">
        <v>0.5</v>
      </c>
      <c r="G1635" s="40"/>
      <c r="H1635" s="40">
        <f>IF(AND(F1635=0,G1635=0),D1635*E1635,IF(AND(E1635=0,G1635=0),D1635*F1635,IF(AND(E1635=0,F1635=0),D1635*G1635,IF(AND(E1635=0),D1635*F1635*G1635,IF(AND(F1635=0),D1635*E1635*G1635,IF(AND(G1635=0),D1635*E1635*F1635,D1635*E1635*F1635*G1635))))))</f>
        <v>3.75</v>
      </c>
      <c r="I1635" s="25"/>
      <c r="J1635" s="26"/>
    </row>
    <row r="1636" spans="2:10" x14ac:dyDescent="0.25">
      <c r="B1636" s="107"/>
      <c r="C1636" s="370"/>
      <c r="D1636" s="23"/>
      <c r="E1636" s="23"/>
      <c r="F1636" s="23"/>
      <c r="G1636" s="23"/>
      <c r="H1636" s="24"/>
      <c r="I1636" s="25"/>
      <c r="J1636" s="26"/>
    </row>
    <row r="1637" spans="2:10" s="1" customFormat="1" ht="12.75" x14ac:dyDescent="0.2">
      <c r="B1637" s="107" t="s">
        <v>778</v>
      </c>
      <c r="C1637" s="370" t="s">
        <v>776</v>
      </c>
      <c r="D1637" s="60"/>
      <c r="E1637" s="40"/>
      <c r="F1637" s="40"/>
      <c r="G1637" s="40"/>
      <c r="H1637" s="40"/>
      <c r="I1637" s="40">
        <f>+H1639+H1643+H1647-H1641-H1645-H1649</f>
        <v>54.102657927315931</v>
      </c>
      <c r="J1637" s="41" t="s">
        <v>4</v>
      </c>
    </row>
    <row r="1638" spans="2:10" s="1" customFormat="1" ht="12.75" x14ac:dyDescent="0.2">
      <c r="B1638" s="46"/>
      <c r="C1638" s="43" t="s">
        <v>490</v>
      </c>
      <c r="D1638" s="60"/>
      <c r="E1638" s="40"/>
      <c r="F1638" s="40"/>
      <c r="G1638" s="40"/>
      <c r="H1638" s="40"/>
      <c r="I1638" s="40"/>
      <c r="J1638" s="41"/>
    </row>
    <row r="1639" spans="2:10" s="1" customFormat="1" ht="12.75" x14ac:dyDescent="0.2">
      <c r="B1639" s="46"/>
      <c r="C1639" s="39" t="s">
        <v>499</v>
      </c>
      <c r="D1639" s="40">
        <v>1</v>
      </c>
      <c r="E1639" s="40">
        <v>17.45</v>
      </c>
      <c r="F1639" s="40">
        <f>4*0.0254+0.4</f>
        <v>0.50160000000000005</v>
      </c>
      <c r="G1639" s="40">
        <v>0.35</v>
      </c>
      <c r="H1639" s="40">
        <f t="shared" ref="H1639" si="105">IF(AND(F1639=0,G1639=0),D1639*E1639,IF(AND(E1639=0,G1639=0),D1639*F1639,IF(AND(E1639=0,F1639=0),D1639*G1639,IF(AND(E1639=0),D1639*F1639*G1639,IF(AND(F1639=0),D1639*E1639*G1639,IF(AND(G1639=0),D1639*E1639*F1639,D1639*E1639*F1639*G1639))))))</f>
        <v>3.0635219999999999</v>
      </c>
      <c r="I1639" s="40"/>
      <c r="J1639" s="41"/>
    </row>
    <row r="1640" spans="2:10" s="1" customFormat="1" ht="12.75" x14ac:dyDescent="0.2">
      <c r="B1640" s="46"/>
      <c r="F1640" s="40" t="s">
        <v>786</v>
      </c>
      <c r="G1640" s="40">
        <v>4</v>
      </c>
      <c r="I1640" s="40"/>
      <c r="J1640" s="41"/>
    </row>
    <row r="1641" spans="2:10" s="1" customFormat="1" ht="12.75" x14ac:dyDescent="0.2">
      <c r="B1641" s="46"/>
      <c r="C1641" s="39" t="s">
        <v>784</v>
      </c>
      <c r="D1641" s="60">
        <v>1</v>
      </c>
      <c r="E1641" s="40">
        <f>+SUM(E1639)</f>
        <v>17.45</v>
      </c>
      <c r="F1641" s="40" t="s">
        <v>785</v>
      </c>
      <c r="G1641" s="379">
        <f>+PI()*((G1640*0.0254)^2)/4</f>
        <v>8.107319665559963E-3</v>
      </c>
      <c r="H1641" s="40">
        <f>+E1641*G1641</f>
        <v>0.14147272816402134</v>
      </c>
      <c r="I1641" s="40"/>
      <c r="J1641" s="41"/>
    </row>
    <row r="1642" spans="2:10" s="1" customFormat="1" ht="12.75" x14ac:dyDescent="0.2">
      <c r="B1642" s="46"/>
      <c r="C1642" s="43" t="s">
        <v>250</v>
      </c>
      <c r="D1642" s="60"/>
      <c r="E1642" s="40"/>
      <c r="F1642" s="40"/>
      <c r="G1642" s="40"/>
      <c r="H1642" s="40"/>
      <c r="I1642" s="40"/>
      <c r="J1642" s="41"/>
    </row>
    <row r="1643" spans="2:10" s="1" customFormat="1" ht="12.75" x14ac:dyDescent="0.2">
      <c r="B1643" s="46"/>
      <c r="C1643" s="39" t="s">
        <v>498</v>
      </c>
      <c r="D1643" s="1">
        <v>1</v>
      </c>
      <c r="E1643" s="40">
        <f>1.1+22.93</f>
        <v>24.03</v>
      </c>
      <c r="F1643" s="40">
        <v>0.65</v>
      </c>
      <c r="G1643" s="40">
        <v>1.2</v>
      </c>
      <c r="H1643" s="40">
        <f t="shared" ref="H1643" si="106">IF(AND(F1643=0,G1643=0),D1643*E1643,IF(AND(E1643=0,G1643=0),D1643*F1643,IF(AND(E1643=0,F1643=0),D1643*G1643,IF(AND(E1643=0),D1643*F1643*G1643,IF(AND(F1643=0),D1643*E1643*G1643,IF(AND(G1643=0),D1643*E1643*F1643,D1643*E1643*F1643*G1643))))))</f>
        <v>18.743400000000001</v>
      </c>
      <c r="I1643" s="40"/>
      <c r="J1643" s="41"/>
    </row>
    <row r="1644" spans="2:10" s="1" customFormat="1" ht="12.75" x14ac:dyDescent="0.2">
      <c r="B1644" s="46"/>
      <c r="F1644" s="40" t="s">
        <v>786</v>
      </c>
      <c r="G1644" s="40">
        <v>10</v>
      </c>
      <c r="I1644" s="40"/>
      <c r="J1644" s="41"/>
    </row>
    <row r="1645" spans="2:10" s="1" customFormat="1" ht="12.75" x14ac:dyDescent="0.2">
      <c r="B1645" s="46"/>
      <c r="C1645" s="39" t="s">
        <v>784</v>
      </c>
      <c r="D1645" s="60">
        <v>1</v>
      </c>
      <c r="E1645" s="40">
        <f>+SUM(E1643:E1643)</f>
        <v>24.03</v>
      </c>
      <c r="F1645" s="40" t="s">
        <v>785</v>
      </c>
      <c r="G1645" s="40">
        <f>+PI()*((G1644*0.0254)^2)/4</f>
        <v>5.0670747909749778E-2</v>
      </c>
      <c r="H1645" s="40">
        <f>+E1645*G1645</f>
        <v>1.2176180722712873</v>
      </c>
      <c r="I1645" s="40"/>
      <c r="J1645" s="41"/>
    </row>
    <row r="1646" spans="2:10" s="1" customFormat="1" ht="12.75" x14ac:dyDescent="0.2">
      <c r="B1646" s="46"/>
      <c r="C1646" s="43" t="s">
        <v>252</v>
      </c>
      <c r="D1646" s="60"/>
      <c r="E1646" s="40"/>
      <c r="F1646" s="40"/>
      <c r="G1646" s="40"/>
      <c r="H1646" s="40"/>
      <c r="I1646" s="40"/>
      <c r="J1646" s="41"/>
    </row>
    <row r="1647" spans="2:10" s="1" customFormat="1" ht="12.75" x14ac:dyDescent="0.2">
      <c r="B1647" s="46"/>
      <c r="C1647" s="39" t="s">
        <v>678</v>
      </c>
      <c r="D1647" s="40">
        <v>1</v>
      </c>
      <c r="E1647" s="40">
        <v>80</v>
      </c>
      <c r="F1647" s="40">
        <v>0.8</v>
      </c>
      <c r="G1647" s="40">
        <v>0.65</v>
      </c>
      <c r="H1647" s="40">
        <f t="shared" ref="H1647" si="107">IF(AND(F1647=0,G1647=0),D1647*E1647,IF(AND(E1647=0,G1647=0),D1647*F1647,IF(AND(E1647=0,F1647=0),D1647*G1647,IF(AND(E1647=0),D1647*F1647*G1647,IF(AND(F1647=0),D1647*E1647*G1647,IF(AND(G1647=0),D1647*E1647*F1647,D1647*E1647*F1647*G1647))))))</f>
        <v>41.6</v>
      </c>
      <c r="I1647" s="40"/>
      <c r="J1647" s="41"/>
    </row>
    <row r="1648" spans="2:10" s="1" customFormat="1" ht="12.75" x14ac:dyDescent="0.2">
      <c r="B1648" s="46"/>
      <c r="F1648" s="40" t="s">
        <v>786</v>
      </c>
      <c r="G1648" s="40">
        <v>14</v>
      </c>
      <c r="I1648" s="40"/>
      <c r="J1648" s="41"/>
    </row>
    <row r="1649" spans="2:10" s="1" customFormat="1" ht="12.75" x14ac:dyDescent="0.2">
      <c r="B1649" s="46"/>
      <c r="C1649" s="39" t="s">
        <v>784</v>
      </c>
      <c r="D1649" s="60">
        <v>1</v>
      </c>
      <c r="E1649" s="40">
        <f>+E1647</f>
        <v>80</v>
      </c>
      <c r="F1649" s="40" t="s">
        <v>785</v>
      </c>
      <c r="G1649" s="40">
        <f>+PI()*((G1648*0.0254)^2)/4</f>
        <v>9.9314665903109542E-2</v>
      </c>
      <c r="H1649" s="40">
        <f>+E1649*G1649</f>
        <v>7.9451732722487636</v>
      </c>
      <c r="I1649" s="40"/>
      <c r="J1649" s="41"/>
    </row>
    <row r="1650" spans="2:10" s="1" customFormat="1" ht="12.75" x14ac:dyDescent="0.2">
      <c r="B1650" s="46"/>
      <c r="C1650" s="59"/>
      <c r="D1650" s="60"/>
      <c r="E1650" s="40"/>
      <c r="F1650" s="40"/>
      <c r="G1650" s="40"/>
      <c r="H1650" s="40"/>
      <c r="I1650" s="40"/>
      <c r="J1650" s="41"/>
    </row>
    <row r="1651" spans="2:10" s="1" customFormat="1" ht="12.75" x14ac:dyDescent="0.2">
      <c r="B1651" s="25" t="s">
        <v>631</v>
      </c>
      <c r="C1651" s="28" t="s">
        <v>719</v>
      </c>
      <c r="D1651" s="60"/>
      <c r="E1651" s="40"/>
      <c r="F1651" s="40"/>
      <c r="G1651" s="40"/>
      <c r="H1651" s="40"/>
      <c r="I1651" s="40">
        <f>+SUM(H1652)</f>
        <v>10.95</v>
      </c>
      <c r="J1651" s="41" t="s">
        <v>45</v>
      </c>
    </row>
    <row r="1652" spans="2:10" s="1" customFormat="1" ht="12.75" x14ac:dyDescent="0.2">
      <c r="B1652" s="46"/>
      <c r="C1652" s="39" t="s">
        <v>549</v>
      </c>
      <c r="D1652" s="40">
        <v>1</v>
      </c>
      <c r="E1652" s="40">
        <v>7.5</v>
      </c>
      <c r="F1652" s="40">
        <v>0.5</v>
      </c>
      <c r="G1652" s="40">
        <f>0.28+0.2</f>
        <v>0.48000000000000004</v>
      </c>
      <c r="H1652" s="40">
        <f>+(F1652+G1652*2)*E1652</f>
        <v>10.95</v>
      </c>
      <c r="I1652" s="40"/>
      <c r="J1652" s="41"/>
    </row>
    <row r="1653" spans="2:10" s="1" customFormat="1" ht="12.75" x14ac:dyDescent="0.2">
      <c r="B1653" s="46"/>
      <c r="C1653" s="59"/>
      <c r="D1653" s="60"/>
      <c r="E1653" s="40"/>
      <c r="F1653" s="40"/>
      <c r="G1653" s="40"/>
      <c r="H1653" s="40"/>
      <c r="I1653" s="40"/>
      <c r="J1653" s="41"/>
    </row>
    <row r="1654" spans="2:10" s="1" customFormat="1" ht="12.75" x14ac:dyDescent="0.2">
      <c r="B1654" s="25"/>
      <c r="C1654" s="28"/>
      <c r="D1654" s="60"/>
      <c r="E1654" s="40"/>
      <c r="F1654" s="40"/>
      <c r="G1654" s="40"/>
      <c r="H1654" s="40"/>
      <c r="I1654" s="40"/>
      <c r="J1654" s="41"/>
    </row>
    <row r="1655" spans="2:10" s="1" customFormat="1" ht="12.75" x14ac:dyDescent="0.2">
      <c r="B1655" s="25" t="s">
        <v>709</v>
      </c>
      <c r="C1655" s="28" t="s">
        <v>718</v>
      </c>
      <c r="D1655" s="60"/>
      <c r="E1655" s="40"/>
      <c r="F1655" s="40"/>
      <c r="G1655" s="40"/>
      <c r="H1655" s="40"/>
      <c r="I1655" s="40">
        <f>+SUM(H1657:H1664)</f>
        <v>262.25941999999998</v>
      </c>
      <c r="J1655" s="41" t="s">
        <v>45</v>
      </c>
    </row>
    <row r="1656" spans="2:10" s="1" customFormat="1" ht="12.75" x14ac:dyDescent="0.2">
      <c r="B1656" s="46"/>
      <c r="C1656" s="43" t="s">
        <v>490</v>
      </c>
      <c r="D1656" s="60"/>
      <c r="E1656" s="40"/>
      <c r="F1656" s="40"/>
      <c r="G1656" s="40"/>
      <c r="H1656" s="40"/>
      <c r="I1656" s="40"/>
      <c r="J1656" s="41"/>
    </row>
    <row r="1657" spans="2:10" s="1" customFormat="1" ht="12.75" x14ac:dyDescent="0.2">
      <c r="B1657" s="46"/>
      <c r="C1657" s="39" t="s">
        <v>499</v>
      </c>
      <c r="D1657" s="40">
        <v>1</v>
      </c>
      <c r="E1657" s="40">
        <v>17.45</v>
      </c>
      <c r="F1657" s="40">
        <f>4*0.0254+0.4</f>
        <v>0.50160000000000005</v>
      </c>
      <c r="G1657" s="40">
        <v>0.35</v>
      </c>
      <c r="H1657" s="40">
        <f>+(F1657+G1657*2)*E1657</f>
        <v>20.967919999999999</v>
      </c>
      <c r="I1657" s="40"/>
      <c r="J1657" s="41"/>
    </row>
    <row r="1658" spans="2:10" s="1" customFormat="1" ht="12.75" x14ac:dyDescent="0.2">
      <c r="B1658" s="46"/>
      <c r="C1658" s="39"/>
      <c r="D1658" s="60"/>
      <c r="E1658" s="40"/>
      <c r="F1658" s="40"/>
      <c r="G1658" s="40"/>
      <c r="H1658" s="40"/>
      <c r="I1658" s="40"/>
      <c r="J1658" s="41"/>
    </row>
    <row r="1659" spans="2:10" s="1" customFormat="1" ht="12.75" x14ac:dyDescent="0.2">
      <c r="B1659" s="46"/>
      <c r="C1659" s="43" t="s">
        <v>250</v>
      </c>
      <c r="D1659" s="60"/>
      <c r="E1659" s="40"/>
      <c r="F1659" s="40"/>
      <c r="G1659" s="40"/>
      <c r="H1659" s="40"/>
      <c r="I1659" s="40"/>
      <c r="J1659" s="41"/>
    </row>
    <row r="1660" spans="2:10" s="1" customFormat="1" ht="12.75" x14ac:dyDescent="0.2">
      <c r="B1660" s="46"/>
      <c r="C1660" s="39" t="s">
        <v>498</v>
      </c>
      <c r="D1660" s="1">
        <v>1</v>
      </c>
      <c r="E1660" s="40">
        <f>1.1+22.93</f>
        <v>24.03</v>
      </c>
      <c r="F1660" s="40">
        <v>0.65</v>
      </c>
      <c r="G1660" s="40">
        <v>1.2</v>
      </c>
      <c r="H1660" s="40">
        <f>+(F1660+G1660*2)*E1660</f>
        <v>73.291499999999999</v>
      </c>
      <c r="I1660" s="40"/>
      <c r="J1660" s="41"/>
    </row>
    <row r="1661" spans="2:10" s="1" customFormat="1" ht="12.75" x14ac:dyDescent="0.2">
      <c r="B1661" s="46"/>
      <c r="C1661" s="39" t="s">
        <v>676</v>
      </c>
      <c r="D1661" s="60">
        <v>1</v>
      </c>
      <c r="E1661" s="40">
        <v>3.7</v>
      </c>
      <c r="F1661" s="40">
        <v>0.65</v>
      </c>
      <c r="G1661" s="40"/>
      <c r="H1661" s="40"/>
      <c r="I1661" s="40"/>
      <c r="J1661" s="41"/>
    </row>
    <row r="1662" spans="2:10" s="1" customFormat="1" ht="12.75" x14ac:dyDescent="0.2">
      <c r="B1662" s="46"/>
      <c r="C1662" s="39" t="s">
        <v>677</v>
      </c>
      <c r="D1662" s="60">
        <v>1</v>
      </c>
      <c r="E1662" s="40">
        <v>3.3</v>
      </c>
      <c r="F1662" s="40">
        <v>0.65</v>
      </c>
      <c r="G1662" s="40"/>
      <c r="H1662" s="40"/>
      <c r="I1662" s="40"/>
      <c r="J1662" s="41"/>
    </row>
    <row r="1663" spans="2:10" s="1" customFormat="1" ht="12.75" x14ac:dyDescent="0.2">
      <c r="B1663" s="46"/>
      <c r="C1663" s="43" t="s">
        <v>252</v>
      </c>
      <c r="D1663" s="60"/>
      <c r="E1663" s="40"/>
      <c r="F1663" s="40"/>
      <c r="G1663" s="40"/>
      <c r="H1663" s="40"/>
      <c r="I1663" s="40"/>
      <c r="J1663" s="41"/>
    </row>
    <row r="1664" spans="2:10" s="1" customFormat="1" ht="12.75" x14ac:dyDescent="0.2">
      <c r="B1664" s="46"/>
      <c r="C1664" s="39" t="s">
        <v>678</v>
      </c>
      <c r="D1664" s="40">
        <v>1</v>
      </c>
      <c r="E1664" s="40">
        <v>80</v>
      </c>
      <c r="F1664" s="40">
        <v>0.8</v>
      </c>
      <c r="G1664" s="40">
        <v>0.65</v>
      </c>
      <c r="H1664" s="40">
        <f>+(F1664+G1664*2)*E1664</f>
        <v>168</v>
      </c>
      <c r="I1664" s="40"/>
      <c r="J1664" s="41"/>
    </row>
    <row r="1665" spans="2:10" s="1" customFormat="1" ht="12.75" x14ac:dyDescent="0.2">
      <c r="B1665" s="46"/>
      <c r="C1665" s="59"/>
      <c r="D1665" s="60"/>
      <c r="E1665" s="40"/>
      <c r="F1665" s="40"/>
      <c r="G1665" s="40"/>
      <c r="H1665" s="40"/>
      <c r="I1665" s="40"/>
      <c r="J1665" s="41"/>
    </row>
    <row r="1666" spans="2:10" s="1" customFormat="1" ht="12.75" x14ac:dyDescent="0.2">
      <c r="B1666" s="46"/>
      <c r="C1666" s="59"/>
      <c r="D1666" s="60"/>
      <c r="E1666" s="40"/>
      <c r="F1666" s="40"/>
      <c r="G1666" s="40"/>
      <c r="H1666" s="40"/>
      <c r="I1666" s="40"/>
      <c r="J1666" s="41"/>
    </row>
    <row r="1667" spans="2:10" s="1" customFormat="1" ht="12.75" x14ac:dyDescent="0.2">
      <c r="B1667" s="107" t="s">
        <v>632</v>
      </c>
      <c r="C1667" s="343" t="s">
        <v>794</v>
      </c>
      <c r="D1667" s="60"/>
      <c r="E1667" s="40"/>
      <c r="F1667" s="40" t="s">
        <v>795</v>
      </c>
      <c r="G1667" s="40"/>
      <c r="H1667" s="40"/>
      <c r="I1667" s="40">
        <f>+SUM(H1668:H1683)</f>
        <v>1638.8799890584662</v>
      </c>
      <c r="J1667" s="41" t="s">
        <v>12</v>
      </c>
    </row>
    <row r="1668" spans="2:10" s="1" customFormat="1" ht="12.75" x14ac:dyDescent="0.2">
      <c r="B1668" s="380"/>
      <c r="C1668" s="39" t="s">
        <v>464</v>
      </c>
      <c r="D1668" s="60">
        <v>5</v>
      </c>
      <c r="E1668" s="40">
        <f>9.8+1.5</f>
        <v>11.3</v>
      </c>
      <c r="F1668" s="40">
        <v>1.64</v>
      </c>
      <c r="G1668" s="40"/>
      <c r="H1668" s="40">
        <f t="shared" ref="H1668:H1673" si="108">IF(AND(F1668=0,G1668=0),D1668*E1668,IF(AND(E1668=0,G1668=0),D1668*F1668,IF(AND(E1668=0,F1668=0),D1668*G1668,IF(AND(E1668=0),D1668*F1668*G1668,IF(AND(F1668=0),D1668*E1668*G1668,IF(AND(G1668=0),D1668*E1668*F1668,D1668*E1668*F1668*G1668))))))</f>
        <v>92.66</v>
      </c>
      <c r="I1668" s="40"/>
      <c r="J1668" s="41"/>
    </row>
    <row r="1669" spans="2:10" s="1" customFormat="1" ht="12.75" x14ac:dyDescent="0.2">
      <c r="B1669" s="380"/>
      <c r="C1669" s="39" t="s">
        <v>502</v>
      </c>
      <c r="D1669" s="60">
        <v>1</v>
      </c>
      <c r="E1669" s="40">
        <v>4.8</v>
      </c>
      <c r="F1669" s="40">
        <v>1.64</v>
      </c>
      <c r="G1669" s="40"/>
      <c r="H1669" s="40">
        <f t="shared" si="108"/>
        <v>7.871999999999999</v>
      </c>
      <c r="I1669" s="40"/>
      <c r="J1669" s="41"/>
    </row>
    <row r="1670" spans="2:10" s="1" customFormat="1" ht="12.75" x14ac:dyDescent="0.2">
      <c r="B1670" s="380"/>
      <c r="C1670" s="39" t="s">
        <v>460</v>
      </c>
      <c r="D1670" s="40">
        <v>1</v>
      </c>
      <c r="E1670" s="89">
        <v>11.3</v>
      </c>
      <c r="F1670" s="40">
        <v>1.64</v>
      </c>
      <c r="G1670" s="40"/>
      <c r="H1670" s="40">
        <f t="shared" si="108"/>
        <v>18.532</v>
      </c>
      <c r="I1670" s="40"/>
      <c r="J1670" s="41"/>
    </row>
    <row r="1671" spans="2:10" s="1" customFormat="1" ht="12.75" x14ac:dyDescent="0.2">
      <c r="B1671" s="380"/>
      <c r="C1671" s="39" t="s">
        <v>461</v>
      </c>
      <c r="D1671" s="40">
        <v>1</v>
      </c>
      <c r="E1671" s="89">
        <v>11.3</v>
      </c>
      <c r="F1671" s="40">
        <v>1.64</v>
      </c>
      <c r="G1671" s="40"/>
      <c r="H1671" s="40">
        <f t="shared" si="108"/>
        <v>18.532</v>
      </c>
      <c r="I1671" s="40"/>
      <c r="J1671" s="41"/>
    </row>
    <row r="1672" spans="2:10" s="1" customFormat="1" ht="12.75" x14ac:dyDescent="0.2">
      <c r="B1672" s="380"/>
      <c r="C1672" s="77"/>
      <c r="D1672" s="60">
        <v>1</v>
      </c>
      <c r="E1672" s="40">
        <v>1.65</v>
      </c>
      <c r="F1672" s="40">
        <v>1.64</v>
      </c>
      <c r="G1672" s="40"/>
      <c r="H1672" s="40">
        <f t="shared" si="108"/>
        <v>2.7059999999999995</v>
      </c>
      <c r="I1672" s="40"/>
      <c r="J1672" s="41"/>
    </row>
    <row r="1673" spans="2:10" s="1" customFormat="1" ht="12.75" x14ac:dyDescent="0.2">
      <c r="B1673" s="380"/>
      <c r="C1673" s="77"/>
      <c r="D1673" s="60">
        <v>1</v>
      </c>
      <c r="E1673" s="40">
        <v>2.5</v>
      </c>
      <c r="F1673" s="40">
        <v>1.64</v>
      </c>
      <c r="G1673" s="40"/>
      <c r="H1673" s="40">
        <f t="shared" si="108"/>
        <v>4.0999999999999996</v>
      </c>
      <c r="I1673" s="40"/>
      <c r="J1673" s="41"/>
    </row>
    <row r="1674" spans="2:10" s="1" customFormat="1" ht="12.75" x14ac:dyDescent="0.2">
      <c r="B1674" s="380"/>
      <c r="C1674" s="43" t="s">
        <v>490</v>
      </c>
      <c r="D1674" s="60"/>
      <c r="E1674" s="40"/>
      <c r="F1674" s="40"/>
      <c r="G1674" s="40"/>
      <c r="H1674" s="40"/>
      <c r="I1674" s="40"/>
      <c r="J1674" s="41"/>
    </row>
    <row r="1675" spans="2:10" s="1" customFormat="1" ht="12.75" x14ac:dyDescent="0.2">
      <c r="B1675" s="380"/>
      <c r="C1675" s="39" t="s">
        <v>499</v>
      </c>
      <c r="D1675" s="40">
        <v>1</v>
      </c>
      <c r="E1675" s="40">
        <v>17.45</v>
      </c>
      <c r="F1675" s="40">
        <f>18.14/5.83</f>
        <v>3.1114922813036023</v>
      </c>
      <c r="G1675" s="40"/>
      <c r="H1675" s="40">
        <f t="shared" ref="H1675" si="109">IF(AND(F1675=0,G1675=0),D1675*E1675,IF(AND(E1675=0,G1675=0),D1675*F1675,IF(AND(E1675=0,F1675=0),D1675*G1675,IF(AND(E1675=0),D1675*F1675*G1675,IF(AND(F1675=0),D1675*E1675*G1675,IF(AND(G1675=0),D1675*E1675*F1675,D1675*E1675*F1675*G1675))))))</f>
        <v>54.29554030874786</v>
      </c>
      <c r="I1675" s="40"/>
      <c r="J1675" s="41"/>
    </row>
    <row r="1676" spans="2:10" s="1" customFormat="1" ht="12.75" x14ac:dyDescent="0.2">
      <c r="B1676" s="380"/>
      <c r="C1676" s="39"/>
      <c r="D1676" s="60"/>
      <c r="E1676" s="40"/>
      <c r="F1676" s="40"/>
      <c r="G1676" s="40"/>
      <c r="H1676" s="40"/>
      <c r="I1676" s="40"/>
      <c r="J1676" s="41"/>
    </row>
    <row r="1677" spans="2:10" s="1" customFormat="1" ht="12.75" x14ac:dyDescent="0.2">
      <c r="B1677" s="46"/>
      <c r="C1677" s="43" t="s">
        <v>250</v>
      </c>
      <c r="D1677" s="60"/>
      <c r="E1677" s="40"/>
      <c r="G1677" s="40"/>
      <c r="H1677" s="40"/>
      <c r="I1677" s="40"/>
      <c r="J1677" s="41"/>
    </row>
    <row r="1678" spans="2:10" s="1" customFormat="1" ht="12.75" x14ac:dyDescent="0.2">
      <c r="B1678" s="380"/>
      <c r="C1678" s="39" t="s">
        <v>498</v>
      </c>
      <c r="D1678" s="1">
        <v>1</v>
      </c>
      <c r="E1678" s="40">
        <f>1.1+22.93</f>
        <v>24.03</v>
      </c>
      <c r="F1678" s="40">
        <f>43.83/5.79</f>
        <v>7.5699481865284968</v>
      </c>
      <c r="G1678" s="40"/>
      <c r="H1678" s="40">
        <f t="shared" ref="H1678:H1680" si="110">IF(AND(F1678=0,G1678=0),D1678*E1678,IF(AND(E1678=0,G1678=0),D1678*F1678,IF(AND(E1678=0,F1678=0),D1678*G1678,IF(AND(E1678=0),D1678*F1678*G1678,IF(AND(F1678=0),D1678*E1678*G1678,IF(AND(G1678=0),D1678*E1678*F1678,D1678*E1678*F1678*G1678))))))</f>
        <v>181.90585492227979</v>
      </c>
      <c r="I1678" s="40"/>
      <c r="J1678" s="41"/>
    </row>
    <row r="1679" spans="2:10" s="1" customFormat="1" ht="12.75" x14ac:dyDescent="0.2">
      <c r="B1679" s="380"/>
      <c r="C1679" s="39" t="s">
        <v>676</v>
      </c>
      <c r="D1679" s="60">
        <v>1</v>
      </c>
      <c r="E1679" s="40">
        <v>3.7</v>
      </c>
      <c r="F1679" s="40">
        <f t="shared" ref="F1679:F1680" si="111">43.83/5.79</f>
        <v>7.5699481865284968</v>
      </c>
      <c r="G1679" s="40"/>
      <c r="H1679" s="40">
        <f t="shared" si="110"/>
        <v>28.008808290155439</v>
      </c>
      <c r="I1679" s="40"/>
      <c r="J1679" s="41"/>
    </row>
    <row r="1680" spans="2:10" s="1" customFormat="1" ht="12.75" x14ac:dyDescent="0.2">
      <c r="B1680" s="380"/>
      <c r="C1680" s="39" t="s">
        <v>677</v>
      </c>
      <c r="D1680" s="60">
        <v>1</v>
      </c>
      <c r="E1680" s="40">
        <v>3.3</v>
      </c>
      <c r="F1680" s="40">
        <f t="shared" si="111"/>
        <v>7.5699481865284968</v>
      </c>
      <c r="G1680" s="40"/>
      <c r="H1680" s="40">
        <f t="shared" si="110"/>
        <v>24.980829015544039</v>
      </c>
      <c r="I1680" s="40"/>
      <c r="J1680" s="41"/>
    </row>
    <row r="1681" spans="2:10" s="1" customFormat="1" ht="12.75" x14ac:dyDescent="0.2">
      <c r="B1681" s="380"/>
      <c r="C1681" s="39"/>
      <c r="D1681" s="60"/>
      <c r="E1681" s="40"/>
      <c r="F1681" s="40"/>
      <c r="G1681" s="40"/>
      <c r="H1681" s="40"/>
      <c r="I1681" s="40"/>
      <c r="J1681" s="41"/>
    </row>
    <row r="1682" spans="2:10" s="1" customFormat="1" ht="12.75" x14ac:dyDescent="0.2">
      <c r="B1682" s="380"/>
      <c r="C1682" s="43" t="s">
        <v>252</v>
      </c>
      <c r="D1682" s="60"/>
      <c r="E1682" s="40"/>
      <c r="F1682" s="40"/>
      <c r="G1682" s="40"/>
      <c r="H1682" s="40"/>
      <c r="I1682" s="40"/>
      <c r="J1682" s="41"/>
    </row>
    <row r="1683" spans="2:10" s="1" customFormat="1" ht="12.75" x14ac:dyDescent="0.2">
      <c r="B1683" s="380"/>
      <c r="C1683" s="39" t="s">
        <v>678</v>
      </c>
      <c r="D1683" s="40">
        <v>1</v>
      </c>
      <c r="E1683" s="40">
        <v>80</v>
      </c>
      <c r="F1683" s="40">
        <f>86.63/5.75</f>
        <v>15.066086956521739</v>
      </c>
      <c r="G1683" s="40"/>
      <c r="H1683" s="40">
        <f t="shared" ref="H1683" si="112">IF(AND(F1683=0,G1683=0),D1683*E1683,IF(AND(E1683=0,G1683=0),D1683*F1683,IF(AND(E1683=0,F1683=0),D1683*G1683,IF(AND(E1683=0),D1683*F1683*G1683,IF(AND(F1683=0),D1683*E1683*G1683,IF(AND(G1683=0),D1683*E1683*F1683,D1683*E1683*F1683*G1683))))))</f>
        <v>1205.2869565217391</v>
      </c>
      <c r="I1683" s="40"/>
      <c r="J1683" s="41"/>
    </row>
    <row r="1684" spans="2:10" s="1" customFormat="1" ht="12.75" x14ac:dyDescent="0.2">
      <c r="B1684" s="380"/>
      <c r="C1684" s="366"/>
      <c r="D1684" s="60"/>
      <c r="E1684" s="40"/>
      <c r="F1684" s="40"/>
      <c r="G1684" s="40"/>
      <c r="H1684" s="40"/>
      <c r="I1684" s="40"/>
      <c r="J1684" s="41"/>
    </row>
    <row r="1685" spans="2:10" s="1" customFormat="1" ht="12.75" x14ac:dyDescent="0.2">
      <c r="B1685" s="25" t="s">
        <v>633</v>
      </c>
      <c r="C1685" s="28" t="s">
        <v>625</v>
      </c>
      <c r="D1685" s="60"/>
      <c r="E1685" s="40"/>
      <c r="F1685" s="40"/>
      <c r="G1685" s="40"/>
      <c r="H1685" s="40"/>
      <c r="I1685" s="40">
        <f>+SUM(H1686:H1691)</f>
        <v>3.6150000000000002</v>
      </c>
      <c r="J1685" s="41" t="s">
        <v>4</v>
      </c>
    </row>
    <row r="1686" spans="2:10" s="1" customFormat="1" ht="12.75" x14ac:dyDescent="0.2">
      <c r="B1686" s="46"/>
      <c r="C1686" s="39" t="s">
        <v>549</v>
      </c>
      <c r="D1686" s="40">
        <v>2</v>
      </c>
      <c r="E1686" s="40">
        <v>7.5</v>
      </c>
      <c r="F1686" s="40">
        <v>0.1</v>
      </c>
      <c r="G1686" s="40">
        <v>0.28000000000000003</v>
      </c>
      <c r="H1686" s="40">
        <f t="shared" ref="H1686:H1691" si="113">IF(AND(F1686=0,G1686=0),D1686*E1686,IF(AND(E1686=0,G1686=0),D1686*F1686,IF(AND(E1686=0,F1686=0),D1686*G1686,IF(AND(E1686=0),D1686*F1686*G1686,IF(AND(F1686=0),D1686*E1686*G1686,IF(AND(G1686=0),D1686*E1686*F1686,D1686*E1686*F1686*G1686))))))</f>
        <v>0.42000000000000004</v>
      </c>
      <c r="I1686" s="40"/>
      <c r="J1686" s="41"/>
    </row>
    <row r="1687" spans="2:10" s="1" customFormat="1" ht="12.75" x14ac:dyDescent="0.2">
      <c r="B1687" s="46"/>
      <c r="D1687" s="60">
        <v>1</v>
      </c>
      <c r="E1687" s="40">
        <v>7.5</v>
      </c>
      <c r="F1687" s="40">
        <v>0.5</v>
      </c>
      <c r="G1687" s="40">
        <v>0.1</v>
      </c>
      <c r="H1687" s="40">
        <f t="shared" si="113"/>
        <v>0.375</v>
      </c>
      <c r="I1687" s="40"/>
      <c r="J1687" s="41"/>
    </row>
    <row r="1688" spans="2:10" s="1" customFormat="1" ht="12.75" x14ac:dyDescent="0.2">
      <c r="B1688" s="46"/>
      <c r="C1688" s="39" t="s">
        <v>374</v>
      </c>
      <c r="D1688" s="40">
        <v>2</v>
      </c>
      <c r="E1688" s="40">
        <v>1.2</v>
      </c>
      <c r="F1688" s="40">
        <v>0.15</v>
      </c>
      <c r="G1688" s="40">
        <v>1.25</v>
      </c>
      <c r="H1688" s="40">
        <f t="shared" si="113"/>
        <v>0.44999999999999996</v>
      </c>
      <c r="I1688" s="40"/>
      <c r="J1688" s="41"/>
    </row>
    <row r="1689" spans="2:10" s="1" customFormat="1" ht="12.75" x14ac:dyDescent="0.2">
      <c r="B1689" s="46"/>
      <c r="C1689" s="39"/>
      <c r="D1689" s="40">
        <v>2</v>
      </c>
      <c r="E1689" s="40">
        <v>6</v>
      </c>
      <c r="F1689" s="40">
        <v>0.15</v>
      </c>
      <c r="G1689" s="40">
        <v>1.25</v>
      </c>
      <c r="H1689" s="40">
        <f t="shared" si="113"/>
        <v>2.25</v>
      </c>
      <c r="I1689" s="40"/>
      <c r="J1689" s="41"/>
    </row>
    <row r="1690" spans="2:10" s="1" customFormat="1" ht="12.75" x14ac:dyDescent="0.2">
      <c r="B1690" s="46"/>
      <c r="C1690" s="39" t="s">
        <v>390</v>
      </c>
      <c r="D1690" s="40">
        <v>2</v>
      </c>
      <c r="E1690" s="40">
        <v>0.8</v>
      </c>
      <c r="F1690" s="40">
        <v>0.1</v>
      </c>
      <c r="G1690" s="40">
        <v>0.5</v>
      </c>
      <c r="H1690" s="40">
        <f t="shared" si="113"/>
        <v>8.0000000000000016E-2</v>
      </c>
      <c r="I1690" s="40"/>
      <c r="J1690" s="41"/>
    </row>
    <row r="1691" spans="2:10" s="1" customFormat="1" ht="12.75" x14ac:dyDescent="0.2">
      <c r="B1691" s="46"/>
      <c r="C1691" s="59"/>
      <c r="D1691" s="60">
        <v>2</v>
      </c>
      <c r="E1691" s="40">
        <v>0.4</v>
      </c>
      <c r="F1691" s="40">
        <v>0.1</v>
      </c>
      <c r="G1691" s="40">
        <v>0.5</v>
      </c>
      <c r="H1691" s="40">
        <f t="shared" si="113"/>
        <v>4.0000000000000008E-2</v>
      </c>
      <c r="I1691" s="40"/>
      <c r="J1691" s="41"/>
    </row>
    <row r="1692" spans="2:10" s="1" customFormat="1" ht="12.75" x14ac:dyDescent="0.2">
      <c r="B1692" s="46"/>
      <c r="C1692" s="59"/>
      <c r="D1692" s="60"/>
      <c r="E1692" s="40"/>
      <c r="F1692" s="40"/>
      <c r="G1692" s="40"/>
      <c r="H1692" s="40"/>
      <c r="I1692" s="40"/>
      <c r="J1692" s="41"/>
    </row>
    <row r="1693" spans="2:10" s="1" customFormat="1" ht="12.75" x14ac:dyDescent="0.2">
      <c r="B1693" s="46"/>
      <c r="C1693" s="59"/>
      <c r="D1693" s="60"/>
      <c r="E1693" s="40"/>
      <c r="F1693" s="40"/>
      <c r="G1693" s="40"/>
      <c r="H1693" s="40"/>
      <c r="I1693" s="40"/>
      <c r="J1693" s="41"/>
    </row>
    <row r="1694" spans="2:10" s="1" customFormat="1" ht="12.75" x14ac:dyDescent="0.2">
      <c r="B1694" s="46"/>
      <c r="C1694" s="59"/>
      <c r="D1694" s="60"/>
      <c r="E1694" s="40"/>
      <c r="F1694" s="40"/>
      <c r="G1694" s="40"/>
      <c r="H1694" s="40"/>
      <c r="I1694" s="40"/>
      <c r="J1694" s="41"/>
    </row>
    <row r="1695" spans="2:10" s="1" customFormat="1" ht="12.75" x14ac:dyDescent="0.2">
      <c r="B1695" s="107" t="s">
        <v>790</v>
      </c>
      <c r="C1695" s="343" t="s">
        <v>789</v>
      </c>
      <c r="D1695" s="60" t="s">
        <v>791</v>
      </c>
      <c r="E1695" s="40"/>
      <c r="F1695" s="40"/>
      <c r="G1695" s="40"/>
      <c r="H1695" s="40"/>
      <c r="I1695" s="40">
        <f>+SUM(H1696:H1707)</f>
        <v>16.062830090855091</v>
      </c>
      <c r="J1695" s="41" t="s">
        <v>4</v>
      </c>
    </row>
    <row r="1696" spans="2:10" s="1" customFormat="1" ht="12.75" x14ac:dyDescent="0.2">
      <c r="B1696" s="107"/>
      <c r="C1696" s="39" t="s">
        <v>549</v>
      </c>
      <c r="D1696" s="40">
        <v>1.25</v>
      </c>
      <c r="E1696" s="40">
        <v>7.5</v>
      </c>
      <c r="F1696" s="40">
        <v>0.5</v>
      </c>
      <c r="G1696" s="40">
        <f>0.28+0.2</f>
        <v>0.48000000000000004</v>
      </c>
      <c r="H1696" s="40">
        <f>IF(AND(F1696=0,G1696=0),D1696*E1696,IF(AND(E1696=0,G1696=0),D1696*F1696,IF(AND(E1696=0,F1696=0),D1696*G1696,IF(AND(E1696=0),D1696*F1696*G1696,IF(AND(F1696=0),D1696*E1696*G1696,IF(AND(G1696=0),D1696*E1696*F1696,D1696*E1696*F1696*G1696))))))</f>
        <v>2.25</v>
      </c>
      <c r="I1696" s="40"/>
      <c r="J1696" s="41"/>
    </row>
    <row r="1697" spans="2:10" s="1" customFormat="1" ht="12.75" x14ac:dyDescent="0.2">
      <c r="B1697" s="107"/>
      <c r="C1697" s="39" t="s">
        <v>374</v>
      </c>
      <c r="D1697" s="40">
        <v>1.25</v>
      </c>
      <c r="E1697" s="40">
        <v>0.9</v>
      </c>
      <c r="F1697" s="40">
        <v>1.2</v>
      </c>
      <c r="G1697" s="40">
        <f>1.1+0.25</f>
        <v>1.35</v>
      </c>
      <c r="H1697" s="40">
        <f>IF(AND(F1697=0,G1697=0),D1697*E1697,IF(AND(E1697=0,G1697=0),D1697*F1697,IF(AND(E1697=0,F1697=0),D1697*G1697,IF(AND(E1697=0),D1697*F1697*G1697,IF(AND(F1697=0),D1697*E1697*G1697,IF(AND(G1697=0),D1697*E1697*F1697,D1697*E1697*F1697*G1697))))))</f>
        <v>1.8225</v>
      </c>
      <c r="I1697" s="40"/>
      <c r="J1697" s="41"/>
    </row>
    <row r="1698" spans="2:10" s="1" customFormat="1" ht="12.75" x14ac:dyDescent="0.2">
      <c r="B1698" s="107"/>
      <c r="C1698" s="39" t="s">
        <v>390</v>
      </c>
      <c r="D1698" s="40">
        <v>1.25</v>
      </c>
      <c r="E1698" s="40">
        <v>0.6</v>
      </c>
      <c r="F1698" s="40">
        <v>0.8</v>
      </c>
      <c r="G1698" s="40">
        <f>0.4+0.2</f>
        <v>0.60000000000000009</v>
      </c>
      <c r="H1698" s="40">
        <f>IF(AND(F1698=0,G1698=0),D1698*E1698,IF(AND(E1698=0,G1698=0),D1698*F1698,IF(AND(E1698=0,F1698=0),D1698*G1698,IF(AND(E1698=0),D1698*F1698*G1698,IF(AND(F1698=0),D1698*E1698*G1698,IF(AND(G1698=0),D1698*E1698*F1698,D1698*E1698*F1698*G1698))))))</f>
        <v>0.3600000000000001</v>
      </c>
      <c r="I1698" s="40"/>
      <c r="J1698" s="41"/>
    </row>
    <row r="1699" spans="2:10" s="1" customFormat="1" ht="12.75" x14ac:dyDescent="0.2">
      <c r="B1699" s="46"/>
      <c r="C1699" s="43" t="s">
        <v>490</v>
      </c>
      <c r="D1699" s="60"/>
      <c r="E1699" s="40"/>
      <c r="F1699" s="40"/>
      <c r="G1699" s="40"/>
      <c r="H1699" s="40"/>
      <c r="I1699" s="40"/>
      <c r="J1699" s="41"/>
    </row>
    <row r="1700" spans="2:10" s="1" customFormat="1" ht="12.75" x14ac:dyDescent="0.2">
      <c r="B1700" s="46"/>
      <c r="F1700" s="40" t="s">
        <v>786</v>
      </c>
      <c r="G1700" s="40">
        <v>4</v>
      </c>
      <c r="I1700" s="40"/>
      <c r="J1700" s="41"/>
    </row>
    <row r="1701" spans="2:10" s="1" customFormat="1" ht="12.75" x14ac:dyDescent="0.2">
      <c r="B1701" s="46"/>
      <c r="C1701" s="39" t="s">
        <v>784</v>
      </c>
      <c r="D1701" s="60">
        <v>1.25</v>
      </c>
      <c r="E1701" s="40">
        <f>+E1641</f>
        <v>17.45</v>
      </c>
      <c r="F1701" s="40" t="s">
        <v>785</v>
      </c>
      <c r="G1701" s="379">
        <f>+PI()*((G1700*0.0254)^2)/4</f>
        <v>8.107319665559963E-3</v>
      </c>
      <c r="H1701" s="40">
        <f>+D1701*E1701*G1701</f>
        <v>0.17684091020502668</v>
      </c>
      <c r="I1701" s="40"/>
      <c r="J1701" s="41"/>
    </row>
    <row r="1702" spans="2:10" s="1" customFormat="1" ht="12.75" x14ac:dyDescent="0.2">
      <c r="B1702" s="46"/>
      <c r="C1702" s="43" t="s">
        <v>250</v>
      </c>
      <c r="D1702" s="60"/>
      <c r="E1702" s="40"/>
      <c r="F1702" s="40"/>
      <c r="G1702" s="40"/>
      <c r="H1702" s="40"/>
      <c r="I1702" s="40"/>
      <c r="J1702" s="41"/>
    </row>
    <row r="1703" spans="2:10" s="1" customFormat="1" ht="12.75" x14ac:dyDescent="0.2">
      <c r="B1703" s="46"/>
      <c r="F1703" s="40" t="s">
        <v>786</v>
      </c>
      <c r="G1703" s="40">
        <v>10</v>
      </c>
      <c r="I1703" s="40"/>
      <c r="J1703" s="41"/>
    </row>
    <row r="1704" spans="2:10" s="1" customFormat="1" ht="12.75" x14ac:dyDescent="0.2">
      <c r="B1704" s="46"/>
      <c r="C1704" s="39" t="s">
        <v>784</v>
      </c>
      <c r="D1704" s="60">
        <v>1.25</v>
      </c>
      <c r="E1704" s="40">
        <f>+E1645</f>
        <v>24.03</v>
      </c>
      <c r="F1704" s="40" t="s">
        <v>785</v>
      </c>
      <c r="G1704" s="40">
        <f>+PI()*((G1703*0.0254)^2)/4</f>
        <v>5.0670747909749778E-2</v>
      </c>
      <c r="H1704" s="40">
        <f>+D1704*E1704*G1704</f>
        <v>1.5220225903391089</v>
      </c>
      <c r="I1704" s="40"/>
      <c r="J1704" s="41"/>
    </row>
    <row r="1705" spans="2:10" s="1" customFormat="1" ht="12.75" x14ac:dyDescent="0.2">
      <c r="B1705" s="46"/>
      <c r="C1705" s="43" t="s">
        <v>252</v>
      </c>
      <c r="D1705" s="60"/>
      <c r="E1705" s="40"/>
      <c r="F1705" s="40"/>
      <c r="G1705" s="40"/>
      <c r="H1705" s="40"/>
      <c r="I1705" s="40"/>
      <c r="J1705" s="41"/>
    </row>
    <row r="1706" spans="2:10" s="1" customFormat="1" ht="12.75" x14ac:dyDescent="0.2">
      <c r="B1706" s="46"/>
      <c r="F1706" s="40" t="s">
        <v>786</v>
      </c>
      <c r="G1706" s="40">
        <v>14</v>
      </c>
      <c r="I1706" s="40"/>
      <c r="J1706" s="41"/>
    </row>
    <row r="1707" spans="2:10" s="1" customFormat="1" ht="12.75" x14ac:dyDescent="0.2">
      <c r="B1707" s="46"/>
      <c r="C1707" s="39" t="s">
        <v>784</v>
      </c>
      <c r="D1707" s="60">
        <v>1.25</v>
      </c>
      <c r="E1707" s="40">
        <f>+E1649</f>
        <v>80</v>
      </c>
      <c r="F1707" s="40" t="s">
        <v>785</v>
      </c>
      <c r="G1707" s="40">
        <f>+PI()*((G1706*0.0254)^2)/4</f>
        <v>9.9314665903109542E-2</v>
      </c>
      <c r="H1707" s="40">
        <f>+D1707*E1707*G1707</f>
        <v>9.9314665903109542</v>
      </c>
      <c r="I1707" s="40"/>
      <c r="J1707" s="41"/>
    </row>
    <row r="1708" spans="2:10" s="1" customFormat="1" ht="12.75" x14ac:dyDescent="0.2">
      <c r="B1708" s="46"/>
      <c r="C1708" s="39"/>
      <c r="D1708" s="8"/>
      <c r="E1708" s="86"/>
      <c r="F1708" s="40"/>
      <c r="G1708" s="40"/>
      <c r="H1708" s="40"/>
      <c r="I1708" s="40"/>
      <c r="J1708" s="41"/>
    </row>
    <row r="1709" spans="2:10" s="1" customFormat="1" ht="12.75" x14ac:dyDescent="0.2">
      <c r="B1709" s="107" t="s">
        <v>634</v>
      </c>
      <c r="C1709" s="343" t="s">
        <v>624</v>
      </c>
      <c r="D1709" s="60"/>
      <c r="E1709" s="40"/>
      <c r="F1709" s="40"/>
      <c r="G1709" s="40"/>
      <c r="H1709" s="40"/>
      <c r="I1709" s="40">
        <f>+I1695</f>
        <v>16.062830090855091</v>
      </c>
      <c r="J1709" s="41" t="s">
        <v>4</v>
      </c>
    </row>
    <row r="1710" spans="2:10" s="1" customFormat="1" ht="12.75" x14ac:dyDescent="0.2">
      <c r="B1710" s="46"/>
      <c r="C1710" s="39"/>
      <c r="D1710" s="8"/>
      <c r="E1710" s="86"/>
      <c r="F1710" s="40"/>
      <c r="G1710" s="40"/>
      <c r="H1710" s="40"/>
      <c r="I1710" s="40"/>
      <c r="J1710" s="41"/>
    </row>
    <row r="1711" spans="2:10" s="1" customFormat="1" ht="12.75" x14ac:dyDescent="0.2">
      <c r="B1711" s="46"/>
      <c r="C1711" s="39"/>
      <c r="D1711" s="8"/>
      <c r="E1711" s="86"/>
      <c r="F1711" s="40"/>
      <c r="G1711" s="40"/>
      <c r="H1711" s="40"/>
      <c r="I1711" s="40"/>
      <c r="J1711" s="41"/>
    </row>
    <row r="1712" spans="2:10" s="1" customFormat="1" ht="12.75" x14ac:dyDescent="0.2">
      <c r="B1712" s="46"/>
      <c r="C1712" s="59"/>
    </row>
    <row r="1713" spans="2:10" s="1" customFormat="1" ht="12.75" x14ac:dyDescent="0.2">
      <c r="B1713" s="46"/>
      <c r="C1713" s="59"/>
      <c r="D1713" s="60"/>
      <c r="E1713" s="40"/>
      <c r="F1713" s="40"/>
      <c r="G1713" s="40"/>
      <c r="H1713" s="40"/>
      <c r="I1713" s="40"/>
      <c r="J1713" s="41"/>
    </row>
    <row r="1714" spans="2:10" s="1" customFormat="1" ht="12.75" x14ac:dyDescent="0.2">
      <c r="B1714" s="46"/>
      <c r="C1714" s="59"/>
      <c r="D1714" s="60"/>
      <c r="E1714" s="40"/>
      <c r="F1714" s="40"/>
      <c r="G1714" s="40"/>
      <c r="H1714" s="40"/>
      <c r="I1714" s="40"/>
      <c r="J1714" s="41"/>
    </row>
    <row r="1715" spans="2:10" s="1" customFormat="1" ht="12.75" x14ac:dyDescent="0.2">
      <c r="B1715" s="46"/>
      <c r="C1715" s="59"/>
      <c r="D1715" s="60"/>
      <c r="E1715" s="40"/>
      <c r="F1715" s="40"/>
      <c r="G1715" s="40"/>
      <c r="H1715" s="40"/>
      <c r="I1715" s="40"/>
      <c r="J1715" s="41"/>
    </row>
    <row r="1716" spans="2:10" s="1" customFormat="1" ht="12.75" x14ac:dyDescent="0.2">
      <c r="B1716" s="46"/>
      <c r="C1716" s="59"/>
      <c r="D1716" s="60"/>
      <c r="E1716" s="40"/>
      <c r="F1716" s="40"/>
      <c r="G1716" s="40"/>
      <c r="H1716" s="40"/>
      <c r="I1716" s="40"/>
      <c r="J1716" s="41"/>
    </row>
    <row r="1717" spans="2:10" s="1" customFormat="1" ht="12.75" x14ac:dyDescent="0.2">
      <c r="B1717" s="46"/>
      <c r="C1717" s="59"/>
      <c r="D1717" s="60"/>
      <c r="E1717" s="40"/>
      <c r="F1717" s="40"/>
      <c r="G1717" s="40"/>
      <c r="H1717" s="40"/>
      <c r="I1717" s="40"/>
      <c r="J1717" s="41"/>
    </row>
    <row r="1718" spans="2:10" s="1" customFormat="1" ht="12.75" x14ac:dyDescent="0.2">
      <c r="B1718" s="46"/>
      <c r="C1718" s="59"/>
      <c r="D1718" s="60"/>
      <c r="E1718" s="40"/>
      <c r="F1718" s="40"/>
      <c r="G1718" s="40"/>
      <c r="H1718" s="40"/>
      <c r="I1718" s="40"/>
      <c r="J1718" s="41"/>
    </row>
    <row r="1719" spans="2:10" s="1" customFormat="1" ht="12.75" x14ac:dyDescent="0.2">
      <c r="B1719" s="46"/>
      <c r="C1719" s="59"/>
      <c r="D1719" s="60"/>
      <c r="E1719" s="40"/>
      <c r="F1719" s="40"/>
      <c r="G1719" s="40"/>
      <c r="H1719" s="40"/>
      <c r="I1719" s="40"/>
      <c r="J1719" s="41"/>
    </row>
    <row r="1720" spans="2:10" s="1" customFormat="1" ht="12.75" x14ac:dyDescent="0.2">
      <c r="B1720" s="46"/>
      <c r="C1720" s="59"/>
      <c r="D1720" s="60"/>
      <c r="E1720" s="40"/>
      <c r="F1720" s="40"/>
      <c r="G1720" s="40"/>
      <c r="H1720" s="40"/>
      <c r="I1720" s="40"/>
      <c r="J1720" s="41"/>
    </row>
    <row r="1721" spans="2:10" s="1" customFormat="1" ht="12.75" x14ac:dyDescent="0.2">
      <c r="C1721" s="98" t="s">
        <v>37</v>
      </c>
      <c r="D1721" s="98"/>
      <c r="E1721" s="98"/>
      <c r="F1721" s="98"/>
      <c r="G1721" s="98"/>
      <c r="H1721" s="98"/>
    </row>
    <row r="1722" spans="2:10" s="1" customFormat="1" ht="12.75" x14ac:dyDescent="0.2">
      <c r="C1722" s="98" t="s">
        <v>38</v>
      </c>
      <c r="D1722" s="98"/>
      <c r="E1722" s="98"/>
      <c r="F1722" s="98"/>
      <c r="G1722" s="98"/>
      <c r="H1722" s="98"/>
    </row>
    <row r="1723" spans="2:10" s="1" customFormat="1" ht="12.75" x14ac:dyDescent="0.2">
      <c r="C1723" s="98" t="s">
        <v>39</v>
      </c>
      <c r="D1723" s="98"/>
      <c r="E1723" s="98"/>
      <c r="F1723" s="98"/>
      <c r="G1723" s="98"/>
      <c r="H1723" s="98"/>
    </row>
    <row r="1724" spans="2:10" s="1" customFormat="1" ht="12.75" x14ac:dyDescent="0.2">
      <c r="C1724" s="99" t="s">
        <v>40</v>
      </c>
      <c r="D1724" s="99"/>
      <c r="E1724" s="99"/>
      <c r="F1724" s="99"/>
      <c r="G1724" s="99"/>
      <c r="H1724" s="99"/>
    </row>
    <row r="1725" spans="2:10" s="1" customFormat="1" ht="12.75" customHeight="1" x14ac:dyDescent="0.2">
      <c r="C1725" s="80"/>
      <c r="D1725" s="99"/>
      <c r="E1725" s="99"/>
      <c r="F1725" s="99"/>
      <c r="G1725" s="99"/>
      <c r="H1725" s="99"/>
    </row>
    <row r="1726" spans="2:10" s="1" customFormat="1" ht="45.75" customHeight="1" x14ac:dyDescent="0.2">
      <c r="B1726" s="100" t="s">
        <v>65</v>
      </c>
      <c r="C1726" s="101"/>
      <c r="D1726" s="101"/>
      <c r="E1726" s="101"/>
      <c r="F1726" s="101"/>
      <c r="G1726" s="101"/>
      <c r="H1726" s="101"/>
      <c r="I1726" s="101"/>
      <c r="J1726" s="102"/>
    </row>
    <row r="1727" spans="2:10" s="1" customFormat="1" ht="20.25" x14ac:dyDescent="0.2">
      <c r="B1727" s="104" t="s">
        <v>365</v>
      </c>
      <c r="C1727" s="105"/>
      <c r="D1727" s="105"/>
      <c r="E1727" s="105"/>
      <c r="F1727" s="105"/>
      <c r="G1727" s="105"/>
      <c r="H1727" s="105"/>
      <c r="I1727" s="105"/>
      <c r="J1727" s="106"/>
    </row>
    <row r="1728" spans="2:10" s="1" customFormat="1" ht="13.5" thickBot="1" x14ac:dyDescent="0.25">
      <c r="B1728" s="81"/>
      <c r="C1728" s="81"/>
      <c r="D1728" s="103"/>
      <c r="E1728" s="103"/>
      <c r="F1728" s="103"/>
      <c r="G1728" s="103"/>
      <c r="H1728" s="103"/>
      <c r="I1728" s="103"/>
      <c r="J1728" s="103"/>
    </row>
    <row r="1729" spans="2:10" s="1" customFormat="1" ht="165.75" x14ac:dyDescent="0.2">
      <c r="B1729" s="94" t="s">
        <v>27</v>
      </c>
      <c r="C1729" s="95"/>
      <c r="D1729" s="95"/>
      <c r="E1729" s="95"/>
      <c r="F1729" s="95"/>
      <c r="G1729" s="95"/>
      <c r="H1729" s="95"/>
      <c r="I1729" s="95"/>
      <c r="J1729" s="96"/>
    </row>
    <row r="1730" spans="2:10" s="1" customFormat="1" ht="12.75" x14ac:dyDescent="0.2">
      <c r="B1730" s="2" t="s">
        <v>35</v>
      </c>
      <c r="C1730" s="3" t="s">
        <v>36</v>
      </c>
      <c r="D1730" s="3"/>
      <c r="E1730" s="4"/>
      <c r="F1730" s="5"/>
      <c r="G1730" s="6" t="s">
        <v>8</v>
      </c>
      <c r="H1730" s="97">
        <v>42879</v>
      </c>
      <c r="I1730" s="97"/>
      <c r="J1730" s="7"/>
    </row>
    <row r="1731" spans="2:10" s="1" customFormat="1" ht="12.75" x14ac:dyDescent="0.2">
      <c r="B1731" s="2" t="s">
        <v>33</v>
      </c>
      <c r="C1731" s="3" t="s">
        <v>29</v>
      </c>
      <c r="D1731" s="8"/>
      <c r="E1731" s="8"/>
      <c r="F1731" s="3"/>
      <c r="G1731" s="9" t="s">
        <v>32</v>
      </c>
      <c r="H1731" s="4" t="s">
        <v>29</v>
      </c>
      <c r="I1731" s="10"/>
      <c r="J1731" s="11"/>
    </row>
    <row r="1732" spans="2:10" s="1" customFormat="1" ht="12.75" x14ac:dyDescent="0.2">
      <c r="B1732" s="2" t="s">
        <v>34</v>
      </c>
      <c r="C1732" s="3" t="s">
        <v>29</v>
      </c>
      <c r="D1732" s="8"/>
      <c r="E1732" s="8"/>
      <c r="F1732" s="3"/>
      <c r="G1732" s="9" t="s">
        <v>30</v>
      </c>
      <c r="H1732" s="4" t="s">
        <v>31</v>
      </c>
      <c r="I1732" s="10"/>
      <c r="J1732" s="11"/>
    </row>
    <row r="1733" spans="2:10" s="1" customFormat="1" ht="13.5" thickBot="1" x14ac:dyDescent="0.25">
      <c r="B1733" s="12" t="s">
        <v>43</v>
      </c>
      <c r="C1733" s="13" t="s">
        <v>44</v>
      </c>
      <c r="D1733" s="14"/>
      <c r="E1733" s="14"/>
      <c r="F1733" s="13"/>
      <c r="G1733" s="15" t="s">
        <v>41</v>
      </c>
      <c r="H1733" s="16" t="s">
        <v>42</v>
      </c>
      <c r="I1733" s="17"/>
      <c r="J1733" s="18"/>
    </row>
    <row r="1734" spans="2:10" s="1" customFormat="1" ht="12.75" x14ac:dyDescent="0.2">
      <c r="B1734" s="81"/>
      <c r="C1734" s="81"/>
      <c r="D1734" s="103"/>
      <c r="E1734" s="103"/>
      <c r="F1734" s="103"/>
      <c r="G1734" s="103"/>
      <c r="H1734" s="103"/>
      <c r="I1734" s="103"/>
      <c r="J1734" s="103"/>
    </row>
    <row r="1735" spans="2:10" s="1" customFormat="1" ht="12.75" x14ac:dyDescent="0.2">
      <c r="B1735" s="21" t="s">
        <v>5</v>
      </c>
      <c r="C1735" s="22" t="s">
        <v>0</v>
      </c>
      <c r="D1735" s="22" t="s">
        <v>9</v>
      </c>
      <c r="E1735" s="22" t="s">
        <v>10</v>
      </c>
      <c r="F1735" s="22" t="s">
        <v>1</v>
      </c>
      <c r="G1735" s="22" t="s">
        <v>2</v>
      </c>
      <c r="H1735" s="22" t="s">
        <v>11</v>
      </c>
      <c r="I1735" s="22" t="s">
        <v>6</v>
      </c>
      <c r="J1735" s="22" t="s">
        <v>7</v>
      </c>
    </row>
    <row r="1736" spans="2:10" s="1" customFormat="1" ht="12.75" x14ac:dyDescent="0.2">
      <c r="B1736" s="55">
        <v>4.03</v>
      </c>
      <c r="C1736" s="56" t="s">
        <v>222</v>
      </c>
      <c r="D1736" s="60"/>
      <c r="E1736" s="40"/>
      <c r="F1736" s="40"/>
      <c r="G1736" s="40"/>
      <c r="H1736" s="40"/>
      <c r="I1736" s="40"/>
      <c r="J1736" s="41"/>
    </row>
    <row r="1737" spans="2:10" s="1" customFormat="1" ht="12.75" x14ac:dyDescent="0.2">
      <c r="B1737" s="57" t="s">
        <v>14</v>
      </c>
      <c r="C1737" s="58" t="s">
        <v>225</v>
      </c>
      <c r="D1737" s="60"/>
      <c r="E1737" s="40"/>
      <c r="F1737" s="40"/>
      <c r="G1737" s="40"/>
      <c r="H1737" s="40"/>
      <c r="I1737" s="40"/>
      <c r="J1737" s="41"/>
    </row>
    <row r="1738" spans="2:10" s="1" customFormat="1" ht="12.75" x14ac:dyDescent="0.2">
      <c r="B1738" s="43" t="s">
        <v>15</v>
      </c>
      <c r="C1738" s="43" t="s">
        <v>359</v>
      </c>
      <c r="D1738" s="60"/>
      <c r="E1738" s="40"/>
      <c r="F1738" s="40"/>
      <c r="G1738" s="40"/>
      <c r="H1738" s="40"/>
      <c r="I1738" s="44">
        <f>SUM(H1739:H1739)</f>
        <v>16.649999999999999</v>
      </c>
      <c r="J1738" s="45" t="str">
        <f>+J1739</f>
        <v>ml</v>
      </c>
    </row>
    <row r="1739" spans="2:10" s="1" customFormat="1" ht="12.75" x14ac:dyDescent="0.2">
      <c r="B1739" s="43"/>
      <c r="C1739" s="39" t="s">
        <v>462</v>
      </c>
      <c r="D1739" s="60">
        <v>1</v>
      </c>
      <c r="E1739" s="40">
        <v>16.649999999999999</v>
      </c>
      <c r="F1739" s="40"/>
      <c r="G1739" s="40"/>
      <c r="H1739" s="40">
        <f>IF(AND(F1739=0,G1739=0),D1739*E1739,IF(AND(E1739=0,G1739=0),D1739*F1739,IF(AND(E1739=0,F1739=0),D1739*G1739,IF(AND(E1739=0),D1739*F1739*G1739,IF(AND(F1739=0),D1739*E1739*G1739,IF(AND(G1739=0),D1739*E1739*F1739,D1739*E1739*F1739*G1739))))))</f>
        <v>16.649999999999999</v>
      </c>
      <c r="I1739" s="40"/>
      <c r="J1739" s="41" t="str">
        <f>IF(AND(E1739=0,F1739&lt;&gt;0,G1739&lt;&gt;0),"m2",IF(AND(F1739=0,E1739&lt;&gt;0,G1739&lt;&gt;0),"m2",IF(AND(G1739=0,E1739&lt;&gt;0,F1739&lt;&gt;0),"m2",IF(AND(F1739=0,G1739=0),"ml",IF(AND(E1739=0,G1739=0),"ml",IF(AND(E1739=0,F1739=0),"ml",IF(AND(E1739&lt;&gt;0,F1739&lt;&gt;0,G1739&lt;&gt;0),"m3",0)))))))</f>
        <v>ml</v>
      </c>
    </row>
    <row r="1740" spans="2:10" s="1" customFormat="1" ht="12.75" x14ac:dyDescent="0.2">
      <c r="B1740" s="43"/>
      <c r="C1740" s="39"/>
      <c r="D1740" s="40"/>
      <c r="E1740" s="40"/>
      <c r="F1740" s="40"/>
      <c r="G1740" s="40"/>
      <c r="H1740" s="40"/>
      <c r="I1740" s="40"/>
      <c r="J1740" s="41" t="str">
        <f>IF(AND(E1740=0,F1740&lt;&gt;0,G1740&lt;&gt;0),"m2",IF(AND(F1740=0,E1740&lt;&gt;0,G1740&lt;&gt;0),"m2",IF(AND(G1740=0,E1740&lt;&gt;0,F1740&lt;&gt;0),"m2",IF(AND(F1740=0,G1740=0),"ml",IF(AND(E1740=0,G1740=0),"ml",IF(AND(E1740=0,F1740=0),"ml",IF(AND(E1740&lt;&gt;0,F1740&lt;&gt;0,G1740&lt;&gt;0),"m3",0)))))))</f>
        <v>ml</v>
      </c>
    </row>
    <row r="1741" spans="2:10" s="1" customFormat="1" ht="12.75" x14ac:dyDescent="0.2">
      <c r="B1741" s="43" t="s">
        <v>232</v>
      </c>
      <c r="C1741" s="43" t="s">
        <v>235</v>
      </c>
      <c r="D1741" s="60"/>
      <c r="E1741" s="40"/>
      <c r="F1741" s="40"/>
      <c r="G1741" s="40"/>
      <c r="H1741" s="40"/>
      <c r="I1741" s="44">
        <f>SUM(H1742:H1743)</f>
        <v>11</v>
      </c>
      <c r="J1741" s="45" t="str">
        <f>+J1742</f>
        <v>ml</v>
      </c>
    </row>
    <row r="1742" spans="2:10" s="1" customFormat="1" ht="12.75" x14ac:dyDescent="0.2">
      <c r="B1742" s="57"/>
      <c r="C1742" s="39" t="s">
        <v>378</v>
      </c>
      <c r="D1742" s="40">
        <v>2</v>
      </c>
      <c r="E1742" s="40">
        <v>3.5</v>
      </c>
      <c r="F1742" s="40"/>
      <c r="G1742" s="40"/>
      <c r="H1742" s="40">
        <f>IF(AND(F1742=0,G1742=0),D1742*E1742,IF(AND(E1742=0,G1742=0),D1742*F1742,IF(AND(E1742=0,F1742=0),D1742*G1742,IF(AND(E1742=0),D1742*F1742*G1742,IF(AND(F1742=0),D1742*E1742*G1742,IF(AND(G1742=0),D1742*E1742*F1742,D1742*E1742*F1742*G1742))))))</f>
        <v>7</v>
      </c>
      <c r="I1742" s="40"/>
      <c r="J1742" s="41" t="str">
        <f>IF(AND(E1742=0,F1742&lt;&gt;0,G1742&lt;&gt;0),"m2",IF(AND(F1742=0,E1742&lt;&gt;0,G1742&lt;&gt;0),"m2",IF(AND(G1742=0,E1742&lt;&gt;0,F1742&lt;&gt;0),"m2",IF(AND(F1742=0,G1742=0),"ml",IF(AND(E1742=0,G1742=0),"ml",IF(AND(E1742=0,F1742=0),"ml",IF(AND(E1742&lt;&gt;0,F1742&lt;&gt;0,G1742&lt;&gt;0),"m3",0)))))))</f>
        <v>ml</v>
      </c>
    </row>
    <row r="1743" spans="2:10" s="1" customFormat="1" ht="12.75" x14ac:dyDescent="0.2">
      <c r="B1743" s="57"/>
      <c r="C1743" s="39" t="s">
        <v>379</v>
      </c>
      <c r="D1743" s="40">
        <v>1</v>
      </c>
      <c r="E1743" s="40">
        <v>4</v>
      </c>
      <c r="F1743" s="40"/>
      <c r="G1743" s="40"/>
      <c r="H1743" s="40">
        <f>IF(AND(F1743=0,G1743=0),D1743*E1743,IF(AND(E1743=0,G1743=0),D1743*F1743,IF(AND(E1743=0,F1743=0),D1743*G1743,IF(AND(E1743=0),D1743*F1743*G1743,IF(AND(F1743=0),D1743*E1743*G1743,IF(AND(G1743=0),D1743*E1743*F1743,D1743*E1743*F1743*G1743))))))</f>
        <v>4</v>
      </c>
      <c r="I1743" s="40"/>
      <c r="J1743" s="41" t="str">
        <f>IF(AND(E1743=0,F1743&lt;&gt;0,G1743&lt;&gt;0),"m2",IF(AND(F1743=0,E1743&lt;&gt;0,G1743&lt;&gt;0),"m2",IF(AND(G1743=0,E1743&lt;&gt;0,F1743&lt;&gt;0),"m2",IF(AND(F1743=0,G1743=0),"ml",IF(AND(E1743=0,G1743=0),"ml",IF(AND(E1743=0,F1743=0),"ml",IF(AND(E1743&lt;&gt;0,F1743&lt;&gt;0,G1743&lt;&gt;0),"m3",0)))))))</f>
        <v>ml</v>
      </c>
    </row>
    <row r="1744" spans="2:10" s="1" customFormat="1" ht="12.75" x14ac:dyDescent="0.2">
      <c r="B1744" s="43" t="s">
        <v>233</v>
      </c>
      <c r="C1744" s="43" t="s">
        <v>236</v>
      </c>
      <c r="D1744" s="60"/>
      <c r="E1744" s="40"/>
      <c r="F1744" s="40"/>
      <c r="G1744" s="40"/>
      <c r="H1744" s="40"/>
      <c r="I1744" s="44">
        <f>SUM(H1745:H1745)</f>
        <v>0</v>
      </c>
      <c r="J1744" s="45" t="str">
        <f>+J1745</f>
        <v>ml</v>
      </c>
    </row>
    <row r="1745" spans="2:10" s="1" customFormat="1" ht="12.75" x14ac:dyDescent="0.2">
      <c r="B1745" s="57"/>
      <c r="C1745" s="39" t="s">
        <v>231</v>
      </c>
      <c r="D1745" s="40"/>
      <c r="E1745" s="40"/>
      <c r="F1745" s="40"/>
      <c r="G1745" s="40"/>
      <c r="H1745" s="40">
        <f>IF(AND(F1745=0,G1745=0),D1745*E1745,IF(AND(E1745=0,G1745=0),D1745*F1745,IF(AND(E1745=0,F1745=0),D1745*G1745,IF(AND(E1745=0),D1745*F1745*G1745,IF(AND(F1745=0),D1745*E1745*G1745,IF(AND(G1745=0),D1745*E1745*F1745,D1745*E1745*F1745*G1745))))))</f>
        <v>0</v>
      </c>
      <c r="I1745" s="40"/>
      <c r="J1745" s="41" t="str">
        <f>IF(AND(E1745=0,F1745&lt;&gt;0,G1745&lt;&gt;0),"m2",IF(AND(F1745=0,E1745&lt;&gt;0,G1745&lt;&gt;0),"m2",IF(AND(G1745=0,E1745&lt;&gt;0,F1745&lt;&gt;0),"m2",IF(AND(F1745=0,G1745=0),"ml",IF(AND(E1745=0,G1745=0),"ml",IF(AND(E1745=0,F1745=0),"ml",IF(AND(E1745&lt;&gt;0,F1745&lt;&gt;0,G1745&lt;&gt;0),"m3",0)))))))</f>
        <v>ml</v>
      </c>
    </row>
    <row r="1746" spans="2:10" s="1" customFormat="1" ht="12.75" x14ac:dyDescent="0.2">
      <c r="B1746" s="43" t="s">
        <v>234</v>
      </c>
      <c r="C1746" s="43" t="s">
        <v>267</v>
      </c>
      <c r="D1746" s="60"/>
      <c r="E1746" s="40"/>
      <c r="F1746" s="40"/>
      <c r="G1746" s="40"/>
      <c r="H1746" s="40"/>
      <c r="I1746" s="44">
        <f>SUM(H1747:H1747)</f>
        <v>10.35</v>
      </c>
      <c r="J1746" s="45" t="s">
        <v>345</v>
      </c>
    </row>
    <row r="1747" spans="2:10" s="1" customFormat="1" ht="12.75" x14ac:dyDescent="0.2">
      <c r="B1747" s="43"/>
      <c r="C1747" s="39" t="s">
        <v>456</v>
      </c>
      <c r="D1747" s="60">
        <v>1</v>
      </c>
      <c r="E1747" s="40">
        <v>10.35</v>
      </c>
      <c r="F1747" s="40"/>
      <c r="G1747" s="40"/>
      <c r="H1747" s="40">
        <f>IF(AND(F1747=0,G1747=0),D1747*E1747,IF(AND(E1747=0,G1747=0),D1747*F1747,IF(AND(E1747=0,F1747=0),D1747*G1747,IF(AND(E1747=0),D1747*F1747*G1747,IF(AND(F1747=0),D1747*E1747*G1747,IF(AND(G1747=0),D1747*E1747*F1747,D1747*E1747*F1747*G1747))))))</f>
        <v>10.35</v>
      </c>
      <c r="I1747" s="44"/>
      <c r="J1747" s="45"/>
    </row>
    <row r="1748" spans="2:10" s="1" customFormat="1" ht="12.75" x14ac:dyDescent="0.2">
      <c r="B1748" s="43"/>
      <c r="C1748" s="39"/>
      <c r="D1748" s="60"/>
      <c r="E1748" s="40"/>
      <c r="F1748" s="40"/>
      <c r="G1748" s="40"/>
      <c r="H1748" s="40"/>
      <c r="I1748" s="44"/>
      <c r="J1748" s="45"/>
    </row>
    <row r="1749" spans="2:10" s="1" customFormat="1" ht="12.75" x14ac:dyDescent="0.2">
      <c r="B1749" s="43" t="s">
        <v>268</v>
      </c>
      <c r="C1749" s="43" t="s">
        <v>347</v>
      </c>
      <c r="D1749" s="60"/>
      <c r="E1749" s="40"/>
      <c r="F1749" s="40"/>
      <c r="G1749" s="40"/>
      <c r="H1749" s="40"/>
      <c r="I1749" s="44">
        <f>SUM(H1750:H1752)</f>
        <v>15.7</v>
      </c>
      <c r="J1749" s="45" t="e">
        <f>+J1750</f>
        <v>#REF!</v>
      </c>
    </row>
    <row r="1750" spans="2:10" s="1" customFormat="1" ht="12.75" x14ac:dyDescent="0.2">
      <c r="B1750" s="57"/>
      <c r="C1750" s="39" t="s">
        <v>462</v>
      </c>
      <c r="D1750" s="60">
        <v>1</v>
      </c>
      <c r="E1750" s="89">
        <f>10.35</f>
        <v>10.35</v>
      </c>
      <c r="F1750" s="40"/>
      <c r="G1750" s="40"/>
      <c r="H1750" s="40">
        <f t="shared" ref="H1750:H1751" si="114">IF(AND(F1750=0,G1750=0),D1750*E1750,IF(AND(E1750=0,G1750=0),D1750*F1750,IF(AND(E1750=0,F1750=0),D1750*G1750,IF(AND(E1750=0),D1750*F1750*G1750,IF(AND(F1750=0),D1750*E1750*G1750,IF(AND(G1750=0),D1750*E1750*F1750,D1750*E1750*F1750*G1750))))))</f>
        <v>10.35</v>
      </c>
      <c r="I1750" s="40"/>
      <c r="J1750" s="41" t="e">
        <f>IF(AND(#REF!=0,#REF!&lt;&gt;0,#REF!&lt;&gt;0),"m2",IF(AND(#REF!=0,#REF!&lt;&gt;0,#REF!&lt;&gt;0),"m2",IF(AND(#REF!=0,#REF!&lt;&gt;0,#REF!&lt;&gt;0),"m2",IF(AND(#REF!=0,#REF!=0),"ml",IF(AND(#REF!=0,#REF!=0),"ml",IF(AND(#REF!=0,#REF!=0),"ml",IF(AND(#REF!&lt;&gt;0,#REF!&lt;&gt;0,#REF!&lt;&gt;0),"m3",0)))))))</f>
        <v>#REF!</v>
      </c>
    </row>
    <row r="1751" spans="2:10" s="1" customFormat="1" ht="12.75" x14ac:dyDescent="0.2">
      <c r="B1751" s="57"/>
      <c r="C1751" s="39" t="s">
        <v>662</v>
      </c>
      <c r="D1751" s="60">
        <v>1</v>
      </c>
      <c r="E1751" s="89">
        <v>5.35</v>
      </c>
      <c r="F1751" s="40"/>
      <c r="G1751" s="40"/>
      <c r="H1751" s="40">
        <f t="shared" si="114"/>
        <v>5.35</v>
      </c>
      <c r="I1751" s="40"/>
      <c r="J1751" s="41"/>
    </row>
    <row r="1752" spans="2:10" s="1" customFormat="1" ht="12.75" x14ac:dyDescent="0.2">
      <c r="B1752" s="57"/>
      <c r="C1752" s="39"/>
      <c r="D1752" s="40"/>
      <c r="E1752" s="40"/>
      <c r="F1752" s="40"/>
      <c r="G1752" s="40"/>
      <c r="H1752" s="40"/>
      <c r="I1752" s="40"/>
      <c r="J1752" s="41" t="str">
        <f t="shared" ref="J1752" si="115">IF(AND(E1752=0,F1752&lt;&gt;0,G1752&lt;&gt;0),"m2",IF(AND(F1752=0,E1752&lt;&gt;0,G1752&lt;&gt;0),"m2",IF(AND(G1752=0,E1752&lt;&gt;0,F1752&lt;&gt;0),"m2",IF(AND(F1752=0,G1752=0),"ml",IF(AND(E1752=0,G1752=0),"ml",IF(AND(E1752=0,F1752=0),"ml",IF(AND(E1752&lt;&gt;0,F1752&lt;&gt;0,G1752&lt;&gt;0),"m3",0)))))))</f>
        <v>ml</v>
      </c>
    </row>
    <row r="1753" spans="2:10" s="1" customFormat="1" ht="12.75" x14ac:dyDescent="0.2">
      <c r="B1753" s="43" t="s">
        <v>270</v>
      </c>
      <c r="C1753" s="43" t="s">
        <v>269</v>
      </c>
      <c r="D1753" s="60"/>
      <c r="E1753" s="40"/>
      <c r="F1753" s="40"/>
      <c r="G1753" s="40"/>
      <c r="H1753" s="40"/>
      <c r="I1753" s="44">
        <f>SUM(H1754:H1756)</f>
        <v>0</v>
      </c>
      <c r="J1753" s="45" t="str">
        <f>+J1754</f>
        <v>ml</v>
      </c>
    </row>
    <row r="1754" spans="2:10" s="1" customFormat="1" ht="12.75" x14ac:dyDescent="0.2">
      <c r="B1754" s="57"/>
      <c r="C1754" s="39" t="s">
        <v>71</v>
      </c>
      <c r="D1754" s="40"/>
      <c r="E1754" s="40"/>
      <c r="F1754" s="40"/>
      <c r="G1754" s="40"/>
      <c r="H1754" s="40">
        <f>IF(AND(F1754=0,G1754=0),D1754*E1754,IF(AND(E1754=0,G1754=0),D1754*F1754,IF(AND(E1754=0,F1754=0),D1754*G1754,IF(AND(E1754=0),D1754*F1754*G1754,IF(AND(F1754=0),D1754*E1754*G1754,IF(AND(G1754=0),D1754*E1754*F1754,D1754*E1754*F1754*G1754))))))</f>
        <v>0</v>
      </c>
      <c r="I1754" s="40"/>
      <c r="J1754" s="41" t="str">
        <f>IF(AND(E1754=0,F1754&lt;&gt;0,G1754&lt;&gt;0),"m2",IF(AND(F1754=0,E1754&lt;&gt;0,G1754&lt;&gt;0),"m2",IF(AND(G1754=0,E1754&lt;&gt;0,F1754&lt;&gt;0),"m2",IF(AND(F1754=0,G1754=0),"ml",IF(AND(E1754=0,G1754=0),"ml",IF(AND(E1754=0,F1754=0),"ml",IF(AND(E1754&lt;&gt;0,F1754&lt;&gt;0,G1754&lt;&gt;0),"m3",0)))))))</f>
        <v>ml</v>
      </c>
    </row>
    <row r="1755" spans="2:10" s="1" customFormat="1" ht="12.75" x14ac:dyDescent="0.2">
      <c r="B1755" s="57"/>
      <c r="C1755" s="39" t="s">
        <v>72</v>
      </c>
      <c r="D1755" s="40"/>
      <c r="E1755" s="40"/>
      <c r="F1755" s="40"/>
      <c r="G1755" s="40"/>
      <c r="H1755" s="40">
        <f>IF(AND(F1755=0,G1755=0),D1755*E1755,IF(AND(E1755=0,G1755=0),D1755*F1755,IF(AND(E1755=0,F1755=0),D1755*G1755,IF(AND(E1755=0),D1755*F1755*G1755,IF(AND(F1755=0),D1755*E1755*G1755,IF(AND(G1755=0),D1755*E1755*F1755,D1755*E1755*F1755*G1755))))))</f>
        <v>0</v>
      </c>
      <c r="I1755" s="40"/>
      <c r="J1755" s="41" t="str">
        <f>IF(AND(E1755=0,F1755&lt;&gt;0,G1755&lt;&gt;0),"m2",IF(AND(F1755=0,E1755&lt;&gt;0,G1755&lt;&gt;0),"m2",IF(AND(G1755=0,E1755&lt;&gt;0,F1755&lt;&gt;0),"m2",IF(AND(F1755=0,G1755=0),"ml",IF(AND(E1755=0,G1755=0),"ml",IF(AND(E1755=0,F1755=0),"ml",IF(AND(E1755&lt;&gt;0,F1755&lt;&gt;0,G1755&lt;&gt;0),"m3",0)))))))</f>
        <v>ml</v>
      </c>
    </row>
    <row r="1756" spans="2:10" s="1" customFormat="1" ht="12.75" x14ac:dyDescent="0.2">
      <c r="B1756" s="57"/>
      <c r="C1756" s="39" t="s">
        <v>73</v>
      </c>
      <c r="D1756" s="40"/>
      <c r="E1756" s="40"/>
      <c r="F1756" s="40"/>
      <c r="G1756" s="40"/>
      <c r="H1756" s="40">
        <f>IF(AND(F1756=0,G1756=0),D1756*E1756,IF(AND(E1756=0,G1756=0),D1756*F1756,IF(AND(E1756=0,F1756=0),D1756*G1756,IF(AND(E1756=0),D1756*F1756*G1756,IF(AND(F1756=0),D1756*E1756*G1756,IF(AND(G1756=0),D1756*E1756*F1756,D1756*E1756*F1756*G1756))))))</f>
        <v>0</v>
      </c>
      <c r="I1756" s="40"/>
      <c r="J1756" s="41" t="str">
        <f>IF(AND(E1756=0,F1756&lt;&gt;0,G1756&lt;&gt;0),"m2",IF(AND(F1756=0,E1756&lt;&gt;0,G1756&lt;&gt;0),"m2",IF(AND(G1756=0,E1756&lt;&gt;0,F1756&lt;&gt;0),"m2",IF(AND(F1756=0,G1756=0),"ml",IF(AND(E1756=0,G1756=0),"ml",IF(AND(E1756=0,F1756=0),"ml",IF(AND(E1756&lt;&gt;0,F1756&lt;&gt;0,G1756&lt;&gt;0),"m3",0)))))))</f>
        <v>ml</v>
      </c>
    </row>
    <row r="1757" spans="2:10" s="1" customFormat="1" ht="12.75" x14ac:dyDescent="0.2">
      <c r="B1757" s="43"/>
      <c r="C1757" s="39"/>
      <c r="D1757" s="60"/>
      <c r="E1757" s="40"/>
      <c r="F1757" s="40"/>
      <c r="G1757" s="40"/>
      <c r="H1757" s="40"/>
      <c r="I1757" s="40"/>
      <c r="J1757" s="41"/>
    </row>
    <row r="1758" spans="2:10" s="1" customFormat="1" ht="12.75" x14ac:dyDescent="0.2">
      <c r="B1758" s="43" t="s">
        <v>342</v>
      </c>
      <c r="C1758" s="43" t="s">
        <v>271</v>
      </c>
      <c r="D1758" s="60"/>
      <c r="E1758" s="40"/>
      <c r="F1758" s="40"/>
      <c r="G1758" s="40"/>
      <c r="H1758" s="40"/>
      <c r="I1758" s="44">
        <f>SUM(H1759:H1760)</f>
        <v>4</v>
      </c>
      <c r="J1758" s="45" t="str">
        <f>+J1759</f>
        <v>und</v>
      </c>
    </row>
    <row r="1759" spans="2:10" s="1" customFormat="1" ht="12.75" x14ac:dyDescent="0.2">
      <c r="B1759" s="57"/>
      <c r="C1759" s="39" t="s">
        <v>370</v>
      </c>
      <c r="D1759" s="40">
        <v>3</v>
      </c>
      <c r="E1759" s="40"/>
      <c r="F1759" s="40"/>
      <c r="G1759" s="40"/>
      <c r="H1759" s="40">
        <f>+D1759</f>
        <v>3</v>
      </c>
      <c r="I1759" s="40"/>
      <c r="J1759" s="41" t="s">
        <v>13</v>
      </c>
    </row>
    <row r="1760" spans="2:10" s="1" customFormat="1" ht="12.75" x14ac:dyDescent="0.2">
      <c r="B1760" s="57"/>
      <c r="C1760" s="39" t="s">
        <v>644</v>
      </c>
      <c r="D1760" s="60">
        <v>1</v>
      </c>
      <c r="E1760" s="40"/>
      <c r="F1760" s="40"/>
      <c r="G1760" s="40"/>
      <c r="H1760" s="40">
        <v>1</v>
      </c>
      <c r="I1760" s="40"/>
      <c r="J1760" s="41"/>
    </row>
    <row r="1761" spans="2:10" s="1" customFormat="1" ht="12.75" x14ac:dyDescent="0.2">
      <c r="B1761" s="43" t="s">
        <v>346</v>
      </c>
      <c r="C1761" s="43" t="s">
        <v>348</v>
      </c>
      <c r="D1761" s="60"/>
      <c r="E1761" s="40"/>
      <c r="F1761" s="40"/>
      <c r="G1761" s="40"/>
      <c r="H1761" s="40"/>
      <c r="I1761" s="44">
        <f>SUM(H1762:H1763)</f>
        <v>2</v>
      </c>
      <c r="J1761" s="45" t="str">
        <f>+J1762</f>
        <v>und</v>
      </c>
    </row>
    <row r="1762" spans="2:10" s="1" customFormat="1" ht="12.75" x14ac:dyDescent="0.2">
      <c r="B1762" s="57"/>
      <c r="C1762" s="39" t="s">
        <v>349</v>
      </c>
      <c r="D1762" s="40">
        <v>1</v>
      </c>
      <c r="E1762" s="40"/>
      <c r="F1762" s="40"/>
      <c r="G1762" s="40"/>
      <c r="H1762" s="40">
        <f>+D1762</f>
        <v>1</v>
      </c>
      <c r="I1762" s="40"/>
      <c r="J1762" s="41" t="s">
        <v>13</v>
      </c>
    </row>
    <row r="1763" spans="2:10" s="1" customFormat="1" ht="12.75" x14ac:dyDescent="0.2">
      <c r="B1763" s="57"/>
      <c r="C1763" s="39" t="s">
        <v>644</v>
      </c>
      <c r="D1763" s="60">
        <v>1</v>
      </c>
      <c r="E1763" s="40"/>
      <c r="F1763" s="40"/>
      <c r="G1763" s="40"/>
      <c r="H1763" s="40">
        <v>1</v>
      </c>
      <c r="I1763" s="40"/>
      <c r="J1763" s="41"/>
    </row>
    <row r="1764" spans="2:10" s="1" customFormat="1" ht="12.75" x14ac:dyDescent="0.2">
      <c r="B1764" s="57" t="s">
        <v>16</v>
      </c>
      <c r="C1764" s="58" t="s">
        <v>224</v>
      </c>
      <c r="D1764" s="60"/>
      <c r="E1764" s="40"/>
      <c r="F1764" s="40"/>
      <c r="G1764" s="40"/>
      <c r="H1764" s="40"/>
      <c r="I1764" s="40"/>
      <c r="J1764" s="41"/>
    </row>
    <row r="1765" spans="2:10" s="1" customFormat="1" ht="12.75" x14ac:dyDescent="0.2">
      <c r="B1765" s="43" t="s">
        <v>17</v>
      </c>
      <c r="C1765" s="43" t="s">
        <v>343</v>
      </c>
      <c r="D1765" s="60"/>
      <c r="E1765" s="40"/>
      <c r="F1765" s="40"/>
      <c r="G1765" s="40"/>
      <c r="H1765" s="40"/>
      <c r="I1765" s="44">
        <f>SUM(H1766:H1766)</f>
        <v>0</v>
      </c>
      <c r="J1765" s="45" t="str">
        <f>+J1766</f>
        <v>ml</v>
      </c>
    </row>
    <row r="1766" spans="2:10" s="1" customFormat="1" ht="12.75" x14ac:dyDescent="0.2">
      <c r="B1766" s="57"/>
      <c r="C1766" s="39" t="s">
        <v>344</v>
      </c>
      <c r="D1766" s="40"/>
      <c r="E1766" s="40"/>
      <c r="F1766" s="40"/>
      <c r="G1766" s="40"/>
      <c r="H1766" s="40">
        <f>IF(AND(F1766=0,G1766=0),D1766*E1766,IF(AND(E1766=0,G1766=0),D1766*F1766,IF(AND(E1766=0,F1766=0),D1766*G1766,IF(AND(E1766=0),D1766*F1766*G1766,IF(AND(F1766=0),D1766*E1766*G1766,IF(AND(G1766=0),D1766*E1766*F1766,D1766*E1766*F1766*G1766))))))</f>
        <v>0</v>
      </c>
      <c r="I1766" s="40"/>
      <c r="J1766" s="41" t="str">
        <f>IF(AND(E1766=0,F1766&lt;&gt;0,G1766&lt;&gt;0),"m2",IF(AND(F1766=0,E1766&lt;&gt;0,G1766&lt;&gt;0),"m2",IF(AND(G1766=0,E1766&lt;&gt;0,F1766&lt;&gt;0),"m2",IF(AND(F1766=0,G1766=0),"ml",IF(AND(E1766=0,G1766=0),"ml",IF(AND(E1766=0,F1766=0),"ml",IF(AND(E1766&lt;&gt;0,F1766&lt;&gt;0,G1766&lt;&gt;0),"m3",0)))))))</f>
        <v>ml</v>
      </c>
    </row>
    <row r="1767" spans="2:10" s="1" customFormat="1" ht="12.75" x14ac:dyDescent="0.2">
      <c r="B1767" s="43" t="s">
        <v>240</v>
      </c>
      <c r="C1767" s="43" t="s">
        <v>237</v>
      </c>
      <c r="D1767" s="60"/>
      <c r="E1767" s="40"/>
      <c r="F1767" s="40"/>
      <c r="G1767" s="40"/>
      <c r="H1767" s="40"/>
      <c r="I1767" s="44">
        <f>SUM(H1768:H1769)</f>
        <v>0</v>
      </c>
      <c r="J1767" s="45" t="str">
        <f>+J1768</f>
        <v>ml</v>
      </c>
    </row>
    <row r="1768" spans="2:10" s="1" customFormat="1" ht="12.75" x14ac:dyDescent="0.2">
      <c r="B1768" s="57"/>
      <c r="C1768" s="39" t="s">
        <v>371</v>
      </c>
      <c r="D1768" s="40"/>
      <c r="E1768" s="40"/>
      <c r="F1768" s="40"/>
      <c r="G1768" s="40"/>
      <c r="H1768" s="40">
        <f>IF(AND(F1768=0,G1768=0),D1768*E1768,IF(AND(E1768=0,G1768=0),D1768*F1768,IF(AND(E1768=0,F1768=0),D1768*G1768,IF(AND(E1768=0),D1768*F1768*G1768,IF(AND(F1768=0),D1768*E1768*G1768,IF(AND(G1768=0),D1768*E1768*F1768,D1768*E1768*F1768*G1768))))))</f>
        <v>0</v>
      </c>
      <c r="I1768" s="40"/>
      <c r="J1768" s="41" t="str">
        <f>IF(AND(E1768=0,F1768&lt;&gt;0,G1768&lt;&gt;0),"m2",IF(AND(F1768=0,E1768&lt;&gt;0,G1768&lt;&gt;0),"m2",IF(AND(G1768=0,E1768&lt;&gt;0,F1768&lt;&gt;0),"m2",IF(AND(F1768=0,G1768=0),"ml",IF(AND(E1768=0,G1768=0),"ml",IF(AND(E1768=0,F1768=0),"ml",IF(AND(E1768&lt;&gt;0,F1768&lt;&gt;0,G1768&lt;&gt;0),"m3",0)))))))</f>
        <v>ml</v>
      </c>
    </row>
    <row r="1769" spans="2:10" s="1" customFormat="1" ht="12.75" x14ac:dyDescent="0.2">
      <c r="B1769" s="57"/>
      <c r="C1769" s="39" t="s">
        <v>371</v>
      </c>
      <c r="D1769" s="40"/>
      <c r="E1769" s="40"/>
      <c r="F1769" s="40"/>
      <c r="G1769" s="40"/>
      <c r="H1769" s="40">
        <f>IF(AND(F1769=0,G1769=0),D1769*E1769,IF(AND(E1769=0,G1769=0),D1769*F1769,IF(AND(E1769=0,F1769=0),D1769*G1769,IF(AND(E1769=0),D1769*F1769*G1769,IF(AND(F1769=0),D1769*E1769*G1769,IF(AND(G1769=0),D1769*E1769*F1769,D1769*E1769*F1769*G1769))))))</f>
        <v>0</v>
      </c>
      <c r="I1769" s="40"/>
      <c r="J1769" s="41" t="str">
        <f>IF(AND(E1769=0,F1769&lt;&gt;0,G1769&lt;&gt;0),"m2",IF(AND(F1769=0,E1769&lt;&gt;0,G1769&lt;&gt;0),"m2",IF(AND(G1769=0,E1769&lt;&gt;0,F1769&lt;&gt;0),"m2",IF(AND(F1769=0,G1769=0),"ml",IF(AND(E1769=0,G1769=0),"ml",IF(AND(E1769=0,F1769=0),"ml",IF(AND(E1769&lt;&gt;0,F1769&lt;&gt;0,G1769&lt;&gt;0),"m3",0)))))))</f>
        <v>ml</v>
      </c>
    </row>
    <row r="1770" spans="2:10" s="1" customFormat="1" ht="12.75" x14ac:dyDescent="0.2">
      <c r="B1770" s="43" t="s">
        <v>241</v>
      </c>
      <c r="C1770" s="43" t="s">
        <v>239</v>
      </c>
      <c r="D1770" s="60"/>
      <c r="E1770" s="40"/>
      <c r="F1770" s="40"/>
      <c r="G1770" s="40"/>
      <c r="H1770" s="40"/>
      <c r="I1770" s="44">
        <f>SUM(H1771:H1771)</f>
        <v>0</v>
      </c>
      <c r="J1770" s="45" t="str">
        <f>+J1771</f>
        <v>ml</v>
      </c>
    </row>
    <row r="1771" spans="2:10" s="1" customFormat="1" ht="12.75" x14ac:dyDescent="0.2">
      <c r="B1771" s="57"/>
      <c r="C1771" s="39" t="s">
        <v>238</v>
      </c>
      <c r="D1771" s="40"/>
      <c r="E1771" s="40"/>
      <c r="F1771" s="40"/>
      <c r="G1771" s="40"/>
      <c r="H1771" s="40">
        <f>IF(AND(F1771=0,G1771=0),D1771*E1771,IF(AND(E1771=0,G1771=0),D1771*F1771,IF(AND(E1771=0,F1771=0),D1771*G1771,IF(AND(E1771=0),D1771*F1771*G1771,IF(AND(F1771=0),D1771*E1771*G1771,IF(AND(G1771=0),D1771*E1771*F1771,D1771*E1771*F1771*G1771))))))</f>
        <v>0</v>
      </c>
      <c r="I1771" s="40"/>
      <c r="J1771" s="41" t="str">
        <f>IF(AND(E1771=0,F1771&lt;&gt;0,G1771&lt;&gt;0),"m2",IF(AND(F1771=0,E1771&lt;&gt;0,G1771&lt;&gt;0),"m2",IF(AND(G1771=0,E1771&lt;&gt;0,F1771&lt;&gt;0),"m2",IF(AND(F1771=0,G1771=0),"ml",IF(AND(E1771=0,G1771=0),"ml",IF(AND(E1771=0,F1771=0),"ml",IF(AND(E1771&lt;&gt;0,F1771&lt;&gt;0,G1771&lt;&gt;0),"m3",0)))))))</f>
        <v>ml</v>
      </c>
    </row>
    <row r="1772" spans="2:10" s="1" customFormat="1" ht="12.75" x14ac:dyDescent="0.2">
      <c r="B1772" s="43" t="s">
        <v>243</v>
      </c>
      <c r="C1772" s="43" t="s">
        <v>242</v>
      </c>
      <c r="D1772" s="60"/>
      <c r="E1772" s="40"/>
      <c r="F1772" s="40"/>
      <c r="G1772" s="40"/>
      <c r="H1772" s="40"/>
      <c r="I1772" s="44">
        <f>SUM(H1773:H1773)</f>
        <v>0</v>
      </c>
      <c r="J1772" s="45" t="str">
        <f>+J1773</f>
        <v>ml</v>
      </c>
    </row>
    <row r="1773" spans="2:10" s="1" customFormat="1" ht="12.75" x14ac:dyDescent="0.2">
      <c r="B1773" s="57"/>
      <c r="C1773" s="39" t="s">
        <v>238</v>
      </c>
      <c r="D1773" s="40"/>
      <c r="E1773" s="40"/>
      <c r="F1773" s="40"/>
      <c r="G1773" s="40"/>
      <c r="H1773" s="40">
        <f>IF(AND(F1773=0,G1773=0),D1773*E1773,IF(AND(E1773=0,G1773=0),D1773*F1773,IF(AND(E1773=0,F1773=0),D1773*G1773,IF(AND(E1773=0),D1773*F1773*G1773,IF(AND(F1773=0),D1773*E1773*G1773,IF(AND(G1773=0),D1773*E1773*F1773,D1773*E1773*F1773*G1773))))))</f>
        <v>0</v>
      </c>
      <c r="I1773" s="40"/>
      <c r="J1773" s="41" t="str">
        <f>IF(AND(E1773=0,F1773&lt;&gt;0,G1773&lt;&gt;0),"m2",IF(AND(F1773=0,E1773&lt;&gt;0,G1773&lt;&gt;0),"m2",IF(AND(G1773=0,E1773&lt;&gt;0,F1773&lt;&gt;0),"m2",IF(AND(F1773=0,G1773=0),"ml",IF(AND(E1773=0,G1773=0),"ml",IF(AND(E1773=0,F1773=0),"ml",IF(AND(E1773&lt;&gt;0,F1773&lt;&gt;0,G1773&lt;&gt;0),"m3",0)))))))</f>
        <v>ml</v>
      </c>
    </row>
    <row r="1774" spans="2:10" s="1" customFormat="1" ht="12.75" x14ac:dyDescent="0.2">
      <c r="B1774" s="43" t="s">
        <v>244</v>
      </c>
      <c r="C1774" s="43" t="s">
        <v>245</v>
      </c>
      <c r="D1774" s="60"/>
      <c r="E1774" s="40"/>
      <c r="F1774" s="40"/>
      <c r="G1774" s="40"/>
      <c r="H1774" s="40"/>
      <c r="I1774" s="44">
        <f>SUM(H1775:H1775)</f>
        <v>0</v>
      </c>
      <c r="J1774" s="45" t="str">
        <f>+J1775</f>
        <v>ml</v>
      </c>
    </row>
    <row r="1775" spans="2:10" s="1" customFormat="1" ht="12.75" x14ac:dyDescent="0.2">
      <c r="B1775" s="57"/>
      <c r="C1775" s="39" t="s">
        <v>238</v>
      </c>
      <c r="D1775" s="40"/>
      <c r="E1775" s="40"/>
      <c r="F1775" s="40"/>
      <c r="G1775" s="40"/>
      <c r="H1775" s="40">
        <f>IF(AND(F1775=0,G1775=0),D1775*E1775,IF(AND(E1775=0,G1775=0),D1775*F1775,IF(AND(E1775=0,F1775=0),D1775*G1775,IF(AND(E1775=0),D1775*F1775*G1775,IF(AND(F1775=0),D1775*E1775*G1775,IF(AND(G1775=0),D1775*E1775*F1775,D1775*E1775*F1775*G1775))))))</f>
        <v>0</v>
      </c>
      <c r="I1775" s="40"/>
      <c r="J1775" s="41" t="str">
        <f>IF(AND(E1775=0,F1775&lt;&gt;0,G1775&lt;&gt;0),"m2",IF(AND(F1775=0,E1775&lt;&gt;0,G1775&lt;&gt;0),"m2",IF(AND(G1775=0,E1775&lt;&gt;0,F1775&lt;&gt;0),"m2",IF(AND(F1775=0,G1775=0),"ml",IF(AND(E1775=0,G1775=0),"ml",IF(AND(E1775=0,F1775=0),"ml",IF(AND(E1775&lt;&gt;0,F1775&lt;&gt;0,G1775&lt;&gt;0),"m3",0)))))))</f>
        <v>ml</v>
      </c>
    </row>
    <row r="1776" spans="2:10" s="1" customFormat="1" ht="12.75" x14ac:dyDescent="0.2">
      <c r="B1776" s="43" t="s">
        <v>248</v>
      </c>
      <c r="C1776" s="43" t="s">
        <v>246</v>
      </c>
      <c r="D1776" s="60"/>
      <c r="E1776" s="40"/>
      <c r="F1776" s="40"/>
      <c r="G1776" s="40"/>
      <c r="H1776" s="40"/>
      <c r="I1776" s="44">
        <f>SUM(H1777:H1777)</f>
        <v>0</v>
      </c>
      <c r="J1776" s="45" t="str">
        <f>+J1777</f>
        <v>ml</v>
      </c>
    </row>
    <row r="1777" spans="2:10" s="1" customFormat="1" ht="12.75" x14ac:dyDescent="0.2">
      <c r="B1777" s="57"/>
      <c r="C1777" s="39" t="s">
        <v>238</v>
      </c>
      <c r="D1777" s="40"/>
      <c r="E1777" s="40"/>
      <c r="F1777" s="40"/>
      <c r="G1777" s="40"/>
      <c r="H1777" s="40">
        <f>IF(AND(F1777=0,G1777=0),D1777*E1777,IF(AND(E1777=0,G1777=0),D1777*F1777,IF(AND(E1777=0,F1777=0),D1777*G1777,IF(AND(E1777=0),D1777*F1777*G1777,IF(AND(F1777=0),D1777*E1777*G1777,IF(AND(G1777=0),D1777*E1777*F1777,D1777*E1777*F1777*G1777))))))</f>
        <v>0</v>
      </c>
      <c r="I1777" s="40"/>
      <c r="J1777" s="41" t="str">
        <f>IF(AND(E1777=0,F1777&lt;&gt;0,G1777&lt;&gt;0),"m2",IF(AND(F1777=0,E1777&lt;&gt;0,G1777&lt;&gt;0),"m2",IF(AND(G1777=0,E1777&lt;&gt;0,F1777&lt;&gt;0),"m2",IF(AND(F1777=0,G1777=0),"ml",IF(AND(E1777=0,G1777=0),"ml",IF(AND(E1777=0,F1777=0),"ml",IF(AND(E1777&lt;&gt;0,F1777&lt;&gt;0,G1777&lt;&gt;0),"m3",0)))))))</f>
        <v>ml</v>
      </c>
    </row>
    <row r="1778" spans="2:10" s="1" customFormat="1" ht="12.75" x14ac:dyDescent="0.2">
      <c r="B1778" s="43" t="s">
        <v>249</v>
      </c>
      <c r="C1778" s="43" t="s">
        <v>247</v>
      </c>
      <c r="D1778" s="60"/>
      <c r="E1778" s="40"/>
      <c r="F1778" s="40"/>
      <c r="G1778" s="40"/>
      <c r="H1778" s="40"/>
      <c r="I1778" s="44">
        <f>SUM(H1779:H1779)</f>
        <v>0</v>
      </c>
      <c r="J1778" s="45" t="str">
        <f>+J1779</f>
        <v>ml</v>
      </c>
    </row>
    <row r="1779" spans="2:10" s="1" customFormat="1" ht="12.75" x14ac:dyDescent="0.2">
      <c r="B1779" s="57"/>
      <c r="C1779" s="39" t="s">
        <v>238</v>
      </c>
      <c r="D1779" s="40"/>
      <c r="E1779" s="40"/>
      <c r="F1779" s="40"/>
      <c r="G1779" s="40"/>
      <c r="H1779" s="40">
        <f>IF(AND(F1779=0,G1779=0),D1779*E1779,IF(AND(E1779=0,G1779=0),D1779*F1779,IF(AND(E1779=0,F1779=0),D1779*G1779,IF(AND(E1779=0),D1779*F1779*G1779,IF(AND(F1779=0),D1779*E1779*G1779,IF(AND(G1779=0),D1779*E1779*F1779,D1779*E1779*F1779*G1779))))))</f>
        <v>0</v>
      </c>
      <c r="I1779" s="40"/>
      <c r="J1779" s="41" t="str">
        <f>IF(AND(E1779=0,F1779&lt;&gt;0,G1779&lt;&gt;0),"m2",IF(AND(F1779=0,E1779&lt;&gt;0,G1779&lt;&gt;0),"m2",IF(AND(G1779=0,E1779&lt;&gt;0,F1779&lt;&gt;0),"m2",IF(AND(F1779=0,G1779=0),"ml",IF(AND(E1779=0,G1779=0),"ml",IF(AND(E1779=0,F1779=0),"ml",IF(AND(E1779&lt;&gt;0,F1779&lt;&gt;0,G1779&lt;&gt;0),"m3",0)))))))</f>
        <v>ml</v>
      </c>
    </row>
    <row r="1780" spans="2:10" s="1" customFormat="1" ht="12.75" x14ac:dyDescent="0.2">
      <c r="B1780" s="43" t="s">
        <v>256</v>
      </c>
      <c r="C1780" s="43" t="s">
        <v>226</v>
      </c>
      <c r="D1780" s="60"/>
      <c r="E1780" s="40"/>
      <c r="F1780" s="40"/>
      <c r="G1780" s="40"/>
      <c r="H1780" s="40"/>
      <c r="I1780" s="44">
        <f>SUM(H1781:H1782)</f>
        <v>0</v>
      </c>
      <c r="J1780" s="45" t="str">
        <f>+J1782</f>
        <v>ml</v>
      </c>
    </row>
    <row r="1781" spans="2:10" s="1" customFormat="1" ht="12.75" x14ac:dyDescent="0.2">
      <c r="B1781" s="43"/>
      <c r="C1781" s="39" t="s">
        <v>371</v>
      </c>
      <c r="D1781" s="40"/>
      <c r="E1781" s="40"/>
      <c r="F1781" s="40"/>
      <c r="G1781" s="40"/>
      <c r="H1781" s="40">
        <f>IF(AND(F1781=0,G1781=0),D1781*E1781,IF(AND(E1781=0,G1781=0),D1781*F1781,IF(AND(E1781=0,F1781=0),D1781*G1781,IF(AND(E1781=0),D1781*F1781*G1781,IF(AND(F1781=0),D1781*E1781*G1781,IF(AND(G1781=0),D1781*E1781*F1781,D1781*E1781*F1781*G1781))))))</f>
        <v>0</v>
      </c>
      <c r="I1781" s="40"/>
      <c r="J1781" s="41" t="str">
        <f>IF(AND(E1781=0,F1781&lt;&gt;0,G1781&lt;&gt;0),"m2",IF(AND(F1781=0,E1781&lt;&gt;0,G1781&lt;&gt;0),"m2",IF(AND(G1781=0,E1781&lt;&gt;0,F1781&lt;&gt;0),"m2",IF(AND(F1781=0,G1781=0),"ml",IF(AND(E1781=0,G1781=0),"ml",IF(AND(E1781=0,F1781=0),"ml",IF(AND(E1781&lt;&gt;0,F1781&lt;&gt;0,G1781&lt;&gt;0),"m3",0)))))))</f>
        <v>ml</v>
      </c>
    </row>
    <row r="1782" spans="2:10" s="1" customFormat="1" ht="12.75" x14ac:dyDescent="0.2">
      <c r="B1782" s="57"/>
      <c r="C1782" s="39" t="s">
        <v>371</v>
      </c>
      <c r="D1782" s="40"/>
      <c r="E1782" s="40"/>
      <c r="F1782" s="40"/>
      <c r="G1782" s="40"/>
      <c r="H1782" s="40">
        <f>IF(AND(F1782=0,G1782=0),D1782*E1782,IF(AND(E1782=0,G1782=0),D1782*F1782,IF(AND(E1782=0,F1782=0),D1782*G1782,IF(AND(E1782=0),D1782*F1782*G1782,IF(AND(F1782=0),D1782*E1782*G1782,IF(AND(G1782=0),D1782*E1782*F1782,D1782*E1782*F1782*G1782))))))</f>
        <v>0</v>
      </c>
      <c r="I1782" s="40"/>
      <c r="J1782" s="41" t="str">
        <f>IF(AND(E1782=0,F1782&lt;&gt;0,G1782&lt;&gt;0),"m2",IF(AND(F1782=0,E1782&lt;&gt;0,G1782&lt;&gt;0),"m2",IF(AND(G1782=0,E1782&lt;&gt;0,F1782&lt;&gt;0),"m2",IF(AND(F1782=0,G1782=0),"ml",IF(AND(E1782=0,G1782=0),"ml",IF(AND(E1782=0,F1782=0),"ml",IF(AND(E1782&lt;&gt;0,F1782&lt;&gt;0,G1782&lt;&gt;0),"m3",0)))))))</f>
        <v>ml</v>
      </c>
    </row>
    <row r="1783" spans="2:10" s="1" customFormat="1" ht="12.75" x14ac:dyDescent="0.2">
      <c r="B1783" s="43" t="s">
        <v>596</v>
      </c>
      <c r="C1783" s="43" t="s">
        <v>472</v>
      </c>
      <c r="D1783" s="60"/>
      <c r="E1783" s="40"/>
      <c r="F1783" s="40"/>
      <c r="G1783" s="40"/>
      <c r="H1783" s="40"/>
      <c r="I1783" s="44">
        <f>SUM(H1784:H1784)</f>
        <v>0</v>
      </c>
      <c r="J1783" s="45" t="str">
        <f>+J1784</f>
        <v>ml</v>
      </c>
    </row>
    <row r="1784" spans="2:10" s="1" customFormat="1" ht="12.75" x14ac:dyDescent="0.2">
      <c r="B1784" s="57"/>
      <c r="C1784" s="39" t="s">
        <v>504</v>
      </c>
      <c r="D1784" s="40"/>
      <c r="E1784" s="40"/>
      <c r="F1784" s="40"/>
      <c r="G1784" s="40"/>
      <c r="H1784" s="40">
        <f>IF(AND(F1784=0,G1784=0),D1784*E1784,IF(AND(E1784=0,G1784=0),D1784*F1784,IF(AND(E1784=0,F1784=0),D1784*G1784,IF(AND(E1784=0),D1784*F1784*G1784,IF(AND(F1784=0),D1784*E1784*G1784,IF(AND(G1784=0),D1784*E1784*F1784,D1784*E1784*F1784*G1784))))))</f>
        <v>0</v>
      </c>
      <c r="I1784" s="40"/>
      <c r="J1784" s="41" t="str">
        <f>IF(AND(E1784=0,F1784&lt;&gt;0,G1784&lt;&gt;0),"m2",IF(AND(F1784=0,E1784&lt;&gt;0,G1784&lt;&gt;0),"m2",IF(AND(G1784=0,E1784&lt;&gt;0,F1784&lt;&gt;0),"m2",IF(AND(F1784=0,G1784=0),"ml",IF(AND(E1784=0,G1784=0),"ml",IF(AND(E1784=0,F1784=0),"ml",IF(AND(E1784&lt;&gt;0,F1784&lt;&gt;0,G1784&lt;&gt;0),"m3",0)))))))</f>
        <v>ml</v>
      </c>
    </row>
    <row r="1785" spans="2:10" s="1" customFormat="1" ht="12.75" x14ac:dyDescent="0.2">
      <c r="B1785" s="57"/>
      <c r="C1785" s="39"/>
      <c r="D1785" s="60"/>
      <c r="E1785" s="40"/>
      <c r="F1785" s="40"/>
      <c r="G1785" s="40"/>
      <c r="H1785" s="40"/>
      <c r="I1785" s="40"/>
      <c r="J1785" s="41"/>
    </row>
    <row r="1786" spans="2:10" s="1" customFormat="1" ht="12.75" x14ac:dyDescent="0.2">
      <c r="B1786" s="43" t="s">
        <v>257</v>
      </c>
      <c r="C1786" s="43" t="s">
        <v>228</v>
      </c>
      <c r="D1786" s="60"/>
      <c r="E1786" s="40"/>
      <c r="F1786" s="40"/>
      <c r="G1786" s="40"/>
      <c r="H1786" s="40"/>
      <c r="I1786" s="44">
        <f>SUM(H1787:H1787)</f>
        <v>13.4</v>
      </c>
      <c r="J1786" s="45">
        <f>+J1787</f>
        <v>0</v>
      </c>
    </row>
    <row r="1787" spans="2:10" s="1" customFormat="1" ht="12.75" x14ac:dyDescent="0.2">
      <c r="B1787" s="57"/>
      <c r="C1787" s="39" t="s">
        <v>504</v>
      </c>
      <c r="D1787" s="40">
        <v>1</v>
      </c>
      <c r="E1787" s="40">
        <v>13.4</v>
      </c>
      <c r="F1787" s="40"/>
      <c r="G1787" s="40"/>
      <c r="H1787" s="40">
        <f t="shared" ref="H1787" si="116">IF(AND(F1787=0,G1787=0),D1787*E1787,IF(AND(E1787=0,G1787=0),D1787*F1787,IF(AND(E1787=0,F1787=0),D1787*G1787,IF(AND(E1787=0),D1787*F1787*G1787,IF(AND(F1787=0),D1787*E1787*G1787,IF(AND(G1787=0),D1787*E1787*F1787,D1787*E1787*F1787*G1787))))))</f>
        <v>13.4</v>
      </c>
      <c r="I1787" s="40"/>
      <c r="J1787" s="41"/>
    </row>
    <row r="1788" spans="2:10" s="1" customFormat="1" ht="12.75" x14ac:dyDescent="0.2">
      <c r="B1788" s="57"/>
      <c r="C1788" s="39"/>
      <c r="D1788" s="60"/>
      <c r="E1788" s="40"/>
      <c r="F1788" s="40"/>
      <c r="G1788" s="40"/>
      <c r="H1788" s="40"/>
      <c r="I1788" s="40"/>
      <c r="J1788" s="41"/>
    </row>
    <row r="1789" spans="2:10" s="1" customFormat="1" ht="12.75" x14ac:dyDescent="0.2">
      <c r="B1789" s="43" t="s">
        <v>258</v>
      </c>
      <c r="C1789" s="43" t="s">
        <v>250</v>
      </c>
      <c r="D1789" s="60"/>
      <c r="E1789" s="40"/>
      <c r="F1789" s="40"/>
      <c r="G1789" s="40"/>
      <c r="H1789" s="40"/>
      <c r="I1789" s="44">
        <f>SUM(H1790:H1790)</f>
        <v>0</v>
      </c>
      <c r="J1789" s="45" t="str">
        <f>+J1790</f>
        <v>ml</v>
      </c>
    </row>
    <row r="1790" spans="2:10" s="1" customFormat="1" ht="12.75" x14ac:dyDescent="0.2">
      <c r="B1790" s="57"/>
      <c r="C1790" s="39" t="s">
        <v>386</v>
      </c>
      <c r="D1790" s="40"/>
      <c r="E1790" s="40"/>
      <c r="F1790" s="40"/>
      <c r="G1790" s="40"/>
      <c r="H1790" s="40">
        <f>IF(AND(F1790=0,G1790=0),D1790*E1790,IF(AND(E1790=0,G1790=0),D1790*F1790,IF(AND(E1790=0,F1790=0),D1790*G1790,IF(AND(E1790=0),D1790*F1790*G1790,IF(AND(F1790=0),D1790*E1790*G1790,IF(AND(G1790=0),D1790*E1790*F1790,D1790*E1790*F1790*G1790))))))</f>
        <v>0</v>
      </c>
      <c r="I1790" s="40"/>
      <c r="J1790" s="41" t="str">
        <f>IF(AND(E1790=0,F1790&lt;&gt;0,G1790&lt;&gt;0),"m2",IF(AND(F1790=0,E1790&lt;&gt;0,G1790&lt;&gt;0),"m2",IF(AND(G1790=0,E1790&lt;&gt;0,F1790&lt;&gt;0),"m2",IF(AND(F1790=0,G1790=0),"ml",IF(AND(E1790=0,G1790=0),"ml",IF(AND(E1790=0,F1790=0),"ml",IF(AND(E1790&lt;&gt;0,F1790&lt;&gt;0,G1790&lt;&gt;0),"m3",0)))))))</f>
        <v>ml</v>
      </c>
    </row>
    <row r="1791" spans="2:10" s="1" customFormat="1" ht="12.75" x14ac:dyDescent="0.2">
      <c r="B1791" s="43" t="s">
        <v>259</v>
      </c>
      <c r="C1791" s="43" t="s">
        <v>251</v>
      </c>
      <c r="D1791" s="60"/>
      <c r="E1791" s="40"/>
      <c r="F1791" s="40"/>
      <c r="G1791" s="40"/>
      <c r="H1791" s="40"/>
      <c r="I1791" s="44">
        <f>SUM(H1792:H1792)</f>
        <v>0</v>
      </c>
      <c r="J1791" s="45" t="str">
        <f>+J1792</f>
        <v>ml</v>
      </c>
    </row>
    <row r="1792" spans="2:10" s="1" customFormat="1" ht="12.75" x14ac:dyDescent="0.2">
      <c r="B1792" s="57"/>
      <c r="C1792" s="39" t="s">
        <v>238</v>
      </c>
      <c r="D1792" s="40"/>
      <c r="E1792" s="40"/>
      <c r="F1792" s="40"/>
      <c r="G1792" s="40"/>
      <c r="H1792" s="40">
        <f>IF(AND(F1792=0,G1792=0),D1792*E1792,IF(AND(E1792=0,G1792=0),D1792*F1792,IF(AND(E1792=0,F1792=0),D1792*G1792,IF(AND(E1792=0),D1792*F1792*G1792,IF(AND(F1792=0),D1792*E1792*G1792,IF(AND(G1792=0),D1792*E1792*F1792,D1792*E1792*F1792*G1792))))))</f>
        <v>0</v>
      </c>
      <c r="I1792" s="40"/>
      <c r="J1792" s="41" t="str">
        <f>IF(AND(E1792=0,F1792&lt;&gt;0,G1792&lt;&gt;0),"m2",IF(AND(F1792=0,E1792&lt;&gt;0,G1792&lt;&gt;0),"m2",IF(AND(G1792=0,E1792&lt;&gt;0,F1792&lt;&gt;0),"m2",IF(AND(F1792=0,G1792=0),"ml",IF(AND(E1792=0,G1792=0),"ml",IF(AND(E1792=0,F1792=0),"ml",IF(AND(E1792&lt;&gt;0,F1792&lt;&gt;0,G1792&lt;&gt;0),"m3",0)))))))</f>
        <v>ml</v>
      </c>
    </row>
    <row r="1793" spans="2:10" s="1" customFormat="1" ht="12.75" x14ac:dyDescent="0.2">
      <c r="B1793" s="43" t="s">
        <v>260</v>
      </c>
      <c r="C1793" s="43" t="s">
        <v>252</v>
      </c>
      <c r="D1793" s="60"/>
      <c r="E1793" s="40"/>
      <c r="F1793" s="40"/>
      <c r="G1793" s="40"/>
      <c r="H1793" s="40"/>
      <c r="I1793" s="44">
        <f>SUM(H1794:H1794)</f>
        <v>0</v>
      </c>
      <c r="J1793" s="45" t="str">
        <f>+J1794</f>
        <v>ml</v>
      </c>
    </row>
    <row r="1794" spans="2:10" s="1" customFormat="1" ht="12.75" x14ac:dyDescent="0.2">
      <c r="B1794" s="57"/>
      <c r="C1794" s="39" t="s">
        <v>238</v>
      </c>
      <c r="D1794" s="40"/>
      <c r="E1794" s="40"/>
      <c r="F1794" s="40"/>
      <c r="G1794" s="40"/>
      <c r="H1794" s="40">
        <f>IF(AND(F1794=0,G1794=0),D1794*E1794,IF(AND(E1794=0,G1794=0),D1794*F1794,IF(AND(E1794=0,F1794=0),D1794*G1794,IF(AND(E1794=0),D1794*F1794*G1794,IF(AND(F1794=0),D1794*E1794*G1794,IF(AND(G1794=0),D1794*E1794*F1794,D1794*E1794*F1794*G1794))))))</f>
        <v>0</v>
      </c>
      <c r="I1794" s="40"/>
      <c r="J1794" s="41" t="str">
        <f>IF(AND(E1794=0,F1794&lt;&gt;0,G1794&lt;&gt;0),"m2",IF(AND(F1794=0,E1794&lt;&gt;0,G1794&lt;&gt;0),"m2",IF(AND(G1794=0,E1794&lt;&gt;0,F1794&lt;&gt;0),"m2",IF(AND(F1794=0,G1794=0),"ml",IF(AND(E1794=0,G1794=0),"ml",IF(AND(E1794=0,F1794=0),"ml",IF(AND(E1794&lt;&gt;0,F1794&lt;&gt;0,G1794&lt;&gt;0),"m3",0)))))))</f>
        <v>ml</v>
      </c>
    </row>
    <row r="1795" spans="2:10" s="1" customFormat="1" ht="12.75" x14ac:dyDescent="0.2">
      <c r="B1795" s="43" t="s">
        <v>261</v>
      </c>
      <c r="C1795" s="43" t="s">
        <v>253</v>
      </c>
      <c r="D1795" s="60"/>
      <c r="E1795" s="40"/>
      <c r="F1795" s="40"/>
      <c r="G1795" s="40"/>
      <c r="H1795" s="40"/>
      <c r="I1795" s="44">
        <f>SUM(H1796:H1798)</f>
        <v>0</v>
      </c>
      <c r="J1795" s="45" t="str">
        <f>+J1798</f>
        <v>und</v>
      </c>
    </row>
    <row r="1796" spans="2:10" s="1" customFormat="1" ht="12.75" x14ac:dyDescent="0.2">
      <c r="B1796" s="43"/>
      <c r="C1796" s="39" t="s">
        <v>383</v>
      </c>
      <c r="D1796" s="40"/>
      <c r="E1796" s="40"/>
      <c r="F1796" s="40"/>
      <c r="G1796" s="40"/>
      <c r="H1796" s="40">
        <f t="shared" ref="H1796:H1798" si="117">+D1796</f>
        <v>0</v>
      </c>
      <c r="I1796" s="40"/>
      <c r="J1796" s="41" t="s">
        <v>13</v>
      </c>
    </row>
    <row r="1797" spans="2:10" s="1" customFormat="1" ht="12.75" x14ac:dyDescent="0.2">
      <c r="B1797" s="43"/>
      <c r="C1797" s="39" t="s">
        <v>381</v>
      </c>
      <c r="D1797" s="40"/>
      <c r="E1797" s="40"/>
      <c r="F1797" s="40"/>
      <c r="G1797" s="40"/>
      <c r="H1797" s="40">
        <f t="shared" si="117"/>
        <v>0</v>
      </c>
      <c r="I1797" s="40"/>
      <c r="J1797" s="41" t="s">
        <v>13</v>
      </c>
    </row>
    <row r="1798" spans="2:10" s="1" customFormat="1" ht="12.75" x14ac:dyDescent="0.2">
      <c r="B1798" s="57"/>
      <c r="C1798" s="39" t="s">
        <v>382</v>
      </c>
      <c r="D1798" s="40"/>
      <c r="E1798" s="40"/>
      <c r="F1798" s="40"/>
      <c r="G1798" s="40"/>
      <c r="H1798" s="40">
        <f t="shared" si="117"/>
        <v>0</v>
      </c>
      <c r="I1798" s="40"/>
      <c r="J1798" s="41" t="s">
        <v>13</v>
      </c>
    </row>
    <row r="1799" spans="2:10" s="1" customFormat="1" ht="12.75" x14ac:dyDescent="0.2">
      <c r="B1799" s="43" t="s">
        <v>262</v>
      </c>
      <c r="C1799" s="43" t="s">
        <v>254</v>
      </c>
      <c r="D1799" s="60"/>
      <c r="E1799" s="40"/>
      <c r="F1799" s="40"/>
      <c r="G1799" s="40"/>
      <c r="H1799" s="40"/>
      <c r="I1799" s="44">
        <f>SUM(H1800:H1800)</f>
        <v>0</v>
      </c>
      <c r="J1799" s="45" t="str">
        <f>+J1800</f>
        <v>und</v>
      </c>
    </row>
    <row r="1800" spans="2:10" s="1" customFormat="1" ht="12.75" x14ac:dyDescent="0.2">
      <c r="B1800" s="57"/>
      <c r="C1800" s="39" t="s">
        <v>238</v>
      </c>
      <c r="D1800" s="40"/>
      <c r="E1800" s="40"/>
      <c r="F1800" s="40"/>
      <c r="G1800" s="40"/>
      <c r="H1800" s="40">
        <f>+D1800</f>
        <v>0</v>
      </c>
      <c r="I1800" s="40"/>
      <c r="J1800" s="41" t="s">
        <v>13</v>
      </c>
    </row>
    <row r="1801" spans="2:10" s="1" customFormat="1" ht="12.75" x14ac:dyDescent="0.2">
      <c r="B1801" s="43" t="s">
        <v>350</v>
      </c>
      <c r="C1801" s="43" t="s">
        <v>255</v>
      </c>
      <c r="D1801" s="60"/>
      <c r="E1801" s="40"/>
      <c r="F1801" s="40"/>
      <c r="G1801" s="40"/>
      <c r="H1801" s="40"/>
      <c r="I1801" s="44">
        <f>SUM(H1802:H1802)</f>
        <v>0</v>
      </c>
      <c r="J1801" s="45" t="str">
        <f>+J1802</f>
        <v>und</v>
      </c>
    </row>
    <row r="1802" spans="2:10" s="1" customFormat="1" ht="12.75" x14ac:dyDescent="0.2">
      <c r="B1802" s="57"/>
      <c r="C1802" s="39" t="s">
        <v>377</v>
      </c>
      <c r="D1802" s="40"/>
      <c r="E1802" s="40"/>
      <c r="F1802" s="40"/>
      <c r="G1802" s="40"/>
      <c r="H1802" s="40">
        <f>+D1802</f>
        <v>0</v>
      </c>
      <c r="I1802" s="40"/>
      <c r="J1802" s="41" t="s">
        <v>13</v>
      </c>
    </row>
    <row r="1803" spans="2:10" s="1" customFormat="1" ht="12.75" x14ac:dyDescent="0.2">
      <c r="B1803" s="57"/>
      <c r="C1803" s="39"/>
      <c r="D1803" s="60"/>
      <c r="E1803" s="40"/>
      <c r="F1803" s="40"/>
      <c r="G1803" s="40"/>
      <c r="H1803" s="40"/>
      <c r="I1803" s="40"/>
      <c r="J1803" s="41"/>
    </row>
    <row r="1804" spans="2:10" s="1" customFormat="1" ht="12.75" x14ac:dyDescent="0.2">
      <c r="B1804" s="93" t="s">
        <v>694</v>
      </c>
      <c r="C1804" s="93" t="s">
        <v>695</v>
      </c>
      <c r="D1804" s="60"/>
      <c r="E1804" s="40"/>
      <c r="F1804" s="40"/>
      <c r="G1804" s="40"/>
      <c r="H1804" s="40"/>
      <c r="I1804" s="44">
        <f>SUM(H1805)</f>
        <v>1</v>
      </c>
      <c r="J1804" s="45" t="s">
        <v>13</v>
      </c>
    </row>
    <row r="1805" spans="2:10" s="1" customFormat="1" ht="12.75" x14ac:dyDescent="0.2">
      <c r="B1805" s="57"/>
      <c r="C1805" s="39" t="s">
        <v>373</v>
      </c>
      <c r="D1805" s="40">
        <v>1</v>
      </c>
      <c r="E1805" s="40"/>
      <c r="F1805" s="40"/>
      <c r="G1805" s="40"/>
      <c r="H1805" s="40">
        <f t="shared" ref="H1805" si="118">+D1805</f>
        <v>1</v>
      </c>
      <c r="I1805" s="40"/>
      <c r="J1805" s="41"/>
    </row>
    <row r="1806" spans="2:10" s="1" customFormat="1" ht="12.75" x14ac:dyDescent="0.2">
      <c r="B1806" s="46"/>
      <c r="C1806" s="59"/>
      <c r="D1806" s="60"/>
      <c r="E1806" s="40"/>
      <c r="F1806" s="40"/>
      <c r="G1806" s="40"/>
      <c r="H1806" s="40"/>
      <c r="I1806" s="40"/>
      <c r="J1806" s="41"/>
    </row>
    <row r="1807" spans="2:10" s="1" customFormat="1" ht="12.75" x14ac:dyDescent="0.2">
      <c r="B1807" s="107" t="s">
        <v>717</v>
      </c>
      <c r="C1807" s="343" t="s">
        <v>735</v>
      </c>
      <c r="D1807" s="60"/>
      <c r="E1807" s="40"/>
      <c r="F1807" s="40"/>
      <c r="G1807" s="40"/>
      <c r="H1807" s="40"/>
      <c r="I1807" s="40">
        <f>+SUM(H1808:H1809)</f>
        <v>1.54</v>
      </c>
      <c r="J1807" s="41" t="s">
        <v>45</v>
      </c>
    </row>
    <row r="1808" spans="2:10" s="1" customFormat="1" ht="12.75" x14ac:dyDescent="0.2">
      <c r="B1808" s="107"/>
      <c r="C1808" s="39" t="s">
        <v>373</v>
      </c>
      <c r="D1808" s="40">
        <v>1</v>
      </c>
      <c r="E1808" s="40">
        <f>0.4*2+0.6*2</f>
        <v>2</v>
      </c>
      <c r="F1808" s="40"/>
      <c r="G1808" s="40">
        <f>0.5+0.15</f>
        <v>0.65</v>
      </c>
      <c r="H1808" s="40">
        <f t="shared" ref="H1808:H1809" si="119">IF(AND(F1808=0,G1808=0),D1808*E1808,IF(AND(E1808=0,G1808=0),D1808*F1808,IF(AND(E1808=0,F1808=0),D1808*G1808,IF(AND(E1808=0),D1808*F1808*G1808,IF(AND(F1808=0),D1808*E1808*G1808,IF(AND(G1808=0),D1808*E1808*F1808,D1808*E1808*F1808*G1808))))))</f>
        <v>1.3</v>
      </c>
      <c r="I1808" s="40"/>
      <c r="J1808" s="41"/>
    </row>
    <row r="1809" spans="2:10" s="1" customFormat="1" ht="12.75" x14ac:dyDescent="0.2">
      <c r="B1809" s="107"/>
      <c r="C1809" s="59"/>
      <c r="D1809" s="60">
        <v>1</v>
      </c>
      <c r="E1809" s="40">
        <v>0.4</v>
      </c>
      <c r="F1809" s="40"/>
      <c r="G1809" s="40">
        <v>0.6</v>
      </c>
      <c r="H1809" s="40">
        <f t="shared" si="119"/>
        <v>0.24</v>
      </c>
      <c r="I1809" s="40"/>
      <c r="J1809" s="41"/>
    </row>
    <row r="1810" spans="2:10" s="1" customFormat="1" ht="12.75" x14ac:dyDescent="0.2">
      <c r="B1810" s="107"/>
      <c r="C1810" s="59"/>
      <c r="D1810" s="60"/>
      <c r="E1810" s="40"/>
      <c r="F1810" s="40"/>
      <c r="G1810" s="40"/>
      <c r="H1810" s="40"/>
      <c r="I1810" s="40"/>
      <c r="J1810" s="41"/>
    </row>
    <row r="1811" spans="2:10" s="1" customFormat="1" ht="12.75" x14ac:dyDescent="0.2">
      <c r="B1811" s="57"/>
      <c r="C1811" s="39"/>
      <c r="D1811" s="60"/>
      <c r="E1811" s="40"/>
      <c r="F1811" s="40"/>
      <c r="G1811" s="40"/>
      <c r="H1811" s="40"/>
      <c r="I1811" s="40"/>
      <c r="J1811" s="41"/>
    </row>
    <row r="1812" spans="2:10" s="1" customFormat="1" ht="12.75" x14ac:dyDescent="0.2">
      <c r="B1812" s="57"/>
      <c r="C1812" s="39"/>
      <c r="D1812" s="60"/>
      <c r="E1812" s="40"/>
      <c r="F1812" s="40"/>
      <c r="G1812" s="40"/>
      <c r="H1812" s="40"/>
      <c r="I1812" s="40"/>
      <c r="J1812" s="41"/>
    </row>
    <row r="1813" spans="2:10" s="1" customFormat="1" ht="12.75" x14ac:dyDescent="0.2">
      <c r="B1813" s="57" t="s">
        <v>18</v>
      </c>
      <c r="C1813" s="58" t="s">
        <v>223</v>
      </c>
      <c r="D1813" s="60"/>
      <c r="E1813" s="40"/>
      <c r="F1813" s="40"/>
      <c r="G1813" s="40"/>
      <c r="H1813" s="40"/>
      <c r="I1813" s="40"/>
      <c r="J1813" s="41"/>
    </row>
    <row r="1814" spans="2:10" s="1" customFormat="1" ht="12.75" x14ac:dyDescent="0.2">
      <c r="B1814" s="43" t="s">
        <v>19</v>
      </c>
      <c r="C1814" s="43" t="s">
        <v>265</v>
      </c>
      <c r="D1814" s="60"/>
      <c r="E1814" s="40"/>
      <c r="F1814" s="40"/>
      <c r="G1814" s="40"/>
      <c r="H1814" s="40"/>
      <c r="I1814" s="44">
        <f>SUM(H1815:H1815)</f>
        <v>1</v>
      </c>
      <c r="J1814" s="45" t="e">
        <f>+#REF!</f>
        <v>#REF!</v>
      </c>
    </row>
    <row r="1815" spans="2:10" s="1" customFormat="1" ht="12.75" x14ac:dyDescent="0.2">
      <c r="B1815" s="46"/>
      <c r="C1815" s="39" t="s">
        <v>231</v>
      </c>
      <c r="D1815" s="40">
        <v>1</v>
      </c>
      <c r="E1815" s="40"/>
      <c r="F1815" s="40"/>
      <c r="G1815" s="40"/>
      <c r="H1815" s="40">
        <f>+D1815</f>
        <v>1</v>
      </c>
      <c r="I1815" s="40"/>
      <c r="J1815" s="41" t="s">
        <v>13</v>
      </c>
    </row>
    <row r="1816" spans="2:10" s="1" customFormat="1" ht="12.75" x14ac:dyDescent="0.2">
      <c r="B1816" s="43" t="s">
        <v>20</v>
      </c>
      <c r="C1816" s="43" t="s">
        <v>272</v>
      </c>
      <c r="D1816" s="60"/>
      <c r="E1816" s="40"/>
      <c r="F1816" s="40"/>
      <c r="G1816" s="40"/>
      <c r="H1816" s="40"/>
      <c r="I1816" s="44">
        <f>SUM(H1817:H1818)</f>
        <v>22</v>
      </c>
      <c r="J1816" s="45" t="str">
        <f>+J1817</f>
        <v>und</v>
      </c>
    </row>
    <row r="1817" spans="2:10" s="1" customFormat="1" ht="12.75" x14ac:dyDescent="0.2">
      <c r="B1817" s="46"/>
      <c r="C1817" s="39" t="s">
        <v>462</v>
      </c>
      <c r="D1817" s="60">
        <f>+D1750*ROUNDUP(E1750/1,0)</f>
        <v>11</v>
      </c>
      <c r="E1817" s="40"/>
      <c r="F1817" s="40"/>
      <c r="G1817" s="40"/>
      <c r="H1817" s="40">
        <f>+D1817</f>
        <v>11</v>
      </c>
      <c r="I1817" s="40"/>
      <c r="J1817" s="41" t="s">
        <v>13</v>
      </c>
    </row>
    <row r="1818" spans="2:10" s="1" customFormat="1" ht="12.75" x14ac:dyDescent="0.2">
      <c r="B1818" s="43"/>
      <c r="C1818" s="39" t="s">
        <v>456</v>
      </c>
      <c r="D1818" s="60">
        <f>ROUNDUP(E1750/1,0)</f>
        <v>11</v>
      </c>
      <c r="E1818" s="40"/>
      <c r="F1818" s="40"/>
      <c r="G1818" s="40"/>
      <c r="H1818" s="40">
        <f>+D1818</f>
        <v>11</v>
      </c>
      <c r="I1818" s="44"/>
      <c r="J1818" s="45"/>
    </row>
    <row r="1819" spans="2:10" s="1" customFormat="1" ht="12.75" x14ac:dyDescent="0.2">
      <c r="B1819" s="43" t="s">
        <v>21</v>
      </c>
      <c r="C1819" s="43" t="s">
        <v>266</v>
      </c>
      <c r="D1819" s="60"/>
      <c r="E1819" s="40"/>
      <c r="F1819" s="40"/>
      <c r="G1819" s="40"/>
      <c r="H1819" s="40"/>
      <c r="I1819" s="44">
        <f>SUM(H1820:H1822)</f>
        <v>0</v>
      </c>
      <c r="J1819" s="45" t="str">
        <f>+J1820</f>
        <v>und</v>
      </c>
    </row>
    <row r="1820" spans="2:10" s="1" customFormat="1" ht="12.75" x14ac:dyDescent="0.2">
      <c r="B1820" s="43"/>
      <c r="C1820" s="39" t="s">
        <v>71</v>
      </c>
      <c r="D1820" s="40"/>
      <c r="E1820" s="40"/>
      <c r="F1820" s="40"/>
      <c r="G1820" s="40"/>
      <c r="H1820" s="40">
        <f t="shared" ref="H1820:H1822" si="120">+D1820</f>
        <v>0</v>
      </c>
      <c r="I1820" s="40"/>
      <c r="J1820" s="41" t="s">
        <v>13</v>
      </c>
    </row>
    <row r="1821" spans="2:10" s="1" customFormat="1" ht="12.75" x14ac:dyDescent="0.2">
      <c r="B1821" s="43"/>
      <c r="C1821" s="39" t="s">
        <v>72</v>
      </c>
      <c r="D1821" s="40"/>
      <c r="E1821" s="40"/>
      <c r="F1821" s="40"/>
      <c r="G1821" s="40"/>
      <c r="H1821" s="40">
        <f t="shared" si="120"/>
        <v>0</v>
      </c>
      <c r="I1821" s="40"/>
      <c r="J1821" s="41" t="s">
        <v>13</v>
      </c>
    </row>
    <row r="1822" spans="2:10" s="1" customFormat="1" ht="12.75" x14ac:dyDescent="0.2">
      <c r="B1822" s="43"/>
      <c r="C1822" s="39" t="s">
        <v>73</v>
      </c>
      <c r="D1822" s="40"/>
      <c r="E1822" s="40"/>
      <c r="F1822" s="40"/>
      <c r="G1822" s="40"/>
      <c r="H1822" s="40">
        <f t="shared" si="120"/>
        <v>0</v>
      </c>
      <c r="I1822" s="40"/>
      <c r="J1822" s="41" t="s">
        <v>13</v>
      </c>
    </row>
    <row r="1823" spans="2:10" s="1" customFormat="1" ht="12.75" x14ac:dyDescent="0.2">
      <c r="B1823" s="43" t="s">
        <v>273</v>
      </c>
      <c r="C1823" s="43" t="s">
        <v>354</v>
      </c>
      <c r="D1823" s="60"/>
      <c r="E1823" s="40"/>
      <c r="F1823" s="40"/>
      <c r="G1823" s="40"/>
      <c r="H1823" s="40"/>
      <c r="I1823" s="44">
        <f>SUM(H1824:H1824)</f>
        <v>11</v>
      </c>
      <c r="J1823" s="45" t="str">
        <f>+J1824</f>
        <v>und</v>
      </c>
    </row>
    <row r="1824" spans="2:10" s="1" customFormat="1" ht="12.75" x14ac:dyDescent="0.2">
      <c r="B1824" s="43"/>
      <c r="C1824" s="39" t="s">
        <v>375</v>
      </c>
      <c r="D1824" s="40">
        <v>11</v>
      </c>
      <c r="E1824" s="40">
        <v>1</v>
      </c>
      <c r="F1824" s="40"/>
      <c r="G1824" s="40"/>
      <c r="H1824" s="40">
        <f>IF(AND(F1824=0,G1824=0),D1824*E1824,IF(AND(E1824=0,G1824=0),D1824*F1824,IF(AND(E1824=0,F1824=0),D1824*G1824,IF(AND(E1824=0),D1824*F1824*G1824,IF(AND(F1824=0),D1824*E1824*G1824,IF(AND(G1824=0),D1824*E1824*F1824,D1824*E1824*F1824*G1824))))))</f>
        <v>11</v>
      </c>
      <c r="I1824" s="40"/>
      <c r="J1824" s="41" t="s">
        <v>13</v>
      </c>
    </row>
    <row r="1825" spans="2:10" s="1" customFormat="1" ht="12.75" x14ac:dyDescent="0.2">
      <c r="B1825" s="43" t="s">
        <v>274</v>
      </c>
      <c r="C1825" s="43" t="s">
        <v>357</v>
      </c>
      <c r="D1825" s="60"/>
      <c r="E1825" s="40"/>
      <c r="F1825" s="40"/>
      <c r="G1825" s="40"/>
      <c r="H1825" s="40"/>
      <c r="I1825" s="44">
        <f>SUM(H1826:H1826)</f>
        <v>1</v>
      </c>
      <c r="J1825" s="45" t="str">
        <f>+J1826</f>
        <v>und</v>
      </c>
    </row>
    <row r="1826" spans="2:10" s="1" customFormat="1" ht="12.75" x14ac:dyDescent="0.2">
      <c r="B1826" s="43"/>
      <c r="C1826" s="39" t="s">
        <v>375</v>
      </c>
      <c r="D1826" s="40">
        <v>1</v>
      </c>
      <c r="E1826" s="40">
        <v>1</v>
      </c>
      <c r="F1826" s="40"/>
      <c r="G1826" s="40"/>
      <c r="H1826" s="40">
        <f t="shared" ref="H1826" si="121">+D1826</f>
        <v>1</v>
      </c>
      <c r="I1826" s="40"/>
      <c r="J1826" s="41" t="s">
        <v>13</v>
      </c>
    </row>
    <row r="1827" spans="2:10" s="1" customFormat="1" ht="12.75" x14ac:dyDescent="0.2">
      <c r="B1827" s="43" t="s">
        <v>355</v>
      </c>
      <c r="C1827" s="43" t="s">
        <v>263</v>
      </c>
      <c r="D1827" s="60"/>
      <c r="E1827" s="40"/>
      <c r="F1827" s="40"/>
      <c r="G1827" s="40"/>
      <c r="H1827" s="40"/>
      <c r="I1827" s="44">
        <f>SUM(H1828:H1828)</f>
        <v>0</v>
      </c>
      <c r="J1827" s="45" t="str">
        <f>+J1828</f>
        <v>und</v>
      </c>
    </row>
    <row r="1828" spans="2:10" s="1" customFormat="1" ht="14.25" customHeight="1" x14ac:dyDescent="0.2">
      <c r="B1828" s="46"/>
      <c r="C1828" s="39"/>
      <c r="D1828" s="40">
        <v>0</v>
      </c>
      <c r="E1828" s="40">
        <v>1</v>
      </c>
      <c r="F1828" s="40"/>
      <c r="G1828" s="40"/>
      <c r="H1828" s="40">
        <f>+D1828</f>
        <v>0</v>
      </c>
      <c r="I1828" s="40"/>
      <c r="J1828" s="41" t="s">
        <v>13</v>
      </c>
    </row>
    <row r="1829" spans="2:10" s="1" customFormat="1" ht="12.75" x14ac:dyDescent="0.2">
      <c r="B1829" s="43" t="s">
        <v>356</v>
      </c>
      <c r="C1829" s="43" t="s">
        <v>264</v>
      </c>
      <c r="D1829" s="60"/>
      <c r="E1829" s="40"/>
      <c r="F1829" s="40"/>
      <c r="G1829" s="40"/>
      <c r="H1829" s="40"/>
      <c r="I1829" s="44">
        <f>SUM(H1830:H1830)</f>
        <v>0</v>
      </c>
      <c r="J1829" s="45" t="str">
        <f>+J1830</f>
        <v>und</v>
      </c>
    </row>
    <row r="1830" spans="2:10" s="1" customFormat="1" ht="12.75" x14ac:dyDescent="0.2">
      <c r="B1830" s="46"/>
      <c r="C1830" s="39" t="s">
        <v>384</v>
      </c>
      <c r="D1830" s="40"/>
      <c r="E1830" s="40"/>
      <c r="F1830" s="40"/>
      <c r="G1830" s="40"/>
      <c r="H1830" s="40">
        <f>+D1830</f>
        <v>0</v>
      </c>
      <c r="I1830" s="40"/>
      <c r="J1830" s="41" t="s">
        <v>13</v>
      </c>
    </row>
    <row r="1831" spans="2:10" s="1" customFormat="1" ht="14.25" customHeight="1" x14ac:dyDescent="0.2">
      <c r="B1831" s="46"/>
      <c r="C1831" s="59"/>
      <c r="D1831" s="60"/>
      <c r="E1831" s="40"/>
      <c r="F1831" s="40"/>
      <c r="G1831" s="40"/>
      <c r="H1831" s="40"/>
      <c r="I1831" s="40"/>
      <c r="J1831" s="41"/>
    </row>
    <row r="1832" spans="2:10" s="1" customFormat="1" ht="12.75" x14ac:dyDescent="0.2">
      <c r="B1832" s="43" t="s">
        <v>659</v>
      </c>
      <c r="C1832" s="43" t="s">
        <v>657</v>
      </c>
      <c r="D1832" s="60"/>
      <c r="E1832" s="40"/>
      <c r="F1832" s="40"/>
      <c r="G1832" s="40"/>
      <c r="H1832" s="40"/>
      <c r="I1832" s="44">
        <f>+SUM(H1833:H1834)</f>
        <v>4</v>
      </c>
      <c r="J1832" s="45" t="s">
        <v>13</v>
      </c>
    </row>
    <row r="1833" spans="2:10" s="1" customFormat="1" ht="12.75" x14ac:dyDescent="0.2">
      <c r="B1833" s="46"/>
      <c r="C1833" s="59" t="s">
        <v>658</v>
      </c>
      <c r="D1833" s="60">
        <v>4</v>
      </c>
      <c r="E1833" s="40"/>
      <c r="F1833" s="40"/>
      <c r="G1833" s="40"/>
      <c r="H1833" s="40">
        <f t="shared" ref="H1833" si="122">+D1833</f>
        <v>4</v>
      </c>
      <c r="I1833" s="40"/>
      <c r="J1833" s="41"/>
    </row>
    <row r="1834" spans="2:10" s="1" customFormat="1" ht="12.75" x14ac:dyDescent="0.2">
      <c r="B1834" s="43" t="s">
        <v>659</v>
      </c>
      <c r="C1834" s="372" t="s">
        <v>657</v>
      </c>
      <c r="D1834" s="60"/>
      <c r="E1834" s="40"/>
      <c r="F1834" s="40"/>
      <c r="G1834" s="40"/>
      <c r="H1834" s="40"/>
      <c r="I1834" s="44">
        <f>+SUM(H1835:H1835)</f>
        <v>1</v>
      </c>
      <c r="J1834" s="45" t="s">
        <v>13</v>
      </c>
    </row>
    <row r="1835" spans="2:10" s="1" customFormat="1" ht="12.75" x14ac:dyDescent="0.2">
      <c r="B1835" s="46"/>
      <c r="C1835" s="39" t="s">
        <v>456</v>
      </c>
      <c r="D1835" s="60">
        <v>1</v>
      </c>
      <c r="E1835" s="40"/>
      <c r="F1835" s="40"/>
      <c r="G1835" s="40"/>
      <c r="H1835" s="40">
        <f t="shared" ref="H1835" si="123">+D1835</f>
        <v>1</v>
      </c>
      <c r="I1835" s="40"/>
      <c r="J1835" s="41"/>
    </row>
    <row r="1836" spans="2:10" s="1" customFormat="1" ht="12.75" x14ac:dyDescent="0.2">
      <c r="B1836" s="46"/>
      <c r="C1836" s="59"/>
      <c r="D1836" s="60"/>
      <c r="E1836" s="40"/>
      <c r="F1836" s="40"/>
      <c r="G1836" s="40"/>
      <c r="H1836" s="40"/>
      <c r="I1836" s="40"/>
      <c r="J1836" s="41"/>
    </row>
    <row r="1837" spans="2:10" s="1" customFormat="1" ht="12.75" x14ac:dyDescent="0.2">
      <c r="B1837" s="43" t="s">
        <v>602</v>
      </c>
      <c r="C1837" s="43" t="s">
        <v>505</v>
      </c>
      <c r="D1837" s="60"/>
      <c r="E1837" s="40"/>
      <c r="F1837" s="40"/>
      <c r="G1837" s="40"/>
      <c r="H1837" s="40"/>
      <c r="I1837" s="44">
        <f>+SUM(H1838:H1838)</f>
        <v>4</v>
      </c>
      <c r="J1837" s="45" t="s">
        <v>13</v>
      </c>
    </row>
    <row r="1838" spans="2:10" s="1" customFormat="1" ht="12.75" x14ac:dyDescent="0.2">
      <c r="B1838" s="46"/>
      <c r="C1838" s="39" t="s">
        <v>504</v>
      </c>
      <c r="D1838" s="60">
        <v>4</v>
      </c>
      <c r="E1838" s="40"/>
      <c r="F1838" s="40"/>
      <c r="G1838" s="40"/>
      <c r="H1838" s="40">
        <f>+D1838</f>
        <v>4</v>
      </c>
      <c r="I1838" s="40"/>
      <c r="J1838" s="41"/>
    </row>
    <row r="1839" spans="2:10" s="1" customFormat="1" ht="12.75" x14ac:dyDescent="0.2">
      <c r="B1839" s="46"/>
      <c r="C1839" s="59"/>
      <c r="D1839" s="60"/>
      <c r="E1839" s="40"/>
      <c r="F1839" s="40"/>
      <c r="G1839" s="40"/>
      <c r="H1839" s="40"/>
      <c r="I1839" s="40"/>
      <c r="J1839" s="41"/>
    </row>
    <row r="1840" spans="2:10" s="1" customFormat="1" ht="12.75" x14ac:dyDescent="0.2">
      <c r="B1840" s="46"/>
      <c r="C1840" s="59"/>
      <c r="D1840" s="60"/>
      <c r="E1840" s="40"/>
      <c r="F1840" s="40"/>
      <c r="G1840" s="40"/>
      <c r="H1840" s="40"/>
      <c r="I1840" s="40"/>
      <c r="J1840" s="41"/>
    </row>
    <row r="1841" spans="2:10" s="1" customFormat="1" ht="12.75" x14ac:dyDescent="0.2">
      <c r="B1841" s="43" t="s">
        <v>659</v>
      </c>
      <c r="C1841" s="43" t="s">
        <v>657</v>
      </c>
      <c r="D1841" s="60"/>
      <c r="E1841" s="40"/>
      <c r="F1841" s="40"/>
      <c r="G1841" s="40"/>
      <c r="H1841" s="40"/>
      <c r="I1841" s="44">
        <f>+SUM(H1842:H1843)</f>
        <v>1</v>
      </c>
      <c r="J1841" s="45" t="s">
        <v>13</v>
      </c>
    </row>
    <row r="1842" spans="2:10" s="1" customFormat="1" ht="12.75" x14ac:dyDescent="0.2">
      <c r="B1842" s="46"/>
      <c r="C1842" s="59" t="s">
        <v>658</v>
      </c>
      <c r="D1842" s="60">
        <v>1</v>
      </c>
      <c r="E1842" s="40">
        <v>1</v>
      </c>
      <c r="F1842" s="40"/>
      <c r="G1842" s="40"/>
      <c r="H1842" s="40">
        <f t="shared" ref="H1842" si="124">+D1842</f>
        <v>1</v>
      </c>
      <c r="I1842" s="40"/>
      <c r="J1842" s="41"/>
    </row>
    <row r="1843" spans="2:10" s="1" customFormat="1" ht="12.75" x14ac:dyDescent="0.2">
      <c r="B1843" s="46"/>
      <c r="C1843" s="59"/>
      <c r="D1843" s="60"/>
      <c r="E1843" s="40"/>
      <c r="F1843" s="40"/>
      <c r="G1843" s="40"/>
      <c r="H1843" s="40"/>
      <c r="I1843" s="40"/>
      <c r="J1843" s="41"/>
    </row>
    <row r="1844" spans="2:10" s="1" customFormat="1" ht="12.75" x14ac:dyDescent="0.2">
      <c r="B1844" s="46"/>
      <c r="C1844" s="59"/>
      <c r="D1844" s="60"/>
      <c r="E1844" s="40"/>
      <c r="F1844" s="40"/>
      <c r="G1844" s="40"/>
      <c r="H1844" s="40"/>
      <c r="I1844" s="40"/>
      <c r="J1844" s="41"/>
    </row>
    <row r="1845" spans="2:10" s="1" customFormat="1" ht="12.75" x14ac:dyDescent="0.2">
      <c r="B1845" s="73" t="s">
        <v>14</v>
      </c>
      <c r="C1845" s="73" t="s">
        <v>615</v>
      </c>
      <c r="D1845" s="60"/>
      <c r="E1845" s="40"/>
      <c r="F1845" s="40"/>
      <c r="G1845" s="40"/>
      <c r="H1845" s="40"/>
      <c r="I1845" s="40"/>
      <c r="J1845" s="41"/>
    </row>
    <row r="1846" spans="2:10" s="1" customFormat="1" ht="12.75" x14ac:dyDescent="0.2">
      <c r="B1846" s="25" t="s">
        <v>766</v>
      </c>
      <c r="C1846" s="28" t="s">
        <v>616</v>
      </c>
      <c r="D1846" s="60"/>
      <c r="E1846" s="40"/>
      <c r="F1846" s="40"/>
      <c r="G1846" s="40"/>
      <c r="H1846" s="40"/>
      <c r="I1846" s="40">
        <f>+SUM(H1847:H1849)</f>
        <v>8.5628799999999998</v>
      </c>
      <c r="J1846" s="41" t="s">
        <v>45</v>
      </c>
    </row>
    <row r="1847" spans="2:10" s="1" customFormat="1" ht="12.75" x14ac:dyDescent="0.2">
      <c r="B1847" s="46"/>
      <c r="C1847" s="39" t="s">
        <v>373</v>
      </c>
      <c r="D1847" s="40">
        <v>1</v>
      </c>
      <c r="E1847" s="40">
        <v>0.6</v>
      </c>
      <c r="F1847" s="40">
        <v>0.8</v>
      </c>
      <c r="G1847" s="40"/>
      <c r="H1847" s="40">
        <f t="shared" ref="H1847:H1849" si="125">IF(AND(F1847=0,G1847=0),D1847*E1847,IF(AND(E1847=0,G1847=0),D1847*F1847,IF(AND(E1847=0,F1847=0),D1847*G1847,IF(AND(E1847=0),D1847*F1847*G1847,IF(AND(F1847=0),D1847*E1847*G1847,IF(AND(G1847=0),D1847*E1847*F1847,D1847*E1847*F1847*G1847))))))</f>
        <v>0.48</v>
      </c>
      <c r="I1847" s="40"/>
      <c r="J1847" s="41"/>
    </row>
    <row r="1848" spans="2:10" s="1" customFormat="1" ht="12.75" x14ac:dyDescent="0.2">
      <c r="B1848" s="46"/>
      <c r="C1848" s="43" t="s">
        <v>228</v>
      </c>
      <c r="D1848" s="60"/>
      <c r="E1848" s="40"/>
      <c r="F1848" s="40"/>
      <c r="G1848" s="40"/>
      <c r="H1848" s="40"/>
      <c r="I1848" s="40"/>
      <c r="J1848" s="41"/>
    </row>
    <row r="1849" spans="2:10" s="1" customFormat="1" ht="12.75" x14ac:dyDescent="0.2">
      <c r="B1849" s="46"/>
      <c r="C1849" s="39" t="s">
        <v>504</v>
      </c>
      <c r="D1849" s="40">
        <v>1</v>
      </c>
      <c r="E1849" s="40">
        <v>13.4</v>
      </c>
      <c r="F1849" s="40">
        <f>8*0.0254+0.4</f>
        <v>0.60319999999999996</v>
      </c>
      <c r="G1849" s="40"/>
      <c r="H1849" s="40">
        <f t="shared" si="125"/>
        <v>8.0828799999999994</v>
      </c>
      <c r="I1849" s="40"/>
      <c r="J1849" s="41"/>
    </row>
    <row r="1850" spans="2:10" s="1" customFormat="1" ht="12.75" x14ac:dyDescent="0.2">
      <c r="B1850" s="46"/>
      <c r="C1850" s="59"/>
      <c r="D1850" s="60"/>
      <c r="E1850" s="40"/>
      <c r="F1850" s="40"/>
      <c r="G1850" s="40"/>
      <c r="H1850" s="40"/>
      <c r="I1850" s="40"/>
      <c r="J1850" s="41"/>
    </row>
    <row r="1851" spans="2:10" s="1" customFormat="1" ht="12.75" x14ac:dyDescent="0.2">
      <c r="B1851" s="46"/>
      <c r="C1851" s="59"/>
      <c r="D1851" s="60"/>
      <c r="E1851" s="40"/>
      <c r="F1851" s="40"/>
      <c r="G1851" s="40"/>
      <c r="H1851" s="40"/>
      <c r="I1851" s="40"/>
      <c r="J1851" s="41"/>
    </row>
    <row r="1852" spans="2:10" x14ac:dyDescent="0.25">
      <c r="B1852" s="73" t="s">
        <v>22</v>
      </c>
      <c r="C1852" s="73" t="s">
        <v>614</v>
      </c>
      <c r="D1852" s="23"/>
      <c r="E1852" s="23"/>
      <c r="F1852" s="23"/>
      <c r="G1852" s="23"/>
      <c r="H1852" s="24"/>
      <c r="I1852" s="25"/>
      <c r="J1852" s="26"/>
    </row>
    <row r="1853" spans="2:10" s="1" customFormat="1" ht="12.75" x14ac:dyDescent="0.2">
      <c r="B1853" s="25" t="s">
        <v>24</v>
      </c>
      <c r="C1853" s="1" t="s">
        <v>623</v>
      </c>
      <c r="D1853" s="60"/>
      <c r="E1853" s="40"/>
      <c r="F1853" s="40"/>
      <c r="G1853" s="40"/>
      <c r="H1853" s="24"/>
      <c r="I1853" s="25">
        <f>+SUM(H1854)</f>
        <v>0.33599999999999997</v>
      </c>
      <c r="J1853" s="26" t="s">
        <v>4</v>
      </c>
    </row>
    <row r="1854" spans="2:10" s="1" customFormat="1" ht="12.75" x14ac:dyDescent="0.2">
      <c r="B1854" s="57"/>
      <c r="C1854" s="39" t="s">
        <v>373</v>
      </c>
      <c r="D1854" s="40">
        <v>1</v>
      </c>
      <c r="E1854" s="40">
        <v>0.6</v>
      </c>
      <c r="F1854" s="40">
        <v>0.8</v>
      </c>
      <c r="G1854" s="40">
        <f>0.5+0.2</f>
        <v>0.7</v>
      </c>
      <c r="H1854" s="40">
        <f>IF(AND(F1854=0,G1854=0),D1854*E1854,IF(AND(E1854=0,G1854=0),D1854*F1854,IF(AND(E1854=0,F1854=0),D1854*G1854,IF(AND(E1854=0),D1854*F1854*G1854,IF(AND(F1854=0),D1854*E1854*G1854,IF(AND(G1854=0),D1854*E1854*F1854,D1854*E1854*F1854*G1854))))))</f>
        <v>0.33599999999999997</v>
      </c>
      <c r="I1854" s="40"/>
      <c r="J1854" s="41"/>
    </row>
    <row r="1855" spans="2:10" s="1" customFormat="1" ht="12.75" x14ac:dyDescent="0.2">
      <c r="B1855" s="57"/>
      <c r="C1855" s="39"/>
      <c r="D1855" s="60"/>
      <c r="E1855" s="40"/>
      <c r="F1855" s="40"/>
      <c r="G1855" s="40"/>
      <c r="H1855" s="40"/>
      <c r="I1855" s="40"/>
      <c r="J1855" s="41"/>
    </row>
    <row r="1856" spans="2:10" s="1" customFormat="1" ht="12.75" x14ac:dyDescent="0.2">
      <c r="B1856" s="107"/>
      <c r="C1856" s="39"/>
      <c r="D1856" s="60"/>
      <c r="E1856" s="40"/>
      <c r="F1856" s="40"/>
      <c r="G1856" s="40"/>
      <c r="H1856" s="40"/>
      <c r="I1856" s="40"/>
      <c r="J1856" s="41"/>
    </row>
    <row r="1857" spans="2:10" x14ac:dyDescent="0.25">
      <c r="B1857" s="107" t="s">
        <v>777</v>
      </c>
      <c r="C1857" s="370" t="s">
        <v>779</v>
      </c>
      <c r="D1857" s="23"/>
      <c r="E1857" s="23"/>
      <c r="F1857" s="23"/>
      <c r="G1857" s="23"/>
      <c r="I1857" s="24">
        <f>+SUM(H1858:H1858)</f>
        <v>0.48</v>
      </c>
      <c r="J1857" s="26" t="s">
        <v>45</v>
      </c>
    </row>
    <row r="1858" spans="2:10" x14ac:dyDescent="0.25">
      <c r="B1858" s="107"/>
      <c r="C1858" s="39" t="s">
        <v>373</v>
      </c>
      <c r="D1858" s="40">
        <v>1</v>
      </c>
      <c r="E1858" s="40">
        <v>0.6</v>
      </c>
      <c r="F1858" s="40">
        <v>0.8</v>
      </c>
      <c r="G1858" s="40"/>
      <c r="H1858" s="40">
        <f>IF(AND(F1858=0,G1858=0),D1858*E1858,IF(AND(E1858=0,G1858=0),D1858*F1858,IF(AND(E1858=0,F1858=0),D1858*G1858,IF(AND(E1858=0),D1858*F1858*G1858,IF(AND(F1858=0),D1858*E1858*G1858,IF(AND(G1858=0),D1858*E1858*F1858,D1858*E1858*F1858*G1858))))))</f>
        <v>0.48</v>
      </c>
      <c r="I1858" s="25"/>
      <c r="J1858" s="26"/>
    </row>
    <row r="1859" spans="2:10" x14ac:dyDescent="0.25">
      <c r="B1859" s="107"/>
      <c r="C1859" s="370"/>
      <c r="D1859" s="23"/>
      <c r="E1859" s="23"/>
      <c r="F1859" s="23"/>
      <c r="G1859" s="23"/>
      <c r="H1859" s="24"/>
      <c r="I1859" s="25"/>
      <c r="J1859" s="26"/>
    </row>
    <row r="1860" spans="2:10" s="1" customFormat="1" ht="12.75" x14ac:dyDescent="0.2">
      <c r="B1860" s="107" t="s">
        <v>778</v>
      </c>
      <c r="C1860" s="370" t="s">
        <v>776</v>
      </c>
      <c r="D1860" s="60"/>
      <c r="E1860" s="40"/>
      <c r="F1860" s="40"/>
      <c r="G1860" s="40"/>
      <c r="H1860" s="40"/>
      <c r="I1860" s="40">
        <f>+SUM(H1862:H1862)-H1864</f>
        <v>7.6483276659259856</v>
      </c>
      <c r="J1860" s="41" t="s">
        <v>4</v>
      </c>
    </row>
    <row r="1861" spans="2:10" s="1" customFormat="1" ht="12.75" x14ac:dyDescent="0.2">
      <c r="B1861" s="46"/>
      <c r="C1861" s="43" t="s">
        <v>228</v>
      </c>
      <c r="D1861" s="60"/>
      <c r="E1861" s="40"/>
      <c r="F1861" s="40"/>
      <c r="G1861" s="40"/>
      <c r="H1861" s="40"/>
      <c r="I1861" s="40"/>
      <c r="J1861" s="41"/>
    </row>
    <row r="1862" spans="2:10" s="1" customFormat="1" ht="12.75" x14ac:dyDescent="0.2">
      <c r="B1862" s="46"/>
      <c r="C1862" s="39" t="s">
        <v>504</v>
      </c>
      <c r="D1862" s="40">
        <v>1</v>
      </c>
      <c r="E1862" s="40">
        <v>13.4</v>
      </c>
      <c r="F1862" s="40">
        <f>8*0.0254+0.4</f>
        <v>0.60319999999999996</v>
      </c>
      <c r="G1862" s="40">
        <v>1</v>
      </c>
      <c r="H1862" s="40">
        <f t="shared" ref="H1862" si="126">IF(AND(F1862=0,G1862=0),D1862*E1862,IF(AND(E1862=0,G1862=0),D1862*F1862,IF(AND(E1862=0,F1862=0),D1862*G1862,IF(AND(E1862=0),D1862*F1862*G1862,IF(AND(F1862=0),D1862*E1862*G1862,IF(AND(G1862=0),D1862*E1862*F1862,D1862*E1862*F1862*G1862))))))</f>
        <v>8.0828799999999994</v>
      </c>
      <c r="I1862" s="40"/>
      <c r="J1862" s="41"/>
    </row>
    <row r="1863" spans="2:10" s="1" customFormat="1" ht="12.75" x14ac:dyDescent="0.2">
      <c r="B1863" s="46"/>
      <c r="F1863" s="40" t="s">
        <v>786</v>
      </c>
      <c r="G1863" s="40">
        <v>8</v>
      </c>
      <c r="I1863" s="40"/>
      <c r="J1863" s="41"/>
    </row>
    <row r="1864" spans="2:10" s="1" customFormat="1" ht="12.75" x14ac:dyDescent="0.2">
      <c r="B1864" s="46"/>
      <c r="C1864" s="39" t="s">
        <v>784</v>
      </c>
      <c r="D1864" s="60">
        <v>1</v>
      </c>
      <c r="E1864" s="40">
        <f>+SUM(E1862:E1862)</f>
        <v>13.4</v>
      </c>
      <c r="F1864" s="40" t="s">
        <v>785</v>
      </c>
      <c r="G1864" s="40">
        <f>+PI()*((G1863*0.0254)^2)/4</f>
        <v>3.2429278662239852E-2</v>
      </c>
      <c r="H1864" s="40">
        <f>+E1864*G1864</f>
        <v>0.43455233407401406</v>
      </c>
      <c r="I1864" s="40"/>
      <c r="J1864" s="41"/>
    </row>
    <row r="1865" spans="2:10" s="1" customFormat="1" ht="12.75" x14ac:dyDescent="0.2">
      <c r="B1865" s="46"/>
      <c r="C1865" s="59"/>
      <c r="D1865" s="60"/>
      <c r="E1865" s="40"/>
      <c r="F1865" s="40"/>
      <c r="G1865" s="40"/>
      <c r="H1865" s="40"/>
      <c r="I1865" s="40"/>
      <c r="J1865" s="41"/>
    </row>
    <row r="1866" spans="2:10" s="1" customFormat="1" ht="12.75" x14ac:dyDescent="0.2">
      <c r="B1866" s="25" t="s">
        <v>709</v>
      </c>
      <c r="C1866" s="28" t="s">
        <v>718</v>
      </c>
      <c r="D1866" s="60"/>
      <c r="E1866" s="40"/>
      <c r="F1866" s="40"/>
      <c r="G1866" s="40"/>
      <c r="H1866" s="40"/>
      <c r="I1866" s="40">
        <f>+SUM(H1868)</f>
        <v>0.45</v>
      </c>
      <c r="J1866" s="41" t="s">
        <v>45</v>
      </c>
    </row>
    <row r="1867" spans="2:10" s="1" customFormat="1" ht="12.75" x14ac:dyDescent="0.2">
      <c r="B1867" s="46"/>
      <c r="C1867" s="43" t="s">
        <v>228</v>
      </c>
      <c r="D1867" s="60"/>
      <c r="E1867" s="40"/>
      <c r="F1867" s="40"/>
      <c r="G1867" s="40"/>
      <c r="H1867" s="40"/>
      <c r="I1867" s="40"/>
      <c r="J1867" s="41"/>
    </row>
    <row r="1868" spans="2:10" s="1" customFormat="1" ht="12.75" x14ac:dyDescent="0.2">
      <c r="B1868" s="46"/>
      <c r="C1868" s="39" t="s">
        <v>504</v>
      </c>
      <c r="D1868" s="40">
        <v>1</v>
      </c>
      <c r="E1868" s="40">
        <v>13.4</v>
      </c>
      <c r="F1868" s="40">
        <f>8*0.0254+0.4</f>
        <v>0.60319999999999996</v>
      </c>
      <c r="G1868" s="40">
        <v>1</v>
      </c>
      <c r="H1868" s="40">
        <v>0.45</v>
      </c>
      <c r="I1868" s="40"/>
      <c r="J1868" s="41"/>
    </row>
    <row r="1869" spans="2:10" s="1" customFormat="1" ht="12.75" x14ac:dyDescent="0.2">
      <c r="B1869" s="46"/>
      <c r="C1869" s="39"/>
      <c r="D1869" s="60"/>
      <c r="E1869" s="40"/>
      <c r="F1869" s="40"/>
      <c r="G1869" s="40"/>
      <c r="H1869" s="40"/>
      <c r="I1869" s="40"/>
      <c r="J1869" s="41"/>
    </row>
    <row r="1870" spans="2:10" s="1" customFormat="1" ht="12.75" x14ac:dyDescent="0.2">
      <c r="B1870" s="46"/>
      <c r="C1870" s="59"/>
      <c r="D1870" s="60"/>
      <c r="E1870" s="40"/>
      <c r="F1870" s="40"/>
      <c r="G1870" s="40"/>
      <c r="H1870" s="40"/>
      <c r="I1870" s="40"/>
      <c r="J1870" s="41"/>
    </row>
    <row r="1871" spans="2:10" s="1" customFormat="1" ht="12.75" x14ac:dyDescent="0.2">
      <c r="B1871" s="107" t="s">
        <v>632</v>
      </c>
      <c r="C1871" s="343" t="s">
        <v>794</v>
      </c>
      <c r="D1871" s="60"/>
      <c r="E1871" s="40"/>
      <c r="F1871" s="40" t="s">
        <v>795</v>
      </c>
      <c r="G1871" s="40"/>
      <c r="H1871" s="40"/>
      <c r="I1871" s="40">
        <f>+SUM(H1872:H1875)</f>
        <v>89.501608247422681</v>
      </c>
      <c r="J1871" s="41" t="s">
        <v>12</v>
      </c>
    </row>
    <row r="1872" spans="2:10" s="1" customFormat="1" ht="12.75" x14ac:dyDescent="0.2">
      <c r="B1872" s="380"/>
      <c r="C1872" s="39" t="s">
        <v>462</v>
      </c>
      <c r="D1872" s="60">
        <v>1</v>
      </c>
      <c r="E1872" s="89">
        <f>10.35</f>
        <v>10.35</v>
      </c>
      <c r="F1872" s="40">
        <v>1.64</v>
      </c>
      <c r="G1872" s="40"/>
      <c r="H1872" s="40">
        <f t="shared" ref="H1872:H1875" si="127">IF(AND(F1872=0,G1872=0),D1872*E1872,IF(AND(E1872=0,G1872=0),D1872*F1872,IF(AND(E1872=0,F1872=0),D1872*G1872,IF(AND(E1872=0),D1872*F1872*G1872,IF(AND(F1872=0),D1872*E1872*G1872,IF(AND(G1872=0),D1872*E1872*F1872,D1872*E1872*F1872*G1872))))))</f>
        <v>16.973999999999997</v>
      </c>
      <c r="I1872" s="40"/>
      <c r="J1872" s="41"/>
    </row>
    <row r="1873" spans="2:10" s="1" customFormat="1" ht="12.75" x14ac:dyDescent="0.2">
      <c r="B1873" s="380"/>
      <c r="C1873" s="39" t="s">
        <v>662</v>
      </c>
      <c r="D1873" s="60">
        <v>1</v>
      </c>
      <c r="E1873" s="89">
        <v>5.35</v>
      </c>
      <c r="F1873" s="40">
        <v>1.64</v>
      </c>
      <c r="G1873" s="40"/>
      <c r="H1873" s="40">
        <f t="shared" si="127"/>
        <v>8.7739999999999991</v>
      </c>
      <c r="I1873" s="40"/>
      <c r="J1873" s="41"/>
    </row>
    <row r="1874" spans="2:10" s="1" customFormat="1" ht="12.75" x14ac:dyDescent="0.2">
      <c r="B1874" s="380"/>
      <c r="C1874" s="43" t="s">
        <v>228</v>
      </c>
      <c r="D1874" s="60"/>
      <c r="E1874" s="40"/>
      <c r="F1874" s="40"/>
      <c r="G1874" s="40"/>
      <c r="H1874" s="40"/>
      <c r="I1874" s="40"/>
      <c r="J1874" s="41"/>
    </row>
    <row r="1875" spans="2:10" s="1" customFormat="1" ht="12.75" x14ac:dyDescent="0.2">
      <c r="B1875" s="380"/>
      <c r="C1875" s="39" t="s">
        <v>504</v>
      </c>
      <c r="D1875" s="40">
        <v>1</v>
      </c>
      <c r="E1875" s="40">
        <v>13.4</v>
      </c>
      <c r="F1875" s="40">
        <f>27.69/5.82</f>
        <v>4.7577319587628866</v>
      </c>
      <c r="G1875" s="40"/>
      <c r="H1875" s="40">
        <f t="shared" si="127"/>
        <v>63.753608247422683</v>
      </c>
      <c r="I1875" s="40"/>
      <c r="J1875" s="41"/>
    </row>
    <row r="1876" spans="2:10" s="1" customFormat="1" ht="12.75" x14ac:dyDescent="0.2">
      <c r="B1876" s="380"/>
      <c r="C1876" s="366"/>
      <c r="D1876" s="60"/>
      <c r="E1876" s="40"/>
      <c r="F1876" s="40"/>
      <c r="G1876" s="40"/>
      <c r="H1876" s="40"/>
      <c r="I1876" s="40"/>
      <c r="J1876" s="41"/>
    </row>
    <row r="1877" spans="2:10" s="1" customFormat="1" ht="12.75" x14ac:dyDescent="0.2">
      <c r="B1877" s="25" t="s">
        <v>633</v>
      </c>
      <c r="C1877" s="28" t="s">
        <v>625</v>
      </c>
      <c r="D1877" s="60"/>
      <c r="E1877" s="40"/>
      <c r="F1877" s="40"/>
      <c r="G1877" s="40"/>
      <c r="H1877" s="40"/>
      <c r="I1877" s="40">
        <f>+SUM(H1878:H1879)</f>
        <v>0.14400000000000002</v>
      </c>
      <c r="J1877" s="41" t="s">
        <v>4</v>
      </c>
    </row>
    <row r="1878" spans="2:10" s="1" customFormat="1" ht="12.75" x14ac:dyDescent="0.2">
      <c r="B1878" s="46"/>
      <c r="C1878" s="39" t="s">
        <v>373</v>
      </c>
      <c r="D1878" s="40">
        <v>2</v>
      </c>
      <c r="E1878" s="40">
        <v>0.8</v>
      </c>
      <c r="F1878" s="40">
        <v>0.1</v>
      </c>
      <c r="G1878" s="40">
        <v>0.6</v>
      </c>
      <c r="H1878" s="40">
        <f t="shared" ref="H1878:H1879" si="128">IF(AND(F1878=0,G1878=0),D1878*E1878,IF(AND(E1878=0,G1878=0),D1878*F1878,IF(AND(E1878=0,F1878=0),D1878*G1878,IF(AND(E1878=0),D1878*F1878*G1878,IF(AND(F1878=0),D1878*E1878*G1878,IF(AND(G1878=0),D1878*E1878*F1878,D1878*E1878*F1878*G1878))))))</f>
        <v>9.6000000000000016E-2</v>
      </c>
      <c r="I1878" s="40"/>
      <c r="J1878" s="41"/>
    </row>
    <row r="1879" spans="2:10" s="1" customFormat="1" ht="12.75" x14ac:dyDescent="0.2">
      <c r="B1879" s="46"/>
      <c r="C1879" s="59"/>
      <c r="D1879" s="60">
        <v>2</v>
      </c>
      <c r="E1879" s="40">
        <v>0.4</v>
      </c>
      <c r="F1879" s="40">
        <v>0.1</v>
      </c>
      <c r="G1879" s="40">
        <v>0.6</v>
      </c>
      <c r="H1879" s="40">
        <f t="shared" si="128"/>
        <v>4.8000000000000008E-2</v>
      </c>
      <c r="I1879" s="40"/>
      <c r="J1879" s="41"/>
    </row>
    <row r="1880" spans="2:10" s="1" customFormat="1" ht="12.75" x14ac:dyDescent="0.2">
      <c r="B1880" s="46"/>
      <c r="C1880" s="59"/>
      <c r="D1880" s="60"/>
      <c r="E1880" s="40"/>
      <c r="F1880" s="40"/>
      <c r="G1880" s="40"/>
      <c r="H1880" s="40"/>
      <c r="I1880" s="40"/>
      <c r="J1880" s="41"/>
    </row>
    <row r="1881" spans="2:10" s="1" customFormat="1" ht="12.75" x14ac:dyDescent="0.2">
      <c r="B1881" s="46"/>
      <c r="C1881" s="59"/>
      <c r="D1881" s="60"/>
      <c r="E1881" s="40"/>
      <c r="F1881" s="40"/>
      <c r="G1881" s="40"/>
      <c r="H1881" s="40"/>
      <c r="I1881" s="40"/>
      <c r="J1881" s="41"/>
    </row>
    <row r="1882" spans="2:10" s="1" customFormat="1" ht="12.75" x14ac:dyDescent="0.2">
      <c r="B1882" s="46"/>
      <c r="C1882" s="59"/>
      <c r="D1882" s="60"/>
      <c r="E1882" s="40"/>
      <c r="F1882" s="40"/>
      <c r="G1882" s="40"/>
      <c r="H1882" s="40"/>
      <c r="I1882" s="40"/>
      <c r="J1882" s="41"/>
    </row>
    <row r="1883" spans="2:10" s="1" customFormat="1" ht="12.75" x14ac:dyDescent="0.2">
      <c r="B1883" s="107" t="s">
        <v>790</v>
      </c>
      <c r="C1883" s="343" t="s">
        <v>789</v>
      </c>
      <c r="D1883" s="60" t="s">
        <v>791</v>
      </c>
      <c r="E1883" s="40"/>
      <c r="F1883" s="40"/>
      <c r="G1883" s="40"/>
      <c r="H1883" s="40"/>
      <c r="I1883" s="40">
        <f>+SUM(H1884:H1887)</f>
        <v>0.96319041759251756</v>
      </c>
      <c r="J1883" s="41" t="s">
        <v>4</v>
      </c>
    </row>
    <row r="1884" spans="2:10" s="1" customFormat="1" ht="12.75" x14ac:dyDescent="0.2">
      <c r="B1884" s="107"/>
      <c r="C1884" s="39" t="s">
        <v>373</v>
      </c>
      <c r="D1884" s="40">
        <v>1.25</v>
      </c>
      <c r="E1884" s="40">
        <v>0.6</v>
      </c>
      <c r="F1884" s="40">
        <v>0.8</v>
      </c>
      <c r="G1884" s="40">
        <f>0.5+0.2</f>
        <v>0.7</v>
      </c>
      <c r="H1884" s="40">
        <f>IF(AND(F1884=0,G1884=0),D1884*E1884,IF(AND(E1884=0,G1884=0),D1884*F1884,IF(AND(E1884=0,F1884=0),D1884*G1884,IF(AND(E1884=0),D1884*F1884*G1884,IF(AND(F1884=0),D1884*E1884*G1884,IF(AND(G1884=0),D1884*E1884*F1884,D1884*E1884*F1884*G1884))))))</f>
        <v>0.42000000000000004</v>
      </c>
      <c r="I1884" s="40"/>
      <c r="J1884" s="41"/>
    </row>
    <row r="1885" spans="2:10" s="1" customFormat="1" ht="12.75" x14ac:dyDescent="0.2">
      <c r="B1885" s="46"/>
      <c r="C1885" s="43" t="s">
        <v>228</v>
      </c>
      <c r="D1885" s="60"/>
      <c r="E1885" s="40"/>
      <c r="F1885" s="40"/>
      <c r="G1885" s="40"/>
      <c r="H1885" s="40"/>
      <c r="I1885" s="40"/>
      <c r="J1885" s="41"/>
    </row>
    <row r="1886" spans="2:10" s="1" customFormat="1" ht="12.75" x14ac:dyDescent="0.2">
      <c r="B1886" s="46"/>
      <c r="C1886" s="39" t="s">
        <v>504</v>
      </c>
      <c r="F1886" s="40" t="s">
        <v>786</v>
      </c>
      <c r="G1886" s="40">
        <v>8</v>
      </c>
      <c r="I1886" s="40"/>
      <c r="J1886" s="41"/>
    </row>
    <row r="1887" spans="2:10" s="1" customFormat="1" ht="12.75" x14ac:dyDescent="0.2">
      <c r="B1887" s="46"/>
      <c r="C1887" s="39" t="s">
        <v>784</v>
      </c>
      <c r="D1887" s="60">
        <v>1.25</v>
      </c>
      <c r="E1887" s="40">
        <f>+E1864</f>
        <v>13.4</v>
      </c>
      <c r="F1887" s="40" t="s">
        <v>785</v>
      </c>
      <c r="G1887" s="40">
        <f>+PI()*((G1886*0.0254)^2)/4</f>
        <v>3.2429278662239852E-2</v>
      </c>
      <c r="H1887" s="40">
        <f>+D1887*E1887*G1887</f>
        <v>0.54319041759251752</v>
      </c>
      <c r="I1887" s="40"/>
      <c r="J1887" s="41"/>
    </row>
    <row r="1888" spans="2:10" s="1" customFormat="1" ht="12.75" x14ac:dyDescent="0.2">
      <c r="B1888" s="380"/>
      <c r="C1888" s="366"/>
      <c r="D1888" s="60"/>
      <c r="E1888" s="40"/>
      <c r="F1888" s="40"/>
      <c r="G1888" s="40"/>
      <c r="H1888" s="40"/>
      <c r="I1888" s="40"/>
      <c r="J1888" s="41"/>
    </row>
    <row r="1889" spans="2:10" s="1" customFormat="1" ht="12.75" x14ac:dyDescent="0.2">
      <c r="B1889" s="107" t="s">
        <v>634</v>
      </c>
      <c r="C1889" s="343" t="s">
        <v>624</v>
      </c>
      <c r="D1889" s="60"/>
      <c r="E1889" s="40"/>
      <c r="F1889" s="40"/>
      <c r="G1889" s="40"/>
      <c r="H1889" s="40"/>
      <c r="I1889" s="40">
        <f>+I1883</f>
        <v>0.96319041759251756</v>
      </c>
      <c r="J1889" s="41" t="s">
        <v>4</v>
      </c>
    </row>
    <row r="1890" spans="2:10" s="1" customFormat="1" ht="12.75" x14ac:dyDescent="0.2">
      <c r="B1890" s="46"/>
      <c r="C1890" s="39"/>
      <c r="D1890" s="8"/>
      <c r="E1890" s="86"/>
      <c r="F1890" s="40"/>
      <c r="G1890" s="40"/>
      <c r="H1890" s="40"/>
      <c r="I1890" s="40"/>
      <c r="J1890" s="41"/>
    </row>
    <row r="1891" spans="2:10" s="1" customFormat="1" ht="12.75" x14ac:dyDescent="0.2">
      <c r="B1891" s="46"/>
      <c r="C1891" s="59"/>
      <c r="D1891" s="60"/>
      <c r="E1891" s="40"/>
      <c r="F1891" s="40"/>
      <c r="G1891" s="40"/>
      <c r="H1891" s="40"/>
      <c r="I1891" s="40"/>
      <c r="J1891" s="41"/>
    </row>
    <row r="1892" spans="2:10" s="1" customFormat="1" ht="12.75" x14ac:dyDescent="0.2">
      <c r="B1892" s="46"/>
      <c r="C1892" s="59"/>
      <c r="D1892" s="60"/>
      <c r="E1892" s="40"/>
      <c r="F1892" s="40"/>
      <c r="G1892" s="40"/>
      <c r="H1892" s="40"/>
      <c r="I1892" s="40"/>
      <c r="J1892" s="41"/>
    </row>
    <row r="1893" spans="2:10" s="1" customFormat="1" ht="12.75" x14ac:dyDescent="0.2">
      <c r="B1893" s="46"/>
      <c r="C1893" s="59"/>
      <c r="D1893" s="60"/>
      <c r="E1893" s="40"/>
      <c r="F1893" s="40"/>
      <c r="G1893" s="40"/>
      <c r="H1893" s="40"/>
      <c r="I1893" s="40"/>
      <c r="J1893" s="41"/>
    </row>
    <row r="1894" spans="2:10" s="1" customFormat="1" ht="12.75" x14ac:dyDescent="0.2">
      <c r="B1894" s="46"/>
      <c r="C1894" s="59"/>
      <c r="D1894" s="60"/>
      <c r="E1894" s="40"/>
      <c r="F1894" s="40"/>
      <c r="G1894" s="40"/>
      <c r="H1894" s="40"/>
      <c r="I1894" s="40"/>
      <c r="J1894" s="41"/>
    </row>
    <row r="1895" spans="2:10" s="1" customFormat="1" ht="12.75" x14ac:dyDescent="0.2">
      <c r="B1895" s="46"/>
      <c r="C1895" s="59"/>
      <c r="D1895" s="60"/>
      <c r="E1895" s="40"/>
      <c r="F1895" s="40"/>
      <c r="G1895" s="40"/>
      <c r="H1895" s="40"/>
      <c r="I1895" s="40"/>
      <c r="J1895" s="41"/>
    </row>
    <row r="1896" spans="2:10" s="1" customFormat="1" ht="12.75" x14ac:dyDescent="0.2">
      <c r="B1896" s="46"/>
      <c r="C1896" s="59"/>
      <c r="D1896" s="60"/>
      <c r="E1896" s="40"/>
      <c r="F1896" s="40"/>
      <c r="G1896" s="40"/>
      <c r="H1896" s="40"/>
      <c r="I1896" s="40"/>
      <c r="J1896" s="41"/>
    </row>
    <row r="1897" spans="2:10" s="1" customFormat="1" ht="12.75" x14ac:dyDescent="0.2">
      <c r="B1897" s="46"/>
      <c r="C1897" s="59"/>
      <c r="D1897" s="60"/>
      <c r="E1897" s="40"/>
      <c r="F1897" s="40"/>
      <c r="G1897" s="40"/>
      <c r="H1897" s="40"/>
      <c r="I1897" s="40"/>
      <c r="J1897" s="41"/>
    </row>
    <row r="1898" spans="2:10" s="1" customFormat="1" ht="12.75" x14ac:dyDescent="0.2">
      <c r="B1898" s="46"/>
      <c r="C1898" s="59"/>
      <c r="D1898" s="60"/>
      <c r="E1898" s="40"/>
      <c r="F1898" s="40"/>
      <c r="G1898" s="40"/>
      <c r="H1898" s="40"/>
      <c r="I1898" s="40"/>
      <c r="J1898" s="41"/>
    </row>
    <row r="1899" spans="2:10" s="1" customFormat="1" ht="12.75" x14ac:dyDescent="0.2">
      <c r="B1899" s="46"/>
      <c r="C1899" s="59"/>
      <c r="D1899" s="60"/>
      <c r="E1899" s="40"/>
      <c r="F1899" s="40"/>
      <c r="G1899" s="40"/>
      <c r="H1899" s="40"/>
      <c r="I1899" s="40"/>
      <c r="J1899" s="41"/>
    </row>
    <row r="1900" spans="2:10" s="1" customFormat="1" ht="12.75" x14ac:dyDescent="0.2">
      <c r="B1900" s="46"/>
      <c r="C1900" s="59"/>
      <c r="D1900" s="60"/>
      <c r="E1900" s="40"/>
      <c r="F1900" s="40"/>
      <c r="G1900" s="40"/>
      <c r="H1900" s="40"/>
      <c r="I1900" s="40"/>
      <c r="J1900" s="41"/>
    </row>
    <row r="1901" spans="2:10" s="1" customFormat="1" ht="12.75" x14ac:dyDescent="0.2">
      <c r="C1901" s="98" t="s">
        <v>37</v>
      </c>
      <c r="D1901" s="98"/>
      <c r="E1901" s="98"/>
      <c r="F1901" s="98"/>
      <c r="G1901" s="98"/>
      <c r="H1901" s="98"/>
    </row>
    <row r="1902" spans="2:10" s="1" customFormat="1" ht="12.75" x14ac:dyDescent="0.2">
      <c r="C1902" s="98" t="s">
        <v>38</v>
      </c>
      <c r="D1902" s="98"/>
      <c r="E1902" s="98"/>
      <c r="F1902" s="98"/>
      <c r="G1902" s="98"/>
      <c r="H1902" s="98"/>
    </row>
    <row r="1903" spans="2:10" s="1" customFormat="1" ht="12.75" x14ac:dyDescent="0.2">
      <c r="C1903" s="98" t="s">
        <v>39</v>
      </c>
      <c r="D1903" s="98"/>
      <c r="E1903" s="98"/>
      <c r="F1903" s="98"/>
      <c r="G1903" s="98"/>
      <c r="H1903" s="98"/>
    </row>
    <row r="1904" spans="2:10" s="1" customFormat="1" ht="12.75" x14ac:dyDescent="0.2">
      <c r="C1904" s="99" t="s">
        <v>40</v>
      </c>
      <c r="D1904" s="99"/>
      <c r="E1904" s="99"/>
      <c r="F1904" s="99"/>
      <c r="G1904" s="99"/>
      <c r="H1904" s="99"/>
    </row>
    <row r="1905" spans="2:10" s="1" customFormat="1" ht="33" customHeight="1" x14ac:dyDescent="0.2">
      <c r="C1905" s="80"/>
      <c r="D1905" s="99"/>
      <c r="E1905" s="99"/>
      <c r="F1905" s="99"/>
      <c r="G1905" s="99"/>
      <c r="H1905" s="99"/>
    </row>
    <row r="1906" spans="2:10" s="1" customFormat="1" ht="15.75" x14ac:dyDescent="0.2">
      <c r="B1906" s="100" t="s">
        <v>65</v>
      </c>
      <c r="C1906" s="101"/>
      <c r="D1906" s="101"/>
      <c r="E1906" s="101"/>
      <c r="F1906" s="101"/>
      <c r="G1906" s="101"/>
      <c r="H1906" s="101"/>
      <c r="I1906" s="101"/>
      <c r="J1906" s="102"/>
    </row>
    <row r="1907" spans="2:10" s="1" customFormat="1" ht="20.25" x14ac:dyDescent="0.2">
      <c r="B1907" s="104" t="s">
        <v>424</v>
      </c>
      <c r="C1907" s="105"/>
      <c r="D1907" s="105"/>
      <c r="E1907" s="105"/>
      <c r="F1907" s="105"/>
      <c r="G1907" s="105"/>
      <c r="H1907" s="105"/>
      <c r="I1907" s="105"/>
      <c r="J1907" s="106"/>
    </row>
    <row r="1908" spans="2:10" s="1" customFormat="1" ht="13.5" thickBot="1" x14ac:dyDescent="0.25">
      <c r="B1908" s="81"/>
      <c r="C1908" s="81"/>
      <c r="D1908" s="103"/>
      <c r="E1908" s="103"/>
      <c r="F1908" s="103"/>
      <c r="G1908" s="103"/>
      <c r="H1908" s="103"/>
      <c r="I1908" s="103"/>
      <c r="J1908" s="103"/>
    </row>
    <row r="1909" spans="2:10" s="1" customFormat="1" ht="165.75" x14ac:dyDescent="0.2">
      <c r="B1909" s="94" t="s">
        <v>27</v>
      </c>
      <c r="C1909" s="95"/>
      <c r="D1909" s="95"/>
      <c r="E1909" s="95"/>
      <c r="F1909" s="95"/>
      <c r="G1909" s="95"/>
      <c r="H1909" s="95"/>
      <c r="I1909" s="95"/>
      <c r="J1909" s="96"/>
    </row>
    <row r="1910" spans="2:10" s="1" customFormat="1" ht="12.75" x14ac:dyDescent="0.2">
      <c r="B1910" s="2" t="s">
        <v>35</v>
      </c>
      <c r="C1910" s="3" t="s">
        <v>36</v>
      </c>
      <c r="D1910" s="3"/>
      <c r="E1910" s="4"/>
      <c r="F1910" s="5"/>
      <c r="G1910" s="6" t="s">
        <v>8</v>
      </c>
      <c r="H1910" s="97">
        <v>42879</v>
      </c>
      <c r="I1910" s="97"/>
      <c r="J1910" s="7"/>
    </row>
    <row r="1911" spans="2:10" s="1" customFormat="1" ht="12.75" x14ac:dyDescent="0.2">
      <c r="B1911" s="2" t="s">
        <v>33</v>
      </c>
      <c r="C1911" s="3" t="s">
        <v>29</v>
      </c>
      <c r="D1911" s="8"/>
      <c r="E1911" s="8"/>
      <c r="F1911" s="3"/>
      <c r="G1911" s="9" t="s">
        <v>32</v>
      </c>
      <c r="H1911" s="4" t="s">
        <v>29</v>
      </c>
      <c r="I1911" s="10"/>
      <c r="J1911" s="11"/>
    </row>
    <row r="1912" spans="2:10" s="1" customFormat="1" ht="12.75" x14ac:dyDescent="0.2">
      <c r="B1912" s="2" t="s">
        <v>34</v>
      </c>
      <c r="C1912" s="3" t="s">
        <v>29</v>
      </c>
      <c r="D1912" s="8"/>
      <c r="E1912" s="8"/>
      <c r="F1912" s="3"/>
      <c r="G1912" s="9" t="s">
        <v>30</v>
      </c>
      <c r="H1912" s="4" t="s">
        <v>31</v>
      </c>
      <c r="I1912" s="10"/>
      <c r="J1912" s="11"/>
    </row>
    <row r="1913" spans="2:10" s="1" customFormat="1" ht="13.5" thickBot="1" x14ac:dyDescent="0.25">
      <c r="B1913" s="12" t="s">
        <v>43</v>
      </c>
      <c r="C1913" s="13" t="s">
        <v>44</v>
      </c>
      <c r="D1913" s="14"/>
      <c r="E1913" s="14"/>
      <c r="F1913" s="13"/>
      <c r="G1913" s="15" t="s">
        <v>41</v>
      </c>
      <c r="H1913" s="16" t="s">
        <v>42</v>
      </c>
      <c r="I1913" s="17"/>
      <c r="J1913" s="18"/>
    </row>
    <row r="1914" spans="2:10" s="1" customFormat="1" ht="12.75" x14ac:dyDescent="0.2">
      <c r="B1914" s="81"/>
      <c r="C1914" s="81"/>
      <c r="D1914" s="103"/>
      <c r="E1914" s="103"/>
      <c r="F1914" s="103"/>
      <c r="G1914" s="103"/>
      <c r="H1914" s="103"/>
      <c r="I1914" s="103"/>
      <c r="J1914" s="103"/>
    </row>
    <row r="1915" spans="2:10" s="1" customFormat="1" ht="12.75" x14ac:dyDescent="0.2">
      <c r="B1915" s="21" t="s">
        <v>5</v>
      </c>
      <c r="C1915" s="22" t="s">
        <v>0</v>
      </c>
      <c r="D1915" s="22" t="s">
        <v>9</v>
      </c>
      <c r="E1915" s="22" t="s">
        <v>10</v>
      </c>
      <c r="F1915" s="22" t="s">
        <v>1</v>
      </c>
      <c r="G1915" s="22" t="s">
        <v>2</v>
      </c>
      <c r="H1915" s="22" t="s">
        <v>11</v>
      </c>
      <c r="I1915" s="22" t="s">
        <v>6</v>
      </c>
      <c r="J1915" s="22" t="s">
        <v>7</v>
      </c>
    </row>
    <row r="1916" spans="2:10" s="1" customFormat="1" ht="12.75" x14ac:dyDescent="0.2">
      <c r="B1916" s="55">
        <v>4.03</v>
      </c>
      <c r="C1916" s="56" t="s">
        <v>222</v>
      </c>
      <c r="D1916" s="60"/>
      <c r="E1916" s="40"/>
      <c r="F1916" s="40"/>
      <c r="G1916" s="40"/>
      <c r="H1916" s="40"/>
      <c r="I1916" s="40"/>
      <c r="J1916" s="41"/>
    </row>
    <row r="1917" spans="2:10" s="1" customFormat="1" ht="12.75" x14ac:dyDescent="0.2">
      <c r="B1917" s="57" t="s">
        <v>14</v>
      </c>
      <c r="C1917" s="58" t="s">
        <v>225</v>
      </c>
      <c r="D1917" s="60"/>
      <c r="E1917" s="40"/>
      <c r="F1917" s="40"/>
      <c r="G1917" s="40"/>
      <c r="H1917" s="40"/>
      <c r="I1917" s="40"/>
      <c r="J1917" s="41"/>
    </row>
    <row r="1918" spans="2:10" s="1" customFormat="1" ht="12.75" x14ac:dyDescent="0.2">
      <c r="B1918" s="43" t="s">
        <v>15</v>
      </c>
      <c r="C1918" s="43" t="s">
        <v>359</v>
      </c>
      <c r="D1918" s="60"/>
      <c r="E1918" s="40"/>
      <c r="F1918" s="40"/>
      <c r="G1918" s="40"/>
      <c r="H1918" s="40"/>
      <c r="I1918" s="44">
        <f>SUM(H1919:H1919)</f>
        <v>0</v>
      </c>
      <c r="J1918" s="45" t="str">
        <f>+J1919</f>
        <v>ml</v>
      </c>
    </row>
    <row r="1919" spans="2:10" s="1" customFormat="1" ht="12.75" x14ac:dyDescent="0.2">
      <c r="B1919" s="43"/>
      <c r="C1919" s="39" t="s">
        <v>387</v>
      </c>
      <c r="D1919" s="40">
        <v>0</v>
      </c>
      <c r="E1919" s="40">
        <v>0</v>
      </c>
      <c r="F1919" s="40"/>
      <c r="G1919" s="40"/>
      <c r="H1919" s="40">
        <f>IF(AND(F1919=0,G1919=0),D1919*E1919,IF(AND(E1919=0,G1919=0),D1919*F1919,IF(AND(E1919=0,F1919=0),D1919*G1919,IF(AND(E1919=0),D1919*F1919*G1919,IF(AND(F1919=0),D1919*E1919*G1919,IF(AND(G1919=0),D1919*E1919*F1919,D1919*E1919*F1919*G1919))))))</f>
        <v>0</v>
      </c>
      <c r="I1919" s="40"/>
      <c r="J1919" s="41" t="str">
        <f>IF(AND(E1919=0,F1919&lt;&gt;0,G1919&lt;&gt;0),"m2",IF(AND(F1919=0,E1919&lt;&gt;0,G1919&lt;&gt;0),"m2",IF(AND(G1919=0,E1919&lt;&gt;0,F1919&lt;&gt;0),"m2",IF(AND(F1919=0,G1919=0),"ml",IF(AND(E1919=0,G1919=0),"ml",IF(AND(E1919=0,F1919=0),"ml",IF(AND(E1919&lt;&gt;0,F1919&lt;&gt;0,G1919&lt;&gt;0),"m3",0)))))))</f>
        <v>ml</v>
      </c>
    </row>
    <row r="1920" spans="2:10" s="1" customFormat="1" ht="12.75" x14ac:dyDescent="0.2">
      <c r="B1920" s="43"/>
      <c r="C1920" s="39"/>
      <c r="D1920" s="40"/>
      <c r="E1920" s="40"/>
      <c r="F1920" s="40"/>
      <c r="G1920" s="40"/>
      <c r="H1920" s="40">
        <f>IF(AND(F1920=0,G1920=0),D1920*E1920,IF(AND(E1920=0,G1920=0),D1920*F1920,IF(AND(E1920=0,F1920=0),D1920*G1920,IF(AND(E1920=0),D1920*F1920*G1920,IF(AND(F1920=0),D1920*E1920*G1920,IF(AND(G1920=0),D1920*E1920*F1920,D1920*E1920*F1920*G1920))))))</f>
        <v>0</v>
      </c>
      <c r="I1920" s="40"/>
      <c r="J1920" s="41" t="str">
        <f>IF(AND(E1920=0,F1920&lt;&gt;0,G1920&lt;&gt;0),"m2",IF(AND(F1920=0,E1920&lt;&gt;0,G1920&lt;&gt;0),"m2",IF(AND(G1920=0,E1920&lt;&gt;0,F1920&lt;&gt;0),"m2",IF(AND(F1920=0,G1920=0),"ml",IF(AND(E1920=0,G1920=0),"ml",IF(AND(E1920=0,F1920=0),"ml",IF(AND(E1920&lt;&gt;0,F1920&lt;&gt;0,G1920&lt;&gt;0),"m3",0)))))))</f>
        <v>ml</v>
      </c>
    </row>
    <row r="1921" spans="2:10" s="1" customFormat="1" ht="12.75" x14ac:dyDescent="0.2">
      <c r="B1921" s="43" t="s">
        <v>232</v>
      </c>
      <c r="C1921" s="43" t="s">
        <v>235</v>
      </c>
      <c r="D1921" s="60"/>
      <c r="E1921" s="40"/>
      <c r="F1921" s="40"/>
      <c r="G1921" s="40"/>
      <c r="H1921" s="40"/>
      <c r="I1921" s="44">
        <f>SUM(H1922:H1923)</f>
        <v>77.3</v>
      </c>
      <c r="J1921" s="45" t="str">
        <f>+J1922</f>
        <v>ml</v>
      </c>
    </row>
    <row r="1922" spans="2:10" s="1" customFormat="1" ht="12.75" x14ac:dyDescent="0.2">
      <c r="B1922" s="57"/>
      <c r="C1922" s="39" t="s">
        <v>378</v>
      </c>
      <c r="D1922" s="40">
        <v>5</v>
      </c>
      <c r="E1922" s="40">
        <v>11.6</v>
      </c>
      <c r="F1922" s="40"/>
      <c r="G1922" s="40"/>
      <c r="H1922" s="40">
        <f>IF(AND(F1922=0,G1922=0),D1922*E1922,IF(AND(E1922=0,G1922=0),D1922*F1922,IF(AND(E1922=0,F1922=0),D1922*G1922,IF(AND(E1922=0),D1922*F1922*G1922,IF(AND(F1922=0),D1922*E1922*G1922,IF(AND(G1922=0),D1922*E1922*F1922,D1922*E1922*F1922*G1922))))))</f>
        <v>58</v>
      </c>
      <c r="I1922" s="40"/>
      <c r="J1922" s="41" t="str">
        <f>IF(AND(E1922=0,F1922&lt;&gt;0,G1922&lt;&gt;0),"m2",IF(AND(F1922=0,E1922&lt;&gt;0,G1922&lt;&gt;0),"m2",IF(AND(G1922=0,E1922&lt;&gt;0,F1922&lt;&gt;0),"m2",IF(AND(F1922=0,G1922=0),"ml",IF(AND(E1922=0,G1922=0),"ml",IF(AND(E1922=0,F1922=0),"ml",IF(AND(E1922&lt;&gt;0,F1922&lt;&gt;0,G1922&lt;&gt;0),"m3",0)))))))</f>
        <v>ml</v>
      </c>
    </row>
    <row r="1923" spans="2:10" s="1" customFormat="1" ht="12.75" x14ac:dyDescent="0.2">
      <c r="B1923" s="57"/>
      <c r="C1923" s="39" t="s">
        <v>379</v>
      </c>
      <c r="D1923" s="40">
        <v>1</v>
      </c>
      <c r="E1923" s="40">
        <v>19.3</v>
      </c>
      <c r="F1923" s="40"/>
      <c r="G1923" s="40"/>
      <c r="H1923" s="40">
        <f>IF(AND(F1923=0,G1923=0),D1923*E1923,IF(AND(E1923=0,G1923=0),D1923*F1923,IF(AND(E1923=0,F1923=0),D1923*G1923,IF(AND(E1923=0),D1923*F1923*G1923,IF(AND(F1923=0),D1923*E1923*G1923,IF(AND(G1923=0),D1923*E1923*F1923,D1923*E1923*F1923*G1923))))))</f>
        <v>19.3</v>
      </c>
      <c r="I1923" s="40"/>
      <c r="J1923" s="41" t="str">
        <f>IF(AND(E1923=0,F1923&lt;&gt;0,G1923&lt;&gt;0),"m2",IF(AND(F1923=0,E1923&lt;&gt;0,G1923&lt;&gt;0),"m2",IF(AND(G1923=0,E1923&lt;&gt;0,F1923&lt;&gt;0),"m2",IF(AND(F1923=0,G1923=0),"ml",IF(AND(E1923=0,G1923=0),"ml",IF(AND(E1923=0,F1923=0),"ml",IF(AND(E1923&lt;&gt;0,F1923&lt;&gt;0,G1923&lt;&gt;0),"m3",0)))))))</f>
        <v>ml</v>
      </c>
    </row>
    <row r="1924" spans="2:10" s="1" customFormat="1" ht="12.75" x14ac:dyDescent="0.2">
      <c r="B1924" s="43" t="s">
        <v>233</v>
      </c>
      <c r="C1924" s="43" t="s">
        <v>236</v>
      </c>
      <c r="D1924" s="60"/>
      <c r="E1924" s="40"/>
      <c r="F1924" s="40"/>
      <c r="G1924" s="40"/>
      <c r="H1924" s="40"/>
      <c r="I1924" s="44">
        <f>SUM(H1925:H1925)</f>
        <v>0</v>
      </c>
      <c r="J1924" s="45" t="str">
        <f>+J1925</f>
        <v>ml</v>
      </c>
    </row>
    <row r="1925" spans="2:10" s="1" customFormat="1" ht="12.75" x14ac:dyDescent="0.2">
      <c r="B1925" s="57"/>
      <c r="C1925" s="39" t="s">
        <v>378</v>
      </c>
      <c r="D1925" s="40"/>
      <c r="E1925" s="40"/>
      <c r="F1925" s="40"/>
      <c r="G1925" s="40"/>
      <c r="H1925" s="40">
        <f>IF(AND(F1925=0,G1925=0),D1925*E1925,IF(AND(E1925=0,G1925=0),D1925*F1925,IF(AND(E1925=0,F1925=0),D1925*G1925,IF(AND(E1925=0),D1925*F1925*G1925,IF(AND(F1925=0),D1925*E1925*G1925,IF(AND(G1925=0),D1925*E1925*F1925,D1925*E1925*F1925*G1925))))))</f>
        <v>0</v>
      </c>
      <c r="I1925" s="40"/>
      <c r="J1925" s="41" t="str">
        <f>IF(AND(E1925=0,F1925&lt;&gt;0,G1925&lt;&gt;0),"m2",IF(AND(F1925=0,E1925&lt;&gt;0,G1925&lt;&gt;0),"m2",IF(AND(G1925=0,E1925&lt;&gt;0,F1925&lt;&gt;0),"m2",IF(AND(F1925=0,G1925=0),"ml",IF(AND(E1925=0,G1925=0),"ml",IF(AND(E1925=0,F1925=0),"ml",IF(AND(E1925&lt;&gt;0,F1925&lt;&gt;0,G1925&lt;&gt;0),"m3",0)))))))</f>
        <v>ml</v>
      </c>
    </row>
    <row r="1926" spans="2:10" s="1" customFormat="1" ht="11.25" customHeight="1" x14ac:dyDescent="0.2">
      <c r="B1926" s="57"/>
      <c r="C1926" s="39" t="s">
        <v>379</v>
      </c>
      <c r="D1926" s="40"/>
      <c r="E1926" s="40"/>
      <c r="F1926" s="40"/>
      <c r="G1926" s="40"/>
      <c r="H1926" s="40">
        <f>IF(AND(F1926=0,G1926=0),D1926*E1926,IF(AND(E1926=0,G1926=0),D1926*F1926,IF(AND(E1926=0,F1926=0),D1926*G1926,IF(AND(E1926=0),D1926*F1926*G1926,IF(AND(F1926=0),D1926*E1926*G1926,IF(AND(G1926=0),D1926*E1926*F1926,D1926*E1926*F1926*G1926))))))</f>
        <v>0</v>
      </c>
      <c r="I1926" s="40"/>
      <c r="J1926" s="41" t="str">
        <f>IF(AND(E1926=0,F1926&lt;&gt;0,G1926&lt;&gt;0),"m2",IF(AND(F1926=0,E1926&lt;&gt;0,G1926&lt;&gt;0),"m2",IF(AND(G1926=0,E1926&lt;&gt;0,F1926&lt;&gt;0),"m2",IF(AND(F1926=0,G1926=0),"ml",IF(AND(E1926=0,G1926=0),"ml",IF(AND(E1926=0,F1926=0),"ml",IF(AND(E1926&lt;&gt;0,F1926&lt;&gt;0,G1926&lt;&gt;0),"m3",0)))))))</f>
        <v>ml</v>
      </c>
    </row>
    <row r="1927" spans="2:10" s="1" customFormat="1" ht="11.25" customHeight="1" x14ac:dyDescent="0.2">
      <c r="B1927" s="43" t="s">
        <v>234</v>
      </c>
      <c r="C1927" s="43" t="s">
        <v>267</v>
      </c>
      <c r="D1927" s="60"/>
      <c r="E1927" s="40"/>
      <c r="F1927" s="40"/>
      <c r="G1927" s="40"/>
      <c r="H1927" s="40"/>
      <c r="I1927" s="44">
        <f>SUM(H1928:H1928)</f>
        <v>51.65</v>
      </c>
      <c r="J1927" s="45" t="s">
        <v>345</v>
      </c>
    </row>
    <row r="1928" spans="2:10" s="1" customFormat="1" ht="11.25" customHeight="1" x14ac:dyDescent="0.2">
      <c r="B1928" s="43"/>
      <c r="C1928" s="39" t="s">
        <v>465</v>
      </c>
      <c r="D1928" s="60">
        <v>5</v>
      </c>
      <c r="E1928" s="40">
        <f>9.78+0.55</f>
        <v>10.33</v>
      </c>
      <c r="F1928" s="40"/>
      <c r="G1928" s="40"/>
      <c r="H1928" s="40">
        <f>IF(AND(F1928=0,G1928=0),D1928*E1928,IF(AND(E1928=0,G1928=0),D1928*F1928,IF(AND(E1928=0,F1928=0),D1928*G1928,IF(AND(E1928=0),D1928*F1928*G1928,IF(AND(F1928=0),D1928*E1928*G1928,IF(AND(G1928=0),D1928*E1928*F1928,D1928*E1928*F1928*G1928))))))</f>
        <v>51.65</v>
      </c>
      <c r="I1928" s="44"/>
      <c r="J1928" s="45"/>
    </row>
    <row r="1929" spans="2:10" s="1" customFormat="1" ht="11.25" customHeight="1" x14ac:dyDescent="0.2">
      <c r="B1929" s="43"/>
      <c r="C1929" s="77"/>
      <c r="D1929" s="60"/>
      <c r="E1929" s="40"/>
      <c r="F1929" s="40"/>
      <c r="G1929" s="40"/>
      <c r="H1929" s="40"/>
      <c r="I1929" s="44"/>
      <c r="J1929" s="45"/>
    </row>
    <row r="1930" spans="2:10" s="1" customFormat="1" ht="12.75" x14ac:dyDescent="0.2">
      <c r="B1930" s="43" t="s">
        <v>268</v>
      </c>
      <c r="C1930" s="43" t="s">
        <v>347</v>
      </c>
      <c r="D1930" s="60"/>
      <c r="E1930" s="40"/>
      <c r="F1930" s="40"/>
      <c r="G1930" s="40"/>
      <c r="H1930" s="40"/>
      <c r="I1930" s="44">
        <f>SUM(H1931:H1931)</f>
        <v>0</v>
      </c>
      <c r="J1930" s="45" t="str">
        <f>+J1931</f>
        <v>ml</v>
      </c>
    </row>
    <row r="1931" spans="2:10" s="1" customFormat="1" ht="12.75" x14ac:dyDescent="0.2">
      <c r="B1931" s="57"/>
      <c r="C1931" s="77"/>
      <c r="D1931" s="40"/>
      <c r="E1931" s="40"/>
      <c r="F1931" s="40"/>
      <c r="G1931" s="40"/>
      <c r="H1931" s="40">
        <f t="shared" ref="H1931" si="129">IF(AND(F1931=0,G1931=0),D1931*E1931,IF(AND(E1931=0,G1931=0),D1931*F1931,IF(AND(E1931=0,F1931=0),D1931*G1931,IF(AND(E1931=0),D1931*F1931*G1931,IF(AND(F1931=0),D1931*E1931*G1931,IF(AND(G1931=0),D1931*E1931*F1931,D1931*E1931*F1931*G1931))))))</f>
        <v>0</v>
      </c>
      <c r="I1931" s="40"/>
      <c r="J1931" s="41" t="str">
        <f t="shared" ref="J1931" si="130">IF(AND(E1931=0,F1931&lt;&gt;0,G1931&lt;&gt;0),"m2",IF(AND(F1931=0,E1931&lt;&gt;0,G1931&lt;&gt;0),"m2",IF(AND(G1931=0,E1931&lt;&gt;0,F1931&lt;&gt;0),"m2",IF(AND(F1931=0,G1931=0),"ml",IF(AND(E1931=0,G1931=0),"ml",IF(AND(E1931=0,F1931=0),"ml",IF(AND(E1931&lt;&gt;0,F1931&lt;&gt;0,G1931&lt;&gt;0),"m3",0)))))))</f>
        <v>ml</v>
      </c>
    </row>
    <row r="1932" spans="2:10" s="1" customFormat="1" ht="12.75" x14ac:dyDescent="0.2">
      <c r="B1932" s="43" t="s">
        <v>270</v>
      </c>
      <c r="C1932" s="43" t="s">
        <v>269</v>
      </c>
      <c r="D1932" s="60"/>
      <c r="E1932" s="40"/>
      <c r="F1932" s="40"/>
      <c r="G1932" s="40"/>
      <c r="H1932" s="40"/>
      <c r="I1932" s="44">
        <f>SUM(H1933:H1939)</f>
        <v>0</v>
      </c>
      <c r="J1932" s="45" t="str">
        <f>+J1933</f>
        <v>ml</v>
      </c>
    </row>
    <row r="1933" spans="2:10" s="1" customFormat="1" ht="12.75" x14ac:dyDescent="0.2">
      <c r="B1933" s="43"/>
      <c r="C1933" s="77" t="s">
        <v>71</v>
      </c>
      <c r="D1933" s="40"/>
      <c r="E1933" s="40"/>
      <c r="F1933" s="40"/>
      <c r="G1933" s="40"/>
      <c r="H1933" s="40">
        <f t="shared" ref="H1933:H1939" si="131">IF(AND(F1933=0,G1933=0),D1933*E1933,IF(AND(E1933=0,G1933=0),D1933*F1933,IF(AND(E1933=0,F1933=0),D1933*G1933,IF(AND(E1933=0),D1933*F1933*G1933,IF(AND(F1933=0),D1933*E1933*G1933,IF(AND(G1933=0),D1933*E1933*F1933,D1933*E1933*F1933*G1933))))))</f>
        <v>0</v>
      </c>
      <c r="I1933" s="40"/>
      <c r="J1933" s="41" t="str">
        <f t="shared" ref="J1933:J1939" si="132">IF(AND(E1933=0,F1933&lt;&gt;0,G1933&lt;&gt;0),"m2",IF(AND(F1933=0,E1933&lt;&gt;0,G1933&lt;&gt;0),"m2",IF(AND(G1933=0,E1933&lt;&gt;0,F1933&lt;&gt;0),"m2",IF(AND(F1933=0,G1933=0),"ml",IF(AND(E1933=0,G1933=0),"ml",IF(AND(E1933=0,F1933=0),"ml",IF(AND(E1933&lt;&gt;0,F1933&lt;&gt;0,G1933&lt;&gt;0),"m3",0)))))))</f>
        <v>ml</v>
      </c>
    </row>
    <row r="1934" spans="2:10" s="1" customFormat="1" ht="12.75" x14ac:dyDescent="0.2">
      <c r="B1934" s="43"/>
      <c r="C1934" s="39" t="s">
        <v>349</v>
      </c>
      <c r="D1934" s="40"/>
      <c r="E1934" s="40"/>
      <c r="F1934" s="40"/>
      <c r="G1934" s="40"/>
      <c r="H1934" s="40">
        <f t="shared" si="131"/>
        <v>0</v>
      </c>
      <c r="I1934" s="40"/>
      <c r="J1934" s="41" t="str">
        <f t="shared" si="132"/>
        <v>ml</v>
      </c>
    </row>
    <row r="1935" spans="2:10" s="1" customFormat="1" ht="12.75" x14ac:dyDescent="0.2">
      <c r="B1935" s="43"/>
      <c r="C1935" s="39" t="s">
        <v>369</v>
      </c>
      <c r="D1935" s="40"/>
      <c r="E1935" s="40"/>
      <c r="F1935" s="40"/>
      <c r="G1935" s="40"/>
      <c r="H1935" s="40">
        <f t="shared" si="131"/>
        <v>0</v>
      </c>
      <c r="I1935" s="40"/>
      <c r="J1935" s="41" t="str">
        <f t="shared" si="132"/>
        <v>ml</v>
      </c>
    </row>
    <row r="1936" spans="2:10" s="1" customFormat="1" ht="12.75" x14ac:dyDescent="0.2">
      <c r="B1936" s="43"/>
      <c r="C1936" s="77" t="s">
        <v>72</v>
      </c>
      <c r="D1936" s="40"/>
      <c r="E1936" s="40"/>
      <c r="F1936" s="40"/>
      <c r="G1936" s="40"/>
      <c r="H1936" s="40">
        <f t="shared" si="131"/>
        <v>0</v>
      </c>
      <c r="I1936" s="40"/>
      <c r="J1936" s="41" t="str">
        <f t="shared" si="132"/>
        <v>ml</v>
      </c>
    </row>
    <row r="1937" spans="2:10" s="1" customFormat="1" ht="12.75" x14ac:dyDescent="0.2">
      <c r="B1937" s="43"/>
      <c r="C1937" s="39" t="s">
        <v>349</v>
      </c>
      <c r="D1937" s="40"/>
      <c r="E1937" s="40"/>
      <c r="F1937" s="40"/>
      <c r="G1937" s="40"/>
      <c r="H1937" s="40">
        <f t="shared" si="131"/>
        <v>0</v>
      </c>
      <c r="I1937" s="40"/>
      <c r="J1937" s="41" t="str">
        <f t="shared" si="132"/>
        <v>ml</v>
      </c>
    </row>
    <row r="1938" spans="2:10" s="1" customFormat="1" ht="12.75" x14ac:dyDescent="0.2">
      <c r="B1938" s="43"/>
      <c r="C1938" s="77" t="s">
        <v>73</v>
      </c>
      <c r="D1938" s="40"/>
      <c r="E1938" s="40"/>
      <c r="F1938" s="40"/>
      <c r="G1938" s="40"/>
      <c r="H1938" s="40">
        <f t="shared" si="131"/>
        <v>0</v>
      </c>
      <c r="I1938" s="40"/>
      <c r="J1938" s="41" t="str">
        <f t="shared" si="132"/>
        <v>ml</v>
      </c>
    </row>
    <row r="1939" spans="2:10" s="1" customFormat="1" ht="12.75" x14ac:dyDescent="0.2">
      <c r="B1939" s="43"/>
      <c r="C1939" s="39" t="s">
        <v>349</v>
      </c>
      <c r="D1939" s="40"/>
      <c r="E1939" s="40"/>
      <c r="F1939" s="40"/>
      <c r="G1939" s="40"/>
      <c r="H1939" s="40">
        <f t="shared" si="131"/>
        <v>0</v>
      </c>
      <c r="I1939" s="40"/>
      <c r="J1939" s="41" t="str">
        <f t="shared" si="132"/>
        <v>ml</v>
      </c>
    </row>
    <row r="1940" spans="2:10" s="1" customFormat="1" ht="12.75" x14ac:dyDescent="0.2">
      <c r="B1940" s="43" t="s">
        <v>342</v>
      </c>
      <c r="C1940" s="43" t="s">
        <v>271</v>
      </c>
      <c r="D1940" s="60"/>
      <c r="E1940" s="40"/>
      <c r="F1940" s="40"/>
      <c r="G1940" s="40"/>
      <c r="H1940" s="40"/>
      <c r="I1940" s="44">
        <f>SUM(H1941:H1941)</f>
        <v>1</v>
      </c>
      <c r="J1940" s="45" t="str">
        <f>+J1941</f>
        <v>und</v>
      </c>
    </row>
    <row r="1941" spans="2:10" s="1" customFormat="1" ht="12.75" x14ac:dyDescent="0.2">
      <c r="B1941" s="57"/>
      <c r="C1941" s="39" t="s">
        <v>710</v>
      </c>
      <c r="D1941" s="40">
        <v>1</v>
      </c>
      <c r="E1941" s="40"/>
      <c r="F1941" s="40"/>
      <c r="G1941" s="40"/>
      <c r="H1941" s="40">
        <f>+D1941</f>
        <v>1</v>
      </c>
      <c r="I1941" s="40"/>
      <c r="J1941" s="41" t="s">
        <v>13</v>
      </c>
    </row>
    <row r="1942" spans="2:10" s="1" customFormat="1" ht="12.75" x14ac:dyDescent="0.2">
      <c r="B1942" s="43" t="s">
        <v>346</v>
      </c>
      <c r="C1942" s="43" t="s">
        <v>348</v>
      </c>
      <c r="D1942" s="60"/>
      <c r="E1942" s="40"/>
      <c r="F1942" s="40"/>
      <c r="G1942" s="40"/>
      <c r="H1942" s="40"/>
      <c r="I1942" s="44">
        <f>SUM(H1943:H1943)</f>
        <v>0</v>
      </c>
      <c r="J1942" s="45" t="str">
        <f>+J1943</f>
        <v>und</v>
      </c>
    </row>
    <row r="1943" spans="2:10" s="1" customFormat="1" ht="12.75" x14ac:dyDescent="0.2">
      <c r="B1943" s="57"/>
      <c r="C1943" s="39" t="s">
        <v>349</v>
      </c>
      <c r="D1943" s="40">
        <v>0</v>
      </c>
      <c r="E1943" s="40"/>
      <c r="F1943" s="40"/>
      <c r="G1943" s="40"/>
      <c r="H1943" s="40">
        <f>+D1943</f>
        <v>0</v>
      </c>
      <c r="I1943" s="40"/>
      <c r="J1943" s="41" t="s">
        <v>13</v>
      </c>
    </row>
    <row r="1944" spans="2:10" s="1" customFormat="1" ht="12.75" x14ac:dyDescent="0.2">
      <c r="B1944" s="57" t="s">
        <v>16</v>
      </c>
      <c r="C1944" s="58" t="s">
        <v>224</v>
      </c>
      <c r="D1944" s="60"/>
      <c r="E1944" s="40"/>
      <c r="F1944" s="40"/>
      <c r="G1944" s="40"/>
      <c r="H1944" s="40"/>
      <c r="I1944" s="40"/>
      <c r="J1944" s="41"/>
    </row>
    <row r="1945" spans="2:10" s="1" customFormat="1" ht="12.75" x14ac:dyDescent="0.2">
      <c r="B1945" s="43" t="s">
        <v>17</v>
      </c>
      <c r="C1945" s="43" t="s">
        <v>343</v>
      </c>
      <c r="D1945" s="60"/>
      <c r="E1945" s="40"/>
      <c r="F1945" s="40"/>
      <c r="G1945" s="40"/>
      <c r="H1945" s="40"/>
      <c r="I1945" s="44">
        <f>SUM(H1946:H1947)</f>
        <v>61</v>
      </c>
      <c r="J1945" s="45" t="str">
        <f>+J1946</f>
        <v>ml</v>
      </c>
    </row>
    <row r="1946" spans="2:10" s="1" customFormat="1" ht="12.75" x14ac:dyDescent="0.2">
      <c r="B1946" s="57"/>
      <c r="C1946" s="39" t="s">
        <v>425</v>
      </c>
      <c r="D1946" s="113">
        <v>1</v>
      </c>
      <c r="E1946" s="113">
        <v>30.5</v>
      </c>
      <c r="F1946" s="113"/>
      <c r="G1946" s="113"/>
      <c r="H1946" s="113">
        <f>IF(AND(F1946=0,G1946=0),D1946*E1946,IF(AND(E1946=0,G1946=0),D1946*F1946,IF(AND(E1946=0,F1946=0),D1946*G1946,IF(AND(E1946=0),D1946*F1946*G1946,IF(AND(F1946=0),D1946*E1946*G1946,IF(AND(G1946=0),D1946*E1946*F1946,D1946*E1946*F1946*G1946))))))</f>
        <v>30.5</v>
      </c>
      <c r="I1946" s="40"/>
      <c r="J1946" s="41" t="str">
        <f>IF(AND(E1946=0,F1946&lt;&gt;0,G1946&lt;&gt;0),"m2",IF(AND(F1946=0,E1946&lt;&gt;0,G1946&lt;&gt;0),"m2",IF(AND(G1946=0,E1946&lt;&gt;0,F1946&lt;&gt;0),"m2",IF(AND(F1946=0,G1946=0),"ml",IF(AND(E1946=0,G1946=0),"ml",IF(AND(E1946=0,F1946=0),"ml",IF(AND(E1946&lt;&gt;0,F1946&lt;&gt;0,G1946&lt;&gt;0),"m3",0)))))))</f>
        <v>ml</v>
      </c>
    </row>
    <row r="1947" spans="2:10" s="1" customFormat="1" ht="12.75" x14ac:dyDescent="0.2">
      <c r="B1947" s="57"/>
      <c r="C1947" s="39" t="s">
        <v>425</v>
      </c>
      <c r="D1947" s="113">
        <v>1</v>
      </c>
      <c r="E1947" s="113">
        <v>30.5</v>
      </c>
      <c r="F1947" s="113"/>
      <c r="G1947" s="113"/>
      <c r="H1947" s="113">
        <f>IF(AND(F1947=0,G1947=0),D1947*E1947,IF(AND(E1947=0,G1947=0),D1947*F1947,IF(AND(E1947=0,F1947=0),D1947*G1947,IF(AND(E1947=0),D1947*F1947*G1947,IF(AND(F1947=0),D1947*E1947*G1947,IF(AND(G1947=0),D1947*E1947*F1947,D1947*E1947*F1947*G1947))))))</f>
        <v>30.5</v>
      </c>
      <c r="I1947" s="40"/>
      <c r="J1947" s="41"/>
    </row>
    <row r="1948" spans="2:10" s="1" customFormat="1" ht="12.75" x14ac:dyDescent="0.2">
      <c r="B1948" s="43" t="s">
        <v>240</v>
      </c>
      <c r="C1948" s="43" t="s">
        <v>237</v>
      </c>
      <c r="D1948" s="60"/>
      <c r="E1948" s="40"/>
      <c r="F1948" s="40"/>
      <c r="G1948" s="40"/>
      <c r="H1948" s="40"/>
      <c r="I1948" s="44">
        <f>SUM(H1949:H1949)</f>
        <v>0</v>
      </c>
      <c r="J1948" s="45" t="str">
        <f>+J1949</f>
        <v>ml</v>
      </c>
    </row>
    <row r="1949" spans="2:10" s="1" customFormat="1" ht="12.75" x14ac:dyDescent="0.2">
      <c r="B1949" s="57"/>
      <c r="C1949" s="39" t="s">
        <v>426</v>
      </c>
      <c r="D1949" s="40">
        <v>1</v>
      </c>
      <c r="E1949" s="40"/>
      <c r="F1949" s="40"/>
      <c r="G1949" s="40"/>
      <c r="H1949" s="40">
        <f>IF(AND(F1949=0,G1949=0),D1949*E1949,IF(AND(E1949=0,G1949=0),D1949*F1949,IF(AND(E1949=0,F1949=0),D1949*G1949,IF(AND(E1949=0),D1949*F1949*G1949,IF(AND(F1949=0),D1949*E1949*G1949,IF(AND(G1949=0),D1949*E1949*F1949,D1949*E1949*F1949*G1949))))))</f>
        <v>0</v>
      </c>
      <c r="I1949" s="40"/>
      <c r="J1949" s="41" t="str">
        <f>IF(AND(E1949=0,F1949&lt;&gt;0,G1949&lt;&gt;0),"m2",IF(AND(F1949=0,E1949&lt;&gt;0,G1949&lt;&gt;0),"m2",IF(AND(G1949=0,E1949&lt;&gt;0,F1949&lt;&gt;0),"m2",IF(AND(F1949=0,G1949=0),"ml",IF(AND(E1949=0,G1949=0),"ml",IF(AND(E1949=0,F1949=0),"ml",IF(AND(E1949&lt;&gt;0,F1949&lt;&gt;0,G1949&lt;&gt;0),"m3",0)))))))</f>
        <v>ml</v>
      </c>
    </row>
    <row r="1950" spans="2:10" s="1" customFormat="1" ht="12.75" x14ac:dyDescent="0.2">
      <c r="B1950" s="43" t="s">
        <v>241</v>
      </c>
      <c r="C1950" s="43" t="s">
        <v>239</v>
      </c>
      <c r="D1950" s="60"/>
      <c r="E1950" s="40"/>
      <c r="F1950" s="40"/>
      <c r="G1950" s="40"/>
      <c r="H1950" s="40"/>
      <c r="I1950" s="44">
        <f>SUM(H1951:H1951)</f>
        <v>19.3</v>
      </c>
      <c r="J1950" s="45" t="s">
        <v>345</v>
      </c>
    </row>
    <row r="1951" spans="2:10" s="1" customFormat="1" ht="12.75" x14ac:dyDescent="0.2">
      <c r="B1951" s="57"/>
      <c r="C1951" s="39" t="s">
        <v>436</v>
      </c>
      <c r="D1951" s="60">
        <v>1</v>
      </c>
      <c r="E1951" s="40">
        <v>19.3</v>
      </c>
      <c r="F1951" s="40"/>
      <c r="G1951" s="40"/>
      <c r="H1951" s="40">
        <f>IF(AND(F1951=0,G1952=0),D1951*E1951,IF(AND(E1951=0,G1952=0),D1951*F1951,IF(AND(E1951=0,F1951=0),D1951*G1952,IF(AND(E1951=0),D1951*F1951*G1952,IF(AND(F1951=0),D1951*E1951*G1952,IF(AND(G1952=0),D1951*E1951*F1951,D1951*E1951*F1951*G1952))))))</f>
        <v>19.3</v>
      </c>
      <c r="I1951" s="40"/>
      <c r="J1951" s="41" t="s">
        <v>345</v>
      </c>
    </row>
    <row r="1952" spans="2:10" s="1" customFormat="1" ht="12.75" x14ac:dyDescent="0.2">
      <c r="B1952" s="57"/>
      <c r="C1952" s="39"/>
      <c r="G1952" s="40"/>
      <c r="I1952" s="44">
        <f>SUM(H1954:H1954)</f>
        <v>0</v>
      </c>
      <c r="J1952" s="45" t="str">
        <f>+J1954</f>
        <v>ml</v>
      </c>
    </row>
    <row r="1953" spans="2:10" s="1" customFormat="1" ht="12.75" x14ac:dyDescent="0.2">
      <c r="B1953" s="43" t="s">
        <v>243</v>
      </c>
      <c r="C1953" s="43" t="s">
        <v>242</v>
      </c>
      <c r="D1953" s="60"/>
      <c r="E1953" s="40"/>
      <c r="F1953" s="40"/>
      <c r="G1953" s="40"/>
      <c r="H1953" s="40"/>
      <c r="I1953" s="44"/>
      <c r="J1953" s="45"/>
    </row>
    <row r="1954" spans="2:10" s="1" customFormat="1" ht="12.75" x14ac:dyDescent="0.2">
      <c r="B1954" s="57"/>
      <c r="C1954" s="39" t="s">
        <v>401</v>
      </c>
      <c r="D1954" s="40"/>
      <c r="E1954" s="40"/>
      <c r="F1954" s="40"/>
      <c r="G1954" s="40"/>
      <c r="H1954" s="40">
        <f>IF(AND(F1954=0,G1954=0),D1954*E1954,IF(AND(E1954=0,G1954=0),D1954*F1954,IF(AND(E1954=0,F1954=0),D1954*G1954,IF(AND(E1954=0),D1954*F1954*G1954,IF(AND(F1954=0),D1954*E1954*G1954,IF(AND(G1954=0),D1954*E1954*F1954,D1954*E1954*F1954*G1954))))))</f>
        <v>0</v>
      </c>
      <c r="I1954" s="40"/>
      <c r="J1954" s="41" t="str">
        <f>IF(AND(E1954=0,F1954&lt;&gt;0,G1954&lt;&gt;0),"m2",IF(AND(F1954=0,E1954&lt;&gt;0,G1954&lt;&gt;0),"m2",IF(AND(G1954=0,E1954&lt;&gt;0,F1954&lt;&gt;0),"m2",IF(AND(F1954=0,G1954=0),"ml",IF(AND(E1954=0,G1954=0),"ml",IF(AND(E1954=0,F1954=0),"ml",IF(AND(E1954&lt;&gt;0,F1954&lt;&gt;0,G1954&lt;&gt;0),"m3",0)))))))</f>
        <v>ml</v>
      </c>
    </row>
    <row r="1955" spans="2:10" s="1" customFormat="1" ht="12.75" x14ac:dyDescent="0.2">
      <c r="B1955" s="43" t="s">
        <v>244</v>
      </c>
      <c r="C1955" s="43" t="s">
        <v>245</v>
      </c>
      <c r="D1955" s="60"/>
      <c r="E1955" s="40"/>
      <c r="F1955" s="40"/>
      <c r="G1955" s="40"/>
      <c r="H1955" s="40"/>
      <c r="I1955" s="44">
        <f>SUM(H1956:H1956)</f>
        <v>0</v>
      </c>
      <c r="J1955" s="45" t="str">
        <f>+J1956</f>
        <v>ml</v>
      </c>
    </row>
    <row r="1956" spans="2:10" s="1" customFormat="1" ht="12.75" x14ac:dyDescent="0.2">
      <c r="B1956" s="57"/>
      <c r="C1956" s="39" t="s">
        <v>426</v>
      </c>
      <c r="D1956" s="40">
        <v>1</v>
      </c>
      <c r="E1956" s="40"/>
      <c r="F1956" s="40"/>
      <c r="G1956" s="40"/>
      <c r="H1956" s="40">
        <f>IF(AND(F1956=0,G1956=0),D1956*E1956,IF(AND(E1956=0,G1956=0),D1956*F1956,IF(AND(E1956=0,F1956=0),D1956*G1956,IF(AND(E1956=0),D1956*F1956*G1956,IF(AND(F1956=0),D1956*E1956*G1956,IF(AND(G1956=0),D1956*E1956*F1956,D1956*E1956*F1956*G1956))))))</f>
        <v>0</v>
      </c>
      <c r="I1956" s="40"/>
      <c r="J1956" s="41" t="str">
        <f>IF(AND(E1956=0,F1956&lt;&gt;0,G1956&lt;&gt;0),"m2",IF(AND(F1956=0,E1956&lt;&gt;0,G1956&lt;&gt;0),"m2",IF(AND(G1956=0,E1956&lt;&gt;0,F1956&lt;&gt;0),"m2",IF(AND(F1956=0,G1956=0),"ml",IF(AND(E1956=0,G1956=0),"ml",IF(AND(E1956=0,F1956=0),"ml",IF(AND(E1956&lt;&gt;0,F1956&lt;&gt;0,G1956&lt;&gt;0),"m3",0)))))))</f>
        <v>ml</v>
      </c>
    </row>
    <row r="1957" spans="2:10" s="1" customFormat="1" ht="12.75" x14ac:dyDescent="0.2">
      <c r="B1957" s="43" t="s">
        <v>248</v>
      </c>
      <c r="C1957" s="43" t="s">
        <v>246</v>
      </c>
      <c r="D1957" s="60"/>
      <c r="E1957" s="40"/>
      <c r="F1957" s="40"/>
      <c r="G1957" s="40"/>
      <c r="H1957" s="40"/>
      <c r="I1957" s="44">
        <f>SUM(H1958:H1958)</f>
        <v>19.3</v>
      </c>
      <c r="J1957" s="45" t="str">
        <f>+J1958</f>
        <v>ml</v>
      </c>
    </row>
    <row r="1958" spans="2:10" s="1" customFormat="1" ht="12.75" x14ac:dyDescent="0.2">
      <c r="B1958" s="57"/>
      <c r="C1958" s="39" t="s">
        <v>436</v>
      </c>
      <c r="D1958" s="60">
        <v>1</v>
      </c>
      <c r="E1958" s="40">
        <v>19.3</v>
      </c>
      <c r="F1958" s="40"/>
      <c r="G1958" s="40"/>
      <c r="H1958" s="40">
        <f>IF(AND(F1958=0,G1958=0),D1958*E1958,IF(AND(E1958=0,G1958=0),D1958*F1958,IF(AND(E1958=0,F1958=0),D1958*G1958,IF(AND(E1958=0),D1958*F1958*G1958,IF(AND(F1958=0),D1958*E1958*G1958,IF(AND(G1958=0),D1958*E1958*F1958,D1958*E1958*F1958*G1958))))))</f>
        <v>19.3</v>
      </c>
      <c r="I1958" s="40"/>
      <c r="J1958" s="41" t="str">
        <f>IF(AND(E1958=0,F1958&lt;&gt;0,G1958&lt;&gt;0),"m2",IF(AND(F1958=0,E1958&lt;&gt;0,G1958&lt;&gt;0),"m2",IF(AND(G1958=0,E1958&lt;&gt;0,F1958&lt;&gt;0),"m2",IF(AND(F1958=0,G1958=0),"ml",IF(AND(E1958=0,G1958=0),"ml",IF(AND(E1958=0,F1958=0),"ml",IF(AND(E1958&lt;&gt;0,F1958&lt;&gt;0,G1958&lt;&gt;0),"m3",0)))))))</f>
        <v>ml</v>
      </c>
    </row>
    <row r="1959" spans="2:10" s="1" customFormat="1" ht="12.75" x14ac:dyDescent="0.2">
      <c r="B1959" s="43" t="s">
        <v>249</v>
      </c>
      <c r="C1959" s="43" t="s">
        <v>247</v>
      </c>
      <c r="D1959" s="60"/>
      <c r="E1959" s="40"/>
      <c r="F1959" s="40"/>
      <c r="G1959" s="40"/>
      <c r="H1959" s="40"/>
      <c r="I1959" s="44">
        <f>SUM(H1960:H1960)</f>
        <v>0</v>
      </c>
      <c r="J1959" s="45" t="str">
        <f>+J1960</f>
        <v>ml</v>
      </c>
    </row>
    <row r="1960" spans="2:10" s="1" customFormat="1" ht="12.75" x14ac:dyDescent="0.2">
      <c r="B1960" s="57"/>
      <c r="C1960" s="39" t="s">
        <v>396</v>
      </c>
      <c r="D1960" s="40"/>
      <c r="E1960" s="40"/>
      <c r="F1960" s="40"/>
      <c r="G1960" s="40"/>
      <c r="H1960" s="40">
        <f>IF(AND(F1960=0,G1960=0),D1960*E1960,IF(AND(E1960=0,G1960=0),D1960*F1960,IF(AND(E1960=0,F1960=0),D1960*G1960,IF(AND(E1960=0),D1960*F1960*G1960,IF(AND(F1960=0),D1960*E1960*G1960,IF(AND(G1960=0),D1960*E1960*F1960,D1960*E1960*F1960*G1960))))))</f>
        <v>0</v>
      </c>
      <c r="I1960" s="40"/>
      <c r="J1960" s="41" t="str">
        <f>IF(AND(E1960=0,F1960&lt;&gt;0,G1960&lt;&gt;0),"m2",IF(AND(F1960=0,E1960&lt;&gt;0,G1960&lt;&gt;0),"m2",IF(AND(G1960=0,E1960&lt;&gt;0,F1960&lt;&gt;0),"m2",IF(AND(F1960=0,G1960=0),"ml",IF(AND(E1960=0,G1960=0),"ml",IF(AND(E1960=0,F1960=0),"ml",IF(AND(E1960&lt;&gt;0,F1960&lt;&gt;0,G1960&lt;&gt;0),"m3",0)))))))</f>
        <v>ml</v>
      </c>
    </row>
    <row r="1961" spans="2:10" s="1" customFormat="1" ht="12.75" x14ac:dyDescent="0.2">
      <c r="B1961" s="43" t="s">
        <v>256</v>
      </c>
      <c r="C1961" s="43" t="s">
        <v>226</v>
      </c>
      <c r="D1961" s="60"/>
      <c r="E1961" s="40"/>
      <c r="F1961" s="40"/>
      <c r="G1961" s="40"/>
      <c r="H1961" s="40"/>
      <c r="I1961" s="44">
        <f>SUM(H1962:H1963)</f>
        <v>0.7</v>
      </c>
      <c r="J1961" s="45">
        <f>+J1963</f>
        <v>0</v>
      </c>
    </row>
    <row r="1962" spans="2:10" s="1" customFormat="1" ht="12.75" x14ac:dyDescent="0.2">
      <c r="B1962" s="57"/>
      <c r="C1962" s="39" t="s">
        <v>383</v>
      </c>
      <c r="D1962" s="40">
        <v>1</v>
      </c>
      <c r="E1962" s="40">
        <v>0.7</v>
      </c>
      <c r="F1962" s="40"/>
      <c r="G1962" s="40"/>
      <c r="H1962" s="40">
        <f>IF(AND(F1962=0,G1962=0),D1962*E1962,IF(AND(E1962=0,G1962=0),D1962*F1962,IF(AND(E1962=0,F1962=0),D1962*G1962,IF(AND(E1962=0),D1962*F1962*G1962,IF(AND(F1962=0),D1962*E1962*G1962,IF(AND(G1962=0),D1962*E1962*F1962,D1962*E1962*F1962*G1962))))))</f>
        <v>0.7</v>
      </c>
      <c r="I1962" s="40"/>
      <c r="J1962" s="41"/>
    </row>
    <row r="1963" spans="2:10" s="1" customFormat="1" ht="12.75" x14ac:dyDescent="0.2">
      <c r="B1963" s="57"/>
      <c r="C1963" s="39"/>
      <c r="D1963" s="40"/>
      <c r="E1963" s="40"/>
      <c r="F1963" s="40"/>
      <c r="G1963" s="40"/>
      <c r="H1963" s="40"/>
      <c r="I1963" s="40"/>
      <c r="J1963" s="41"/>
    </row>
    <row r="1964" spans="2:10" s="1" customFormat="1" ht="12.75" x14ac:dyDescent="0.2">
      <c r="B1964" s="43" t="s">
        <v>257</v>
      </c>
      <c r="C1964" s="43" t="s">
        <v>228</v>
      </c>
      <c r="D1964" s="60"/>
      <c r="E1964" s="40"/>
      <c r="F1964" s="40"/>
      <c r="G1964" s="40"/>
      <c r="H1964" s="40"/>
      <c r="I1964" s="44">
        <f>SUM(H1965:H1965)</f>
        <v>3.7</v>
      </c>
      <c r="J1964" s="45" t="str">
        <f>+J1965</f>
        <v>ml</v>
      </c>
    </row>
    <row r="1965" spans="2:10" s="1" customFormat="1" ht="12.75" x14ac:dyDescent="0.2">
      <c r="B1965" s="57"/>
      <c r="C1965" s="39" t="s">
        <v>558</v>
      </c>
      <c r="D1965" s="40">
        <v>1</v>
      </c>
      <c r="E1965" s="40">
        <v>3.7</v>
      </c>
      <c r="F1965" s="40"/>
      <c r="G1965" s="40"/>
      <c r="H1965" s="40">
        <f>IF(AND(F1965=0,G1965=0),D1965*E1965,IF(AND(E1965=0,G1965=0),D1965*F1965,IF(AND(E1965=0,F1965=0),D1965*G1965,IF(AND(E1965=0),D1965*F1965*G1965,IF(AND(F1965=0),D1965*E1965*G1965,IF(AND(G1965=0),D1965*E1965*F1965,D1965*E1965*F1965*G1965))))))</f>
        <v>3.7</v>
      </c>
      <c r="I1965" s="40"/>
      <c r="J1965" s="41" t="str">
        <f>IF(AND(E1965=0,F1965&lt;&gt;0,G1965&lt;&gt;0),"m2",IF(AND(F1965=0,E1965&lt;&gt;0,G1965&lt;&gt;0),"m2",IF(AND(G1965=0,E1965&lt;&gt;0,F1965&lt;&gt;0),"m2",IF(AND(F1965=0,G1965=0),"ml",IF(AND(E1965=0,G1965=0),"ml",IF(AND(E1965=0,F1965=0),"ml",IF(AND(E1965&lt;&gt;0,F1965&lt;&gt;0,G1965&lt;&gt;0),"m3",0)))))))</f>
        <v>ml</v>
      </c>
    </row>
    <row r="1966" spans="2:10" s="1" customFormat="1" ht="12.75" x14ac:dyDescent="0.2">
      <c r="B1966" s="57"/>
      <c r="C1966" s="39" t="s">
        <v>557</v>
      </c>
      <c r="D1966" s="60">
        <v>1</v>
      </c>
      <c r="E1966" s="40">
        <f>0.96+1.2</f>
        <v>2.16</v>
      </c>
      <c r="F1966" s="40"/>
      <c r="G1966" s="40"/>
      <c r="H1966" s="40">
        <f>IF(AND(F1966=0,G1966=0),D1966*E1966,IF(AND(E1966=0,G1966=0),D1966*F1966,IF(AND(E1966=0,F1966=0),D1966*G1966,IF(AND(E1966=0),D1966*F1966*G1966,IF(AND(F1966=0),D1966*E1966*G1966,IF(AND(G1966=0),D1966*E1966*F1966,D1966*E1966*F1966*G1966))))))</f>
        <v>2.16</v>
      </c>
      <c r="I1966" s="40"/>
      <c r="J1966" s="41"/>
    </row>
    <row r="1967" spans="2:10" s="1" customFormat="1" ht="12.75" x14ac:dyDescent="0.2">
      <c r="B1967" s="57"/>
      <c r="C1967" s="39"/>
      <c r="D1967" s="60"/>
      <c r="E1967" s="40"/>
      <c r="F1967" s="40"/>
      <c r="G1967" s="40"/>
      <c r="H1967" s="40"/>
      <c r="I1967" s="40"/>
      <c r="J1967" s="41"/>
    </row>
    <row r="1968" spans="2:10" s="1" customFormat="1" ht="12.75" x14ac:dyDescent="0.2">
      <c r="B1968" s="43" t="s">
        <v>258</v>
      </c>
      <c r="C1968" s="43" t="s">
        <v>250</v>
      </c>
      <c r="D1968" s="60"/>
      <c r="E1968" s="40"/>
      <c r="F1968" s="40"/>
      <c r="G1968" s="40"/>
      <c r="H1968" s="40"/>
      <c r="I1968" s="44">
        <f>SUM(H1969:H1969)</f>
        <v>0</v>
      </c>
      <c r="J1968" s="45" t="str">
        <f>+J1969</f>
        <v>ml</v>
      </c>
    </row>
    <row r="1969" spans="2:10" s="1" customFormat="1" ht="12.75" x14ac:dyDescent="0.2">
      <c r="B1969" s="57"/>
      <c r="C1969" s="39" t="s">
        <v>388</v>
      </c>
      <c r="D1969" s="40"/>
      <c r="E1969" s="40"/>
      <c r="F1969" s="40"/>
      <c r="G1969" s="40"/>
      <c r="H1969" s="40">
        <f>IF(AND(F1969=0,G1969=0),D1969*E1969,IF(AND(E1969=0,G1969=0),D1969*F1969,IF(AND(E1969=0,F1969=0),D1969*G1969,IF(AND(E1969=0),D1969*F1969*G1969,IF(AND(F1969=0),D1969*E1969*G1969,IF(AND(G1969=0),D1969*E1969*F1969,D1969*E1969*F1969*G1969))))))</f>
        <v>0</v>
      </c>
      <c r="I1969" s="40"/>
      <c r="J1969" s="41" t="str">
        <f>IF(AND(E1969=0,F1969&lt;&gt;0,G1969&lt;&gt;0),"m2",IF(AND(F1969=0,E1969&lt;&gt;0,G1969&lt;&gt;0),"m2",IF(AND(G1969=0,E1969&lt;&gt;0,F1969&lt;&gt;0),"m2",IF(AND(F1969=0,G1969=0),"ml",IF(AND(E1969=0,G1969=0),"ml",IF(AND(E1969=0,F1969=0),"ml",IF(AND(E1969&lt;&gt;0,F1969&lt;&gt;0,G1969&lt;&gt;0),"m3",0)))))))</f>
        <v>ml</v>
      </c>
    </row>
    <row r="1970" spans="2:10" s="1" customFormat="1" ht="12.75" x14ac:dyDescent="0.2">
      <c r="B1970" s="43" t="s">
        <v>259</v>
      </c>
      <c r="C1970" s="43" t="s">
        <v>251</v>
      </c>
      <c r="D1970" s="60"/>
      <c r="E1970" s="40"/>
      <c r="F1970" s="40"/>
      <c r="G1970" s="40"/>
      <c r="H1970" s="40"/>
      <c r="I1970" s="44">
        <f>SUM(H1971:H1971)</f>
        <v>0</v>
      </c>
      <c r="J1970" s="45" t="str">
        <f>+J1971</f>
        <v>ml</v>
      </c>
    </row>
    <row r="1971" spans="2:10" s="1" customFormat="1" ht="12.75" x14ac:dyDescent="0.2">
      <c r="B1971" s="57"/>
      <c r="C1971" s="39" t="s">
        <v>389</v>
      </c>
      <c r="D1971" s="40"/>
      <c r="E1971" s="40"/>
      <c r="F1971" s="40"/>
      <c r="G1971" s="40"/>
      <c r="H1971" s="40">
        <f>IF(AND(F1971=0,G1971=0),D1971*E1971,IF(AND(E1971=0,G1971=0),D1971*F1971,IF(AND(E1971=0,F1971=0),D1971*G1971,IF(AND(E1971=0),D1971*F1971*G1971,IF(AND(F1971=0),D1971*E1971*G1971,IF(AND(G1971=0),D1971*E1971*F1971,D1971*E1971*F1971*G1971))))))</f>
        <v>0</v>
      </c>
      <c r="I1971" s="40"/>
      <c r="J1971" s="41" t="str">
        <f>IF(AND(E1971=0,F1971&lt;&gt;0,G1971&lt;&gt;0),"m2",IF(AND(F1971=0,E1971&lt;&gt;0,G1971&lt;&gt;0),"m2",IF(AND(G1971=0,E1971&lt;&gt;0,F1971&lt;&gt;0),"m2",IF(AND(F1971=0,G1971=0),"ml",IF(AND(E1971=0,G1971=0),"ml",IF(AND(E1971=0,F1971=0),"ml",IF(AND(E1971&lt;&gt;0,F1971&lt;&gt;0,G1971&lt;&gt;0),"m3",0)))))))</f>
        <v>ml</v>
      </c>
    </row>
    <row r="1972" spans="2:10" s="1" customFormat="1" ht="12.75" x14ac:dyDescent="0.2">
      <c r="B1972" s="43" t="s">
        <v>260</v>
      </c>
      <c r="C1972" s="43" t="s">
        <v>252</v>
      </c>
      <c r="D1972" s="60"/>
      <c r="E1972" s="40"/>
      <c r="F1972" s="40"/>
      <c r="G1972" s="40"/>
      <c r="H1972" s="40"/>
      <c r="I1972" s="44">
        <f>SUM(H1973:H1973)</f>
        <v>0</v>
      </c>
      <c r="J1972" s="45" t="str">
        <f>+J1973</f>
        <v>ml</v>
      </c>
    </row>
    <row r="1973" spans="2:10" s="1" customFormat="1" ht="12.75" x14ac:dyDescent="0.2">
      <c r="B1973" s="57"/>
      <c r="C1973" s="39" t="s">
        <v>397</v>
      </c>
      <c r="D1973" s="40"/>
      <c r="E1973" s="40"/>
      <c r="F1973" s="40"/>
      <c r="G1973" s="40"/>
      <c r="H1973" s="40">
        <f>IF(AND(F1973=0,G1973=0),D1973*E1973,IF(AND(E1973=0,G1973=0),D1973*F1973,IF(AND(E1973=0,F1973=0),D1973*G1973,IF(AND(E1973=0),D1973*F1973*G1973,IF(AND(F1973=0),D1973*E1973*G1973,IF(AND(G1973=0),D1973*E1973*F1973,D1973*E1973*F1973*G1973))))))</f>
        <v>0</v>
      </c>
      <c r="I1973" s="40"/>
      <c r="J1973" s="41" t="str">
        <f>IF(AND(E1973=0,F1973&lt;&gt;0,G1973&lt;&gt;0),"m2",IF(AND(F1973=0,E1973&lt;&gt;0,G1973&lt;&gt;0),"m2",IF(AND(G1973=0,E1973&lt;&gt;0,F1973&lt;&gt;0),"m2",IF(AND(F1973=0,G1973=0),"ml",IF(AND(E1973=0,G1973=0),"ml",IF(AND(E1973=0,F1973=0),"ml",IF(AND(E1973&lt;&gt;0,F1973&lt;&gt;0,G1973&lt;&gt;0),"m3",0)))))))</f>
        <v>ml</v>
      </c>
    </row>
    <row r="1974" spans="2:10" s="1" customFormat="1" ht="12.75" x14ac:dyDescent="0.2">
      <c r="B1974" s="43" t="s">
        <v>261</v>
      </c>
      <c r="C1974" s="43" t="s">
        <v>253</v>
      </c>
      <c r="D1974" s="60"/>
      <c r="E1974" s="40"/>
      <c r="F1974" s="40"/>
      <c r="G1974" s="40"/>
      <c r="H1974" s="40"/>
      <c r="I1974" s="44">
        <f>SUM(H1975:H1975)</f>
        <v>0</v>
      </c>
      <c r="J1974" s="45" t="str">
        <f>+J1975</f>
        <v>und</v>
      </c>
    </row>
    <row r="1975" spans="2:10" s="1" customFormat="1" ht="12.75" x14ac:dyDescent="0.2">
      <c r="B1975" s="43"/>
      <c r="C1975" s="39" t="s">
        <v>402</v>
      </c>
      <c r="D1975" s="40"/>
      <c r="E1975" s="40"/>
      <c r="F1975" s="40"/>
      <c r="G1975" s="40"/>
      <c r="H1975" s="40">
        <f t="shared" ref="H1975" si="133">+D1975</f>
        <v>0</v>
      </c>
      <c r="I1975" s="40"/>
      <c r="J1975" s="41" t="s">
        <v>13</v>
      </c>
    </row>
    <row r="1976" spans="2:10" s="1" customFormat="1" ht="12.75" x14ac:dyDescent="0.2">
      <c r="B1976" s="43" t="s">
        <v>262</v>
      </c>
      <c r="C1976" s="43" t="s">
        <v>254</v>
      </c>
      <c r="D1976" s="60"/>
      <c r="E1976" s="40"/>
      <c r="F1976" s="40"/>
      <c r="G1976" s="40"/>
      <c r="H1976" s="40"/>
      <c r="I1976" s="44">
        <f>SUM(H1977:H1977)</f>
        <v>0</v>
      </c>
      <c r="J1976" s="45" t="str">
        <f>+J1977</f>
        <v>und</v>
      </c>
    </row>
    <row r="1977" spans="2:10" s="1" customFormat="1" ht="12.75" x14ac:dyDescent="0.2">
      <c r="B1977" s="57"/>
      <c r="C1977" s="39" t="s">
        <v>238</v>
      </c>
      <c r="D1977" s="40"/>
      <c r="E1977" s="40"/>
      <c r="F1977" s="40"/>
      <c r="G1977" s="40"/>
      <c r="H1977" s="40">
        <f>+D1977</f>
        <v>0</v>
      </c>
      <c r="I1977" s="40"/>
      <c r="J1977" s="41" t="s">
        <v>13</v>
      </c>
    </row>
    <row r="1978" spans="2:10" s="1" customFormat="1" ht="12.75" x14ac:dyDescent="0.2">
      <c r="B1978" s="43" t="s">
        <v>350</v>
      </c>
      <c r="C1978" s="43" t="s">
        <v>255</v>
      </c>
      <c r="D1978" s="60"/>
      <c r="E1978" s="40"/>
      <c r="F1978" s="40"/>
      <c r="G1978" s="40"/>
      <c r="H1978" s="40"/>
      <c r="I1978" s="44">
        <f>SUM(H1979:H1979)</f>
        <v>0</v>
      </c>
      <c r="J1978" s="45" t="str">
        <f>+J1979</f>
        <v>und</v>
      </c>
    </row>
    <row r="1979" spans="2:10" s="1" customFormat="1" ht="12.75" x14ac:dyDescent="0.2">
      <c r="B1979" s="57"/>
      <c r="C1979" s="39" t="s">
        <v>395</v>
      </c>
      <c r="D1979" s="40"/>
      <c r="E1979" s="40"/>
      <c r="F1979" s="40"/>
      <c r="G1979" s="40"/>
      <c r="H1979" s="40">
        <f>+D1979</f>
        <v>0</v>
      </c>
      <c r="I1979" s="40"/>
      <c r="J1979" s="41" t="s">
        <v>13</v>
      </c>
    </row>
    <row r="1980" spans="2:10" s="1" customFormat="1" ht="12.75" x14ac:dyDescent="0.2">
      <c r="B1980" s="93" t="s">
        <v>694</v>
      </c>
      <c r="C1980" s="93" t="s">
        <v>695</v>
      </c>
      <c r="D1980" s="60"/>
      <c r="E1980" s="40"/>
      <c r="F1980" s="40"/>
      <c r="G1980" s="40"/>
      <c r="H1980" s="40"/>
      <c r="I1980" s="44">
        <f>SUM(H1981)</f>
        <v>1</v>
      </c>
      <c r="J1980" s="45" t="s">
        <v>13</v>
      </c>
    </row>
    <row r="1981" spans="2:10" s="1" customFormat="1" ht="12.75" x14ac:dyDescent="0.2">
      <c r="B1981" s="57"/>
      <c r="C1981" s="39" t="s">
        <v>383</v>
      </c>
      <c r="D1981" s="40">
        <v>1</v>
      </c>
      <c r="E1981" s="40"/>
      <c r="F1981" s="40"/>
      <c r="G1981" s="40"/>
      <c r="H1981" s="40">
        <f t="shared" ref="H1981" si="134">+D1981</f>
        <v>1</v>
      </c>
      <c r="I1981" s="40"/>
      <c r="J1981" s="41"/>
    </row>
    <row r="1982" spans="2:10" s="1" customFormat="1" ht="12.75" x14ac:dyDescent="0.2">
      <c r="B1982" s="46"/>
      <c r="C1982" s="59"/>
      <c r="D1982" s="60"/>
      <c r="E1982" s="40"/>
      <c r="F1982" s="40"/>
      <c r="G1982" s="40"/>
      <c r="H1982" s="40"/>
      <c r="I1982" s="40"/>
      <c r="J1982" s="41"/>
    </row>
    <row r="1983" spans="2:10" s="1" customFormat="1" ht="12.75" x14ac:dyDescent="0.2">
      <c r="B1983" s="107" t="s">
        <v>717</v>
      </c>
      <c r="C1983" s="343" t="s">
        <v>735</v>
      </c>
      <c r="D1983" s="60"/>
      <c r="E1983" s="40"/>
      <c r="F1983" s="40"/>
      <c r="G1983" s="40"/>
      <c r="H1983" s="40"/>
      <c r="I1983" s="40">
        <f>+SUM(H1984:H1986)</f>
        <v>1.34</v>
      </c>
      <c r="J1983" s="41" t="s">
        <v>45</v>
      </c>
    </row>
    <row r="1984" spans="2:10" s="1" customFormat="1" ht="12.75" x14ac:dyDescent="0.2">
      <c r="B1984" s="107"/>
      <c r="C1984" s="39" t="s">
        <v>383</v>
      </c>
      <c r="D1984" s="40">
        <v>1</v>
      </c>
      <c r="E1984" s="40">
        <v>2</v>
      </c>
      <c r="F1984" s="40"/>
      <c r="G1984" s="40">
        <f>0.4+0.15</f>
        <v>0.55000000000000004</v>
      </c>
      <c r="H1984" s="40">
        <f t="shared" ref="H1984:H1985" si="135">IF(AND(F1984=0,G1984=0),D1984*E1984,IF(AND(E1984=0,G1984=0),D1984*F1984,IF(AND(E1984=0,F1984=0),D1984*G1984,IF(AND(E1984=0),D1984*F1984*G1984,IF(AND(F1984=0),D1984*E1984*G1984,IF(AND(G1984=0),D1984*E1984*F1984,D1984*E1984*F1984*G1984))))))</f>
        <v>1.1000000000000001</v>
      </c>
      <c r="I1984" s="40"/>
      <c r="J1984" s="41"/>
    </row>
    <row r="1985" spans="2:10" s="1" customFormat="1" ht="12.75" x14ac:dyDescent="0.2">
      <c r="B1985" s="107"/>
      <c r="C1985" s="59"/>
      <c r="D1985" s="60">
        <v>1</v>
      </c>
      <c r="E1985" s="40">
        <v>0.4</v>
      </c>
      <c r="F1985" s="40"/>
      <c r="G1985" s="40">
        <v>0.6</v>
      </c>
      <c r="H1985" s="40">
        <f t="shared" si="135"/>
        <v>0.24</v>
      </c>
      <c r="I1985" s="40"/>
      <c r="J1985" s="41"/>
    </row>
    <row r="1986" spans="2:10" s="1" customFormat="1" ht="12.75" x14ac:dyDescent="0.2">
      <c r="B1986" s="107"/>
      <c r="C1986" s="59"/>
      <c r="D1986" s="60"/>
      <c r="E1986" s="40"/>
      <c r="F1986" s="40"/>
      <c r="G1986" s="40"/>
      <c r="H1986" s="40"/>
      <c r="I1986" s="40"/>
      <c r="J1986" s="41"/>
    </row>
    <row r="1987" spans="2:10" s="1" customFormat="1" ht="12.75" x14ac:dyDescent="0.2">
      <c r="B1987" s="107" t="s">
        <v>734</v>
      </c>
      <c r="C1987" s="343" t="s">
        <v>736</v>
      </c>
      <c r="D1987" s="60"/>
      <c r="E1987" s="40"/>
      <c r="F1987" s="40"/>
      <c r="G1987" s="40"/>
      <c r="H1987" s="40"/>
      <c r="I1987" s="40">
        <f>+SUM(H1988:H1989)</f>
        <v>27.020000000000003</v>
      </c>
      <c r="J1987" s="41" t="s">
        <v>45</v>
      </c>
    </row>
    <row r="1988" spans="2:10" s="1" customFormat="1" ht="12.75" x14ac:dyDescent="0.2">
      <c r="B1988" s="46"/>
      <c r="C1988" s="39" t="s">
        <v>730</v>
      </c>
      <c r="D1988" s="60">
        <v>2</v>
      </c>
      <c r="E1988" s="40">
        <v>19.3</v>
      </c>
      <c r="F1988" s="40"/>
      <c r="G1988" s="40">
        <f>0.4+0.15</f>
        <v>0.55000000000000004</v>
      </c>
      <c r="H1988" s="40">
        <f t="shared" ref="H1988:H1989" si="136">IF(AND(F1988=0,G1988=0),D1988*E1988,IF(AND(E1988=0,G1988=0),D1988*F1988,IF(AND(E1988=0,F1988=0),D1988*G1988,IF(AND(E1988=0),D1988*F1988*G1988,IF(AND(F1988=0),D1988*E1988*G1988,IF(AND(G1988=0),D1988*E1988*F1988,D1988*E1988*F1988*G1988))))))</f>
        <v>21.230000000000004</v>
      </c>
      <c r="I1988" s="40"/>
      <c r="J1988" s="41"/>
    </row>
    <row r="1989" spans="2:10" s="1" customFormat="1" ht="12.75" x14ac:dyDescent="0.2">
      <c r="B1989" s="46"/>
      <c r="C1989" s="39"/>
      <c r="D1989" s="60">
        <v>1</v>
      </c>
      <c r="E1989" s="40">
        <v>19.3</v>
      </c>
      <c r="F1989" s="40"/>
      <c r="G1989" s="40">
        <v>0.3</v>
      </c>
      <c r="H1989" s="40">
        <f t="shared" si="136"/>
        <v>5.79</v>
      </c>
      <c r="I1989" s="40"/>
      <c r="J1989" s="41"/>
    </row>
    <row r="1990" spans="2:10" s="1" customFormat="1" ht="12.75" x14ac:dyDescent="0.2">
      <c r="B1990" s="46"/>
      <c r="C1990" s="59"/>
      <c r="D1990" s="60"/>
      <c r="E1990" s="40"/>
      <c r="F1990" s="40"/>
      <c r="G1990" s="40"/>
      <c r="H1990" s="40"/>
      <c r="I1990" s="40"/>
      <c r="J1990" s="41"/>
    </row>
    <row r="1991" spans="2:10" s="1" customFormat="1" ht="12.75" x14ac:dyDescent="0.2">
      <c r="B1991" s="57"/>
      <c r="C1991" s="39"/>
      <c r="D1991" s="60"/>
      <c r="E1991" s="40"/>
      <c r="F1991" s="40"/>
      <c r="G1991" s="40"/>
      <c r="H1991" s="40"/>
      <c r="I1991" s="40"/>
      <c r="J1991" s="41"/>
    </row>
    <row r="1992" spans="2:10" s="1" customFormat="1" ht="12.75" x14ac:dyDescent="0.2">
      <c r="B1992" s="57" t="s">
        <v>18</v>
      </c>
      <c r="C1992" s="58" t="s">
        <v>223</v>
      </c>
      <c r="D1992" s="60"/>
      <c r="E1992" s="40"/>
      <c r="F1992" s="40"/>
      <c r="G1992" s="40"/>
      <c r="H1992" s="40"/>
      <c r="I1992" s="40"/>
      <c r="J1992" s="41"/>
    </row>
    <row r="1993" spans="2:10" s="1" customFormat="1" ht="12.75" x14ac:dyDescent="0.2">
      <c r="B1993" s="43" t="s">
        <v>19</v>
      </c>
      <c r="C1993" s="43" t="s">
        <v>265</v>
      </c>
      <c r="D1993" s="60"/>
      <c r="E1993" s="40"/>
      <c r="F1993" s="40"/>
      <c r="G1993" s="40"/>
      <c r="H1993" s="40"/>
      <c r="I1993" s="44">
        <f>SUM(H1994:H1994)</f>
        <v>5</v>
      </c>
      <c r="J1993" s="45" t="s">
        <v>13</v>
      </c>
    </row>
    <row r="1994" spans="2:10" s="1" customFormat="1" ht="12.75" x14ac:dyDescent="0.2">
      <c r="B1994" s="46"/>
      <c r="C1994" s="39" t="s">
        <v>231</v>
      </c>
      <c r="D1994" s="40">
        <v>5</v>
      </c>
      <c r="E1994" s="40"/>
      <c r="F1994" s="40"/>
      <c r="G1994" s="40"/>
      <c r="H1994" s="40">
        <f>+D1994</f>
        <v>5</v>
      </c>
      <c r="I1994" s="40"/>
      <c r="J1994" s="41" t="s">
        <v>13</v>
      </c>
    </row>
    <row r="1995" spans="2:10" s="1" customFormat="1" ht="12.75" x14ac:dyDescent="0.2">
      <c r="B1995" s="43" t="s">
        <v>20</v>
      </c>
      <c r="C1995" s="43" t="s">
        <v>272</v>
      </c>
      <c r="D1995" s="60"/>
      <c r="E1995" s="40"/>
      <c r="F1995" s="40"/>
      <c r="G1995" s="40"/>
      <c r="H1995" s="40"/>
      <c r="I1995" s="44">
        <f>SUM(H1996:H1996)</f>
        <v>0</v>
      </c>
      <c r="J1995" s="45" t="str">
        <f>+J1996</f>
        <v>und</v>
      </c>
    </row>
    <row r="1996" spans="2:10" s="1" customFormat="1" ht="12.75" x14ac:dyDescent="0.2">
      <c r="B1996" s="46"/>
      <c r="C1996" s="77"/>
      <c r="D1996" s="40"/>
      <c r="E1996" s="40"/>
      <c r="F1996" s="40"/>
      <c r="G1996" s="40"/>
      <c r="H1996" s="40"/>
      <c r="I1996" s="40"/>
      <c r="J1996" s="41" t="s">
        <v>13</v>
      </c>
    </row>
    <row r="1997" spans="2:10" s="1" customFormat="1" ht="12.75" x14ac:dyDescent="0.2">
      <c r="B1997" s="46"/>
      <c r="C1997" s="77"/>
      <c r="D1997" s="60"/>
      <c r="E1997" s="40"/>
      <c r="F1997" s="40"/>
      <c r="G1997" s="40"/>
      <c r="H1997" s="40"/>
      <c r="I1997" s="40"/>
      <c r="J1997" s="41"/>
    </row>
    <row r="1998" spans="2:10" s="1" customFormat="1" ht="12.75" x14ac:dyDescent="0.2">
      <c r="B1998" s="43" t="s">
        <v>21</v>
      </c>
      <c r="C1998" s="43" t="s">
        <v>266</v>
      </c>
      <c r="D1998" s="60"/>
      <c r="E1998" s="40"/>
      <c r="F1998" s="40"/>
      <c r="G1998" s="40"/>
      <c r="H1998" s="40"/>
      <c r="I1998" s="44">
        <f>SUM(H1999:H2001)</f>
        <v>0</v>
      </c>
      <c r="J1998" s="45" t="str">
        <f>+J1999</f>
        <v>und</v>
      </c>
    </row>
    <row r="1999" spans="2:10" s="1" customFormat="1" ht="12.75" x14ac:dyDescent="0.2">
      <c r="B1999" s="43"/>
      <c r="C1999" s="39" t="s">
        <v>71</v>
      </c>
      <c r="D1999" s="40"/>
      <c r="E1999" s="40"/>
      <c r="F1999" s="40"/>
      <c r="G1999" s="40"/>
      <c r="H1999" s="40">
        <f t="shared" ref="H1999:H2001" si="137">+D1999</f>
        <v>0</v>
      </c>
      <c r="I1999" s="40"/>
      <c r="J1999" s="41" t="s">
        <v>13</v>
      </c>
    </row>
    <row r="2000" spans="2:10" s="1" customFormat="1" ht="12.75" x14ac:dyDescent="0.2">
      <c r="B2000" s="43"/>
      <c r="C2000" s="39" t="s">
        <v>72</v>
      </c>
      <c r="D2000" s="40"/>
      <c r="E2000" s="40"/>
      <c r="F2000" s="40"/>
      <c r="G2000" s="40"/>
      <c r="H2000" s="40">
        <f t="shared" si="137"/>
        <v>0</v>
      </c>
      <c r="I2000" s="40"/>
      <c r="J2000" s="41" t="s">
        <v>13</v>
      </c>
    </row>
    <row r="2001" spans="2:10" s="1" customFormat="1" ht="12.75" x14ac:dyDescent="0.2">
      <c r="B2001" s="43"/>
      <c r="C2001" s="39" t="s">
        <v>73</v>
      </c>
      <c r="D2001" s="40"/>
      <c r="E2001" s="40"/>
      <c r="F2001" s="40"/>
      <c r="G2001" s="40"/>
      <c r="H2001" s="40">
        <f t="shared" si="137"/>
        <v>0</v>
      </c>
      <c r="I2001" s="40"/>
      <c r="J2001" s="41" t="s">
        <v>13</v>
      </c>
    </row>
    <row r="2002" spans="2:10" s="1" customFormat="1" ht="12.75" x14ac:dyDescent="0.2">
      <c r="B2002" s="43" t="s">
        <v>273</v>
      </c>
      <c r="C2002" s="43" t="s">
        <v>354</v>
      </c>
      <c r="D2002" s="60"/>
      <c r="E2002" s="40"/>
      <c r="F2002" s="40"/>
      <c r="G2002" s="40"/>
      <c r="H2002" s="40"/>
      <c r="I2002" s="44">
        <f>SUM(H2003:H2003)</f>
        <v>0</v>
      </c>
      <c r="J2002" s="45" t="str">
        <f>+J2003</f>
        <v>und</v>
      </c>
    </row>
    <row r="2003" spans="2:10" s="1" customFormat="1" ht="12.75" x14ac:dyDescent="0.2">
      <c r="B2003" s="43"/>
      <c r="C2003" s="39" t="s">
        <v>375</v>
      </c>
      <c r="D2003" s="40"/>
      <c r="E2003" s="40"/>
      <c r="F2003" s="40"/>
      <c r="G2003" s="40"/>
      <c r="H2003" s="40">
        <f>IF(AND(F2003=0,G2003=0),D2003*E2003,IF(AND(E2003=0,G2003=0),D2003*F2003,IF(AND(E2003=0,F2003=0),D2003*G2003,IF(AND(E2003=0),D2003*F2003*G2003,IF(AND(F2003=0),D2003*E2003*G2003,IF(AND(G2003=0),D2003*E2003*F2003,D2003*E2003*F2003*G2003))))))</f>
        <v>0</v>
      </c>
      <c r="I2003" s="40"/>
      <c r="J2003" s="41" t="s">
        <v>13</v>
      </c>
    </row>
    <row r="2004" spans="2:10" s="1" customFormat="1" ht="12.75" x14ac:dyDescent="0.2">
      <c r="B2004" s="43" t="s">
        <v>274</v>
      </c>
      <c r="C2004" s="43" t="s">
        <v>357</v>
      </c>
      <c r="D2004" s="60"/>
      <c r="E2004" s="40"/>
      <c r="F2004" s="40"/>
      <c r="G2004" s="40"/>
      <c r="H2004" s="40"/>
      <c r="I2004" s="44">
        <f>SUM(H2005:H2005)</f>
        <v>0</v>
      </c>
      <c r="J2004" s="45" t="str">
        <f>+J2005</f>
        <v>und</v>
      </c>
    </row>
    <row r="2005" spans="2:10" s="1" customFormat="1" ht="12.75" x14ac:dyDescent="0.2">
      <c r="B2005" s="43"/>
      <c r="C2005" s="39" t="s">
        <v>375</v>
      </c>
      <c r="D2005" s="40"/>
      <c r="E2005" s="40"/>
      <c r="F2005" s="40"/>
      <c r="G2005" s="40"/>
      <c r="H2005" s="40">
        <f t="shared" ref="H2005" si="138">+D2005</f>
        <v>0</v>
      </c>
      <c r="I2005" s="40"/>
      <c r="J2005" s="41" t="s">
        <v>13</v>
      </c>
    </row>
    <row r="2006" spans="2:10" s="1" customFormat="1" ht="12.75" x14ac:dyDescent="0.2">
      <c r="B2006" s="43" t="s">
        <v>355</v>
      </c>
      <c r="C2006" s="43" t="s">
        <v>263</v>
      </c>
      <c r="D2006" s="60"/>
      <c r="E2006" s="40"/>
      <c r="F2006" s="40"/>
      <c r="G2006" s="40"/>
      <c r="H2006" s="40"/>
      <c r="I2006" s="44">
        <f>SUM(H2007:H2007)</f>
        <v>0</v>
      </c>
      <c r="J2006" s="45" t="str">
        <f>+J2007</f>
        <v>und</v>
      </c>
    </row>
    <row r="2007" spans="2:10" s="1" customFormat="1" ht="14.25" customHeight="1" x14ac:dyDescent="0.2">
      <c r="B2007" s="46"/>
      <c r="C2007" s="39" t="s">
        <v>420</v>
      </c>
      <c r="D2007" s="40"/>
      <c r="E2007" s="40"/>
      <c r="F2007" s="40"/>
      <c r="G2007" s="40"/>
      <c r="H2007" s="40">
        <f>+D2007</f>
        <v>0</v>
      </c>
      <c r="I2007" s="40"/>
      <c r="J2007" s="41" t="s">
        <v>13</v>
      </c>
    </row>
    <row r="2008" spans="2:10" s="1" customFormat="1" ht="14.25" customHeight="1" x14ac:dyDescent="0.2">
      <c r="B2008" s="43" t="s">
        <v>356</v>
      </c>
      <c r="C2008" s="43" t="s">
        <v>264</v>
      </c>
      <c r="D2008" s="60"/>
      <c r="E2008" s="40"/>
      <c r="F2008" s="40"/>
      <c r="G2008" s="40"/>
      <c r="H2008" s="40"/>
      <c r="I2008" s="44">
        <f>SUM(H2009:H2009)</f>
        <v>0</v>
      </c>
      <c r="J2008" s="45" t="str">
        <f>+J2009</f>
        <v>und</v>
      </c>
    </row>
    <row r="2009" spans="2:10" s="1" customFormat="1" ht="12.75" x14ac:dyDescent="0.2">
      <c r="B2009" s="46"/>
      <c r="C2009" s="39" t="s">
        <v>420</v>
      </c>
      <c r="D2009" s="40"/>
      <c r="E2009" s="40"/>
      <c r="F2009" s="40"/>
      <c r="G2009" s="40"/>
      <c r="H2009" s="40">
        <f>+D2009</f>
        <v>0</v>
      </c>
      <c r="I2009" s="40"/>
      <c r="J2009" s="41" t="s">
        <v>13</v>
      </c>
    </row>
    <row r="2010" spans="2:10" s="1" customFormat="1" ht="12.75" x14ac:dyDescent="0.2">
      <c r="B2010" s="46"/>
      <c r="C2010" s="59"/>
      <c r="D2010" s="60"/>
      <c r="E2010" s="40"/>
      <c r="F2010" s="40"/>
      <c r="G2010" s="40"/>
      <c r="H2010" s="40"/>
      <c r="I2010" s="40"/>
      <c r="J2010" s="41"/>
    </row>
    <row r="2011" spans="2:10" s="1" customFormat="1" ht="12.75" x14ac:dyDescent="0.2">
      <c r="B2011" s="43" t="s">
        <v>659</v>
      </c>
      <c r="C2011" s="372" t="s">
        <v>657</v>
      </c>
      <c r="D2011" s="60"/>
      <c r="E2011" s="40"/>
      <c r="F2011" s="40"/>
      <c r="G2011" s="40"/>
      <c r="H2011" s="40"/>
      <c r="I2011" s="44">
        <f>+SUM(H2012:H2012)</f>
        <v>1</v>
      </c>
      <c r="J2011" s="45" t="s">
        <v>13</v>
      </c>
    </row>
    <row r="2012" spans="2:10" s="1" customFormat="1" ht="12.75" x14ac:dyDescent="0.2">
      <c r="B2012" s="46"/>
      <c r="C2012" s="39" t="s">
        <v>456</v>
      </c>
      <c r="D2012" s="60">
        <v>1</v>
      </c>
      <c r="E2012" s="40"/>
      <c r="F2012" s="40"/>
      <c r="G2012" s="40"/>
      <c r="H2012" s="40">
        <f t="shared" ref="H2012" si="139">+D2012</f>
        <v>1</v>
      </c>
      <c r="I2012" s="40"/>
      <c r="J2012" s="41"/>
    </row>
    <row r="2013" spans="2:10" s="1" customFormat="1" ht="15" customHeight="1" x14ac:dyDescent="0.2">
      <c r="B2013" s="46"/>
      <c r="C2013" s="59"/>
      <c r="D2013" s="60"/>
      <c r="E2013" s="40"/>
      <c r="F2013" s="40"/>
      <c r="G2013" s="40"/>
      <c r="H2013" s="40"/>
      <c r="I2013" s="40"/>
      <c r="J2013" s="41"/>
    </row>
    <row r="2014" spans="2:10" s="1" customFormat="1" ht="12.75" x14ac:dyDescent="0.2">
      <c r="B2014" s="46"/>
      <c r="C2014" s="59"/>
      <c r="D2014" s="60"/>
      <c r="E2014" s="40"/>
      <c r="F2014" s="40"/>
      <c r="G2014" s="40"/>
      <c r="H2014" s="40"/>
      <c r="I2014" s="40"/>
      <c r="J2014" s="41"/>
    </row>
    <row r="2015" spans="2:10" s="1" customFormat="1" ht="12.75" x14ac:dyDescent="0.2">
      <c r="B2015" s="43" t="s">
        <v>604</v>
      </c>
      <c r="C2015" s="43" t="s">
        <v>559</v>
      </c>
      <c r="D2015" s="60"/>
      <c r="E2015" s="40"/>
      <c r="F2015" s="40"/>
      <c r="G2015" s="40"/>
      <c r="H2015" s="40"/>
      <c r="I2015" s="44">
        <f>+SUM(H2016:H2018)</f>
        <v>2</v>
      </c>
      <c r="J2015" s="45" t="s">
        <v>13</v>
      </c>
    </row>
    <row r="2016" spans="2:10" s="1" customFormat="1" ht="12.75" x14ac:dyDescent="0.2">
      <c r="B2016" s="46"/>
      <c r="C2016" s="39" t="s">
        <v>558</v>
      </c>
      <c r="D2016" s="60">
        <v>1</v>
      </c>
      <c r="E2016" s="40"/>
      <c r="F2016" s="40"/>
      <c r="G2016" s="40"/>
      <c r="H2016" s="40">
        <f>+D2016</f>
        <v>1</v>
      </c>
      <c r="I2016" s="40"/>
      <c r="J2016" s="41"/>
    </row>
    <row r="2017" spans="2:10" s="1" customFormat="1" ht="12.75" x14ac:dyDescent="0.2">
      <c r="B2017" s="46"/>
      <c r="C2017" s="39" t="s">
        <v>557</v>
      </c>
      <c r="D2017" s="60">
        <v>1</v>
      </c>
      <c r="E2017" s="40"/>
      <c r="F2017" s="40"/>
      <c r="G2017" s="40"/>
      <c r="H2017" s="40">
        <f>+D2017</f>
        <v>1</v>
      </c>
      <c r="I2017" s="40"/>
      <c r="J2017" s="41"/>
    </row>
    <row r="2018" spans="2:10" s="1" customFormat="1" ht="12.75" x14ac:dyDescent="0.2">
      <c r="B2018" s="46"/>
      <c r="C2018" s="59"/>
      <c r="D2018" s="60"/>
      <c r="E2018" s="40"/>
      <c r="F2018" s="40"/>
      <c r="G2018" s="40"/>
      <c r="H2018" s="40"/>
      <c r="I2018" s="40"/>
      <c r="J2018" s="41"/>
    </row>
    <row r="2019" spans="2:10" s="1" customFormat="1" ht="12.75" x14ac:dyDescent="0.2">
      <c r="B2019" s="46"/>
      <c r="C2019" s="59"/>
      <c r="D2019" s="60"/>
      <c r="E2019" s="40"/>
      <c r="F2019" s="40"/>
      <c r="G2019" s="40"/>
      <c r="H2019" s="40"/>
      <c r="I2019" s="40"/>
      <c r="J2019" s="41"/>
    </row>
    <row r="2020" spans="2:10" s="1" customFormat="1" ht="12.75" x14ac:dyDescent="0.2">
      <c r="B2020" s="73" t="s">
        <v>14</v>
      </c>
      <c r="C2020" s="73" t="s">
        <v>615</v>
      </c>
      <c r="D2020" s="60"/>
      <c r="E2020" s="40"/>
      <c r="F2020" s="40"/>
      <c r="G2020" s="40"/>
      <c r="H2020" s="40"/>
      <c r="I2020" s="40"/>
      <c r="J2020" s="41"/>
    </row>
    <row r="2021" spans="2:10" s="1" customFormat="1" ht="12.75" x14ac:dyDescent="0.2">
      <c r="B2021" s="25" t="s">
        <v>766</v>
      </c>
      <c r="C2021" s="28" t="s">
        <v>616</v>
      </c>
      <c r="D2021" s="60"/>
      <c r="E2021" s="40"/>
      <c r="F2021" s="40"/>
      <c r="G2021" s="40"/>
      <c r="H2021" s="40"/>
      <c r="I2021" s="40">
        <f>+SUM(H2022:H2023)</f>
        <v>10.130000000000001</v>
      </c>
      <c r="J2021" s="41" t="s">
        <v>45</v>
      </c>
    </row>
    <row r="2022" spans="2:10" s="1" customFormat="1" ht="12.75" x14ac:dyDescent="0.2">
      <c r="B2022" s="46"/>
      <c r="C2022" s="39" t="s">
        <v>724</v>
      </c>
      <c r="D2022" s="60">
        <v>1</v>
      </c>
      <c r="E2022" s="40">
        <v>19.3</v>
      </c>
      <c r="F2022" s="40">
        <v>0.5</v>
      </c>
      <c r="G2022" s="40"/>
      <c r="H2022" s="40">
        <f t="shared" ref="H2022:H2023" si="140">IF(AND(F2022=0,G2022=0),D2022*E2022,IF(AND(E2022=0,G2022=0),D2022*F2022,IF(AND(E2022=0,F2022=0),D2022*G2022,IF(AND(E2022=0),D2022*F2022*G2022,IF(AND(F2022=0),D2022*E2022*G2022,IF(AND(G2022=0),D2022*E2022*F2022,D2022*E2022*F2022*G2022))))))</f>
        <v>9.65</v>
      </c>
      <c r="I2022" s="40"/>
      <c r="J2022" s="41"/>
    </row>
    <row r="2023" spans="2:10" s="1" customFormat="1" ht="12.75" x14ac:dyDescent="0.2">
      <c r="B2023" s="46"/>
      <c r="C2023" s="39" t="s">
        <v>383</v>
      </c>
      <c r="D2023" s="40">
        <v>1</v>
      </c>
      <c r="E2023" s="40">
        <v>0.6</v>
      </c>
      <c r="F2023" s="40">
        <v>0.8</v>
      </c>
      <c r="G2023" s="40"/>
      <c r="H2023" s="40">
        <f t="shared" si="140"/>
        <v>0.48</v>
      </c>
      <c r="I2023" s="40"/>
      <c r="J2023" s="41"/>
    </row>
    <row r="2024" spans="2:10" s="1" customFormat="1" ht="12.75" x14ac:dyDescent="0.2">
      <c r="B2024" s="46"/>
      <c r="C2024" s="59"/>
      <c r="D2024" s="60"/>
      <c r="E2024" s="40"/>
      <c r="F2024" s="40"/>
      <c r="G2024" s="40"/>
      <c r="H2024" s="40"/>
      <c r="I2024" s="40"/>
      <c r="J2024" s="41"/>
    </row>
    <row r="2025" spans="2:10" s="1" customFormat="1" ht="12.75" x14ac:dyDescent="0.2">
      <c r="B2025" s="46"/>
      <c r="C2025" s="59"/>
      <c r="D2025" s="60"/>
      <c r="E2025" s="40"/>
      <c r="F2025" s="40"/>
      <c r="G2025" s="40"/>
      <c r="H2025" s="40"/>
      <c r="I2025" s="40"/>
      <c r="J2025" s="41"/>
    </row>
    <row r="2026" spans="2:10" x14ac:dyDescent="0.25">
      <c r="B2026" s="73" t="s">
        <v>22</v>
      </c>
      <c r="C2026" s="73" t="s">
        <v>614</v>
      </c>
      <c r="D2026" s="23"/>
      <c r="E2026" s="23"/>
      <c r="F2026" s="23"/>
      <c r="G2026" s="23"/>
      <c r="H2026" s="24"/>
      <c r="I2026" s="25"/>
      <c r="J2026" s="26"/>
    </row>
    <row r="2027" spans="2:10" s="1" customFormat="1" ht="15.75" customHeight="1" x14ac:dyDescent="0.2">
      <c r="B2027" s="25" t="s">
        <v>23</v>
      </c>
      <c r="C2027" s="1" t="s">
        <v>622</v>
      </c>
      <c r="D2027" s="60"/>
      <c r="E2027" s="40"/>
      <c r="F2027" s="40"/>
      <c r="G2027" s="40"/>
      <c r="H2027" s="24"/>
      <c r="I2027" s="25">
        <f>+SUM(H2028)</f>
        <v>5.7900000000000009</v>
      </c>
      <c r="J2027" s="26" t="s">
        <v>4</v>
      </c>
    </row>
    <row r="2028" spans="2:10" s="1" customFormat="1" ht="15.75" customHeight="1" x14ac:dyDescent="0.2">
      <c r="B2028" s="25"/>
      <c r="C2028" s="39" t="s">
        <v>436</v>
      </c>
      <c r="D2028" s="60">
        <v>1</v>
      </c>
      <c r="E2028" s="40">
        <v>19.3</v>
      </c>
      <c r="F2028" s="40">
        <v>0.5</v>
      </c>
      <c r="G2028" s="40">
        <f>0.4+0.2</f>
        <v>0.60000000000000009</v>
      </c>
      <c r="H2028" s="40">
        <f>IF(AND(F2028=0,G2028=0),D2028*E2028,IF(AND(E2028=0,G2028=0),D2028*F2028,IF(AND(E2028=0,F2028=0),D2028*G2028,IF(AND(E2028=0),D2028*F2028*G2028,IF(AND(F2028=0),D2028*E2028*G2028,IF(AND(G2028=0),D2028*E2028*F2028,D2028*E2028*F2028*G2028))))))</f>
        <v>5.7900000000000009</v>
      </c>
      <c r="I2028" s="40"/>
      <c r="J2028" s="41"/>
    </row>
    <row r="2029" spans="2:10" s="1" customFormat="1" ht="12.75" x14ac:dyDescent="0.2">
      <c r="B2029" s="25"/>
      <c r="D2029" s="60"/>
      <c r="E2029" s="40"/>
      <c r="F2029" s="40"/>
      <c r="G2029" s="40"/>
      <c r="H2029" s="40"/>
      <c r="I2029" s="40"/>
      <c r="J2029" s="41"/>
    </row>
    <row r="2030" spans="2:10" s="1" customFormat="1" ht="12.75" x14ac:dyDescent="0.2">
      <c r="B2030" s="25" t="s">
        <v>24</v>
      </c>
      <c r="C2030" s="1" t="s">
        <v>623</v>
      </c>
      <c r="D2030" s="60"/>
      <c r="E2030" s="40"/>
      <c r="F2030" s="40"/>
      <c r="G2030" s="40"/>
      <c r="H2030" s="24"/>
      <c r="I2030" s="25">
        <f>+SUM(H2031)</f>
        <v>0.28800000000000003</v>
      </c>
      <c r="J2030" s="26" t="s">
        <v>4</v>
      </c>
    </row>
    <row r="2031" spans="2:10" s="1" customFormat="1" ht="12.75" x14ac:dyDescent="0.2">
      <c r="B2031" s="57"/>
      <c r="C2031" s="39" t="s">
        <v>383</v>
      </c>
      <c r="D2031" s="40">
        <v>1</v>
      </c>
      <c r="E2031" s="40">
        <v>0.6</v>
      </c>
      <c r="F2031" s="40">
        <v>0.8</v>
      </c>
      <c r="G2031" s="40">
        <f>0.4+0.2</f>
        <v>0.60000000000000009</v>
      </c>
      <c r="H2031" s="40">
        <f>IF(AND(F2031=0,G2031=0),D2031*E2031,IF(AND(E2031=0,G2031=0),D2031*F2031,IF(AND(E2031=0,F2031=0),D2031*G2031,IF(AND(E2031=0),D2031*F2031*G2031,IF(AND(F2031=0),D2031*E2031*G2031,IF(AND(G2031=0),D2031*E2031*F2031,D2031*E2031*F2031*G2031))))))</f>
        <v>0.28800000000000003</v>
      </c>
      <c r="I2031" s="40"/>
      <c r="J2031" s="41"/>
    </row>
    <row r="2032" spans="2:10" s="1" customFormat="1" ht="12.75" x14ac:dyDescent="0.2">
      <c r="B2032" s="46"/>
      <c r="C2032" s="59"/>
      <c r="D2032" s="60"/>
      <c r="E2032" s="40"/>
      <c r="F2032" s="40"/>
      <c r="G2032" s="40"/>
      <c r="H2032" s="40"/>
      <c r="I2032" s="40"/>
      <c r="J2032" s="41"/>
    </row>
    <row r="2033" spans="2:10" s="1" customFormat="1" ht="12.75" x14ac:dyDescent="0.2">
      <c r="B2033" s="46"/>
      <c r="C2033" s="59"/>
      <c r="D2033" s="60"/>
      <c r="E2033" s="40"/>
      <c r="F2033" s="40"/>
      <c r="G2033" s="40"/>
      <c r="H2033" s="40"/>
      <c r="I2033" s="40"/>
      <c r="J2033" s="41"/>
    </row>
    <row r="2034" spans="2:10" x14ac:dyDescent="0.25">
      <c r="B2034" s="107" t="s">
        <v>777</v>
      </c>
      <c r="C2034" s="370" t="s">
        <v>779</v>
      </c>
      <c r="D2034" s="23"/>
      <c r="E2034" s="23"/>
      <c r="F2034" s="23"/>
      <c r="G2034" s="23"/>
      <c r="I2034" s="24">
        <f>+SUM(H2035:H2036)</f>
        <v>10.130000000000001</v>
      </c>
      <c r="J2034" s="26" t="s">
        <v>45</v>
      </c>
    </row>
    <row r="2035" spans="2:10" x14ac:dyDescent="0.25">
      <c r="B2035" s="107"/>
      <c r="C2035" s="39" t="s">
        <v>383</v>
      </c>
      <c r="D2035" s="40">
        <v>1</v>
      </c>
      <c r="E2035" s="40">
        <v>0.6</v>
      </c>
      <c r="F2035" s="40">
        <v>0.8</v>
      </c>
      <c r="G2035" s="40"/>
      <c r="H2035" s="40">
        <f>IF(AND(F2035=0,G2035=0),D2035*E2035,IF(AND(E2035=0,G2035=0),D2035*F2035,IF(AND(E2035=0,F2035=0),D2035*G2035,IF(AND(E2035=0),D2035*F2035*G2035,IF(AND(F2035=0),D2035*E2035*G2035,IF(AND(G2035=0),D2035*E2035*F2035,D2035*E2035*F2035*G2035))))))</f>
        <v>0.48</v>
      </c>
      <c r="I2035" s="25"/>
      <c r="J2035" s="26"/>
    </row>
    <row r="2036" spans="2:10" x14ac:dyDescent="0.25">
      <c r="B2036" s="107"/>
      <c r="C2036" s="39" t="s">
        <v>436</v>
      </c>
      <c r="D2036" s="60">
        <v>1</v>
      </c>
      <c r="E2036" s="40">
        <v>19.3</v>
      </c>
      <c r="F2036" s="40">
        <v>0.5</v>
      </c>
      <c r="G2036" s="40"/>
      <c r="H2036" s="40">
        <f>IF(AND(F2036=0,G2036=0),D2036*E2036,IF(AND(E2036=0,G2036=0),D2036*F2036,IF(AND(E2036=0,F2036=0),D2036*G2036,IF(AND(E2036=0),D2036*F2036*G2036,IF(AND(F2036=0),D2036*E2036*G2036,IF(AND(G2036=0),D2036*E2036*F2036,D2036*E2036*F2036*G2036))))))</f>
        <v>9.65</v>
      </c>
      <c r="I2036" s="25"/>
      <c r="J2036" s="26"/>
    </row>
    <row r="2037" spans="2:10" x14ac:dyDescent="0.25">
      <c r="B2037" s="107"/>
      <c r="C2037" s="370"/>
      <c r="D2037" s="23"/>
      <c r="E2037" s="23"/>
      <c r="F2037" s="23"/>
      <c r="G2037" s="23"/>
      <c r="H2037" s="24"/>
      <c r="I2037" s="25"/>
      <c r="J2037" s="26"/>
    </row>
    <row r="2038" spans="2:10" s="1" customFormat="1" ht="12.75" x14ac:dyDescent="0.2">
      <c r="B2038" s="25" t="s">
        <v>631</v>
      </c>
      <c r="C2038" s="28" t="s">
        <v>719</v>
      </c>
      <c r="D2038" s="60"/>
      <c r="E2038" s="40"/>
      <c r="F2038" s="40"/>
      <c r="G2038" s="40"/>
      <c r="H2038" s="40"/>
      <c r="I2038" s="40">
        <f>+SUM(H2039)</f>
        <v>28.950000000000003</v>
      </c>
      <c r="J2038" s="41" t="s">
        <v>45</v>
      </c>
    </row>
    <row r="2039" spans="2:10" s="1" customFormat="1" ht="12.75" x14ac:dyDescent="0.2">
      <c r="B2039" s="46"/>
      <c r="C2039" s="39" t="s">
        <v>436</v>
      </c>
      <c r="D2039" s="60">
        <v>1</v>
      </c>
      <c r="E2039" s="40">
        <v>19.3</v>
      </c>
      <c r="F2039" s="40">
        <v>0.5</v>
      </c>
      <c r="G2039" s="40">
        <f>0.4+0.1</f>
        <v>0.5</v>
      </c>
      <c r="H2039" s="40">
        <f>+(F2039+G2039*2)*E2039</f>
        <v>28.950000000000003</v>
      </c>
      <c r="I2039" s="40"/>
      <c r="J2039" s="41"/>
    </row>
    <row r="2040" spans="2:10" s="1" customFormat="1" ht="12.75" x14ac:dyDescent="0.2">
      <c r="B2040" s="46"/>
      <c r="C2040" s="59"/>
      <c r="D2040" s="60"/>
      <c r="E2040" s="40"/>
      <c r="F2040" s="40"/>
      <c r="G2040" s="40"/>
      <c r="H2040" s="40"/>
      <c r="I2040" s="40"/>
      <c r="J2040" s="41"/>
    </row>
    <row r="2041" spans="2:10" s="1" customFormat="1" ht="12.75" x14ac:dyDescent="0.2">
      <c r="B2041" s="46"/>
      <c r="C2041" s="59"/>
      <c r="D2041" s="60"/>
      <c r="E2041" s="40"/>
      <c r="F2041" s="40"/>
      <c r="G2041" s="40"/>
      <c r="H2041" s="40"/>
      <c r="I2041" s="40"/>
      <c r="J2041" s="41"/>
    </row>
    <row r="2042" spans="2:10" s="1" customFormat="1" ht="12.75" x14ac:dyDescent="0.2">
      <c r="B2042" s="46"/>
      <c r="C2042" s="59"/>
      <c r="D2042" s="60"/>
      <c r="E2042" s="40"/>
      <c r="F2042" s="40"/>
      <c r="G2042" s="40"/>
      <c r="H2042" s="40"/>
      <c r="I2042" s="40"/>
      <c r="J2042" s="41"/>
    </row>
    <row r="2043" spans="2:10" s="1" customFormat="1" ht="12.75" x14ac:dyDescent="0.2">
      <c r="B2043" s="107" t="s">
        <v>632</v>
      </c>
      <c r="C2043" s="343" t="s">
        <v>794</v>
      </c>
      <c r="D2043" s="60"/>
      <c r="E2043" s="40"/>
      <c r="F2043" s="40" t="s">
        <v>795</v>
      </c>
      <c r="G2043" s="40"/>
      <c r="H2043" s="40"/>
      <c r="I2043" s="40">
        <f>+SUM(H2044:H2047)</f>
        <v>112.58630927835051</v>
      </c>
      <c r="J2043" s="41" t="s">
        <v>12</v>
      </c>
    </row>
    <row r="2044" spans="2:10" s="1" customFormat="1" ht="12.75" x14ac:dyDescent="0.2">
      <c r="B2044" s="380"/>
      <c r="C2044" s="39" t="s">
        <v>465</v>
      </c>
      <c r="D2044" s="60">
        <v>5</v>
      </c>
      <c r="E2044" s="40">
        <f>9.78+0.55</f>
        <v>10.33</v>
      </c>
      <c r="F2044" s="40">
        <f>8.2/5</f>
        <v>1.64</v>
      </c>
      <c r="G2044" s="40"/>
      <c r="H2044" s="40">
        <f>IF(AND(F2044=0,G2044=0),D2044*E2044,IF(AND(E2044=0,G2044=0),D2044*F2044,IF(AND(E2044=0,F2044=0),D2044*G2044,IF(AND(E2044=0),D2044*F2044*G2044,IF(AND(F2044=0),D2044*E2044*G2044,IF(AND(G2044=0),D2044*E2044*F2044,D2044*E2044*F2044*G2044))))))</f>
        <v>84.705999999999989</v>
      </c>
      <c r="I2044" s="40"/>
      <c r="J2044" s="41"/>
    </row>
    <row r="2045" spans="2:10" s="1" customFormat="1" ht="12.75" x14ac:dyDescent="0.2">
      <c r="B2045" s="380"/>
      <c r="C2045" s="43" t="s">
        <v>228</v>
      </c>
      <c r="D2045" s="60"/>
      <c r="E2045" s="40"/>
      <c r="F2045" s="40"/>
      <c r="G2045" s="40"/>
      <c r="H2045" s="40"/>
      <c r="I2045" s="40"/>
      <c r="J2045" s="41"/>
    </row>
    <row r="2046" spans="2:10" s="1" customFormat="1" ht="12.75" x14ac:dyDescent="0.2">
      <c r="B2046" s="380"/>
      <c r="C2046" s="39" t="s">
        <v>558</v>
      </c>
      <c r="D2046" s="40">
        <v>1</v>
      </c>
      <c r="E2046" s="40">
        <v>3.7</v>
      </c>
      <c r="F2046" s="40">
        <f>27.69/5.82</f>
        <v>4.7577319587628866</v>
      </c>
      <c r="G2046" s="40"/>
      <c r="H2046" s="40">
        <f t="shared" ref="H2046:H2047" si="141">IF(AND(F2046=0,G2046=0),D2046*E2046,IF(AND(E2046=0,G2046=0),D2046*F2046,IF(AND(E2046=0,F2046=0),D2046*G2046,IF(AND(E2046=0),D2046*F2046*G2046,IF(AND(F2046=0),D2046*E2046*G2046,IF(AND(G2046=0),D2046*E2046*F2046,D2046*E2046*F2046*G2046))))))</f>
        <v>17.603608247422681</v>
      </c>
      <c r="I2046" s="40"/>
      <c r="J2046" s="41"/>
    </row>
    <row r="2047" spans="2:10" s="1" customFormat="1" ht="12.75" x14ac:dyDescent="0.2">
      <c r="B2047" s="380"/>
      <c r="C2047" s="39" t="s">
        <v>557</v>
      </c>
      <c r="D2047" s="60">
        <v>1</v>
      </c>
      <c r="E2047" s="40">
        <f>0.96+1.2</f>
        <v>2.16</v>
      </c>
      <c r="F2047" s="40">
        <f>27.69/5.82</f>
        <v>4.7577319587628866</v>
      </c>
      <c r="G2047" s="40"/>
      <c r="H2047" s="40">
        <f t="shared" si="141"/>
        <v>10.276701030927835</v>
      </c>
      <c r="I2047" s="40"/>
      <c r="J2047" s="41"/>
    </row>
    <row r="2048" spans="2:10" s="1" customFormat="1" ht="12.75" x14ac:dyDescent="0.2">
      <c r="B2048" s="380"/>
      <c r="C2048" s="366"/>
      <c r="D2048" s="60"/>
      <c r="E2048" s="40"/>
      <c r="F2048" s="40"/>
      <c r="G2048" s="40"/>
      <c r="H2048" s="40"/>
      <c r="I2048" s="40"/>
      <c r="J2048" s="41"/>
    </row>
    <row r="2049" spans="2:10" s="1" customFormat="1" ht="12.75" x14ac:dyDescent="0.2">
      <c r="B2049" s="25" t="s">
        <v>633</v>
      </c>
      <c r="C2049" s="28" t="s">
        <v>625</v>
      </c>
      <c r="D2049" s="60"/>
      <c r="E2049" s="40"/>
      <c r="F2049" s="40"/>
      <c r="G2049" s="40"/>
      <c r="H2049" s="40"/>
      <c r="I2049" s="40">
        <f>+SUM(H2050:H2053)</f>
        <v>2.6290000000000004</v>
      </c>
      <c r="J2049" s="41" t="s">
        <v>4</v>
      </c>
    </row>
    <row r="2050" spans="2:10" s="1" customFormat="1" ht="12.75" x14ac:dyDescent="0.2">
      <c r="B2050" s="46"/>
      <c r="C2050" s="39" t="s">
        <v>730</v>
      </c>
      <c r="D2050" s="60">
        <v>2</v>
      </c>
      <c r="E2050" s="40">
        <v>19.3</v>
      </c>
      <c r="F2050" s="40">
        <v>0.1</v>
      </c>
      <c r="G2050" s="40">
        <v>0.4</v>
      </c>
      <c r="H2050" s="40">
        <f t="shared" ref="H2050:H2053" si="142">IF(AND(F2050=0,G2050=0),D2050*E2050,IF(AND(E2050=0,G2050=0),D2050*F2050,IF(AND(E2050=0,F2050=0),D2050*G2050,IF(AND(E2050=0),D2050*F2050*G2050,IF(AND(F2050=0),D2050*E2050*G2050,IF(AND(G2050=0),D2050*E2050*F2050,D2050*E2050*F2050*G2050))))))</f>
        <v>1.5440000000000003</v>
      </c>
      <c r="I2050" s="40"/>
      <c r="J2050" s="41"/>
    </row>
    <row r="2051" spans="2:10" s="1" customFormat="1" ht="12.75" x14ac:dyDescent="0.2">
      <c r="B2051" s="46"/>
      <c r="C2051" s="39"/>
      <c r="D2051" s="60">
        <v>1</v>
      </c>
      <c r="E2051" s="40">
        <v>19.3</v>
      </c>
      <c r="F2051" s="40">
        <v>0.5</v>
      </c>
      <c r="G2051" s="40">
        <v>0.1</v>
      </c>
      <c r="H2051" s="40">
        <f t="shared" si="142"/>
        <v>0.96500000000000008</v>
      </c>
      <c r="I2051" s="40"/>
      <c r="J2051" s="41"/>
    </row>
    <row r="2052" spans="2:10" s="1" customFormat="1" ht="12.75" x14ac:dyDescent="0.2">
      <c r="B2052" s="46"/>
      <c r="C2052" s="39" t="s">
        <v>383</v>
      </c>
      <c r="D2052" s="40">
        <v>2</v>
      </c>
      <c r="E2052" s="40">
        <v>0.8</v>
      </c>
      <c r="F2052" s="40">
        <v>0.1</v>
      </c>
      <c r="G2052" s="40">
        <v>0.5</v>
      </c>
      <c r="H2052" s="40">
        <f t="shared" si="142"/>
        <v>8.0000000000000016E-2</v>
      </c>
      <c r="I2052" s="40"/>
      <c r="J2052" s="41"/>
    </row>
    <row r="2053" spans="2:10" s="1" customFormat="1" ht="12.75" x14ac:dyDescent="0.2">
      <c r="B2053" s="46"/>
      <c r="C2053" s="59"/>
      <c r="D2053" s="60">
        <v>2</v>
      </c>
      <c r="E2053" s="40">
        <v>0.4</v>
      </c>
      <c r="F2053" s="40">
        <v>0.1</v>
      </c>
      <c r="G2053" s="40">
        <v>0.5</v>
      </c>
      <c r="H2053" s="40">
        <f t="shared" si="142"/>
        <v>4.0000000000000008E-2</v>
      </c>
      <c r="I2053" s="40"/>
      <c r="J2053" s="41"/>
    </row>
    <row r="2054" spans="2:10" s="1" customFormat="1" ht="12.75" x14ac:dyDescent="0.2">
      <c r="B2054" s="46"/>
      <c r="C2054" s="59"/>
      <c r="D2054" s="60"/>
      <c r="E2054" s="40"/>
      <c r="F2054" s="40"/>
      <c r="G2054" s="40"/>
      <c r="H2054" s="40"/>
      <c r="I2054" s="40"/>
      <c r="J2054" s="41"/>
    </row>
    <row r="2055" spans="2:10" s="1" customFormat="1" ht="12.75" x14ac:dyDescent="0.2">
      <c r="B2055" s="46"/>
      <c r="C2055" s="59"/>
      <c r="D2055" s="60"/>
      <c r="E2055" s="40"/>
      <c r="F2055" s="40"/>
      <c r="G2055" s="40"/>
      <c r="H2055" s="40"/>
      <c r="I2055" s="40"/>
      <c r="J2055" s="41"/>
    </row>
    <row r="2056" spans="2:10" s="1" customFormat="1" ht="12.75" x14ac:dyDescent="0.2">
      <c r="B2056" s="46"/>
      <c r="C2056" s="59"/>
      <c r="D2056" s="60"/>
      <c r="E2056" s="40"/>
      <c r="F2056" s="40"/>
      <c r="G2056" s="40"/>
      <c r="H2056" s="40"/>
      <c r="I2056" s="40"/>
      <c r="J2056" s="41"/>
    </row>
    <row r="2057" spans="2:10" s="1" customFormat="1" ht="12.75" x14ac:dyDescent="0.2">
      <c r="B2057" s="107" t="s">
        <v>790</v>
      </c>
      <c r="C2057" s="343" t="s">
        <v>789</v>
      </c>
      <c r="D2057" s="60" t="s">
        <v>791</v>
      </c>
      <c r="E2057" s="40"/>
      <c r="F2057" s="40"/>
      <c r="G2057" s="40"/>
      <c r="H2057" s="40"/>
      <c r="I2057" s="40">
        <f>+SUM(H2058:H2059)</f>
        <v>7.597500000000001</v>
      </c>
      <c r="J2057" s="41" t="s">
        <v>4</v>
      </c>
    </row>
    <row r="2058" spans="2:10" s="1" customFormat="1" ht="12.75" x14ac:dyDescent="0.2">
      <c r="B2058" s="107"/>
      <c r="C2058" s="39" t="s">
        <v>383</v>
      </c>
      <c r="D2058" s="40">
        <v>1.25</v>
      </c>
      <c r="E2058" s="40">
        <v>0.6</v>
      </c>
      <c r="F2058" s="40">
        <v>0.8</v>
      </c>
      <c r="G2058" s="40">
        <f>0.4+0.2</f>
        <v>0.60000000000000009</v>
      </c>
      <c r="H2058" s="40">
        <f>IF(AND(F2058=0,G2058=0),D2058*E2058,IF(AND(E2058=0,G2058=0),D2058*F2058,IF(AND(E2058=0,F2058=0),D2058*G2058,IF(AND(E2058=0),D2058*F2058*G2058,IF(AND(F2058=0),D2058*E2058*G2058,IF(AND(G2058=0),D2058*E2058*F2058,D2058*E2058*F2058*G2058))))))</f>
        <v>0.3600000000000001</v>
      </c>
      <c r="I2058" s="40"/>
      <c r="J2058" s="41"/>
    </row>
    <row r="2059" spans="2:10" s="1" customFormat="1" ht="12.75" x14ac:dyDescent="0.2">
      <c r="B2059" s="46"/>
      <c r="C2059" s="39" t="s">
        <v>730</v>
      </c>
      <c r="D2059" s="60">
        <v>1.25</v>
      </c>
      <c r="E2059" s="40">
        <v>19.3</v>
      </c>
      <c r="F2059" s="40">
        <v>0.5</v>
      </c>
      <c r="G2059" s="40">
        <f>0.4+0.2</f>
        <v>0.60000000000000009</v>
      </c>
      <c r="H2059" s="40">
        <f>IF(AND(F2059=0,G2059=0),D2059*E2059,IF(AND(E2059=0,G2059=0),D2059*F2059,IF(AND(E2059=0,F2059=0),D2059*G2059,IF(AND(E2059=0),D2059*F2059*G2059,IF(AND(F2059=0),D2059*E2059*G2059,IF(AND(G2059=0),D2059*E2059*F2059,D2059*E2059*F2059*G2059))))))</f>
        <v>7.2375000000000007</v>
      </c>
      <c r="I2059" s="40"/>
      <c r="J2059" s="41"/>
    </row>
    <row r="2060" spans="2:10" s="1" customFormat="1" ht="12.75" x14ac:dyDescent="0.2">
      <c r="B2060" s="46"/>
      <c r="C2060" s="39"/>
      <c r="F2060" s="40"/>
      <c r="G2060" s="40"/>
      <c r="I2060" s="40"/>
      <c r="J2060" s="41"/>
    </row>
    <row r="2061" spans="2:10" s="1" customFormat="1" ht="12.75" x14ac:dyDescent="0.2">
      <c r="B2061" s="46"/>
      <c r="C2061" s="39"/>
      <c r="D2061" s="60"/>
      <c r="E2061" s="40"/>
      <c r="F2061" s="40"/>
      <c r="G2061" s="40"/>
      <c r="H2061" s="40"/>
      <c r="I2061" s="40"/>
      <c r="J2061" s="41"/>
    </row>
    <row r="2062" spans="2:10" s="1" customFormat="1" ht="12.75" x14ac:dyDescent="0.2">
      <c r="B2062" s="380"/>
      <c r="C2062" s="366"/>
      <c r="D2062" s="60"/>
      <c r="E2062" s="40"/>
      <c r="F2062" s="40"/>
      <c r="G2062" s="40"/>
      <c r="H2062" s="40"/>
      <c r="I2062" s="40"/>
      <c r="J2062" s="41"/>
    </row>
    <row r="2063" spans="2:10" s="1" customFormat="1" ht="12.75" x14ac:dyDescent="0.2">
      <c r="B2063" s="107" t="s">
        <v>634</v>
      </c>
      <c r="C2063" s="343" t="s">
        <v>624</v>
      </c>
      <c r="D2063" s="60"/>
      <c r="E2063" s="40"/>
      <c r="F2063" s="40"/>
      <c r="G2063" s="40"/>
      <c r="H2063" s="40"/>
      <c r="I2063" s="40">
        <f>+I2057</f>
        <v>7.597500000000001</v>
      </c>
      <c r="J2063" s="41" t="s">
        <v>4</v>
      </c>
    </row>
    <row r="2064" spans="2:10" s="1" customFormat="1" ht="12.75" x14ac:dyDescent="0.2">
      <c r="B2064" s="46"/>
      <c r="C2064" s="39"/>
      <c r="D2064" s="8"/>
      <c r="E2064" s="86"/>
      <c r="F2064" s="40"/>
      <c r="G2064" s="40"/>
      <c r="H2064" s="40"/>
      <c r="I2064" s="40"/>
      <c r="J2064" s="41"/>
    </row>
    <row r="2065" spans="2:10" s="1" customFormat="1" ht="12.75" x14ac:dyDescent="0.2">
      <c r="B2065" s="46"/>
      <c r="C2065" s="59"/>
      <c r="D2065" s="60"/>
      <c r="E2065" s="40"/>
      <c r="F2065" s="40"/>
      <c r="G2065" s="40"/>
      <c r="H2065" s="40"/>
      <c r="I2065" s="40"/>
      <c r="J2065" s="41"/>
    </row>
    <row r="2066" spans="2:10" s="1" customFormat="1" ht="12.75" x14ac:dyDescent="0.2">
      <c r="B2066" s="46"/>
      <c r="C2066" s="59"/>
      <c r="D2066" s="60"/>
      <c r="E2066" s="40"/>
      <c r="F2066" s="40"/>
      <c r="G2066" s="40"/>
      <c r="H2066" s="40"/>
      <c r="I2066" s="40"/>
      <c r="J2066" s="41"/>
    </row>
    <row r="2067" spans="2:10" s="1" customFormat="1" ht="12.75" x14ac:dyDescent="0.2">
      <c r="B2067" s="46"/>
      <c r="C2067" s="59"/>
      <c r="D2067" s="60"/>
      <c r="E2067" s="40"/>
      <c r="F2067" s="40"/>
      <c r="G2067" s="40"/>
      <c r="H2067" s="40"/>
      <c r="I2067" s="40"/>
      <c r="J2067" s="41"/>
    </row>
    <row r="2068" spans="2:10" s="1" customFormat="1" ht="12.75" x14ac:dyDescent="0.2">
      <c r="B2068" s="46"/>
      <c r="C2068" s="59"/>
      <c r="D2068" s="60"/>
      <c r="E2068" s="40"/>
      <c r="F2068" s="40"/>
      <c r="G2068" s="40"/>
      <c r="H2068" s="40"/>
      <c r="I2068" s="40"/>
      <c r="J2068" s="41"/>
    </row>
    <row r="2069" spans="2:10" s="1" customFormat="1" ht="12.75" x14ac:dyDescent="0.2">
      <c r="B2069" s="46"/>
      <c r="C2069" s="59"/>
      <c r="D2069" s="60"/>
      <c r="E2069" s="40"/>
      <c r="F2069" s="40"/>
      <c r="G2069" s="40"/>
      <c r="H2069" s="40"/>
      <c r="I2069" s="40"/>
      <c r="J2069" s="41"/>
    </row>
    <row r="2070" spans="2:10" s="1" customFormat="1" ht="12.75" x14ac:dyDescent="0.2">
      <c r="B2070" s="46"/>
      <c r="C2070" s="59"/>
      <c r="D2070" s="60"/>
      <c r="E2070" s="40"/>
      <c r="F2070" s="40"/>
      <c r="G2070" s="40"/>
      <c r="H2070" s="40"/>
      <c r="I2070" s="40"/>
      <c r="J2070" s="41"/>
    </row>
    <row r="2071" spans="2:10" s="1" customFormat="1" ht="12.75" x14ac:dyDescent="0.2">
      <c r="B2071" s="46"/>
      <c r="C2071" s="59"/>
      <c r="D2071" s="60"/>
      <c r="E2071" s="40"/>
      <c r="F2071" s="40"/>
      <c r="G2071" s="40"/>
      <c r="H2071" s="40"/>
      <c r="I2071" s="40"/>
      <c r="J2071" s="41"/>
    </row>
    <row r="2072" spans="2:10" s="1" customFormat="1" ht="12.75" x14ac:dyDescent="0.2">
      <c r="B2072" s="46"/>
      <c r="C2072" s="59"/>
      <c r="D2072" s="60"/>
      <c r="E2072" s="40"/>
      <c r="F2072" s="40"/>
      <c r="G2072" s="40"/>
      <c r="H2072" s="40"/>
      <c r="I2072" s="40"/>
      <c r="J2072" s="41"/>
    </row>
    <row r="2073" spans="2:10" s="1" customFormat="1" ht="12.75" x14ac:dyDescent="0.2">
      <c r="B2073" s="46"/>
      <c r="C2073" s="59"/>
      <c r="D2073" s="60"/>
      <c r="E2073" s="40"/>
      <c r="F2073" s="40"/>
      <c r="G2073" s="40"/>
      <c r="H2073" s="40"/>
      <c r="I2073" s="40"/>
      <c r="J2073" s="41"/>
    </row>
    <row r="2074" spans="2:10" s="1" customFormat="1" ht="12.75" x14ac:dyDescent="0.2">
      <c r="B2074" s="46"/>
      <c r="C2074" s="59"/>
      <c r="D2074" s="60"/>
      <c r="E2074" s="40"/>
      <c r="F2074" s="40"/>
      <c r="G2074" s="40"/>
      <c r="H2074" s="40"/>
      <c r="I2074" s="40"/>
      <c r="J2074" s="41"/>
    </row>
    <row r="2075" spans="2:10" s="1" customFormat="1" ht="12.75" x14ac:dyDescent="0.2">
      <c r="B2075" s="46"/>
      <c r="C2075" s="59"/>
      <c r="D2075" s="60"/>
      <c r="E2075" s="40"/>
      <c r="F2075" s="40"/>
      <c r="G2075" s="40"/>
      <c r="H2075" s="40"/>
      <c r="I2075" s="40"/>
      <c r="J2075" s="41"/>
    </row>
    <row r="2076" spans="2:10" s="1" customFormat="1" ht="12.75" x14ac:dyDescent="0.2">
      <c r="B2076" s="46"/>
      <c r="C2076" s="59"/>
      <c r="D2076" s="60"/>
      <c r="E2076" s="40"/>
      <c r="F2076" s="40"/>
      <c r="G2076" s="40"/>
      <c r="H2076" s="40"/>
      <c r="I2076" s="40"/>
      <c r="J2076" s="41"/>
    </row>
    <row r="2077" spans="2:10" s="1" customFormat="1" ht="12.75" x14ac:dyDescent="0.2">
      <c r="C2077" s="98" t="s">
        <v>37</v>
      </c>
      <c r="D2077" s="98"/>
      <c r="E2077" s="98"/>
      <c r="F2077" s="98"/>
      <c r="G2077" s="98"/>
      <c r="H2077" s="98"/>
    </row>
    <row r="2078" spans="2:10" s="1" customFormat="1" ht="12.75" x14ac:dyDescent="0.2">
      <c r="C2078" s="98" t="s">
        <v>38</v>
      </c>
      <c r="D2078" s="98"/>
      <c r="E2078" s="98"/>
      <c r="F2078" s="98"/>
      <c r="G2078" s="98"/>
      <c r="H2078" s="98"/>
    </row>
    <row r="2079" spans="2:10" s="1" customFormat="1" ht="12.75" x14ac:dyDescent="0.2">
      <c r="C2079" s="98" t="s">
        <v>39</v>
      </c>
      <c r="D2079" s="98"/>
      <c r="E2079" s="98"/>
      <c r="F2079" s="98"/>
      <c r="G2079" s="98"/>
      <c r="H2079" s="98"/>
    </row>
    <row r="2080" spans="2:10" s="1" customFormat="1" ht="12.75" x14ac:dyDescent="0.2">
      <c r="C2080" s="99" t="s">
        <v>40</v>
      </c>
      <c r="D2080" s="99"/>
      <c r="E2080" s="99"/>
      <c r="F2080" s="99"/>
      <c r="G2080" s="99"/>
      <c r="H2080" s="99"/>
    </row>
    <row r="2081" spans="2:10" s="1" customFormat="1" ht="33" customHeight="1" x14ac:dyDescent="0.2">
      <c r="C2081" s="80"/>
      <c r="D2081" s="99"/>
      <c r="E2081" s="99"/>
      <c r="F2081" s="99"/>
      <c r="G2081" s="99"/>
      <c r="H2081" s="99"/>
    </row>
    <row r="2082" spans="2:10" s="1" customFormat="1" ht="15.75" x14ac:dyDescent="0.2">
      <c r="B2082" s="100" t="s">
        <v>65</v>
      </c>
      <c r="C2082" s="101"/>
      <c r="D2082" s="101"/>
      <c r="E2082" s="101"/>
      <c r="F2082" s="101"/>
      <c r="G2082" s="101"/>
      <c r="H2082" s="101"/>
      <c r="I2082" s="101"/>
      <c r="J2082" s="102"/>
    </row>
    <row r="2083" spans="2:10" s="1" customFormat="1" ht="20.25" x14ac:dyDescent="0.2">
      <c r="B2083" s="104" t="s">
        <v>366</v>
      </c>
      <c r="C2083" s="105"/>
      <c r="D2083" s="105"/>
      <c r="E2083" s="105"/>
      <c r="F2083" s="105"/>
      <c r="G2083" s="105"/>
      <c r="H2083" s="105"/>
      <c r="I2083" s="105"/>
      <c r="J2083" s="106"/>
    </row>
    <row r="2084" spans="2:10" s="1" customFormat="1" ht="13.5" thickBot="1" x14ac:dyDescent="0.25">
      <c r="B2084" s="81"/>
      <c r="C2084" s="81"/>
      <c r="D2084" s="103"/>
      <c r="E2084" s="103"/>
      <c r="F2084" s="103"/>
      <c r="G2084" s="103"/>
      <c r="H2084" s="103"/>
      <c r="I2084" s="103"/>
      <c r="J2084" s="103"/>
    </row>
    <row r="2085" spans="2:10" s="1" customFormat="1" ht="165.75" x14ac:dyDescent="0.2">
      <c r="B2085" s="94" t="s">
        <v>27</v>
      </c>
      <c r="C2085" s="95"/>
      <c r="D2085" s="95"/>
      <c r="E2085" s="95"/>
      <c r="F2085" s="95"/>
      <c r="G2085" s="95"/>
      <c r="H2085" s="95"/>
      <c r="I2085" s="95"/>
      <c r="J2085" s="96"/>
    </row>
    <row r="2086" spans="2:10" s="1" customFormat="1" ht="12.75" x14ac:dyDescent="0.2">
      <c r="B2086" s="2" t="s">
        <v>35</v>
      </c>
      <c r="C2086" s="3" t="s">
        <v>36</v>
      </c>
      <c r="D2086" s="3"/>
      <c r="E2086" s="4"/>
      <c r="F2086" s="5"/>
      <c r="G2086" s="6" t="s">
        <v>8</v>
      </c>
      <c r="H2086" s="97">
        <v>42879</v>
      </c>
      <c r="I2086" s="97"/>
      <c r="J2086" s="7"/>
    </row>
    <row r="2087" spans="2:10" s="1" customFormat="1" ht="12.75" x14ac:dyDescent="0.2">
      <c r="B2087" s="2" t="s">
        <v>33</v>
      </c>
      <c r="C2087" s="3" t="s">
        <v>29</v>
      </c>
      <c r="D2087" s="8"/>
      <c r="E2087" s="8"/>
      <c r="F2087" s="3"/>
      <c r="G2087" s="9" t="s">
        <v>32</v>
      </c>
      <c r="H2087" s="4" t="s">
        <v>29</v>
      </c>
      <c r="I2087" s="10"/>
      <c r="J2087" s="11"/>
    </row>
    <row r="2088" spans="2:10" s="1" customFormat="1" ht="12.75" x14ac:dyDescent="0.2">
      <c r="B2088" s="2" t="s">
        <v>34</v>
      </c>
      <c r="C2088" s="3" t="s">
        <v>29</v>
      </c>
      <c r="D2088" s="8"/>
      <c r="E2088" s="8"/>
      <c r="F2088" s="3"/>
      <c r="G2088" s="9" t="s">
        <v>30</v>
      </c>
      <c r="H2088" s="4" t="s">
        <v>31</v>
      </c>
      <c r="I2088" s="10"/>
      <c r="J2088" s="11"/>
    </row>
    <row r="2089" spans="2:10" s="1" customFormat="1" ht="13.5" thickBot="1" x14ac:dyDescent="0.25">
      <c r="B2089" s="12" t="s">
        <v>43</v>
      </c>
      <c r="C2089" s="13" t="s">
        <v>44</v>
      </c>
      <c r="D2089" s="14"/>
      <c r="E2089" s="14"/>
      <c r="F2089" s="13"/>
      <c r="G2089" s="15" t="s">
        <v>41</v>
      </c>
      <c r="H2089" s="16" t="s">
        <v>42</v>
      </c>
      <c r="I2089" s="17"/>
      <c r="J2089" s="18"/>
    </row>
    <row r="2090" spans="2:10" s="1" customFormat="1" ht="12.75" x14ac:dyDescent="0.2">
      <c r="B2090" s="81"/>
      <c r="C2090" s="81"/>
      <c r="D2090" s="103"/>
      <c r="E2090" s="103"/>
      <c r="F2090" s="103"/>
      <c r="G2090" s="103"/>
      <c r="H2090" s="103"/>
      <c r="I2090" s="103"/>
      <c r="J2090" s="103"/>
    </row>
    <row r="2091" spans="2:10" s="1" customFormat="1" ht="12.75" x14ac:dyDescent="0.2">
      <c r="B2091" s="21" t="s">
        <v>5</v>
      </c>
      <c r="C2091" s="22" t="s">
        <v>0</v>
      </c>
      <c r="D2091" s="22" t="s">
        <v>9</v>
      </c>
      <c r="E2091" s="22" t="s">
        <v>10</v>
      </c>
      <c r="F2091" s="22" t="s">
        <v>1</v>
      </c>
      <c r="G2091" s="22" t="s">
        <v>2</v>
      </c>
      <c r="H2091" s="22" t="s">
        <v>11</v>
      </c>
      <c r="I2091" s="22" t="s">
        <v>6</v>
      </c>
      <c r="J2091" s="22" t="s">
        <v>7</v>
      </c>
    </row>
    <row r="2092" spans="2:10" s="1" customFormat="1" ht="12.75" x14ac:dyDescent="0.2">
      <c r="B2092" s="55">
        <v>4.03</v>
      </c>
      <c r="C2092" s="56" t="s">
        <v>222</v>
      </c>
      <c r="D2092" s="60"/>
      <c r="E2092" s="40"/>
      <c r="F2092" s="40"/>
      <c r="G2092" s="40"/>
      <c r="H2092" s="40"/>
      <c r="I2092" s="40"/>
      <c r="J2092" s="41"/>
    </row>
    <row r="2093" spans="2:10" s="1" customFormat="1" ht="12.75" x14ac:dyDescent="0.2">
      <c r="B2093" s="57" t="s">
        <v>14</v>
      </c>
      <c r="C2093" s="58" t="s">
        <v>225</v>
      </c>
      <c r="D2093" s="60"/>
      <c r="E2093" s="40"/>
      <c r="F2093" s="40"/>
      <c r="G2093" s="40"/>
      <c r="H2093" s="40"/>
      <c r="I2093" s="40"/>
      <c r="J2093" s="41"/>
    </row>
    <row r="2094" spans="2:10" s="1" customFormat="1" ht="12.75" x14ac:dyDescent="0.2">
      <c r="B2094" s="43" t="s">
        <v>15</v>
      </c>
      <c r="C2094" s="43" t="s">
        <v>359</v>
      </c>
      <c r="D2094" s="60"/>
      <c r="E2094" s="40"/>
      <c r="F2094" s="40"/>
      <c r="G2094" s="40"/>
      <c r="H2094" s="40"/>
      <c r="I2094" s="44">
        <f>SUM(H2095:H2095)</f>
        <v>0</v>
      </c>
      <c r="J2094" s="45" t="str">
        <f>+J2095</f>
        <v>ml</v>
      </c>
    </row>
    <row r="2095" spans="2:10" s="1" customFormat="1" ht="12.75" x14ac:dyDescent="0.2">
      <c r="B2095" s="43"/>
      <c r="C2095" s="39"/>
      <c r="D2095" s="40"/>
      <c r="E2095" s="40"/>
      <c r="F2095" s="40"/>
      <c r="G2095" s="40"/>
      <c r="H2095" s="40">
        <f>IF(AND(F2095=0,G2095=0),D2095*E2095,IF(AND(E2095=0,G2095=0),D2095*F2095,IF(AND(E2095=0,F2095=0),D2095*G2095,IF(AND(E2095=0),D2095*F2095*G2095,IF(AND(F2095=0),D2095*E2095*G2095,IF(AND(G2095=0),D2095*E2095*F2095,D2095*E2095*F2095*G2095))))))</f>
        <v>0</v>
      </c>
      <c r="I2095" s="40"/>
      <c r="J2095" s="41" t="str">
        <f>IF(AND(E2095=0,F2095&lt;&gt;0,G2095&lt;&gt;0),"m2",IF(AND(F2095=0,E2095&lt;&gt;0,G2095&lt;&gt;0),"m2",IF(AND(G2095=0,E2095&lt;&gt;0,F2095&lt;&gt;0),"m2",IF(AND(F2095=0,G2095=0),"ml",IF(AND(E2095=0,G2095=0),"ml",IF(AND(E2095=0,F2095=0),"ml",IF(AND(E2095&lt;&gt;0,F2095&lt;&gt;0,G2095&lt;&gt;0),"m3",0)))))))</f>
        <v>ml</v>
      </c>
    </row>
    <row r="2096" spans="2:10" s="1" customFormat="1" ht="12.75" x14ac:dyDescent="0.2">
      <c r="B2096" s="43"/>
      <c r="C2096" s="39"/>
      <c r="D2096" s="40"/>
      <c r="E2096" s="40"/>
      <c r="F2096" s="40"/>
      <c r="G2096" s="40"/>
      <c r="H2096" s="40">
        <f>IF(AND(F2096=0,G2096=0),D2096*E2096,IF(AND(E2096=0,G2096=0),D2096*F2096,IF(AND(E2096=0,F2096=0),D2096*G2096,IF(AND(E2096=0),D2096*F2096*G2096,IF(AND(F2096=0),D2096*E2096*G2096,IF(AND(G2096=0),D2096*E2096*F2096,D2096*E2096*F2096*G2096))))))</f>
        <v>0</v>
      </c>
      <c r="I2096" s="40"/>
      <c r="J2096" s="41" t="str">
        <f>IF(AND(E2096=0,F2096&lt;&gt;0,G2096&lt;&gt;0),"m2",IF(AND(F2096=0,E2096&lt;&gt;0,G2096&lt;&gt;0),"m2",IF(AND(G2096=0,E2096&lt;&gt;0,F2096&lt;&gt;0),"m2",IF(AND(F2096=0,G2096=0),"ml",IF(AND(E2096=0,G2096=0),"ml",IF(AND(E2096=0,F2096=0),"ml",IF(AND(E2096&lt;&gt;0,F2096&lt;&gt;0,G2096&lt;&gt;0),"m3",0)))))))</f>
        <v>ml</v>
      </c>
    </row>
    <row r="2097" spans="2:10" s="1" customFormat="1" ht="12.75" x14ac:dyDescent="0.2">
      <c r="B2097" s="43" t="s">
        <v>232</v>
      </c>
      <c r="C2097" s="43" t="s">
        <v>235</v>
      </c>
      <c r="D2097" s="60"/>
      <c r="E2097" s="40"/>
      <c r="F2097" s="40"/>
      <c r="G2097" s="40"/>
      <c r="H2097" s="40"/>
      <c r="I2097" s="44">
        <f>SUM(H2098:H2098)</f>
        <v>0</v>
      </c>
      <c r="J2097" s="45" t="str">
        <f>+J2098</f>
        <v>ml</v>
      </c>
    </row>
    <row r="2098" spans="2:10" s="1" customFormat="1" ht="12.75" x14ac:dyDescent="0.2">
      <c r="B2098" s="57"/>
      <c r="C2098" s="39" t="s">
        <v>378</v>
      </c>
      <c r="D2098" s="40"/>
      <c r="E2098" s="40"/>
      <c r="F2098" s="40"/>
      <c r="G2098" s="40"/>
      <c r="H2098" s="40">
        <f>IF(AND(F2098=0,G2098=0),D2098*E2098,IF(AND(E2098=0,G2098=0),D2098*F2098,IF(AND(E2098=0,F2098=0),D2098*G2098,IF(AND(E2098=0),D2098*F2098*G2098,IF(AND(F2098=0),D2098*E2098*G2098,IF(AND(G2098=0),D2098*E2098*F2098,D2098*E2098*F2098*G2098))))))</f>
        <v>0</v>
      </c>
      <c r="I2098" s="40"/>
      <c r="J2098" s="41" t="str">
        <f>IF(AND(E2098=0,F2098&lt;&gt;0,G2098&lt;&gt;0),"m2",IF(AND(F2098=0,E2098&lt;&gt;0,G2098&lt;&gt;0),"m2",IF(AND(G2098=0,E2098&lt;&gt;0,F2098&lt;&gt;0),"m2",IF(AND(F2098=0,G2098=0),"ml",IF(AND(E2098=0,G2098=0),"ml",IF(AND(E2098=0,F2098=0),"ml",IF(AND(E2098&lt;&gt;0,F2098&lt;&gt;0,G2098&lt;&gt;0),"m3",0)))))))</f>
        <v>ml</v>
      </c>
    </row>
    <row r="2099" spans="2:10" s="1" customFormat="1" ht="12.75" x14ac:dyDescent="0.2">
      <c r="B2099" s="57"/>
      <c r="C2099" s="39" t="s">
        <v>379</v>
      </c>
      <c r="D2099" s="40"/>
      <c r="E2099" s="40"/>
      <c r="F2099" s="40"/>
      <c r="G2099" s="40"/>
      <c r="H2099" s="40">
        <f>IF(AND(F2099=0,G2099=0),D2099*E2099,IF(AND(E2099=0,G2099=0),D2099*F2099,IF(AND(E2099=0,F2099=0),D2099*G2099,IF(AND(E2099=0),D2099*F2099*G2099,IF(AND(F2099=0),D2099*E2099*G2099,IF(AND(G2099=0),D2099*E2099*F2099,D2099*E2099*F2099*G2099))))))</f>
        <v>0</v>
      </c>
      <c r="I2099" s="40"/>
      <c r="J2099" s="41" t="str">
        <f>IF(AND(E2099=0,F2099&lt;&gt;0,G2099&lt;&gt;0),"m2",IF(AND(F2099=0,E2099&lt;&gt;0,G2099&lt;&gt;0),"m2",IF(AND(G2099=0,E2099&lt;&gt;0,F2099&lt;&gt;0),"m2",IF(AND(F2099=0,G2099=0),"ml",IF(AND(E2099=0,G2099=0),"ml",IF(AND(E2099=0,F2099=0),"ml",IF(AND(E2099&lt;&gt;0,F2099&lt;&gt;0,G2099&lt;&gt;0),"m3",0)))))))</f>
        <v>ml</v>
      </c>
    </row>
    <row r="2100" spans="2:10" s="1" customFormat="1" ht="12.75" x14ac:dyDescent="0.2">
      <c r="B2100" s="43" t="s">
        <v>233</v>
      </c>
      <c r="C2100" s="43" t="s">
        <v>236</v>
      </c>
      <c r="D2100" s="60"/>
      <c r="E2100" s="40"/>
      <c r="F2100" s="40"/>
      <c r="G2100" s="40"/>
      <c r="H2100" s="40"/>
      <c r="I2100" s="44">
        <f>SUM(H2101:H2101)</f>
        <v>0</v>
      </c>
      <c r="J2100" s="45" t="str">
        <f>+J2101</f>
        <v>ml</v>
      </c>
    </row>
    <row r="2101" spans="2:10" s="1" customFormat="1" ht="12.75" x14ac:dyDescent="0.2">
      <c r="B2101" s="57"/>
      <c r="C2101" s="39" t="s">
        <v>378</v>
      </c>
      <c r="D2101" s="40"/>
      <c r="E2101" s="40"/>
      <c r="F2101" s="40"/>
      <c r="G2101" s="40"/>
      <c r="H2101" s="40">
        <f>IF(AND(F2101=0,G2101=0),D2101*E2101,IF(AND(E2101=0,G2101=0),D2101*F2101,IF(AND(E2101=0,F2101=0),D2101*G2101,IF(AND(E2101=0),D2101*F2101*G2101,IF(AND(F2101=0),D2101*E2101*G2101,IF(AND(G2101=0),D2101*E2101*F2101,D2101*E2101*F2101*G2101))))))</f>
        <v>0</v>
      </c>
      <c r="I2101" s="40"/>
      <c r="J2101" s="41" t="str">
        <f>IF(AND(E2101=0,F2101&lt;&gt;0,G2101&lt;&gt;0),"m2",IF(AND(F2101=0,E2101&lt;&gt;0,G2101&lt;&gt;0),"m2",IF(AND(G2101=0,E2101&lt;&gt;0,F2101&lt;&gt;0),"m2",IF(AND(F2101=0,G2101=0),"ml",IF(AND(E2101=0,G2101=0),"ml",IF(AND(E2101=0,F2101=0),"ml",IF(AND(E2101&lt;&gt;0,F2101&lt;&gt;0,G2101&lt;&gt;0),"m3",0)))))))</f>
        <v>ml</v>
      </c>
    </row>
    <row r="2102" spans="2:10" s="1" customFormat="1" ht="12.75" x14ac:dyDescent="0.2">
      <c r="B2102" s="57"/>
      <c r="C2102" s="39" t="s">
        <v>379</v>
      </c>
      <c r="D2102" s="40"/>
      <c r="E2102" s="40"/>
      <c r="F2102" s="40"/>
      <c r="G2102" s="40"/>
      <c r="H2102" s="40">
        <f>IF(AND(F2102=0,G2102=0),D2102*E2102,IF(AND(E2102=0,G2102=0),D2102*F2102,IF(AND(E2102=0,F2102=0),D2102*G2102,IF(AND(E2102=0),D2102*F2102*G2102,IF(AND(F2102=0),D2102*E2102*G2102,IF(AND(G2102=0),D2102*E2102*F2102,D2102*E2102*F2102*G2102))))))</f>
        <v>0</v>
      </c>
      <c r="I2102" s="40"/>
      <c r="J2102" s="41" t="str">
        <f>IF(AND(E2102=0,F2102&lt;&gt;0,G2102&lt;&gt;0),"m2",IF(AND(F2102=0,E2102&lt;&gt;0,G2102&lt;&gt;0),"m2",IF(AND(G2102=0,E2102&lt;&gt;0,F2102&lt;&gt;0),"m2",IF(AND(F2102=0,G2102=0),"ml",IF(AND(E2102=0,G2102=0),"ml",IF(AND(E2102=0,F2102=0),"ml",IF(AND(E2102&lt;&gt;0,F2102&lt;&gt;0,G2102&lt;&gt;0),"m3",0)))))))</f>
        <v>ml</v>
      </c>
    </row>
    <row r="2103" spans="2:10" s="1" customFormat="1" ht="12.75" x14ac:dyDescent="0.2">
      <c r="B2103" s="43" t="s">
        <v>234</v>
      </c>
      <c r="C2103" s="43" t="s">
        <v>267</v>
      </c>
      <c r="D2103" s="60"/>
      <c r="E2103" s="40"/>
      <c r="F2103" s="40"/>
      <c r="G2103" s="40"/>
      <c r="H2103" s="40"/>
      <c r="I2103" s="44">
        <f>+SUM(H2104)</f>
        <v>20</v>
      </c>
      <c r="J2103" s="45" t="s">
        <v>345</v>
      </c>
    </row>
    <row r="2104" spans="2:10" s="1" customFormat="1" ht="12.75" x14ac:dyDescent="0.2">
      <c r="B2104" s="43"/>
      <c r="C2104" s="39" t="s">
        <v>466</v>
      </c>
      <c r="D2104" s="60">
        <v>2</v>
      </c>
      <c r="E2104" s="40">
        <v>10</v>
      </c>
      <c r="F2104" s="40"/>
      <c r="G2104" s="40"/>
      <c r="H2104" s="40">
        <f>IF(AND(F2104=0,G2104=0),D2104*E2104,IF(AND(E2104=0,G2104=0),D2104*F2104,IF(AND(E2104=0,F2104=0),D2104*G2104,IF(AND(E2104=0),D2104*F2104*G2104,IF(AND(F2104=0),D2104*E2104*G2104,IF(AND(G2104=0),D2104*E2104*F2104,D2104*E2104*F2104*G2104))))))</f>
        <v>20</v>
      </c>
      <c r="I2104" s="44"/>
      <c r="J2104" s="45"/>
    </row>
    <row r="2105" spans="2:10" s="1" customFormat="1" ht="12.75" x14ac:dyDescent="0.2">
      <c r="B2105" s="43"/>
      <c r="C2105" s="39"/>
      <c r="D2105" s="60"/>
      <c r="E2105" s="40"/>
      <c r="F2105" s="40"/>
      <c r="G2105" s="40"/>
      <c r="H2105" s="40"/>
      <c r="I2105" s="40"/>
      <c r="J2105" s="41"/>
    </row>
    <row r="2106" spans="2:10" s="1" customFormat="1" ht="12.75" x14ac:dyDescent="0.2">
      <c r="B2106" s="43" t="s">
        <v>268</v>
      </c>
      <c r="C2106" s="43" t="s">
        <v>347</v>
      </c>
      <c r="D2106" s="60"/>
      <c r="E2106" s="40"/>
      <c r="F2106" s="40"/>
      <c r="G2106" s="40"/>
      <c r="H2106" s="40"/>
      <c r="I2106" s="44">
        <f>SUM(H2107:H2107)</f>
        <v>0</v>
      </c>
      <c r="J2106" s="45" t="str">
        <f>+J2107</f>
        <v>ml</v>
      </c>
    </row>
    <row r="2107" spans="2:10" s="1" customFormat="1" ht="12.75" x14ac:dyDescent="0.2">
      <c r="B2107" s="57"/>
      <c r="C2107" s="77"/>
      <c r="D2107" s="40"/>
      <c r="E2107" s="40"/>
      <c r="F2107" s="40"/>
      <c r="G2107" s="40"/>
      <c r="H2107" s="40">
        <f t="shared" ref="H2107" si="143">IF(AND(F2107=0,G2107=0),D2107*E2107,IF(AND(E2107=0,G2107=0),D2107*F2107,IF(AND(E2107=0,F2107=0),D2107*G2107,IF(AND(E2107=0),D2107*F2107*G2107,IF(AND(F2107=0),D2107*E2107*G2107,IF(AND(G2107=0),D2107*E2107*F2107,D2107*E2107*F2107*G2107))))))</f>
        <v>0</v>
      </c>
      <c r="I2107" s="40"/>
      <c r="J2107" s="41" t="str">
        <f t="shared" ref="J2107" si="144">IF(AND(E2107=0,F2107&lt;&gt;0,G2107&lt;&gt;0),"m2",IF(AND(F2107=0,E2107&lt;&gt;0,G2107&lt;&gt;0),"m2",IF(AND(G2107=0,E2107&lt;&gt;0,F2107&lt;&gt;0),"m2",IF(AND(F2107=0,G2107=0),"ml",IF(AND(E2107=0,G2107=0),"ml",IF(AND(E2107=0,F2107=0),"ml",IF(AND(E2107&lt;&gt;0,F2107&lt;&gt;0,G2107&lt;&gt;0),"m3",0)))))))</f>
        <v>ml</v>
      </c>
    </row>
    <row r="2108" spans="2:10" s="1" customFormat="1" ht="12.75" x14ac:dyDescent="0.2">
      <c r="B2108" s="43" t="s">
        <v>270</v>
      </c>
      <c r="C2108" s="43" t="s">
        <v>269</v>
      </c>
      <c r="D2108" s="60"/>
      <c r="E2108" s="40"/>
      <c r="F2108" s="40"/>
      <c r="G2108" s="40"/>
      <c r="H2108" s="40"/>
      <c r="I2108" s="44">
        <f>SUM(H2109:H2115)</f>
        <v>0</v>
      </c>
      <c r="J2108" s="45" t="str">
        <f>+J2109</f>
        <v>ml</v>
      </c>
    </row>
    <row r="2109" spans="2:10" s="1" customFormat="1" ht="12.75" x14ac:dyDescent="0.2">
      <c r="B2109" s="43"/>
      <c r="C2109" s="77" t="s">
        <v>71</v>
      </c>
      <c r="D2109" s="40"/>
      <c r="E2109" s="40"/>
      <c r="F2109" s="40"/>
      <c r="G2109" s="40"/>
      <c r="H2109" s="40">
        <f t="shared" ref="H2109:H2115" si="145">IF(AND(F2109=0,G2109=0),D2109*E2109,IF(AND(E2109=0,G2109=0),D2109*F2109,IF(AND(E2109=0,F2109=0),D2109*G2109,IF(AND(E2109=0),D2109*F2109*G2109,IF(AND(F2109=0),D2109*E2109*G2109,IF(AND(G2109=0),D2109*E2109*F2109,D2109*E2109*F2109*G2109))))))</f>
        <v>0</v>
      </c>
      <c r="I2109" s="40"/>
      <c r="J2109" s="41" t="str">
        <f t="shared" ref="J2109:J2115" si="146">IF(AND(E2109=0,F2109&lt;&gt;0,G2109&lt;&gt;0),"m2",IF(AND(F2109=0,E2109&lt;&gt;0,G2109&lt;&gt;0),"m2",IF(AND(G2109=0,E2109&lt;&gt;0,F2109&lt;&gt;0),"m2",IF(AND(F2109=0,G2109=0),"ml",IF(AND(E2109=0,G2109=0),"ml",IF(AND(E2109=0,F2109=0),"ml",IF(AND(E2109&lt;&gt;0,F2109&lt;&gt;0,G2109&lt;&gt;0),"m3",0)))))))</f>
        <v>ml</v>
      </c>
    </row>
    <row r="2110" spans="2:10" s="1" customFormat="1" ht="12.75" x14ac:dyDescent="0.2">
      <c r="B2110" s="43"/>
      <c r="C2110" s="39" t="s">
        <v>349</v>
      </c>
      <c r="D2110" s="40"/>
      <c r="E2110" s="40"/>
      <c r="F2110" s="40"/>
      <c r="G2110" s="40"/>
      <c r="H2110" s="40">
        <f t="shared" si="145"/>
        <v>0</v>
      </c>
      <c r="I2110" s="40"/>
      <c r="J2110" s="41" t="str">
        <f t="shared" si="146"/>
        <v>ml</v>
      </c>
    </row>
    <row r="2111" spans="2:10" s="1" customFormat="1" ht="12.75" x14ac:dyDescent="0.2">
      <c r="B2111" s="43"/>
      <c r="C2111" s="39" t="s">
        <v>369</v>
      </c>
      <c r="D2111" s="40"/>
      <c r="E2111" s="40"/>
      <c r="F2111" s="40"/>
      <c r="G2111" s="40"/>
      <c r="H2111" s="40">
        <f t="shared" si="145"/>
        <v>0</v>
      </c>
      <c r="I2111" s="40"/>
      <c r="J2111" s="41" t="str">
        <f t="shared" si="146"/>
        <v>ml</v>
      </c>
    </row>
    <row r="2112" spans="2:10" s="1" customFormat="1" ht="12.75" x14ac:dyDescent="0.2">
      <c r="B2112" s="43"/>
      <c r="C2112" s="77" t="s">
        <v>72</v>
      </c>
      <c r="D2112" s="40"/>
      <c r="E2112" s="40"/>
      <c r="F2112" s="40"/>
      <c r="G2112" s="40"/>
      <c r="H2112" s="40">
        <f t="shared" si="145"/>
        <v>0</v>
      </c>
      <c r="I2112" s="40"/>
      <c r="J2112" s="41" t="str">
        <f t="shared" si="146"/>
        <v>ml</v>
      </c>
    </row>
    <row r="2113" spans="2:10" s="1" customFormat="1" ht="12.75" x14ac:dyDescent="0.2">
      <c r="B2113" s="43"/>
      <c r="C2113" s="39" t="s">
        <v>349</v>
      </c>
      <c r="D2113" s="40"/>
      <c r="E2113" s="40"/>
      <c r="F2113" s="40"/>
      <c r="G2113" s="40"/>
      <c r="H2113" s="40">
        <f t="shared" si="145"/>
        <v>0</v>
      </c>
      <c r="I2113" s="40"/>
      <c r="J2113" s="41" t="str">
        <f t="shared" si="146"/>
        <v>ml</v>
      </c>
    </row>
    <row r="2114" spans="2:10" s="1" customFormat="1" ht="12.75" x14ac:dyDescent="0.2">
      <c r="B2114" s="43"/>
      <c r="C2114" s="77" t="s">
        <v>73</v>
      </c>
      <c r="D2114" s="40"/>
      <c r="E2114" s="40"/>
      <c r="F2114" s="40"/>
      <c r="G2114" s="40"/>
      <c r="H2114" s="40">
        <f t="shared" si="145"/>
        <v>0</v>
      </c>
      <c r="I2114" s="40"/>
      <c r="J2114" s="41" t="str">
        <f t="shared" si="146"/>
        <v>ml</v>
      </c>
    </row>
    <row r="2115" spans="2:10" s="1" customFormat="1" ht="12.75" x14ac:dyDescent="0.2">
      <c r="B2115" s="43"/>
      <c r="C2115" s="39" t="s">
        <v>349</v>
      </c>
      <c r="D2115" s="40"/>
      <c r="E2115" s="40"/>
      <c r="F2115" s="40"/>
      <c r="G2115" s="40"/>
      <c r="H2115" s="40">
        <f t="shared" si="145"/>
        <v>0</v>
      </c>
      <c r="I2115" s="40"/>
      <c r="J2115" s="41" t="str">
        <f t="shared" si="146"/>
        <v>ml</v>
      </c>
    </row>
    <row r="2116" spans="2:10" s="1" customFormat="1" ht="12.75" x14ac:dyDescent="0.2">
      <c r="B2116" s="43" t="s">
        <v>342</v>
      </c>
      <c r="C2116" s="43" t="s">
        <v>271</v>
      </c>
      <c r="D2116" s="60"/>
      <c r="E2116" s="40"/>
      <c r="F2116" s="40"/>
      <c r="G2116" s="40"/>
      <c r="H2116" s="40"/>
      <c r="I2116" s="44">
        <f>SUM(H2117:H2117)</f>
        <v>6</v>
      </c>
      <c r="J2116" s="45" t="str">
        <f>+J2117</f>
        <v>und</v>
      </c>
    </row>
    <row r="2117" spans="2:10" s="1" customFormat="1" ht="12.75" x14ac:dyDescent="0.2">
      <c r="B2117" s="57"/>
      <c r="C2117" s="39" t="s">
        <v>370</v>
      </c>
      <c r="D2117" s="40">
        <v>6</v>
      </c>
      <c r="E2117" s="40"/>
      <c r="F2117" s="40"/>
      <c r="G2117" s="40"/>
      <c r="H2117" s="40">
        <f>+D2117</f>
        <v>6</v>
      </c>
      <c r="I2117" s="40"/>
      <c r="J2117" s="41" t="s">
        <v>13</v>
      </c>
    </row>
    <row r="2118" spans="2:10" s="1" customFormat="1" ht="12.75" x14ac:dyDescent="0.2">
      <c r="B2118" s="57"/>
      <c r="C2118" s="39"/>
      <c r="D2118" s="60"/>
      <c r="E2118" s="40"/>
      <c r="F2118" s="40"/>
      <c r="G2118" s="40"/>
      <c r="H2118" s="40"/>
      <c r="I2118" s="40"/>
      <c r="J2118" s="41"/>
    </row>
    <row r="2119" spans="2:10" s="1" customFormat="1" ht="12.75" x14ac:dyDescent="0.2">
      <c r="B2119" s="43" t="s">
        <v>346</v>
      </c>
      <c r="C2119" s="43" t="s">
        <v>348</v>
      </c>
      <c r="D2119" s="60"/>
      <c r="E2119" s="40"/>
      <c r="F2119" s="40"/>
      <c r="G2119" s="40"/>
      <c r="H2119" s="40"/>
      <c r="I2119" s="44">
        <f>SUM(H2120:H2120)</f>
        <v>2</v>
      </c>
      <c r="J2119" s="45" t="str">
        <f>+J2120</f>
        <v>und</v>
      </c>
    </row>
    <row r="2120" spans="2:10" s="1" customFormat="1" ht="12.75" x14ac:dyDescent="0.2">
      <c r="B2120" s="57"/>
      <c r="C2120" s="39" t="s">
        <v>349</v>
      </c>
      <c r="D2120" s="40">
        <v>2</v>
      </c>
      <c r="E2120" s="40"/>
      <c r="F2120" s="40"/>
      <c r="G2120" s="40"/>
      <c r="H2120" s="40">
        <f>+D2120</f>
        <v>2</v>
      </c>
      <c r="I2120" s="40"/>
      <c r="J2120" s="41" t="s">
        <v>13</v>
      </c>
    </row>
    <row r="2121" spans="2:10" s="1" customFormat="1" ht="12.75" x14ac:dyDescent="0.2">
      <c r="B2121" s="57" t="s">
        <v>16</v>
      </c>
      <c r="C2121" s="58" t="s">
        <v>224</v>
      </c>
      <c r="D2121" s="60"/>
      <c r="E2121" s="40"/>
      <c r="F2121" s="40"/>
      <c r="G2121" s="40"/>
      <c r="H2121" s="40"/>
      <c r="I2121" s="40"/>
      <c r="J2121" s="41"/>
    </row>
    <row r="2122" spans="2:10" s="1" customFormat="1" ht="12.75" x14ac:dyDescent="0.2">
      <c r="B2122" s="43" t="s">
        <v>17</v>
      </c>
      <c r="C2122" s="43" t="s">
        <v>343</v>
      </c>
      <c r="D2122" s="60"/>
      <c r="E2122" s="40"/>
      <c r="F2122" s="40"/>
      <c r="G2122" s="40"/>
      <c r="H2122" s="40"/>
      <c r="I2122" s="44">
        <f>SUM(H2123:H2124)</f>
        <v>0</v>
      </c>
      <c r="J2122" s="45" t="str">
        <f>+J2123</f>
        <v>ml</v>
      </c>
    </row>
    <row r="2123" spans="2:10" s="1" customFormat="1" ht="12.75" x14ac:dyDescent="0.2">
      <c r="B2123" s="57"/>
      <c r="C2123" s="39" t="s">
        <v>425</v>
      </c>
      <c r="D2123" s="40"/>
      <c r="E2123" s="40"/>
      <c r="F2123" s="40"/>
      <c r="G2123" s="40"/>
      <c r="H2123" s="40">
        <f>IF(AND(F2123=0,G2123=0),D2123*E2123,IF(AND(E2123=0,G2123=0),D2123*F2123,IF(AND(E2123=0,F2123=0),D2123*G2123,IF(AND(E2123=0),D2123*F2123*G2123,IF(AND(F2123=0),D2123*E2123*G2123,IF(AND(G2123=0),D2123*E2123*F2123,D2123*E2123*F2123*G2123))))))</f>
        <v>0</v>
      </c>
      <c r="I2123" s="40"/>
      <c r="J2123" s="41" t="str">
        <f>IF(AND(E2123=0,F2123&lt;&gt;0,G2123&lt;&gt;0),"m2",IF(AND(F2123=0,E2123&lt;&gt;0,G2123&lt;&gt;0),"m2",IF(AND(G2123=0,E2123&lt;&gt;0,F2123&lt;&gt;0),"m2",IF(AND(F2123=0,G2123=0),"ml",IF(AND(E2123=0,G2123=0),"ml",IF(AND(E2123=0,F2123=0),"ml",IF(AND(E2123&lt;&gt;0,F2123&lt;&gt;0,G2123&lt;&gt;0),"m3",0)))))))</f>
        <v>ml</v>
      </c>
    </row>
    <row r="2124" spans="2:10" s="1" customFormat="1" ht="12.75" x14ac:dyDescent="0.2">
      <c r="B2124" s="57"/>
      <c r="C2124" s="39" t="s">
        <v>425</v>
      </c>
      <c r="D2124" s="40"/>
      <c r="E2124" s="40"/>
      <c r="F2124" s="40"/>
      <c r="G2124" s="40"/>
      <c r="H2124" s="40">
        <f>IF(AND(F2124=0,G2124=0),D2124*E2124,IF(AND(E2124=0,G2124=0),D2124*F2124,IF(AND(E2124=0,F2124=0),D2124*G2124,IF(AND(E2124=0),D2124*F2124*G2124,IF(AND(F2124=0),D2124*E2124*G2124,IF(AND(G2124=0),D2124*E2124*F2124,D2124*E2124*F2124*G2124))))))</f>
        <v>0</v>
      </c>
      <c r="I2124" s="40"/>
      <c r="J2124" s="41"/>
    </row>
    <row r="2125" spans="2:10" s="1" customFormat="1" ht="12.75" x14ac:dyDescent="0.2">
      <c r="B2125" s="43" t="s">
        <v>240</v>
      </c>
      <c r="C2125" s="43" t="s">
        <v>237</v>
      </c>
      <c r="D2125" s="60"/>
      <c r="E2125" s="40"/>
      <c r="F2125" s="40"/>
      <c r="G2125" s="40"/>
      <c r="H2125" s="40"/>
      <c r="I2125" s="44">
        <f>SUM(H2126:H2126)</f>
        <v>1.7</v>
      </c>
      <c r="J2125" s="45" t="str">
        <f>+J2126</f>
        <v>ml</v>
      </c>
    </row>
    <row r="2126" spans="2:10" s="1" customFormat="1" ht="12.75" x14ac:dyDescent="0.2">
      <c r="B2126" s="57"/>
      <c r="C2126" s="39" t="s">
        <v>434</v>
      </c>
      <c r="D2126" s="40">
        <v>1</v>
      </c>
      <c r="E2126" s="40">
        <v>1.7</v>
      </c>
      <c r="F2126" s="40"/>
      <c r="G2126" s="40"/>
      <c r="H2126" s="40">
        <f>IF(AND(F2126=0,G2126=0),D2126*E2126,IF(AND(E2126=0,G2126=0),D2126*F2126,IF(AND(E2126=0,F2126=0),D2126*G2126,IF(AND(E2126=0),D2126*F2126*G2126,IF(AND(F2126=0),D2126*E2126*G2126,IF(AND(G2126=0),D2126*E2126*F2126,D2126*E2126*F2126*G2126))))))</f>
        <v>1.7</v>
      </c>
      <c r="I2126" s="40"/>
      <c r="J2126" s="41" t="str">
        <f>IF(AND(E2126=0,F2126&lt;&gt;0,G2126&lt;&gt;0),"m2",IF(AND(F2126=0,E2126&lt;&gt;0,G2126&lt;&gt;0),"m2",IF(AND(G2126=0,E2126&lt;&gt;0,F2126&lt;&gt;0),"m2",IF(AND(F2126=0,G2126=0),"ml",IF(AND(E2126=0,G2126=0),"ml",IF(AND(E2126=0,F2126=0),"ml",IF(AND(E2126&lt;&gt;0,F2126&lt;&gt;0,G2126&lt;&gt;0),"m3",0)))))))</f>
        <v>ml</v>
      </c>
    </row>
    <row r="2127" spans="2:10" s="1" customFormat="1" ht="12.75" x14ac:dyDescent="0.2">
      <c r="B2127" s="43" t="s">
        <v>241</v>
      </c>
      <c r="C2127" s="43" t="s">
        <v>239</v>
      </c>
      <c r="D2127" s="60"/>
      <c r="E2127" s="40"/>
      <c r="F2127" s="40"/>
      <c r="G2127" s="40"/>
      <c r="H2127" s="40"/>
      <c r="I2127" s="44">
        <f>SUM(H2128:H2128)</f>
        <v>0</v>
      </c>
      <c r="J2127" s="45" t="str">
        <f>+J2128</f>
        <v>ml</v>
      </c>
    </row>
    <row r="2128" spans="2:10" s="1" customFormat="1" ht="12.75" x14ac:dyDescent="0.2">
      <c r="B2128" s="57"/>
      <c r="C2128" s="39" t="s">
        <v>400</v>
      </c>
      <c r="D2128" s="40"/>
      <c r="E2128" s="40"/>
      <c r="F2128" s="40"/>
      <c r="G2128" s="40"/>
      <c r="H2128" s="40">
        <f>IF(AND(F2128=0,G2128=0),D2128*E2128,IF(AND(E2128=0,G2128=0),D2128*F2128,IF(AND(E2128=0,F2128=0),D2128*G2128,IF(AND(E2128=0),D2128*F2128*G2128,IF(AND(F2128=0),D2128*E2128*G2128,IF(AND(G2128=0),D2128*E2128*F2128,D2128*E2128*F2128*G2128))))))</f>
        <v>0</v>
      </c>
      <c r="I2128" s="40"/>
      <c r="J2128" s="41" t="str">
        <f>IF(AND(E2128=0,F2128&lt;&gt;0,G2128&lt;&gt;0),"m2",IF(AND(F2128=0,E2128&lt;&gt;0,G2128&lt;&gt;0),"m2",IF(AND(G2128=0,E2128&lt;&gt;0,F2128&lt;&gt;0),"m2",IF(AND(F2128=0,G2128=0),"ml",IF(AND(E2128=0,G2128=0),"ml",IF(AND(E2128=0,F2128=0),"ml",IF(AND(E2128&lt;&gt;0,F2128&lt;&gt;0,G2128&lt;&gt;0),"m3",0)))))))</f>
        <v>ml</v>
      </c>
    </row>
    <row r="2129" spans="2:10" s="1" customFormat="1" ht="12.75" x14ac:dyDescent="0.2">
      <c r="B2129" s="43" t="s">
        <v>243</v>
      </c>
      <c r="C2129" s="43" t="s">
        <v>242</v>
      </c>
      <c r="D2129" s="60"/>
      <c r="E2129" s="40"/>
      <c r="F2129" s="40"/>
      <c r="G2129" s="40"/>
      <c r="H2129" s="40"/>
      <c r="I2129" s="44">
        <f>SUM(H2130:H2130)</f>
        <v>0</v>
      </c>
      <c r="J2129" s="45" t="str">
        <f>+J2130</f>
        <v>ml</v>
      </c>
    </row>
    <row r="2130" spans="2:10" s="1" customFormat="1" ht="12.75" x14ac:dyDescent="0.2">
      <c r="B2130" s="57"/>
      <c r="C2130" s="39" t="s">
        <v>401</v>
      </c>
      <c r="D2130" s="40"/>
      <c r="E2130" s="40"/>
      <c r="F2130" s="40"/>
      <c r="G2130" s="40"/>
      <c r="H2130" s="40">
        <f>IF(AND(F2130=0,G2130=0),D2130*E2130,IF(AND(E2130=0,G2130=0),D2130*F2130,IF(AND(E2130=0,F2130=0),D2130*G2130,IF(AND(E2130=0),D2130*F2130*G2130,IF(AND(F2130=0),D2130*E2130*G2130,IF(AND(G2130=0),D2130*E2130*F2130,D2130*E2130*F2130*G2130))))))</f>
        <v>0</v>
      </c>
      <c r="I2130" s="40"/>
      <c r="J2130" s="41" t="str">
        <f>IF(AND(E2130=0,F2130&lt;&gt;0,G2130&lt;&gt;0),"m2",IF(AND(F2130=0,E2130&lt;&gt;0,G2130&lt;&gt;0),"m2",IF(AND(G2130=0,E2130&lt;&gt;0,F2130&lt;&gt;0),"m2",IF(AND(F2130=0,G2130=0),"ml",IF(AND(E2130=0,G2130=0),"ml",IF(AND(E2130=0,F2130=0),"ml",IF(AND(E2130&lt;&gt;0,F2130&lt;&gt;0,G2130&lt;&gt;0),"m3",0)))))))</f>
        <v>ml</v>
      </c>
    </row>
    <row r="2131" spans="2:10" s="1" customFormat="1" ht="12.75" x14ac:dyDescent="0.2">
      <c r="B2131" s="43" t="s">
        <v>244</v>
      </c>
      <c r="C2131" s="43" t="s">
        <v>245</v>
      </c>
      <c r="D2131" s="60"/>
      <c r="E2131" s="40"/>
      <c r="F2131" s="40"/>
      <c r="G2131" s="40"/>
      <c r="H2131" s="40"/>
      <c r="I2131" s="44">
        <f>SUM(H2132:H2132)</f>
        <v>0</v>
      </c>
      <c r="J2131" s="45" t="str">
        <f>+J2132</f>
        <v>ml</v>
      </c>
    </row>
    <row r="2132" spans="2:10" s="1" customFormat="1" ht="12.75" x14ac:dyDescent="0.2">
      <c r="B2132" s="57"/>
      <c r="C2132" s="39" t="s">
        <v>426</v>
      </c>
      <c r="D2132" s="40"/>
      <c r="E2132" s="40"/>
      <c r="F2132" s="40"/>
      <c r="G2132" s="40"/>
      <c r="H2132" s="40">
        <f>IF(AND(F2132=0,G2132=0),D2132*E2132,IF(AND(E2132=0,G2132=0),D2132*F2132,IF(AND(E2132=0,F2132=0),D2132*G2132,IF(AND(E2132=0),D2132*F2132*G2132,IF(AND(F2132=0),D2132*E2132*G2132,IF(AND(G2132=0),D2132*E2132*F2132,D2132*E2132*F2132*G2132))))))</f>
        <v>0</v>
      </c>
      <c r="I2132" s="40"/>
      <c r="J2132" s="41" t="str">
        <f>IF(AND(E2132=0,F2132&lt;&gt;0,G2132&lt;&gt;0),"m2",IF(AND(F2132=0,E2132&lt;&gt;0,G2132&lt;&gt;0),"m2",IF(AND(G2132=0,E2132&lt;&gt;0,F2132&lt;&gt;0),"m2",IF(AND(F2132=0,G2132=0),"ml",IF(AND(E2132=0,G2132=0),"ml",IF(AND(E2132=0,F2132=0),"ml",IF(AND(E2132&lt;&gt;0,F2132&lt;&gt;0,G2132&lt;&gt;0),"m3",0)))))))</f>
        <v>ml</v>
      </c>
    </row>
    <row r="2133" spans="2:10" s="1" customFormat="1" ht="12.75" x14ac:dyDescent="0.2">
      <c r="B2133" s="43" t="s">
        <v>248</v>
      </c>
      <c r="C2133" s="43" t="s">
        <v>246</v>
      </c>
      <c r="D2133" s="60"/>
      <c r="E2133" s="40"/>
      <c r="F2133" s="40"/>
      <c r="G2133" s="40"/>
      <c r="H2133" s="40"/>
      <c r="I2133" s="44">
        <f>SUM(H2134:H2134)</f>
        <v>1.7</v>
      </c>
      <c r="J2133" s="45" t="str">
        <f>+J2134</f>
        <v>ml</v>
      </c>
    </row>
    <row r="2134" spans="2:10" s="1" customFormat="1" ht="12.75" x14ac:dyDescent="0.2">
      <c r="B2134" s="57"/>
      <c r="C2134" s="39" t="s">
        <v>434</v>
      </c>
      <c r="D2134" s="40">
        <v>1</v>
      </c>
      <c r="E2134" s="40">
        <v>1.7</v>
      </c>
      <c r="F2134" s="40"/>
      <c r="G2134" s="40"/>
      <c r="H2134" s="40">
        <f>IF(AND(F2134=0,G2134=0),D2134*E2134,IF(AND(E2134=0,G2134=0),D2134*F2134,IF(AND(E2134=0,F2134=0),D2134*G2134,IF(AND(E2134=0),D2134*F2134*G2134,IF(AND(F2134=0),D2134*E2134*G2134,IF(AND(G2134=0),D2134*E2134*F2134,D2134*E2134*F2134*G2134))))))</f>
        <v>1.7</v>
      </c>
      <c r="I2134" s="40"/>
      <c r="J2134" s="41" t="str">
        <f>IF(AND(E2134=0,F2134&lt;&gt;0,G2134&lt;&gt;0),"m2",IF(AND(F2134=0,E2134&lt;&gt;0,G2134&lt;&gt;0),"m2",IF(AND(G2134=0,E2134&lt;&gt;0,F2134&lt;&gt;0),"m2",IF(AND(F2134=0,G2134=0),"ml",IF(AND(E2134=0,G2134=0),"ml",IF(AND(E2134=0,F2134=0),"ml",IF(AND(E2134&lt;&gt;0,F2134&lt;&gt;0,G2134&lt;&gt;0),"m3",0)))))))</f>
        <v>ml</v>
      </c>
    </row>
    <row r="2135" spans="2:10" s="1" customFormat="1" ht="12.75" x14ac:dyDescent="0.2">
      <c r="B2135" s="43" t="s">
        <v>249</v>
      </c>
      <c r="C2135" s="43" t="s">
        <v>247</v>
      </c>
      <c r="D2135" s="60"/>
      <c r="E2135" s="40"/>
      <c r="F2135" s="40"/>
      <c r="G2135" s="40"/>
      <c r="H2135" s="40"/>
      <c r="I2135" s="44">
        <f>SUM(H2136:H2136)</f>
        <v>0</v>
      </c>
      <c r="J2135" s="45" t="str">
        <f>+J2136</f>
        <v>ml</v>
      </c>
    </row>
    <row r="2136" spans="2:10" s="1" customFormat="1" ht="12.75" x14ac:dyDescent="0.2">
      <c r="B2136" s="57"/>
      <c r="C2136" s="39" t="s">
        <v>396</v>
      </c>
      <c r="D2136" s="40"/>
      <c r="E2136" s="40"/>
      <c r="F2136" s="40"/>
      <c r="G2136" s="40"/>
      <c r="H2136" s="40">
        <f>IF(AND(F2136=0,G2136=0),D2136*E2136,IF(AND(E2136=0,G2136=0),D2136*F2136,IF(AND(E2136=0,F2136=0),D2136*G2136,IF(AND(E2136=0),D2136*F2136*G2136,IF(AND(F2136=0),D2136*E2136*G2136,IF(AND(G2136=0),D2136*E2136*F2136,D2136*E2136*F2136*G2136))))))</f>
        <v>0</v>
      </c>
      <c r="I2136" s="40"/>
      <c r="J2136" s="41" t="str">
        <f>IF(AND(E2136=0,F2136&lt;&gt;0,G2136&lt;&gt;0),"m2",IF(AND(F2136=0,E2136&lt;&gt;0,G2136&lt;&gt;0),"m2",IF(AND(G2136=0,E2136&lt;&gt;0,F2136&lt;&gt;0),"m2",IF(AND(F2136=0,G2136=0),"ml",IF(AND(E2136=0,G2136=0),"ml",IF(AND(E2136=0,F2136=0),"ml",IF(AND(E2136&lt;&gt;0,F2136&lt;&gt;0,G2136&lt;&gt;0),"m3",0)))))))</f>
        <v>ml</v>
      </c>
    </row>
    <row r="2137" spans="2:10" s="1" customFormat="1" ht="12.75" x14ac:dyDescent="0.2">
      <c r="B2137" s="43" t="s">
        <v>256</v>
      </c>
      <c r="C2137" s="43" t="s">
        <v>226</v>
      </c>
      <c r="D2137" s="60"/>
      <c r="E2137" s="40"/>
      <c r="F2137" s="40"/>
      <c r="G2137" s="40"/>
      <c r="H2137" s="40"/>
      <c r="I2137" s="44">
        <f>SUM(H2138:H2139)</f>
        <v>0</v>
      </c>
      <c r="J2137" s="45" t="str">
        <f>+J2139</f>
        <v>ml</v>
      </c>
    </row>
    <row r="2138" spans="2:10" s="1" customFormat="1" ht="12.75" x14ac:dyDescent="0.2">
      <c r="B2138" s="43"/>
      <c r="C2138" s="39" t="s">
        <v>371</v>
      </c>
      <c r="D2138" s="40"/>
      <c r="E2138" s="40"/>
      <c r="F2138" s="40"/>
      <c r="G2138" s="40"/>
      <c r="H2138" s="40">
        <f>IF(AND(F2138=0,G2138=0),D2138*E2138,IF(AND(E2138=0,G2138=0),D2138*F2138,IF(AND(E2138=0,F2138=0),D2138*G2138,IF(AND(E2138=0),D2138*F2138*G2138,IF(AND(F2138=0),D2138*E2138*G2138,IF(AND(G2138=0),D2138*E2138*F2138,D2138*E2138*F2138*G2138))))))</f>
        <v>0</v>
      </c>
      <c r="I2138" s="40"/>
      <c r="J2138" s="41" t="str">
        <f>IF(AND(E2138=0,F2138&lt;&gt;0,G2138&lt;&gt;0),"m2",IF(AND(F2138=0,E2138&lt;&gt;0,G2138&lt;&gt;0),"m2",IF(AND(G2138=0,E2138&lt;&gt;0,F2138&lt;&gt;0),"m2",IF(AND(F2138=0,G2138=0),"ml",IF(AND(E2138=0,G2138=0),"ml",IF(AND(E2138=0,F2138=0),"ml",IF(AND(E2138&lt;&gt;0,F2138&lt;&gt;0,G2138&lt;&gt;0),"m3",0)))))))</f>
        <v>ml</v>
      </c>
    </row>
    <row r="2139" spans="2:10" s="1" customFormat="1" ht="12.75" x14ac:dyDescent="0.2">
      <c r="B2139" s="57"/>
      <c r="C2139" s="39" t="s">
        <v>371</v>
      </c>
      <c r="D2139" s="40"/>
      <c r="E2139" s="40"/>
      <c r="F2139" s="40"/>
      <c r="G2139" s="40"/>
      <c r="H2139" s="40">
        <f t="shared" ref="H2139" si="147">+D2139</f>
        <v>0</v>
      </c>
      <c r="I2139" s="40"/>
      <c r="J2139" s="41" t="str">
        <f>IF(AND(E2139=0,F2139&lt;&gt;0,G2139&lt;&gt;0),"m2",IF(AND(F2139=0,E2139&lt;&gt;0,G2139&lt;&gt;0),"m2",IF(AND(G2139=0,E2139&lt;&gt;0,F2139&lt;&gt;0),"m2",IF(AND(F2139=0,G2139=0),"ml",IF(AND(E2139=0,G2139=0),"ml",IF(AND(E2139=0,F2139=0),"ml",IF(AND(E2139&lt;&gt;0,F2139&lt;&gt;0,G2139&lt;&gt;0),"m3",0)))))))</f>
        <v>ml</v>
      </c>
    </row>
    <row r="2140" spans="2:10" s="1" customFormat="1" ht="12.75" x14ac:dyDescent="0.2">
      <c r="B2140" s="43" t="s">
        <v>596</v>
      </c>
      <c r="C2140" s="43" t="s">
        <v>472</v>
      </c>
      <c r="D2140" s="60"/>
      <c r="E2140" s="40"/>
      <c r="F2140" s="40"/>
      <c r="G2140" s="40"/>
      <c r="H2140" s="40"/>
      <c r="I2140" s="44">
        <f>+SUM(H2141:H2142)</f>
        <v>12.100000000000001</v>
      </c>
      <c r="J2140" s="45" t="s">
        <v>345</v>
      </c>
    </row>
    <row r="2141" spans="2:10" s="1" customFormat="1" ht="12.75" x14ac:dyDescent="0.2">
      <c r="B2141" s="43"/>
      <c r="C2141" s="39" t="s">
        <v>508</v>
      </c>
      <c r="D2141" s="60">
        <v>1</v>
      </c>
      <c r="E2141" s="40">
        <f>0.7+6.7</f>
        <v>7.4</v>
      </c>
      <c r="F2141" s="40"/>
      <c r="G2141" s="40"/>
      <c r="H2141" s="40">
        <f>IF(AND(F2141=0,G2141=0),D2141*E2141,IF(AND(E2141=0,G2141=0),D2141*F2141,IF(AND(E2141=0,F2141=0),D2141*G2141,IF(AND(E2141=0),D2141*F2141*G2141,IF(AND(F2141=0),D2141*E2141*G2141,IF(AND(G2141=0),D2141*E2141*F2141,D2141*E2141*F2141*G2141))))))</f>
        <v>7.4</v>
      </c>
      <c r="I2141" s="44"/>
      <c r="J2141" s="45"/>
    </row>
    <row r="2142" spans="2:10" s="1" customFormat="1" ht="12.75" x14ac:dyDescent="0.2">
      <c r="B2142" s="43"/>
      <c r="C2142" s="39" t="s">
        <v>509</v>
      </c>
      <c r="D2142" s="60">
        <v>1</v>
      </c>
      <c r="E2142" s="40">
        <f>3.1+1.6</f>
        <v>4.7</v>
      </c>
      <c r="F2142" s="40"/>
      <c r="G2142" s="40"/>
      <c r="H2142" s="40">
        <f>IF(AND(F2142=0,G2142=0),D2142*E2142,IF(AND(E2142=0,G2142=0),D2142*F2142,IF(AND(E2142=0,F2142=0),D2142*G2142,IF(AND(E2142=0),D2142*F2142*G2142,IF(AND(F2142=0),D2142*E2142*G2142,IF(AND(G2142=0),D2142*E2142*F2142,D2142*E2142*F2142*G2142))))))</f>
        <v>4.7</v>
      </c>
      <c r="I2142" s="44"/>
      <c r="J2142" s="45"/>
    </row>
    <row r="2143" spans="2:10" s="1" customFormat="1" ht="12.75" x14ac:dyDescent="0.2">
      <c r="B2143" s="43"/>
      <c r="C2143" s="39"/>
      <c r="D2143" s="60"/>
      <c r="E2143" s="40"/>
      <c r="F2143" s="40"/>
      <c r="G2143" s="40"/>
      <c r="H2143" s="40"/>
      <c r="I2143" s="44"/>
      <c r="J2143" s="45"/>
    </row>
    <row r="2144" spans="2:10" s="1" customFormat="1" ht="12.75" x14ac:dyDescent="0.2">
      <c r="B2144" s="43" t="s">
        <v>257</v>
      </c>
      <c r="C2144" s="43" t="s">
        <v>228</v>
      </c>
      <c r="D2144" s="60"/>
      <c r="E2144" s="40"/>
      <c r="F2144" s="40"/>
      <c r="G2144" s="40"/>
      <c r="H2144" s="40"/>
      <c r="I2144" s="44">
        <f>SUM(H2145:H2145)</f>
        <v>12.76</v>
      </c>
      <c r="J2144" s="45" t="str">
        <f>+J2145</f>
        <v>ml</v>
      </c>
    </row>
    <row r="2145" spans="2:10" s="1" customFormat="1" ht="12.75" x14ac:dyDescent="0.2">
      <c r="B2145" s="57"/>
      <c r="C2145" s="39" t="s">
        <v>506</v>
      </c>
      <c r="D2145" s="40">
        <v>1</v>
      </c>
      <c r="E2145" s="40">
        <v>12.76</v>
      </c>
      <c r="F2145" s="40"/>
      <c r="G2145" s="40"/>
      <c r="H2145" s="40">
        <f>IF(AND(F2145=0,G2145=0),D2145*E2145,IF(AND(E2145=0,G2145=0),D2145*F2145,IF(AND(E2145=0,F2145=0),D2145*G2145,IF(AND(E2145=0),D2145*F2145*G2145,IF(AND(F2145=0),D2145*E2145*G2145,IF(AND(G2145=0),D2145*E2145*F2145,D2145*E2145*F2145*G2145))))))</f>
        <v>12.76</v>
      </c>
      <c r="I2145" s="40"/>
      <c r="J2145" s="41" t="str">
        <f>IF(AND(E2145=0,F2145&lt;&gt;0,G2145&lt;&gt;0),"m2",IF(AND(F2145=0,E2145&lt;&gt;0,G2145&lt;&gt;0),"m2",IF(AND(G2145=0,E2145&lt;&gt;0,F2145&lt;&gt;0),"m2",IF(AND(F2145=0,G2145=0),"ml",IF(AND(E2145=0,G2145=0),"ml",IF(AND(E2145=0,F2145=0),"ml",IF(AND(E2145&lt;&gt;0,F2145&lt;&gt;0,G2145&lt;&gt;0),"m3",0)))))))</f>
        <v>ml</v>
      </c>
    </row>
    <row r="2146" spans="2:10" s="1" customFormat="1" ht="12.75" x14ac:dyDescent="0.2">
      <c r="B2146" s="57"/>
      <c r="C2146" s="39"/>
      <c r="D2146" s="60"/>
      <c r="E2146" s="40"/>
      <c r="F2146" s="40"/>
      <c r="G2146" s="40"/>
      <c r="H2146" s="40"/>
      <c r="I2146" s="40"/>
      <c r="J2146" s="41"/>
    </row>
    <row r="2147" spans="2:10" s="1" customFormat="1" ht="12.75" x14ac:dyDescent="0.2">
      <c r="B2147" s="43" t="s">
        <v>258</v>
      </c>
      <c r="C2147" s="43" t="s">
        <v>250</v>
      </c>
      <c r="D2147" s="60"/>
      <c r="E2147" s="40"/>
      <c r="F2147" s="40"/>
      <c r="G2147" s="40"/>
      <c r="H2147" s="40"/>
      <c r="I2147" s="44">
        <f>SUM(H2148:H2148)</f>
        <v>0</v>
      </c>
      <c r="J2147" s="45" t="str">
        <f>+J2148</f>
        <v>ml</v>
      </c>
    </row>
    <row r="2148" spans="2:10" s="1" customFormat="1" ht="12.75" x14ac:dyDescent="0.2">
      <c r="B2148" s="57"/>
      <c r="C2148" s="39" t="s">
        <v>388</v>
      </c>
      <c r="D2148" s="40"/>
      <c r="E2148" s="40"/>
      <c r="F2148" s="40"/>
      <c r="G2148" s="40"/>
      <c r="H2148" s="40">
        <f>IF(AND(F2148=0,G2148=0),D2148*E2148,IF(AND(E2148=0,G2148=0),D2148*F2148,IF(AND(E2148=0,F2148=0),D2148*G2148,IF(AND(E2148=0),D2148*F2148*G2148,IF(AND(F2148=0),D2148*E2148*G2148,IF(AND(G2148=0),D2148*E2148*F2148,D2148*E2148*F2148*G2148))))))</f>
        <v>0</v>
      </c>
      <c r="I2148" s="40"/>
      <c r="J2148" s="41" t="str">
        <f>IF(AND(E2148=0,F2148&lt;&gt;0,G2148&lt;&gt;0),"m2",IF(AND(F2148=0,E2148&lt;&gt;0,G2148&lt;&gt;0),"m2",IF(AND(G2148=0,E2148&lt;&gt;0,F2148&lt;&gt;0),"m2",IF(AND(F2148=0,G2148=0),"ml",IF(AND(E2148=0,G2148=0),"ml",IF(AND(E2148=0,F2148=0),"ml",IF(AND(E2148&lt;&gt;0,F2148&lt;&gt;0,G2148&lt;&gt;0),"m3",0)))))))</f>
        <v>ml</v>
      </c>
    </row>
    <row r="2149" spans="2:10" s="1" customFormat="1" ht="12.75" x14ac:dyDescent="0.2">
      <c r="B2149" s="43" t="s">
        <v>259</v>
      </c>
      <c r="C2149" s="43" t="s">
        <v>251</v>
      </c>
      <c r="D2149" s="60"/>
      <c r="E2149" s="40"/>
      <c r="F2149" s="40"/>
      <c r="G2149" s="40"/>
      <c r="H2149" s="40"/>
      <c r="I2149" s="44">
        <f>SUM(H2150:H2150)</f>
        <v>0</v>
      </c>
      <c r="J2149" s="45" t="str">
        <f>+J2150</f>
        <v>ml</v>
      </c>
    </row>
    <row r="2150" spans="2:10" s="1" customFormat="1" ht="12.75" x14ac:dyDescent="0.2">
      <c r="B2150" s="57"/>
      <c r="C2150" s="39" t="s">
        <v>389</v>
      </c>
      <c r="D2150" s="40"/>
      <c r="E2150" s="40"/>
      <c r="F2150" s="40"/>
      <c r="G2150" s="40"/>
      <c r="H2150" s="40">
        <f>IF(AND(F2150=0,G2150=0),D2150*E2150,IF(AND(E2150=0,G2150=0),D2150*F2150,IF(AND(E2150=0,F2150=0),D2150*G2150,IF(AND(E2150=0),D2150*F2150*G2150,IF(AND(F2150=0),D2150*E2150*G2150,IF(AND(G2150=0),D2150*E2150*F2150,D2150*E2150*F2150*G2150))))))</f>
        <v>0</v>
      </c>
      <c r="I2150" s="40"/>
      <c r="J2150" s="41" t="str">
        <f>IF(AND(E2150=0,F2150&lt;&gt;0,G2150&lt;&gt;0),"m2",IF(AND(F2150=0,E2150&lt;&gt;0,G2150&lt;&gt;0),"m2",IF(AND(G2150=0,E2150&lt;&gt;0,F2150&lt;&gt;0),"m2",IF(AND(F2150=0,G2150=0),"ml",IF(AND(E2150=0,G2150=0),"ml",IF(AND(E2150=0,F2150=0),"ml",IF(AND(E2150&lt;&gt;0,F2150&lt;&gt;0,G2150&lt;&gt;0),"m3",0)))))))</f>
        <v>ml</v>
      </c>
    </row>
    <row r="2151" spans="2:10" s="1" customFormat="1" ht="12.75" x14ac:dyDescent="0.2">
      <c r="B2151" s="43" t="s">
        <v>260</v>
      </c>
      <c r="C2151" s="43" t="s">
        <v>252</v>
      </c>
      <c r="D2151" s="60"/>
      <c r="E2151" s="40"/>
      <c r="F2151" s="40"/>
      <c r="G2151" s="40"/>
      <c r="H2151" s="40"/>
      <c r="I2151" s="44">
        <f>SUM(H2152:H2152)</f>
        <v>0</v>
      </c>
      <c r="J2151" s="45" t="str">
        <f>+J2152</f>
        <v>ml</v>
      </c>
    </row>
    <row r="2152" spans="2:10" s="1" customFormat="1" ht="12.75" x14ac:dyDescent="0.2">
      <c r="B2152" s="57"/>
      <c r="C2152" s="39" t="s">
        <v>397</v>
      </c>
      <c r="D2152" s="40"/>
      <c r="E2152" s="40"/>
      <c r="F2152" s="40"/>
      <c r="G2152" s="40"/>
      <c r="H2152" s="40">
        <f>IF(AND(F2152=0,G2152=0),D2152*E2152,IF(AND(E2152=0,G2152=0),D2152*F2152,IF(AND(E2152=0,F2152=0),D2152*G2152,IF(AND(E2152=0),D2152*F2152*G2152,IF(AND(F2152=0),D2152*E2152*G2152,IF(AND(G2152=0),D2152*E2152*F2152,D2152*E2152*F2152*G2152))))))</f>
        <v>0</v>
      </c>
      <c r="I2152" s="40"/>
      <c r="J2152" s="41" t="str">
        <f>IF(AND(E2152=0,F2152&lt;&gt;0,G2152&lt;&gt;0),"m2",IF(AND(F2152=0,E2152&lt;&gt;0,G2152&lt;&gt;0),"m2",IF(AND(G2152=0,E2152&lt;&gt;0,F2152&lt;&gt;0),"m2",IF(AND(F2152=0,G2152=0),"ml",IF(AND(E2152=0,G2152=0),"ml",IF(AND(E2152=0,F2152=0),"ml",IF(AND(E2152&lt;&gt;0,F2152&lt;&gt;0,G2152&lt;&gt;0),"m3",0)))))))</f>
        <v>ml</v>
      </c>
    </row>
    <row r="2153" spans="2:10" s="1" customFormat="1" ht="12.75" x14ac:dyDescent="0.2">
      <c r="B2153" s="43" t="s">
        <v>261</v>
      </c>
      <c r="C2153" s="43" t="s">
        <v>253</v>
      </c>
      <c r="D2153" s="60"/>
      <c r="E2153" s="40"/>
      <c r="F2153" s="40"/>
      <c r="G2153" s="40"/>
      <c r="H2153" s="40"/>
      <c r="I2153" s="44">
        <f>SUM(H2154:H2154)</f>
        <v>0</v>
      </c>
      <c r="J2153" s="45" t="str">
        <f>+J2154</f>
        <v>und</v>
      </c>
    </row>
    <row r="2154" spans="2:10" s="1" customFormat="1" ht="12.75" x14ac:dyDescent="0.2">
      <c r="B2154" s="43"/>
      <c r="C2154" s="39" t="s">
        <v>402</v>
      </c>
      <c r="D2154" s="40"/>
      <c r="E2154" s="40"/>
      <c r="F2154" s="40"/>
      <c r="G2154" s="40"/>
      <c r="H2154" s="40">
        <f t="shared" ref="H2154" si="148">+D2154</f>
        <v>0</v>
      </c>
      <c r="I2154" s="40"/>
      <c r="J2154" s="41" t="s">
        <v>13</v>
      </c>
    </row>
    <row r="2155" spans="2:10" s="1" customFormat="1" ht="12.75" x14ac:dyDescent="0.2">
      <c r="B2155" s="43" t="s">
        <v>262</v>
      </c>
      <c r="C2155" s="43" t="s">
        <v>254</v>
      </c>
      <c r="D2155" s="60"/>
      <c r="E2155" s="40"/>
      <c r="F2155" s="40"/>
      <c r="G2155" s="40"/>
      <c r="H2155" s="40"/>
      <c r="I2155" s="44">
        <f>SUM(H2156:H2156)</f>
        <v>0</v>
      </c>
      <c r="J2155" s="45" t="str">
        <f>+J2156</f>
        <v>und</v>
      </c>
    </row>
    <row r="2156" spans="2:10" s="1" customFormat="1" ht="12.75" x14ac:dyDescent="0.2">
      <c r="B2156" s="57"/>
      <c r="C2156" s="39" t="s">
        <v>238</v>
      </c>
      <c r="D2156" s="40"/>
      <c r="E2156" s="40"/>
      <c r="F2156" s="40"/>
      <c r="G2156" s="40"/>
      <c r="H2156" s="40">
        <f>+D2156</f>
        <v>0</v>
      </c>
      <c r="I2156" s="40"/>
      <c r="J2156" s="41" t="s">
        <v>13</v>
      </c>
    </row>
    <row r="2157" spans="2:10" s="1" customFormat="1" ht="12.75" x14ac:dyDescent="0.2">
      <c r="B2157" s="43" t="s">
        <v>350</v>
      </c>
      <c r="C2157" s="43" t="s">
        <v>255</v>
      </c>
      <c r="D2157" s="60"/>
      <c r="E2157" s="40"/>
      <c r="F2157" s="40"/>
      <c r="G2157" s="40"/>
      <c r="H2157" s="40"/>
      <c r="I2157" s="44">
        <f>SUM(H2158:H2158)</f>
        <v>0</v>
      </c>
      <c r="J2157" s="45" t="str">
        <f>+J2158</f>
        <v>und</v>
      </c>
    </row>
    <row r="2158" spans="2:10" s="1" customFormat="1" ht="12.75" x14ac:dyDescent="0.2">
      <c r="B2158" s="57"/>
      <c r="C2158" s="39" t="s">
        <v>395</v>
      </c>
      <c r="D2158" s="40"/>
      <c r="E2158" s="40"/>
      <c r="F2158" s="40"/>
      <c r="G2158" s="40"/>
      <c r="H2158" s="40">
        <f>+D2158</f>
        <v>0</v>
      </c>
      <c r="I2158" s="40"/>
      <c r="J2158" s="41" t="s">
        <v>13</v>
      </c>
    </row>
    <row r="2159" spans="2:10" s="1" customFormat="1" ht="12.75" x14ac:dyDescent="0.2">
      <c r="B2159" s="57"/>
      <c r="C2159" s="39"/>
      <c r="D2159" s="60"/>
      <c r="E2159" s="40"/>
      <c r="F2159" s="40"/>
      <c r="G2159" s="40"/>
      <c r="H2159" s="40"/>
      <c r="I2159" s="40"/>
      <c r="J2159" s="41"/>
    </row>
    <row r="2160" spans="2:10" s="1" customFormat="1" ht="12.75" x14ac:dyDescent="0.2">
      <c r="B2160" s="46"/>
      <c r="C2160" s="59"/>
      <c r="D2160" s="60"/>
      <c r="E2160" s="40"/>
      <c r="F2160" s="40"/>
      <c r="G2160" s="40"/>
      <c r="H2160" s="40"/>
      <c r="I2160" s="40"/>
      <c r="J2160" s="41"/>
    </row>
    <row r="2161" spans="2:10" s="1" customFormat="1" ht="12.75" x14ac:dyDescent="0.2">
      <c r="B2161" s="107" t="s">
        <v>734</v>
      </c>
      <c r="C2161" s="343" t="s">
        <v>736</v>
      </c>
      <c r="D2161" s="60"/>
      <c r="E2161" s="40"/>
      <c r="F2161" s="40"/>
      <c r="G2161" s="40"/>
      <c r="H2161" s="40"/>
      <c r="I2161" s="40">
        <f>+SUM(H2162:H2163)</f>
        <v>1.9379999999999999</v>
      </c>
      <c r="J2161" s="41" t="s">
        <v>45</v>
      </c>
    </row>
    <row r="2162" spans="2:10" s="1" customFormat="1" ht="12.75" x14ac:dyDescent="0.2">
      <c r="B2162" s="46"/>
      <c r="C2162" s="39" t="s">
        <v>731</v>
      </c>
      <c r="D2162" s="40">
        <v>2</v>
      </c>
      <c r="E2162" s="40">
        <v>1.7</v>
      </c>
      <c r="F2162" s="40"/>
      <c r="G2162" s="40">
        <f>0.32+0.15</f>
        <v>0.47</v>
      </c>
      <c r="H2162" s="40">
        <f t="shared" ref="H2162:H2163" si="149">IF(AND(F2162=0,G2162=0),D2162*E2162,IF(AND(E2162=0,G2162=0),D2162*F2162,IF(AND(E2162=0,F2162=0),D2162*G2162,IF(AND(E2162=0),D2162*F2162*G2162,IF(AND(F2162=0),D2162*E2162*G2162,IF(AND(G2162=0),D2162*E2162*F2162,D2162*E2162*F2162*G2162))))))</f>
        <v>1.5979999999999999</v>
      </c>
      <c r="I2162" s="40"/>
      <c r="J2162" s="41"/>
    </row>
    <row r="2163" spans="2:10" s="1" customFormat="1" ht="12.75" x14ac:dyDescent="0.2">
      <c r="B2163" s="46"/>
      <c r="C2163" s="59"/>
      <c r="D2163" s="60">
        <v>1</v>
      </c>
      <c r="E2163" s="40">
        <v>1.7</v>
      </c>
      <c r="F2163" s="40"/>
      <c r="G2163" s="40">
        <v>0.2</v>
      </c>
      <c r="H2163" s="40">
        <f t="shared" si="149"/>
        <v>0.34</v>
      </c>
      <c r="I2163" s="40"/>
      <c r="J2163" s="41"/>
    </row>
    <row r="2164" spans="2:10" s="1" customFormat="1" ht="12.75" x14ac:dyDescent="0.2">
      <c r="B2164" s="46"/>
      <c r="C2164" s="59"/>
      <c r="D2164" s="60"/>
      <c r="E2164" s="40"/>
      <c r="F2164" s="40"/>
      <c r="G2164" s="40"/>
      <c r="H2164" s="40"/>
      <c r="I2164" s="40"/>
      <c r="J2164" s="41"/>
    </row>
    <row r="2165" spans="2:10" s="1" customFormat="1" ht="12.75" x14ac:dyDescent="0.2">
      <c r="B2165" s="25"/>
      <c r="D2165" s="60"/>
      <c r="E2165" s="40"/>
      <c r="F2165" s="40"/>
      <c r="G2165" s="40"/>
      <c r="H2165" s="40"/>
      <c r="I2165" s="40"/>
      <c r="J2165" s="41"/>
    </row>
    <row r="2166" spans="2:10" s="1" customFormat="1" ht="12.75" x14ac:dyDescent="0.2">
      <c r="B2166" s="57" t="s">
        <v>18</v>
      </c>
      <c r="C2166" s="58" t="s">
        <v>223</v>
      </c>
      <c r="D2166" s="60"/>
      <c r="E2166" s="40"/>
      <c r="F2166" s="40"/>
      <c r="G2166" s="40"/>
      <c r="H2166" s="40"/>
      <c r="I2166" s="40"/>
      <c r="J2166" s="41"/>
    </row>
    <row r="2167" spans="2:10" s="1" customFormat="1" ht="12.75" x14ac:dyDescent="0.2">
      <c r="B2167" s="43" t="s">
        <v>19</v>
      </c>
      <c r="C2167" s="43" t="s">
        <v>265</v>
      </c>
      <c r="D2167" s="60"/>
      <c r="E2167" s="40"/>
      <c r="F2167" s="40"/>
      <c r="G2167" s="40"/>
      <c r="H2167" s="40"/>
      <c r="I2167" s="44">
        <f>SUM(H2168:H2168)</f>
        <v>2</v>
      </c>
      <c r="J2167" s="45" t="s">
        <v>13</v>
      </c>
    </row>
    <row r="2168" spans="2:10" s="1" customFormat="1" ht="12.75" x14ac:dyDescent="0.2">
      <c r="B2168" s="46"/>
      <c r="C2168" s="39" t="s">
        <v>231</v>
      </c>
      <c r="D2168" s="40">
        <v>2</v>
      </c>
      <c r="E2168" s="40"/>
      <c r="F2168" s="40"/>
      <c r="G2168" s="40"/>
      <c r="H2168" s="40">
        <f>+D2168</f>
        <v>2</v>
      </c>
      <c r="I2168" s="40"/>
      <c r="J2168" s="41" t="s">
        <v>13</v>
      </c>
    </row>
    <row r="2169" spans="2:10" s="1" customFormat="1" ht="12.75" x14ac:dyDescent="0.2">
      <c r="B2169" s="43" t="s">
        <v>20</v>
      </c>
      <c r="C2169" s="43" t="s">
        <v>272</v>
      </c>
      <c r="D2169" s="60"/>
      <c r="E2169" s="40"/>
      <c r="F2169" s="40"/>
      <c r="G2169" s="40"/>
      <c r="H2169" s="40"/>
      <c r="I2169" s="44">
        <f>SUM(H2170:H2170)</f>
        <v>20</v>
      </c>
      <c r="J2169" s="45">
        <f>+J2170</f>
        <v>0</v>
      </c>
    </row>
    <row r="2170" spans="2:10" s="1" customFormat="1" ht="12.75" x14ac:dyDescent="0.2">
      <c r="B2170" s="43"/>
      <c r="C2170" s="39" t="s">
        <v>466</v>
      </c>
      <c r="D2170" s="60">
        <f>2*ROUNDUP(E2104/1,0)</f>
        <v>20</v>
      </c>
      <c r="E2170" s="40"/>
      <c r="F2170" s="40"/>
      <c r="G2170" s="40"/>
      <c r="H2170" s="40">
        <f>+D2170</f>
        <v>20</v>
      </c>
      <c r="I2170" s="44"/>
      <c r="J2170" s="45"/>
    </row>
    <row r="2171" spans="2:10" s="1" customFormat="1" ht="12.75" x14ac:dyDescent="0.2">
      <c r="B2171" s="43" t="s">
        <v>21</v>
      </c>
      <c r="C2171" s="43" t="s">
        <v>266</v>
      </c>
      <c r="D2171" s="60"/>
      <c r="E2171" s="40"/>
      <c r="F2171" s="40"/>
      <c r="G2171" s="40"/>
      <c r="H2171" s="40"/>
      <c r="I2171" s="44">
        <f>SUM(H2172:H2174)</f>
        <v>0</v>
      </c>
      <c r="J2171" s="45" t="str">
        <f>+J2172</f>
        <v>und</v>
      </c>
    </row>
    <row r="2172" spans="2:10" s="1" customFormat="1" ht="12.75" x14ac:dyDescent="0.2">
      <c r="B2172" s="43"/>
      <c r="C2172" s="39" t="s">
        <v>71</v>
      </c>
      <c r="D2172" s="40"/>
      <c r="E2172" s="40"/>
      <c r="F2172" s="40"/>
      <c r="G2172" s="40"/>
      <c r="H2172" s="40">
        <f t="shared" ref="H2172:H2174" si="150">+D2172</f>
        <v>0</v>
      </c>
      <c r="I2172" s="40"/>
      <c r="J2172" s="41" t="s">
        <v>13</v>
      </c>
    </row>
    <row r="2173" spans="2:10" s="1" customFormat="1" ht="12.75" x14ac:dyDescent="0.2">
      <c r="B2173" s="43"/>
      <c r="C2173" s="39" t="s">
        <v>72</v>
      </c>
      <c r="D2173" s="40"/>
      <c r="E2173" s="40"/>
      <c r="F2173" s="40"/>
      <c r="G2173" s="40"/>
      <c r="H2173" s="40">
        <f t="shared" si="150"/>
        <v>0</v>
      </c>
      <c r="I2173" s="40"/>
      <c r="J2173" s="41" t="s">
        <v>13</v>
      </c>
    </row>
    <row r="2174" spans="2:10" s="1" customFormat="1" ht="12.75" x14ac:dyDescent="0.2">
      <c r="B2174" s="43"/>
      <c r="C2174" s="39" t="s">
        <v>73</v>
      </c>
      <c r="D2174" s="40"/>
      <c r="E2174" s="40"/>
      <c r="F2174" s="40"/>
      <c r="G2174" s="40"/>
      <c r="H2174" s="40">
        <f t="shared" si="150"/>
        <v>0</v>
      </c>
      <c r="I2174" s="40"/>
      <c r="J2174" s="41" t="s">
        <v>13</v>
      </c>
    </row>
    <row r="2175" spans="2:10" s="1" customFormat="1" ht="12.75" x14ac:dyDescent="0.2">
      <c r="B2175" s="43" t="s">
        <v>273</v>
      </c>
      <c r="C2175" s="43" t="s">
        <v>354</v>
      </c>
      <c r="D2175" s="60"/>
      <c r="E2175" s="40"/>
      <c r="F2175" s="40"/>
      <c r="G2175" s="40"/>
      <c r="H2175" s="40"/>
      <c r="I2175" s="44">
        <f>SUM(H2176:H2176)</f>
        <v>0</v>
      </c>
      <c r="J2175" s="45" t="str">
        <f>+J2176</f>
        <v>und</v>
      </c>
    </row>
    <row r="2176" spans="2:10" s="1" customFormat="1" ht="12.75" x14ac:dyDescent="0.2">
      <c r="B2176" s="43"/>
      <c r="C2176" s="39"/>
      <c r="D2176" s="40"/>
      <c r="E2176" s="40"/>
      <c r="F2176" s="40"/>
      <c r="G2176" s="40"/>
      <c r="H2176" s="40">
        <f>IF(AND(F2176=0,G2176=0),D2176*E2176,IF(AND(E2176=0,G2176=0),D2176*F2176,IF(AND(E2176=0,F2176=0),D2176*G2176,IF(AND(E2176=0),D2176*F2176*G2176,IF(AND(F2176=0),D2176*E2176*G2176,IF(AND(G2176=0),D2176*E2176*F2176,D2176*E2176*F2176*G2176))))))</f>
        <v>0</v>
      </c>
      <c r="I2176" s="40"/>
      <c r="J2176" s="41" t="s">
        <v>13</v>
      </c>
    </row>
    <row r="2177" spans="2:10" s="1" customFormat="1" ht="12.75" x14ac:dyDescent="0.2">
      <c r="B2177" s="43" t="s">
        <v>274</v>
      </c>
      <c r="C2177" s="43" t="s">
        <v>357</v>
      </c>
      <c r="D2177" s="60"/>
      <c r="E2177" s="40"/>
      <c r="F2177" s="40"/>
      <c r="G2177" s="40"/>
      <c r="H2177" s="40"/>
      <c r="I2177" s="44">
        <f>SUM(H2178:H2178)</f>
        <v>0</v>
      </c>
      <c r="J2177" s="45" t="str">
        <f>+J2178</f>
        <v>und</v>
      </c>
    </row>
    <row r="2178" spans="2:10" s="1" customFormat="1" ht="12.75" x14ac:dyDescent="0.2">
      <c r="B2178" s="43"/>
      <c r="C2178" s="39"/>
      <c r="D2178" s="40"/>
      <c r="E2178" s="40"/>
      <c r="F2178" s="40"/>
      <c r="G2178" s="40"/>
      <c r="H2178" s="40">
        <f t="shared" ref="H2178" si="151">+D2178</f>
        <v>0</v>
      </c>
      <c r="I2178" s="40"/>
      <c r="J2178" s="41" t="s">
        <v>13</v>
      </c>
    </row>
    <row r="2179" spans="2:10" s="1" customFormat="1" ht="12.75" x14ac:dyDescent="0.2">
      <c r="B2179" s="43" t="s">
        <v>355</v>
      </c>
      <c r="C2179" s="43" t="s">
        <v>263</v>
      </c>
      <c r="D2179" s="60"/>
      <c r="E2179" s="40"/>
      <c r="F2179" s="40"/>
      <c r="G2179" s="40"/>
      <c r="H2179" s="40"/>
      <c r="I2179" s="44">
        <f>SUM(H2180:H2180)</f>
        <v>1</v>
      </c>
      <c r="J2179" s="45">
        <f>+J2180</f>
        <v>0</v>
      </c>
    </row>
    <row r="2180" spans="2:10" s="1" customFormat="1" ht="12.75" x14ac:dyDescent="0.2">
      <c r="B2180" s="46"/>
      <c r="C2180" s="39" t="s">
        <v>507</v>
      </c>
      <c r="D2180" s="60">
        <v>1</v>
      </c>
      <c r="E2180" s="40"/>
      <c r="F2180" s="40"/>
      <c r="G2180" s="40"/>
      <c r="H2180" s="40">
        <f>+D2180</f>
        <v>1</v>
      </c>
      <c r="I2180" s="40"/>
      <c r="J2180" s="41"/>
    </row>
    <row r="2181" spans="2:10" s="1" customFormat="1" ht="14.25" customHeight="1" x14ac:dyDescent="0.2">
      <c r="B2181" s="46"/>
      <c r="C2181" s="39"/>
      <c r="D2181" s="60"/>
      <c r="E2181" s="40"/>
      <c r="F2181" s="40"/>
      <c r="G2181" s="40"/>
      <c r="H2181" s="40"/>
      <c r="I2181" s="40"/>
      <c r="J2181" s="41"/>
    </row>
    <row r="2182" spans="2:10" s="1" customFormat="1" ht="14.25" customHeight="1" x14ac:dyDescent="0.2">
      <c r="B2182" s="43" t="s">
        <v>356</v>
      </c>
      <c r="C2182" s="43" t="s">
        <v>264</v>
      </c>
      <c r="D2182" s="60"/>
      <c r="E2182" s="40"/>
      <c r="F2182" s="40"/>
      <c r="G2182" s="40"/>
      <c r="H2182" s="40"/>
      <c r="I2182" s="44">
        <f>SUM(H2183:H2183)</f>
        <v>0</v>
      </c>
      <c r="J2182" s="45" t="str">
        <f>+J2183</f>
        <v>und</v>
      </c>
    </row>
    <row r="2183" spans="2:10" s="1" customFormat="1" ht="12.75" x14ac:dyDescent="0.2">
      <c r="B2183" s="46"/>
      <c r="C2183" s="39" t="s">
        <v>420</v>
      </c>
      <c r="D2183" s="40"/>
      <c r="E2183" s="40"/>
      <c r="F2183" s="40"/>
      <c r="G2183" s="40"/>
      <c r="H2183" s="40">
        <f>+D2183</f>
        <v>0</v>
      </c>
      <c r="I2183" s="40"/>
      <c r="J2183" s="41" t="s">
        <v>13</v>
      </c>
    </row>
    <row r="2184" spans="2:10" s="1" customFormat="1" ht="12.75" x14ac:dyDescent="0.2">
      <c r="B2184" s="46"/>
      <c r="C2184" s="59"/>
      <c r="D2184" s="60"/>
      <c r="E2184" s="40"/>
      <c r="F2184" s="40"/>
      <c r="G2184" s="40"/>
      <c r="H2184" s="40"/>
      <c r="I2184" s="40"/>
      <c r="J2184" s="41"/>
    </row>
    <row r="2185" spans="2:10" s="1" customFormat="1" ht="12.75" x14ac:dyDescent="0.2">
      <c r="B2185" s="43" t="s">
        <v>659</v>
      </c>
      <c r="C2185" s="372" t="s">
        <v>657</v>
      </c>
      <c r="D2185" s="60"/>
      <c r="E2185" s="40"/>
      <c r="F2185" s="40"/>
      <c r="G2185" s="40"/>
      <c r="H2185" s="40"/>
      <c r="I2185" s="44">
        <f>+SUM(H2186:H2188)</f>
        <v>7</v>
      </c>
      <c r="J2185" s="45" t="s">
        <v>13</v>
      </c>
    </row>
    <row r="2186" spans="2:10" s="1" customFormat="1" ht="12.75" x14ac:dyDescent="0.2">
      <c r="B2186" s="46"/>
      <c r="C2186" s="39" t="s">
        <v>456</v>
      </c>
      <c r="D2186" s="60">
        <v>4</v>
      </c>
      <c r="E2186" s="40"/>
      <c r="F2186" s="40"/>
      <c r="G2186" s="40"/>
      <c r="H2186" s="40">
        <f t="shared" ref="H2186:H2188" si="152">+D2186</f>
        <v>4</v>
      </c>
      <c r="I2186" s="40"/>
      <c r="J2186" s="41"/>
    </row>
    <row r="2187" spans="2:10" s="1" customFormat="1" ht="12.75" x14ac:dyDescent="0.2">
      <c r="B2187" s="46"/>
      <c r="C2187" s="39" t="s">
        <v>508</v>
      </c>
      <c r="D2187" s="60">
        <v>1</v>
      </c>
      <c r="E2187" s="40"/>
      <c r="F2187" s="40"/>
      <c r="G2187" s="40"/>
      <c r="H2187" s="40">
        <f t="shared" si="152"/>
        <v>1</v>
      </c>
      <c r="I2187" s="40"/>
      <c r="J2187" s="41"/>
    </row>
    <row r="2188" spans="2:10" s="1" customFormat="1" ht="12.75" x14ac:dyDescent="0.2">
      <c r="B2188" s="46"/>
      <c r="C2188" s="39" t="s">
        <v>509</v>
      </c>
      <c r="D2188" s="60">
        <v>2</v>
      </c>
      <c r="E2188" s="40"/>
      <c r="F2188" s="40"/>
      <c r="G2188" s="40"/>
      <c r="H2188" s="40">
        <f t="shared" si="152"/>
        <v>2</v>
      </c>
      <c r="I2188" s="40"/>
      <c r="J2188" s="41"/>
    </row>
    <row r="2189" spans="2:10" s="1" customFormat="1" ht="12.75" x14ac:dyDescent="0.2">
      <c r="B2189" s="46"/>
      <c r="C2189" s="39"/>
      <c r="D2189" s="60"/>
      <c r="E2189" s="40"/>
      <c r="F2189" s="40"/>
      <c r="G2189" s="40"/>
      <c r="H2189" s="40"/>
      <c r="I2189" s="40"/>
      <c r="J2189" s="41"/>
    </row>
    <row r="2190" spans="2:10" s="1" customFormat="1" ht="12.75" x14ac:dyDescent="0.2">
      <c r="B2190" s="43" t="s">
        <v>601</v>
      </c>
      <c r="C2190" s="43" t="s">
        <v>477</v>
      </c>
      <c r="D2190" s="60"/>
      <c r="E2190" s="40"/>
      <c r="F2190" s="40"/>
      <c r="G2190" s="40"/>
      <c r="H2190" s="40"/>
      <c r="I2190" s="44">
        <f>+SUM(H2191:H2191)</f>
        <v>0</v>
      </c>
      <c r="J2190" s="45" t="s">
        <v>13</v>
      </c>
    </row>
    <row r="2191" spans="2:10" s="1" customFormat="1" ht="12.75" x14ac:dyDescent="0.2">
      <c r="B2191" s="46"/>
      <c r="C2191" s="39" t="s">
        <v>507</v>
      </c>
      <c r="D2191" s="60"/>
      <c r="E2191" s="40"/>
      <c r="F2191" s="40"/>
      <c r="G2191" s="40"/>
      <c r="H2191" s="40">
        <f>+D2191</f>
        <v>0</v>
      </c>
      <c r="I2191" s="40"/>
      <c r="J2191" s="41"/>
    </row>
    <row r="2192" spans="2:10" s="1" customFormat="1" ht="12.75" x14ac:dyDescent="0.2">
      <c r="B2192" s="46"/>
      <c r="C2192" s="59"/>
      <c r="D2192" s="60"/>
      <c r="E2192" s="40"/>
      <c r="F2192" s="40"/>
      <c r="G2192" s="40"/>
      <c r="H2192" s="40"/>
      <c r="I2192" s="40"/>
      <c r="J2192" s="41"/>
    </row>
    <row r="2193" spans="2:10" s="1" customFormat="1" ht="12.75" x14ac:dyDescent="0.2">
      <c r="B2193" s="46"/>
      <c r="C2193" s="59"/>
      <c r="D2193" s="60"/>
      <c r="E2193" s="40"/>
      <c r="F2193" s="40"/>
      <c r="G2193" s="40"/>
      <c r="H2193" s="40"/>
      <c r="I2193" s="40"/>
      <c r="J2193" s="41"/>
    </row>
    <row r="2194" spans="2:10" s="1" customFormat="1" ht="12.75" x14ac:dyDescent="0.2">
      <c r="B2194" s="73" t="s">
        <v>14</v>
      </c>
      <c r="C2194" s="73" t="s">
        <v>615</v>
      </c>
      <c r="D2194" s="60"/>
      <c r="E2194" s="40"/>
      <c r="F2194" s="40"/>
      <c r="G2194" s="40"/>
      <c r="H2194" s="40"/>
      <c r="I2194" s="40"/>
      <c r="J2194" s="41"/>
    </row>
    <row r="2195" spans="2:10" s="1" customFormat="1" ht="12.75" x14ac:dyDescent="0.2">
      <c r="B2195" s="25" t="s">
        <v>766</v>
      </c>
      <c r="C2195" s="28" t="s">
        <v>616</v>
      </c>
      <c r="D2195" s="60"/>
      <c r="E2195" s="40"/>
      <c r="F2195" s="40"/>
      <c r="G2195" s="40"/>
      <c r="H2195" s="40"/>
      <c r="I2195" s="40">
        <f>+SUM(H2196:H2202)</f>
        <v>13.780999999999999</v>
      </c>
      <c r="J2195" s="41" t="s">
        <v>45</v>
      </c>
    </row>
    <row r="2196" spans="2:10" s="1" customFormat="1" ht="12.75" x14ac:dyDescent="0.2">
      <c r="B2196" s="46"/>
      <c r="C2196" s="39" t="s">
        <v>725</v>
      </c>
      <c r="D2196" s="40">
        <v>1</v>
      </c>
      <c r="E2196" s="40">
        <v>1.7</v>
      </c>
      <c r="F2196" s="40">
        <v>0.4</v>
      </c>
      <c r="G2196" s="40"/>
      <c r="H2196" s="40">
        <f t="shared" ref="H2196:H2202" si="153">IF(AND(F2196=0,G2196=0),D2196*E2196,IF(AND(E2196=0,G2196=0),D2196*F2196,IF(AND(E2196=0,F2196=0),D2196*G2196,IF(AND(E2196=0),D2196*F2196*G2196,IF(AND(F2196=0),D2196*E2196*G2196,IF(AND(G2196=0),D2196*E2196*F2196,D2196*E2196*F2196*G2196))))))</f>
        <v>0.68</v>
      </c>
      <c r="I2196" s="40"/>
      <c r="J2196" s="41"/>
    </row>
    <row r="2197" spans="2:10" s="1" customFormat="1" ht="12.75" x14ac:dyDescent="0.2">
      <c r="B2197" s="46"/>
      <c r="C2197" s="43" t="s">
        <v>472</v>
      </c>
      <c r="D2197" s="60"/>
      <c r="E2197" s="40"/>
      <c r="F2197" s="40"/>
      <c r="G2197" s="40"/>
      <c r="H2197" s="40"/>
      <c r="I2197" s="40"/>
      <c r="J2197" s="41"/>
    </row>
    <row r="2198" spans="2:10" s="1" customFormat="1" ht="12.75" x14ac:dyDescent="0.2">
      <c r="B2198" s="46"/>
      <c r="C2198" s="39" t="s">
        <v>508</v>
      </c>
      <c r="D2198" s="60">
        <v>1</v>
      </c>
      <c r="E2198" s="40">
        <f>0.7+6.7</f>
        <v>7.4</v>
      </c>
      <c r="F2198" s="40">
        <v>0.45</v>
      </c>
      <c r="G2198" s="40"/>
      <c r="H2198" s="40">
        <f t="shared" si="153"/>
        <v>3.33</v>
      </c>
      <c r="I2198" s="40"/>
      <c r="J2198" s="41"/>
    </row>
    <row r="2199" spans="2:10" s="1" customFormat="1" ht="12.75" x14ac:dyDescent="0.2">
      <c r="B2199" s="46"/>
      <c r="C2199" s="39" t="s">
        <v>509</v>
      </c>
      <c r="D2199" s="60">
        <v>1</v>
      </c>
      <c r="E2199" s="40">
        <f>3.1+1.6</f>
        <v>4.7</v>
      </c>
      <c r="F2199" s="40">
        <v>0.45</v>
      </c>
      <c r="G2199" s="40"/>
      <c r="H2199" s="40">
        <f t="shared" si="153"/>
        <v>2.1150000000000002</v>
      </c>
      <c r="I2199" s="40"/>
      <c r="J2199" s="41"/>
    </row>
    <row r="2200" spans="2:10" s="1" customFormat="1" ht="12.75" x14ac:dyDescent="0.2">
      <c r="B2200" s="46"/>
      <c r="C2200" s="39"/>
      <c r="D2200" s="60"/>
      <c r="E2200" s="40"/>
      <c r="F2200" s="40"/>
      <c r="G2200" s="40"/>
      <c r="H2200" s="40"/>
      <c r="I2200" s="40"/>
      <c r="J2200" s="41"/>
    </row>
    <row r="2201" spans="2:10" s="1" customFormat="1" ht="12.75" x14ac:dyDescent="0.2">
      <c r="B2201" s="46"/>
      <c r="C2201" s="43" t="s">
        <v>228</v>
      </c>
      <c r="D2201" s="60"/>
      <c r="E2201" s="40"/>
      <c r="F2201" s="40"/>
      <c r="G2201" s="40"/>
      <c r="H2201" s="40"/>
      <c r="I2201" s="40"/>
      <c r="J2201" s="41"/>
    </row>
    <row r="2202" spans="2:10" s="1" customFormat="1" ht="12.75" x14ac:dyDescent="0.2">
      <c r="B2202" s="46"/>
      <c r="C2202" s="39" t="s">
        <v>506</v>
      </c>
      <c r="D2202" s="40">
        <v>1</v>
      </c>
      <c r="E2202" s="40">
        <v>12.76</v>
      </c>
      <c r="F2202" s="40">
        <v>0.6</v>
      </c>
      <c r="G2202" s="40"/>
      <c r="H2202" s="40">
        <f t="shared" si="153"/>
        <v>7.6559999999999997</v>
      </c>
      <c r="I2202" s="40"/>
      <c r="J2202" s="41"/>
    </row>
    <row r="2203" spans="2:10" s="1" customFormat="1" ht="12.75" x14ac:dyDescent="0.2">
      <c r="B2203" s="46"/>
      <c r="C2203" s="59"/>
      <c r="D2203" s="60"/>
      <c r="E2203" s="40"/>
      <c r="F2203" s="40"/>
      <c r="G2203" s="40"/>
      <c r="H2203" s="40"/>
      <c r="I2203" s="40"/>
      <c r="J2203" s="41"/>
    </row>
    <row r="2204" spans="2:10" s="1" customFormat="1" ht="12.75" x14ac:dyDescent="0.2">
      <c r="B2204" s="46"/>
      <c r="C2204" s="59"/>
      <c r="D2204" s="60"/>
      <c r="E2204" s="40"/>
      <c r="F2204" s="40"/>
      <c r="G2204" s="40"/>
      <c r="H2204" s="40"/>
      <c r="I2204" s="40"/>
      <c r="J2204" s="41"/>
    </row>
    <row r="2205" spans="2:10" x14ac:dyDescent="0.25">
      <c r="B2205" s="73" t="s">
        <v>22</v>
      </c>
      <c r="C2205" s="73" t="s">
        <v>614</v>
      </c>
      <c r="D2205" s="23"/>
      <c r="E2205" s="23"/>
      <c r="F2205" s="23"/>
      <c r="G2205" s="23"/>
      <c r="H2205" s="24"/>
      <c r="I2205" s="25"/>
      <c r="J2205" s="26"/>
    </row>
    <row r="2206" spans="2:10" s="1" customFormat="1" ht="15.75" customHeight="1" x14ac:dyDescent="0.2">
      <c r="B2206" s="25" t="s">
        <v>23</v>
      </c>
      <c r="C2206" s="1" t="s">
        <v>622</v>
      </c>
      <c r="D2206" s="60"/>
      <c r="E2206" s="40"/>
      <c r="F2206" s="40"/>
      <c r="G2206" s="40"/>
      <c r="H2206" s="24"/>
      <c r="I2206" s="25">
        <f>+SUM(H2207)</f>
        <v>0.35360000000000003</v>
      </c>
      <c r="J2206" s="26" t="s">
        <v>4</v>
      </c>
    </row>
    <row r="2207" spans="2:10" s="1" customFormat="1" ht="15.75" customHeight="1" x14ac:dyDescent="0.2">
      <c r="B2207" s="25"/>
      <c r="C2207" s="39" t="s">
        <v>434</v>
      </c>
      <c r="D2207" s="40">
        <v>1</v>
      </c>
      <c r="E2207" s="40">
        <v>1.7</v>
      </c>
      <c r="F2207" s="40">
        <v>0.4</v>
      </c>
      <c r="G2207" s="40">
        <f>0.32+0.2</f>
        <v>0.52</v>
      </c>
      <c r="H2207" s="40">
        <f>IF(AND(F2207=0,G2207=0),D2207*E2207,IF(AND(E2207=0,G2207=0),D2207*F2207,IF(AND(E2207=0,F2207=0),D2207*G2207,IF(AND(E2207=0),D2207*F2207*G2207,IF(AND(F2207=0),D2207*E2207*G2207,IF(AND(G2207=0),D2207*E2207*F2207,D2207*E2207*F2207*G2207))))))</f>
        <v>0.35360000000000003</v>
      </c>
      <c r="I2207" s="40"/>
      <c r="J2207" s="41"/>
    </row>
    <row r="2208" spans="2:10" s="1" customFormat="1" ht="12.75" x14ac:dyDescent="0.2">
      <c r="B2208" s="46"/>
      <c r="C2208" s="59"/>
      <c r="D2208" s="60"/>
      <c r="E2208" s="40"/>
      <c r="F2208" s="40"/>
      <c r="G2208" s="40"/>
      <c r="H2208" s="40"/>
      <c r="I2208" s="40"/>
      <c r="J2208" s="41"/>
    </row>
    <row r="2209" spans="2:10" s="1" customFormat="1" ht="12.75" x14ac:dyDescent="0.2">
      <c r="B2209" s="46"/>
      <c r="C2209" s="59"/>
      <c r="D2209" s="60"/>
      <c r="E2209" s="40"/>
      <c r="F2209" s="40"/>
      <c r="G2209" s="40"/>
      <c r="H2209" s="40"/>
      <c r="I2209" s="40"/>
      <c r="J2209" s="41"/>
    </row>
    <row r="2210" spans="2:10" x14ac:dyDescent="0.25">
      <c r="B2210" s="107" t="s">
        <v>777</v>
      </c>
      <c r="C2210" s="370" t="s">
        <v>779</v>
      </c>
      <c r="D2210" s="23"/>
      <c r="E2210" s="23"/>
      <c r="F2210" s="23"/>
      <c r="G2210" s="23"/>
      <c r="I2210" s="24">
        <f>+SUM(H2211:H2211)</f>
        <v>0.68</v>
      </c>
      <c r="J2210" s="26" t="s">
        <v>45</v>
      </c>
    </row>
    <row r="2211" spans="2:10" x14ac:dyDescent="0.25">
      <c r="B2211" s="107"/>
      <c r="C2211" s="39" t="s">
        <v>434</v>
      </c>
      <c r="D2211" s="40">
        <v>1</v>
      </c>
      <c r="E2211" s="40">
        <v>1.7</v>
      </c>
      <c r="F2211" s="40">
        <v>0.4</v>
      </c>
      <c r="G2211" s="40"/>
      <c r="H2211" s="40">
        <f>IF(AND(F2211=0,G2211=0),D2211*E2211,IF(AND(E2211=0,G2211=0),D2211*F2211,IF(AND(E2211=0,F2211=0),D2211*G2211,IF(AND(E2211=0),D2211*F2211*G2211,IF(AND(F2211=0),D2211*E2211*G2211,IF(AND(G2211=0),D2211*E2211*F2211,D2211*E2211*F2211*G2211))))))</f>
        <v>0.68</v>
      </c>
      <c r="I2211" s="25"/>
      <c r="J2211" s="26"/>
    </row>
    <row r="2212" spans="2:10" x14ac:dyDescent="0.25">
      <c r="B2212" s="107"/>
      <c r="C2212" s="370"/>
      <c r="D2212" s="23"/>
      <c r="E2212" s="23"/>
      <c r="F2212" s="23"/>
      <c r="G2212" s="23"/>
      <c r="H2212" s="24"/>
      <c r="I2212" s="25"/>
      <c r="J2212" s="26"/>
    </row>
    <row r="2213" spans="2:10" s="1" customFormat="1" ht="12.75" x14ac:dyDescent="0.2">
      <c r="B2213" s="25" t="s">
        <v>631</v>
      </c>
      <c r="C2213" s="28" t="s">
        <v>719</v>
      </c>
      <c r="D2213" s="60"/>
      <c r="E2213" s="40"/>
      <c r="F2213" s="40"/>
      <c r="G2213" s="40"/>
      <c r="H2213" s="40"/>
      <c r="I2213" s="40">
        <f>+SUM(H2214)</f>
        <v>2.5</v>
      </c>
      <c r="J2213" s="41" t="s">
        <v>45</v>
      </c>
    </row>
    <row r="2214" spans="2:10" s="1" customFormat="1" ht="12.75" x14ac:dyDescent="0.2">
      <c r="B2214" s="46"/>
      <c r="C2214" s="59"/>
      <c r="D2214" s="39" t="s">
        <v>434</v>
      </c>
      <c r="E2214" s="40">
        <v>1</v>
      </c>
      <c r="F2214" s="40">
        <v>1.7</v>
      </c>
      <c r="G2214" s="40">
        <v>0.4</v>
      </c>
      <c r="H2214" s="40">
        <f>+(F2214+G2214*2)*E2214</f>
        <v>2.5</v>
      </c>
      <c r="I2214" s="40"/>
      <c r="J2214" s="41"/>
    </row>
    <row r="2215" spans="2:10" s="1" customFormat="1" ht="12.75" x14ac:dyDescent="0.2">
      <c r="B2215" s="46"/>
      <c r="C2215" s="59"/>
      <c r="D2215" s="60"/>
      <c r="E2215" s="40"/>
      <c r="F2215" s="40"/>
      <c r="G2215" s="40"/>
      <c r="H2215" s="40"/>
      <c r="I2215" s="40"/>
      <c r="J2215" s="41"/>
    </row>
    <row r="2216" spans="2:10" s="1" customFormat="1" ht="12.75" x14ac:dyDescent="0.2">
      <c r="B2216" s="25" t="s">
        <v>709</v>
      </c>
      <c r="C2216" s="28" t="s">
        <v>718</v>
      </c>
      <c r="D2216" s="60"/>
      <c r="E2216" s="40"/>
      <c r="F2216" s="40"/>
      <c r="G2216" s="40"/>
      <c r="H2216" s="40"/>
      <c r="I2216" s="40">
        <f>+SUM(H2218:H2222)</f>
        <v>30.502999999999997</v>
      </c>
      <c r="J2216" s="41" t="s">
        <v>45</v>
      </c>
    </row>
    <row r="2217" spans="2:10" s="1" customFormat="1" ht="12.75" x14ac:dyDescent="0.2">
      <c r="B2217" s="46"/>
      <c r="C2217" s="43" t="s">
        <v>472</v>
      </c>
      <c r="D2217" s="60"/>
      <c r="E2217" s="40"/>
      <c r="F2217" s="40"/>
      <c r="G2217" s="40"/>
      <c r="H2217" s="40"/>
      <c r="I2217" s="40"/>
      <c r="J2217" s="41"/>
    </row>
    <row r="2218" spans="2:10" s="1" customFormat="1" ht="12.75" x14ac:dyDescent="0.2">
      <c r="B2218" s="46"/>
      <c r="C2218" s="39" t="s">
        <v>508</v>
      </c>
      <c r="D2218" s="60">
        <v>1</v>
      </c>
      <c r="E2218" s="40">
        <f>0.7+6.7</f>
        <v>7.4</v>
      </c>
      <c r="F2218" s="40">
        <v>0.45</v>
      </c>
      <c r="G2218" s="40">
        <v>0.35</v>
      </c>
      <c r="H2218" s="40">
        <f>+(F2218+G2218*2)*E2218</f>
        <v>8.51</v>
      </c>
      <c r="I2218" s="40"/>
      <c r="J2218" s="41"/>
    </row>
    <row r="2219" spans="2:10" s="1" customFormat="1" ht="12.75" x14ac:dyDescent="0.2">
      <c r="B2219" s="46"/>
      <c r="C2219" s="39" t="s">
        <v>509</v>
      </c>
      <c r="D2219" s="60">
        <v>1</v>
      </c>
      <c r="E2219" s="40">
        <f>3.1+1.6</f>
        <v>4.7</v>
      </c>
      <c r="F2219" s="40">
        <v>0.45</v>
      </c>
      <c r="G2219" s="40">
        <v>0.35</v>
      </c>
      <c r="H2219" s="40">
        <f>+(F2219+G2219*2)*E2219</f>
        <v>5.4049999999999994</v>
      </c>
      <c r="I2219" s="40"/>
      <c r="J2219" s="41"/>
    </row>
    <row r="2220" spans="2:10" s="1" customFormat="1" ht="12.75" x14ac:dyDescent="0.2">
      <c r="B2220" s="46"/>
      <c r="C2220" s="39"/>
      <c r="D2220" s="60"/>
      <c r="E2220" s="40"/>
      <c r="F2220" s="40"/>
      <c r="G2220" s="40"/>
      <c r="H2220" s="40"/>
      <c r="I2220" s="40"/>
      <c r="J2220" s="41"/>
    </row>
    <row r="2221" spans="2:10" s="1" customFormat="1" ht="12.75" x14ac:dyDescent="0.2">
      <c r="B2221" s="46"/>
      <c r="C2221" s="43" t="s">
        <v>228</v>
      </c>
      <c r="D2221" s="60"/>
      <c r="E2221" s="40"/>
      <c r="F2221" s="40"/>
      <c r="G2221" s="40"/>
      <c r="H2221" s="40"/>
      <c r="I2221" s="40"/>
      <c r="J2221" s="41"/>
    </row>
    <row r="2222" spans="2:10" s="1" customFormat="1" ht="12.75" x14ac:dyDescent="0.2">
      <c r="B2222" s="46"/>
      <c r="C2222" s="39" t="s">
        <v>506</v>
      </c>
      <c r="D2222" s="40">
        <v>1</v>
      </c>
      <c r="E2222" s="40">
        <v>12.76</v>
      </c>
      <c r="F2222" s="40">
        <v>0.6</v>
      </c>
      <c r="G2222" s="40">
        <v>0.35</v>
      </c>
      <c r="H2222" s="40">
        <f>+(F2222+G2222*2)*E2222</f>
        <v>16.587999999999997</v>
      </c>
      <c r="I2222" s="40"/>
      <c r="J2222" s="41"/>
    </row>
    <row r="2223" spans="2:10" s="1" customFormat="1" ht="12.75" x14ac:dyDescent="0.2">
      <c r="B2223" s="46"/>
      <c r="C2223" s="59"/>
      <c r="D2223" s="60"/>
      <c r="E2223" s="40"/>
      <c r="F2223" s="40"/>
      <c r="G2223" s="40"/>
      <c r="H2223" s="40"/>
      <c r="I2223" s="40"/>
      <c r="J2223" s="41"/>
    </row>
    <row r="2224" spans="2:10" s="1" customFormat="1" ht="12.75" x14ac:dyDescent="0.2">
      <c r="B2224" s="46"/>
      <c r="C2224" s="59"/>
      <c r="D2224" s="60"/>
      <c r="E2224" s="40"/>
      <c r="F2224" s="40"/>
      <c r="G2224" s="40"/>
      <c r="H2224" s="40"/>
      <c r="I2224" s="40"/>
      <c r="J2224" s="41"/>
    </row>
    <row r="2225" spans="2:10" s="1" customFormat="1" ht="12.75" x14ac:dyDescent="0.2">
      <c r="B2225" s="46"/>
      <c r="C2225" s="59"/>
      <c r="D2225" s="60"/>
      <c r="E2225" s="40"/>
      <c r="F2225" s="40"/>
      <c r="G2225" s="40"/>
      <c r="H2225" s="40"/>
      <c r="I2225" s="40"/>
      <c r="J2225" s="41"/>
    </row>
    <row r="2226" spans="2:10" s="1" customFormat="1" ht="12.75" x14ac:dyDescent="0.2">
      <c r="B2226" s="107" t="s">
        <v>632</v>
      </c>
      <c r="C2226" s="343" t="s">
        <v>794</v>
      </c>
      <c r="D2226" s="60"/>
      <c r="E2226" s="40"/>
      <c r="F2226" s="40" t="s">
        <v>795</v>
      </c>
      <c r="G2226" s="40"/>
      <c r="H2226" s="40"/>
      <c r="I2226" s="40">
        <f>+SUM(H2227:H2233)</f>
        <v>113.35265979381442</v>
      </c>
      <c r="J2226" s="41" t="s">
        <v>12</v>
      </c>
    </row>
    <row r="2227" spans="2:10" s="1" customFormat="1" ht="12.75" x14ac:dyDescent="0.2">
      <c r="B2227" s="380"/>
      <c r="C2227" s="39" t="s">
        <v>466</v>
      </c>
      <c r="D2227" s="60">
        <v>2</v>
      </c>
      <c r="E2227" s="40">
        <v>10</v>
      </c>
      <c r="F2227" s="40">
        <f>8.2/5</f>
        <v>1.64</v>
      </c>
      <c r="G2227" s="40"/>
      <c r="H2227" s="40">
        <f>IF(AND(F2227=0,G2227=0),D2227*E2227,IF(AND(E2227=0,G2227=0),D2227*F2227,IF(AND(E2227=0,F2227=0),D2227*G2227,IF(AND(E2227=0),D2227*F2227*G2227,IF(AND(F2227=0),D2227*E2227*G2227,IF(AND(G2227=0),D2227*E2227*F2227,D2227*E2227*F2227*G2227))))))</f>
        <v>32.799999999999997</v>
      </c>
      <c r="I2227" s="40"/>
      <c r="J2227" s="41"/>
    </row>
    <row r="2228" spans="2:10" s="1" customFormat="1" ht="12.75" x14ac:dyDescent="0.2">
      <c r="B2228" s="380"/>
      <c r="C2228" s="43" t="s">
        <v>472</v>
      </c>
      <c r="D2228" s="60"/>
      <c r="E2228" s="40"/>
      <c r="F2228" s="40"/>
      <c r="G2228" s="40"/>
      <c r="H2228" s="40"/>
      <c r="I2228" s="40"/>
      <c r="J2228" s="41"/>
    </row>
    <row r="2229" spans="2:10" s="1" customFormat="1" ht="12.75" x14ac:dyDescent="0.2">
      <c r="B2229" s="380"/>
      <c r="C2229" s="39" t="s">
        <v>508</v>
      </c>
      <c r="D2229" s="60">
        <v>1</v>
      </c>
      <c r="E2229" s="40">
        <f>0.7+6.7</f>
        <v>7.4</v>
      </c>
      <c r="F2229" s="40">
        <f t="shared" ref="F2229:F2230" si="154">8.2/5</f>
        <v>1.64</v>
      </c>
      <c r="G2229" s="40"/>
      <c r="H2229" s="40">
        <f t="shared" ref="H2229:H2230" si="155">IF(AND(F2229=0,G2229=0),D2229*E2229,IF(AND(E2229=0,G2229=0),D2229*F2229,IF(AND(E2229=0,F2229=0),D2229*G2229,IF(AND(E2229=0),D2229*F2229*G2229,IF(AND(F2229=0),D2229*E2229*G2229,IF(AND(G2229=0),D2229*E2229*F2229,D2229*E2229*F2229*G2229))))))</f>
        <v>12.135999999999999</v>
      </c>
      <c r="I2229" s="40"/>
      <c r="J2229" s="41"/>
    </row>
    <row r="2230" spans="2:10" s="1" customFormat="1" ht="12.75" x14ac:dyDescent="0.2">
      <c r="B2230" s="380"/>
      <c r="C2230" s="39" t="s">
        <v>509</v>
      </c>
      <c r="D2230" s="60">
        <v>1</v>
      </c>
      <c r="E2230" s="40">
        <f>3.1+1.6</f>
        <v>4.7</v>
      </c>
      <c r="F2230" s="40">
        <f t="shared" si="154"/>
        <v>1.64</v>
      </c>
      <c r="G2230" s="40"/>
      <c r="H2230" s="40">
        <f t="shared" si="155"/>
        <v>7.7080000000000002</v>
      </c>
      <c r="I2230" s="40"/>
      <c r="J2230" s="41"/>
    </row>
    <row r="2231" spans="2:10" s="1" customFormat="1" ht="12.75" x14ac:dyDescent="0.2">
      <c r="B2231" s="380"/>
      <c r="C2231" s="39"/>
      <c r="D2231" s="60"/>
      <c r="E2231" s="40"/>
      <c r="F2231" s="40"/>
      <c r="G2231" s="40"/>
      <c r="H2231" s="40"/>
      <c r="I2231" s="40"/>
      <c r="J2231" s="41"/>
    </row>
    <row r="2232" spans="2:10" s="1" customFormat="1" ht="12.75" x14ac:dyDescent="0.2">
      <c r="B2232" s="380"/>
      <c r="C2232" s="43" t="s">
        <v>228</v>
      </c>
      <c r="D2232" s="60"/>
      <c r="E2232" s="40"/>
      <c r="F2232" s="40"/>
      <c r="G2232" s="40"/>
      <c r="H2232" s="40"/>
      <c r="I2232" s="40"/>
      <c r="J2232" s="41"/>
    </row>
    <row r="2233" spans="2:10" s="1" customFormat="1" ht="12.75" x14ac:dyDescent="0.2">
      <c r="B2233" s="380"/>
      <c r="C2233" s="39" t="s">
        <v>506</v>
      </c>
      <c r="D2233" s="40">
        <v>1</v>
      </c>
      <c r="E2233" s="40">
        <v>12.76</v>
      </c>
      <c r="F2233" s="40">
        <f>27.69/5.82</f>
        <v>4.7577319587628866</v>
      </c>
      <c r="G2233" s="40"/>
      <c r="H2233" s="40">
        <f t="shared" ref="H2233" si="156">IF(AND(F2233=0,G2233=0),D2233*E2233,IF(AND(E2233=0,G2233=0),D2233*F2233,IF(AND(E2233=0,F2233=0),D2233*G2233,IF(AND(E2233=0),D2233*F2233*G2233,IF(AND(F2233=0),D2233*E2233*G2233,IF(AND(G2233=0),D2233*E2233*F2233,D2233*E2233*F2233*G2233))))))</f>
        <v>60.708659793814434</v>
      </c>
      <c r="I2233" s="40"/>
      <c r="J2233" s="41"/>
    </row>
    <row r="2234" spans="2:10" s="1" customFormat="1" ht="12.75" x14ac:dyDescent="0.2">
      <c r="B2234" s="380"/>
      <c r="C2234" s="366"/>
      <c r="D2234" s="60"/>
      <c r="E2234" s="40"/>
      <c r="F2234" s="40"/>
      <c r="G2234" s="40"/>
      <c r="H2234" s="40"/>
      <c r="I2234" s="40"/>
      <c r="J2234" s="41"/>
    </row>
    <row r="2235" spans="2:10" s="1" customFormat="1" ht="12.75" x14ac:dyDescent="0.2">
      <c r="B2235" s="380"/>
      <c r="C2235" s="366"/>
      <c r="D2235" s="60"/>
      <c r="E2235" s="40"/>
      <c r="F2235" s="40"/>
      <c r="G2235" s="40"/>
      <c r="H2235" s="40"/>
      <c r="I2235" s="40"/>
      <c r="J2235" s="41"/>
    </row>
    <row r="2236" spans="2:10" s="1" customFormat="1" ht="12.75" x14ac:dyDescent="0.2">
      <c r="B2236" s="380"/>
      <c r="C2236" s="366"/>
      <c r="D2236" s="60"/>
      <c r="E2236" s="40"/>
      <c r="F2236" s="40"/>
      <c r="G2236" s="40"/>
      <c r="H2236" s="40"/>
      <c r="I2236" s="40"/>
      <c r="J2236" s="41"/>
    </row>
    <row r="2237" spans="2:10" s="1" customFormat="1" ht="12.75" x14ac:dyDescent="0.2">
      <c r="B2237" s="25" t="s">
        <v>633</v>
      </c>
      <c r="C2237" s="28" t="s">
        <v>625</v>
      </c>
      <c r="D2237" s="60"/>
      <c r="E2237" s="40"/>
      <c r="F2237" s="40"/>
      <c r="G2237" s="40"/>
      <c r="H2237" s="40"/>
      <c r="I2237" s="40">
        <f>+SUM(H2238:H2239)</f>
        <v>0.21080000000000002</v>
      </c>
      <c r="J2237" s="41" t="s">
        <v>4</v>
      </c>
    </row>
    <row r="2238" spans="2:10" s="1" customFormat="1" ht="12.75" x14ac:dyDescent="0.2">
      <c r="B2238" s="46"/>
      <c r="C2238" s="39" t="s">
        <v>731</v>
      </c>
      <c r="D2238" s="40">
        <v>2</v>
      </c>
      <c r="E2238" s="40">
        <v>1.7</v>
      </c>
      <c r="F2238" s="40">
        <v>0.1</v>
      </c>
      <c r="G2238" s="40">
        <v>0.42</v>
      </c>
      <c r="H2238" s="40">
        <f t="shared" ref="H2238:H2239" si="157">IF(AND(F2238=0,G2238=0),D2238*E2238,IF(AND(E2238=0,G2238=0),D2238*F2238,IF(AND(E2238=0,F2238=0),D2238*G2238,IF(AND(E2238=0),D2238*F2238*G2238,IF(AND(F2238=0),D2238*E2238*G2238,IF(AND(G2238=0),D2238*E2238*F2238,D2238*E2238*F2238*G2238))))))</f>
        <v>0.14280000000000001</v>
      </c>
      <c r="I2238" s="40"/>
      <c r="J2238" s="41"/>
    </row>
    <row r="2239" spans="2:10" s="1" customFormat="1" ht="12.75" x14ac:dyDescent="0.2">
      <c r="B2239" s="46"/>
      <c r="C2239" s="59"/>
      <c r="D2239" s="60">
        <v>1</v>
      </c>
      <c r="E2239" s="40">
        <v>1.7</v>
      </c>
      <c r="F2239" s="40">
        <v>0.4</v>
      </c>
      <c r="G2239" s="40">
        <v>0.1</v>
      </c>
      <c r="H2239" s="40">
        <f t="shared" si="157"/>
        <v>6.8000000000000005E-2</v>
      </c>
      <c r="I2239" s="40"/>
      <c r="J2239" s="41"/>
    </row>
    <row r="2240" spans="2:10" s="1" customFormat="1" ht="12.75" x14ac:dyDescent="0.2">
      <c r="B2240" s="46"/>
      <c r="C2240" s="59"/>
      <c r="D2240" s="60"/>
      <c r="E2240" s="40"/>
      <c r="F2240" s="40"/>
      <c r="G2240" s="40"/>
      <c r="H2240" s="40"/>
      <c r="I2240" s="40"/>
      <c r="J2240" s="41"/>
    </row>
    <row r="2241" spans="2:10" s="1" customFormat="1" ht="12.75" x14ac:dyDescent="0.2">
      <c r="B2241" s="46"/>
      <c r="C2241" s="59"/>
      <c r="D2241" s="60"/>
      <c r="E2241" s="40"/>
      <c r="F2241" s="40"/>
      <c r="G2241" s="40"/>
      <c r="H2241" s="40"/>
      <c r="I2241" s="40"/>
      <c r="J2241" s="41"/>
    </row>
    <row r="2242" spans="2:10" s="1" customFormat="1" ht="12.75" x14ac:dyDescent="0.2">
      <c r="B2242" s="107" t="s">
        <v>790</v>
      </c>
      <c r="C2242" s="343" t="s">
        <v>789</v>
      </c>
      <c r="D2242" s="60" t="s">
        <v>791</v>
      </c>
      <c r="E2242" s="40"/>
      <c r="F2242" s="40"/>
      <c r="G2242" s="40"/>
      <c r="H2242" s="40"/>
      <c r="I2242" s="40">
        <f>+SUM(H2243:H2243)</f>
        <v>0.44200000000000006</v>
      </c>
      <c r="J2242" s="41" t="s">
        <v>4</v>
      </c>
    </row>
    <row r="2243" spans="2:10" s="1" customFormat="1" ht="12.75" x14ac:dyDescent="0.2">
      <c r="B2243" s="107"/>
      <c r="C2243" s="39" t="s">
        <v>434</v>
      </c>
      <c r="D2243" s="40">
        <v>1.25</v>
      </c>
      <c r="E2243" s="40">
        <v>1.7</v>
      </c>
      <c r="F2243" s="40">
        <v>0.4</v>
      </c>
      <c r="G2243" s="40">
        <f>0.32+0.2</f>
        <v>0.52</v>
      </c>
      <c r="H2243" s="40">
        <f>IF(AND(F2243=0,G2243=0),D2243*E2243,IF(AND(E2243=0,G2243=0),D2243*F2243,IF(AND(E2243=0,F2243=0),D2243*G2243,IF(AND(E2243=0),D2243*F2243*G2243,IF(AND(F2243=0),D2243*E2243*G2243,IF(AND(G2243=0),D2243*E2243*F2243,D2243*E2243*F2243*G2243))))))</f>
        <v>0.44200000000000006</v>
      </c>
      <c r="I2243" s="40"/>
      <c r="J2243" s="41"/>
    </row>
    <row r="2244" spans="2:10" s="1" customFormat="1" ht="12.75" x14ac:dyDescent="0.2">
      <c r="B2244" s="107"/>
      <c r="C2244" s="343"/>
      <c r="D2244" s="60"/>
      <c r="E2244" s="40"/>
      <c r="F2244" s="40"/>
      <c r="G2244" s="40"/>
      <c r="H2244" s="40"/>
      <c r="I2244" s="40"/>
      <c r="J2244" s="41"/>
    </row>
    <row r="2245" spans="2:10" s="1" customFormat="1" ht="12.75" x14ac:dyDescent="0.2">
      <c r="B2245" s="46"/>
      <c r="C2245" s="59"/>
      <c r="D2245" s="60"/>
      <c r="E2245" s="40"/>
      <c r="F2245" s="40"/>
      <c r="G2245" s="40"/>
      <c r="H2245" s="40"/>
      <c r="I2245" s="40"/>
      <c r="J2245" s="41"/>
    </row>
    <row r="2246" spans="2:10" s="1" customFormat="1" ht="12.75" x14ac:dyDescent="0.2">
      <c r="B2246" s="107" t="s">
        <v>634</v>
      </c>
      <c r="C2246" s="343" t="s">
        <v>624</v>
      </c>
      <c r="D2246" s="60"/>
      <c r="E2246" s="40"/>
      <c r="F2246" s="40"/>
      <c r="G2246" s="40"/>
      <c r="H2246" s="40"/>
      <c r="I2246" s="40">
        <f>+I2242</f>
        <v>0.44200000000000006</v>
      </c>
      <c r="J2246" s="41" t="s">
        <v>4</v>
      </c>
    </row>
    <row r="2247" spans="2:10" s="1" customFormat="1" ht="12.75" x14ac:dyDescent="0.2">
      <c r="B2247" s="46"/>
      <c r="C2247" s="59"/>
      <c r="D2247" s="60"/>
      <c r="E2247" s="40"/>
      <c r="F2247" s="40"/>
      <c r="G2247" s="40"/>
      <c r="H2247" s="40"/>
      <c r="I2247" s="40"/>
      <c r="J2247" s="41"/>
    </row>
    <row r="2248" spans="2:10" s="1" customFormat="1" ht="12.75" x14ac:dyDescent="0.2">
      <c r="B2248" s="46"/>
      <c r="C2248" s="59"/>
      <c r="D2248" s="60"/>
      <c r="E2248" s="40"/>
      <c r="F2248" s="40"/>
      <c r="G2248" s="40"/>
      <c r="H2248" s="40"/>
      <c r="I2248" s="40"/>
      <c r="J2248" s="41"/>
    </row>
    <row r="2249" spans="2:10" s="1" customFormat="1" ht="12.75" x14ac:dyDescent="0.2">
      <c r="B2249" s="46"/>
      <c r="C2249" s="59"/>
      <c r="D2249" s="60"/>
      <c r="E2249" s="40"/>
      <c r="F2249" s="40"/>
      <c r="G2249" s="40"/>
      <c r="H2249" s="40"/>
      <c r="I2249" s="40"/>
      <c r="J2249" s="41"/>
    </row>
    <row r="2250" spans="2:10" s="1" customFormat="1" ht="12.75" x14ac:dyDescent="0.2">
      <c r="B2250" s="46"/>
      <c r="C2250" s="59"/>
      <c r="D2250" s="60"/>
      <c r="E2250" s="40"/>
      <c r="F2250" s="40"/>
      <c r="G2250" s="40"/>
      <c r="H2250" s="40"/>
      <c r="I2250" s="40"/>
      <c r="J2250" s="41"/>
    </row>
    <row r="2251" spans="2:10" s="1" customFormat="1" ht="12.75" x14ac:dyDescent="0.2">
      <c r="B2251" s="46"/>
      <c r="C2251" s="59"/>
      <c r="D2251" s="60"/>
      <c r="E2251" s="40"/>
      <c r="F2251" s="40"/>
      <c r="G2251" s="40"/>
      <c r="H2251" s="40"/>
      <c r="I2251" s="40"/>
      <c r="J2251" s="41"/>
    </row>
    <row r="2252" spans="2:10" s="1" customFormat="1" ht="12.75" x14ac:dyDescent="0.2">
      <c r="B2252" s="46"/>
      <c r="C2252" s="59"/>
      <c r="D2252" s="60"/>
      <c r="E2252" s="40"/>
      <c r="F2252" s="40"/>
      <c r="G2252" s="40"/>
      <c r="H2252" s="40"/>
      <c r="I2252" s="40"/>
      <c r="J2252" s="41"/>
    </row>
    <row r="2253" spans="2:10" s="1" customFormat="1" ht="12.75" x14ac:dyDescent="0.2">
      <c r="C2253" s="98" t="s">
        <v>37</v>
      </c>
      <c r="D2253" s="98"/>
      <c r="E2253" s="98"/>
      <c r="F2253" s="98"/>
      <c r="G2253" s="98"/>
      <c r="H2253" s="98"/>
    </row>
    <row r="2254" spans="2:10" s="1" customFormat="1" ht="12.75" x14ac:dyDescent="0.2">
      <c r="C2254" s="98" t="s">
        <v>38</v>
      </c>
      <c r="D2254" s="98"/>
      <c r="E2254" s="98"/>
      <c r="F2254" s="98"/>
      <c r="G2254" s="98"/>
      <c r="H2254" s="98"/>
    </row>
    <row r="2255" spans="2:10" s="1" customFormat="1" ht="12.75" x14ac:dyDescent="0.2">
      <c r="C2255" s="98" t="s">
        <v>39</v>
      </c>
      <c r="D2255" s="98"/>
      <c r="E2255" s="98"/>
      <c r="F2255" s="98"/>
      <c r="G2255" s="98"/>
      <c r="H2255" s="98"/>
    </row>
    <row r="2256" spans="2:10" s="1" customFormat="1" ht="12.75" x14ac:dyDescent="0.2">
      <c r="C2256" s="99" t="s">
        <v>40</v>
      </c>
      <c r="D2256" s="99"/>
      <c r="E2256" s="99"/>
      <c r="F2256" s="99"/>
      <c r="G2256" s="99"/>
      <c r="H2256" s="99"/>
    </row>
    <row r="2257" spans="2:10" s="1" customFormat="1" ht="28.5" customHeight="1" x14ac:dyDescent="0.2">
      <c r="C2257" s="80"/>
      <c r="D2257" s="99"/>
      <c r="E2257" s="99"/>
      <c r="F2257" s="99"/>
      <c r="G2257" s="99"/>
      <c r="H2257" s="99"/>
    </row>
    <row r="2258" spans="2:10" s="1" customFormat="1" ht="15.75" x14ac:dyDescent="0.2">
      <c r="B2258" s="100" t="s">
        <v>65</v>
      </c>
      <c r="C2258" s="101"/>
      <c r="D2258" s="101"/>
      <c r="E2258" s="101"/>
      <c r="F2258" s="101"/>
      <c r="G2258" s="101"/>
      <c r="H2258" s="101"/>
      <c r="I2258" s="101"/>
      <c r="J2258" s="102"/>
    </row>
    <row r="2259" spans="2:10" s="1" customFormat="1" ht="20.25" x14ac:dyDescent="0.2">
      <c r="B2259" s="104" t="s">
        <v>367</v>
      </c>
      <c r="C2259" s="105"/>
      <c r="D2259" s="105"/>
      <c r="E2259" s="105"/>
      <c r="F2259" s="105"/>
      <c r="G2259" s="105"/>
      <c r="H2259" s="105"/>
      <c r="I2259" s="105"/>
      <c r="J2259" s="106"/>
    </row>
    <row r="2260" spans="2:10" s="1" customFormat="1" ht="13.5" thickBot="1" x14ac:dyDescent="0.25">
      <c r="B2260" s="81"/>
      <c r="C2260" s="81"/>
      <c r="D2260" s="103"/>
      <c r="E2260" s="103"/>
      <c r="F2260" s="103"/>
      <c r="G2260" s="103"/>
      <c r="H2260" s="103"/>
      <c r="I2260" s="103"/>
      <c r="J2260" s="103"/>
    </row>
    <row r="2261" spans="2:10" s="1" customFormat="1" ht="165.75" x14ac:dyDescent="0.2">
      <c r="B2261" s="94" t="s">
        <v>27</v>
      </c>
      <c r="C2261" s="95"/>
      <c r="D2261" s="95"/>
      <c r="E2261" s="95"/>
      <c r="F2261" s="95"/>
      <c r="G2261" s="95"/>
      <c r="H2261" s="95"/>
      <c r="I2261" s="95"/>
      <c r="J2261" s="96"/>
    </row>
    <row r="2262" spans="2:10" s="1" customFormat="1" ht="12.75" x14ac:dyDescent="0.2">
      <c r="B2262" s="2" t="s">
        <v>35</v>
      </c>
      <c r="C2262" s="3" t="s">
        <v>36</v>
      </c>
      <c r="D2262" s="3"/>
      <c r="E2262" s="4"/>
      <c r="F2262" s="5"/>
      <c r="G2262" s="6" t="s">
        <v>8</v>
      </c>
      <c r="H2262" s="97">
        <v>42879</v>
      </c>
      <c r="I2262" s="97"/>
      <c r="J2262" s="7"/>
    </row>
    <row r="2263" spans="2:10" s="1" customFormat="1" ht="12.75" x14ac:dyDescent="0.2">
      <c r="B2263" s="2" t="s">
        <v>33</v>
      </c>
      <c r="C2263" s="3" t="s">
        <v>29</v>
      </c>
      <c r="D2263" s="8"/>
      <c r="E2263" s="8"/>
      <c r="F2263" s="3"/>
      <c r="G2263" s="9" t="s">
        <v>32</v>
      </c>
      <c r="H2263" s="4" t="s">
        <v>29</v>
      </c>
      <c r="I2263" s="10"/>
      <c r="J2263" s="11"/>
    </row>
    <row r="2264" spans="2:10" s="1" customFormat="1" ht="12.75" x14ac:dyDescent="0.2">
      <c r="B2264" s="2" t="s">
        <v>34</v>
      </c>
      <c r="C2264" s="3" t="s">
        <v>29</v>
      </c>
      <c r="D2264" s="8"/>
      <c r="E2264" s="8"/>
      <c r="F2264" s="3"/>
      <c r="G2264" s="9" t="s">
        <v>30</v>
      </c>
      <c r="H2264" s="4" t="s">
        <v>31</v>
      </c>
      <c r="I2264" s="10"/>
      <c r="J2264" s="11"/>
    </row>
    <row r="2265" spans="2:10" s="1" customFormat="1" ht="13.5" thickBot="1" x14ac:dyDescent="0.25">
      <c r="B2265" s="12" t="s">
        <v>43</v>
      </c>
      <c r="C2265" s="13" t="s">
        <v>44</v>
      </c>
      <c r="D2265" s="14"/>
      <c r="E2265" s="14"/>
      <c r="F2265" s="13"/>
      <c r="G2265" s="15" t="s">
        <v>41</v>
      </c>
      <c r="H2265" s="16" t="s">
        <v>42</v>
      </c>
      <c r="I2265" s="17"/>
      <c r="J2265" s="18"/>
    </row>
    <row r="2266" spans="2:10" s="1" customFormat="1" ht="12.75" x14ac:dyDescent="0.2">
      <c r="B2266" s="81"/>
      <c r="C2266" s="81"/>
      <c r="D2266" s="103"/>
      <c r="E2266" s="103"/>
      <c r="F2266" s="103"/>
      <c r="G2266" s="103"/>
      <c r="H2266" s="103"/>
      <c r="I2266" s="103"/>
      <c r="J2266" s="103"/>
    </row>
    <row r="2267" spans="2:10" s="1" customFormat="1" ht="12.75" x14ac:dyDescent="0.2">
      <c r="B2267" s="21" t="s">
        <v>5</v>
      </c>
      <c r="C2267" s="22" t="s">
        <v>0</v>
      </c>
      <c r="D2267" s="22" t="s">
        <v>9</v>
      </c>
      <c r="E2267" s="22" t="s">
        <v>10</v>
      </c>
      <c r="F2267" s="22" t="s">
        <v>1</v>
      </c>
      <c r="G2267" s="22" t="s">
        <v>2</v>
      </c>
      <c r="H2267" s="22" t="s">
        <v>11</v>
      </c>
      <c r="I2267" s="22" t="s">
        <v>6</v>
      </c>
      <c r="J2267" s="22" t="s">
        <v>7</v>
      </c>
    </row>
    <row r="2268" spans="2:10" s="1" customFormat="1" ht="12.75" x14ac:dyDescent="0.2">
      <c r="B2268" s="55">
        <v>4.03</v>
      </c>
      <c r="C2268" s="56" t="s">
        <v>222</v>
      </c>
      <c r="D2268" s="60"/>
      <c r="E2268" s="40"/>
      <c r="F2268" s="40"/>
      <c r="G2268" s="40"/>
      <c r="H2268" s="40"/>
      <c r="I2268" s="40"/>
      <c r="J2268" s="41"/>
    </row>
    <row r="2269" spans="2:10" s="1" customFormat="1" ht="12.75" x14ac:dyDescent="0.2">
      <c r="B2269" s="57" t="s">
        <v>14</v>
      </c>
      <c r="C2269" s="58" t="s">
        <v>225</v>
      </c>
      <c r="D2269" s="60"/>
      <c r="E2269" s="40"/>
      <c r="F2269" s="40"/>
      <c r="G2269" s="40"/>
      <c r="H2269" s="40"/>
      <c r="I2269" s="40"/>
      <c r="J2269" s="41"/>
    </row>
    <row r="2270" spans="2:10" s="1" customFormat="1" ht="12.75" x14ac:dyDescent="0.2">
      <c r="B2270" s="43" t="s">
        <v>15</v>
      </c>
      <c r="C2270" s="43" t="s">
        <v>359</v>
      </c>
      <c r="D2270" s="60"/>
      <c r="E2270" s="40"/>
      <c r="F2270" s="40"/>
      <c r="G2270" s="40"/>
      <c r="H2270" s="40"/>
      <c r="I2270" s="44">
        <f>SUM(H2271:H2271)</f>
        <v>6.4</v>
      </c>
      <c r="J2270" s="45" t="str">
        <f>+J2271</f>
        <v>ml</v>
      </c>
    </row>
    <row r="2271" spans="2:10" s="1" customFormat="1" ht="12.75" x14ac:dyDescent="0.2">
      <c r="B2271" s="43"/>
      <c r="C2271" s="39" t="s">
        <v>463</v>
      </c>
      <c r="D2271" s="60">
        <v>1</v>
      </c>
      <c r="E2271" s="40">
        <v>6.4</v>
      </c>
      <c r="F2271" s="40"/>
      <c r="G2271" s="40"/>
      <c r="H2271" s="40">
        <f>IF(AND(F2271=0,G2271=0),D2271*E2271,IF(AND(E2271=0,G2271=0),D2271*F2271,IF(AND(E2271=0,F2271=0),D2271*G2271,IF(AND(E2271=0),D2271*F2271*G2271,IF(AND(F2271=0),D2271*E2271*G2271,IF(AND(G2271=0),D2271*E2271*F2271,D2271*E2271*F2271*G2271))))))</f>
        <v>6.4</v>
      </c>
      <c r="I2271" s="40"/>
      <c r="J2271" s="41" t="str">
        <f>IF(AND(E2271=0,F2271&lt;&gt;0,G2271&lt;&gt;0),"m2",IF(AND(F2271=0,E2271&lt;&gt;0,G2271&lt;&gt;0),"m2",IF(AND(G2271=0,E2271&lt;&gt;0,F2271&lt;&gt;0),"m2",IF(AND(F2271=0,G2271=0),"ml",IF(AND(E2271=0,G2271=0),"ml",IF(AND(E2271=0,F2271=0),"ml",IF(AND(E2271&lt;&gt;0,F2271&lt;&gt;0,G2271&lt;&gt;0),"m3",0)))))))</f>
        <v>ml</v>
      </c>
    </row>
    <row r="2272" spans="2:10" s="1" customFormat="1" ht="12.75" x14ac:dyDescent="0.2">
      <c r="B2272" s="43"/>
      <c r="C2272" s="39"/>
      <c r="D2272" s="40"/>
      <c r="E2272" s="40"/>
      <c r="F2272" s="40"/>
      <c r="G2272" s="40"/>
      <c r="H2272" s="40"/>
      <c r="I2272" s="40"/>
      <c r="J2272" s="41" t="str">
        <f>IF(AND(E2272=0,F2272&lt;&gt;0,G2272&lt;&gt;0),"m2",IF(AND(F2272=0,E2272&lt;&gt;0,G2272&lt;&gt;0),"m2",IF(AND(G2272=0,E2272&lt;&gt;0,F2272&lt;&gt;0),"m2",IF(AND(F2272=0,G2272=0),"ml",IF(AND(E2272=0,G2272=0),"ml",IF(AND(E2272=0,F2272=0),"ml",IF(AND(E2272&lt;&gt;0,F2272&lt;&gt;0,G2272&lt;&gt;0),"m3",0)))))))</f>
        <v>ml</v>
      </c>
    </row>
    <row r="2273" spans="2:10" s="1" customFormat="1" ht="12.75" x14ac:dyDescent="0.2">
      <c r="B2273" s="43" t="s">
        <v>232</v>
      </c>
      <c r="C2273" s="43" t="s">
        <v>235</v>
      </c>
      <c r="D2273" s="60"/>
      <c r="E2273" s="40"/>
      <c r="F2273" s="40"/>
      <c r="G2273" s="40"/>
      <c r="H2273" s="40"/>
      <c r="I2273" s="44">
        <f>SUM(H2274:H2275)</f>
        <v>110</v>
      </c>
      <c r="J2273" s="45" t="str">
        <f>+J2274</f>
        <v>ml</v>
      </c>
    </row>
    <row r="2274" spans="2:10" s="1" customFormat="1" ht="12.75" x14ac:dyDescent="0.2">
      <c r="B2274" s="57"/>
      <c r="C2274" s="39" t="s">
        <v>378</v>
      </c>
      <c r="D2274" s="40">
        <v>7</v>
      </c>
      <c r="E2274" s="40">
        <v>11.6</v>
      </c>
      <c r="F2274" s="40"/>
      <c r="G2274" s="40"/>
      <c r="H2274" s="40">
        <f>IF(AND(F2274=0,G2274=0),D2274*E2274,IF(AND(E2274=0,G2274=0),D2274*F2274,IF(AND(E2274=0,F2274=0),D2274*G2274,IF(AND(E2274=0),D2274*F2274*G2274,IF(AND(F2274=0),D2274*E2274*G2274,IF(AND(G2274=0),D2274*E2274*F2274,D2274*E2274*F2274*G2274))))))</f>
        <v>81.2</v>
      </c>
      <c r="I2274" s="40"/>
      <c r="J2274" s="41" t="str">
        <f>IF(AND(E2274=0,F2274&lt;&gt;0,G2274&lt;&gt;0),"m2",IF(AND(F2274=0,E2274&lt;&gt;0,G2274&lt;&gt;0),"m2",IF(AND(G2274=0,E2274&lt;&gt;0,F2274&lt;&gt;0),"m2",IF(AND(F2274=0,G2274=0),"ml",IF(AND(E2274=0,G2274=0),"ml",IF(AND(E2274=0,F2274=0),"ml",IF(AND(E2274&lt;&gt;0,F2274&lt;&gt;0,G2274&lt;&gt;0),"m3",0)))))))</f>
        <v>ml</v>
      </c>
    </row>
    <row r="2275" spans="2:10" s="1" customFormat="1" ht="12.75" x14ac:dyDescent="0.2">
      <c r="B2275" s="57"/>
      <c r="C2275" s="39" t="s">
        <v>379</v>
      </c>
      <c r="D2275" s="40">
        <v>1</v>
      </c>
      <c r="E2275" s="40">
        <v>28.8</v>
      </c>
      <c r="F2275" s="40"/>
      <c r="G2275" s="40"/>
      <c r="H2275" s="40">
        <f>IF(AND(F2275=0,G2275=0),D2275*E2275,IF(AND(E2275=0,G2275=0),D2275*F2275,IF(AND(E2275=0,F2275=0),D2275*G2275,IF(AND(E2275=0),D2275*F2275*G2275,IF(AND(F2275=0),D2275*E2275*G2275,IF(AND(G2275=0),D2275*E2275*F2275,D2275*E2275*F2275*G2275))))))</f>
        <v>28.8</v>
      </c>
      <c r="I2275" s="40"/>
      <c r="J2275" s="41" t="str">
        <f>IF(AND(E2275=0,F2275&lt;&gt;0,G2275&lt;&gt;0),"m2",IF(AND(F2275=0,E2275&lt;&gt;0,G2275&lt;&gt;0),"m2",IF(AND(G2275=0,E2275&lt;&gt;0,F2275&lt;&gt;0),"m2",IF(AND(F2275=0,G2275=0),"ml",IF(AND(E2275=0,G2275=0),"ml",IF(AND(E2275=0,F2275=0),"ml",IF(AND(E2275&lt;&gt;0,F2275&lt;&gt;0,G2275&lt;&gt;0),"m3",0)))))))</f>
        <v>ml</v>
      </c>
    </row>
    <row r="2276" spans="2:10" s="1" customFormat="1" ht="12.75" x14ac:dyDescent="0.2">
      <c r="B2276" s="43" t="s">
        <v>233</v>
      </c>
      <c r="C2276" s="43" t="s">
        <v>236</v>
      </c>
      <c r="D2276" s="60"/>
      <c r="E2276" s="40"/>
      <c r="F2276" s="40"/>
      <c r="G2276" s="40"/>
      <c r="H2276" s="40"/>
      <c r="I2276" s="44">
        <f>SUM(H2277:H2277)</f>
        <v>0</v>
      </c>
      <c r="J2276" s="45" t="str">
        <f>+J2277</f>
        <v>ml</v>
      </c>
    </row>
    <row r="2277" spans="2:10" s="1" customFormat="1" ht="12.75" x14ac:dyDescent="0.2">
      <c r="B2277" s="57"/>
      <c r="C2277" s="39" t="s">
        <v>378</v>
      </c>
      <c r="D2277" s="40"/>
      <c r="E2277" s="40"/>
      <c r="F2277" s="40"/>
      <c r="G2277" s="40"/>
      <c r="H2277" s="40">
        <f>IF(AND(F2277=0,G2277=0),D2277*E2277,IF(AND(E2277=0,G2277=0),D2277*F2277,IF(AND(E2277=0,F2277=0),D2277*G2277,IF(AND(E2277=0),D2277*F2277*G2277,IF(AND(F2277=0),D2277*E2277*G2277,IF(AND(G2277=0),D2277*E2277*F2277,D2277*E2277*F2277*G2277))))))</f>
        <v>0</v>
      </c>
      <c r="I2277" s="40"/>
      <c r="J2277" s="41" t="str">
        <f>IF(AND(E2277=0,F2277&lt;&gt;0,G2277&lt;&gt;0),"m2",IF(AND(F2277=0,E2277&lt;&gt;0,G2277&lt;&gt;0),"m2",IF(AND(G2277=0,E2277&lt;&gt;0,F2277&lt;&gt;0),"m2",IF(AND(F2277=0,G2277=0),"ml",IF(AND(E2277=0,G2277=0),"ml",IF(AND(E2277=0,F2277=0),"ml",IF(AND(E2277&lt;&gt;0,F2277&lt;&gt;0,G2277&lt;&gt;0),"m3",0)))))))</f>
        <v>ml</v>
      </c>
    </row>
    <row r="2278" spans="2:10" s="1" customFormat="1" ht="12.75" x14ac:dyDescent="0.2">
      <c r="B2278" s="57"/>
      <c r="C2278" s="39" t="s">
        <v>379</v>
      </c>
      <c r="D2278" s="40"/>
      <c r="E2278" s="40"/>
      <c r="F2278" s="40"/>
      <c r="G2278" s="40"/>
      <c r="H2278" s="40">
        <f>IF(AND(F2278=0,G2278=0),D2278*E2278,IF(AND(E2278=0,G2278=0),D2278*F2278,IF(AND(E2278=0,F2278=0),D2278*G2278,IF(AND(E2278=0),D2278*F2278*G2278,IF(AND(F2278=0),D2278*E2278*G2278,IF(AND(G2278=0),D2278*E2278*F2278,D2278*E2278*F2278*G2278))))))</f>
        <v>0</v>
      </c>
      <c r="I2278" s="40"/>
      <c r="J2278" s="41" t="str">
        <f>IF(AND(E2278=0,F2278&lt;&gt;0,G2278&lt;&gt;0),"m2",IF(AND(F2278=0,E2278&lt;&gt;0,G2278&lt;&gt;0),"m2",IF(AND(G2278=0,E2278&lt;&gt;0,F2278&lt;&gt;0),"m2",IF(AND(F2278=0,G2278=0),"ml",IF(AND(E2278=0,G2278=0),"ml",IF(AND(E2278=0,F2278=0),"ml",IF(AND(E2278&lt;&gt;0,F2278&lt;&gt;0,G2278&lt;&gt;0),"m3",0)))))))</f>
        <v>ml</v>
      </c>
    </row>
    <row r="2279" spans="2:10" s="1" customFormat="1" ht="12.75" x14ac:dyDescent="0.2">
      <c r="B2279" s="43" t="s">
        <v>234</v>
      </c>
      <c r="C2279" s="43" t="s">
        <v>267</v>
      </c>
      <c r="D2279" s="60"/>
      <c r="E2279" s="40"/>
      <c r="F2279" s="40"/>
      <c r="G2279" s="40"/>
      <c r="H2279" s="40"/>
      <c r="I2279" s="44">
        <f>+SUM(H2280)</f>
        <v>63.300000000000004</v>
      </c>
      <c r="J2279" s="45" t="s">
        <v>345</v>
      </c>
    </row>
    <row r="2280" spans="2:10" s="1" customFormat="1" ht="12.75" x14ac:dyDescent="0.2">
      <c r="B2280" s="43"/>
      <c r="C2280" s="43" t="s">
        <v>349</v>
      </c>
      <c r="D2280" s="60">
        <v>6</v>
      </c>
      <c r="E2280" s="40">
        <f>9.8+0.75</f>
        <v>10.55</v>
      </c>
      <c r="F2280" s="40"/>
      <c r="G2280" s="40"/>
      <c r="H2280" s="40">
        <f>IF(AND(F2280=0,G2280=0),D2280*E2280,IF(AND(E2280=0,G2280=0),D2280*F2280,IF(AND(E2280=0,F2280=0),D2280*G2280,IF(AND(E2280=0),D2280*F2280*G2280,IF(AND(F2280=0),D2280*E2280*G2280,IF(AND(G2280=0),D2280*E2280*F2280,D2280*E2280*F2280*G2280))))))</f>
        <v>63.300000000000004</v>
      </c>
      <c r="I2280" s="44"/>
      <c r="J2280" s="45"/>
    </row>
    <row r="2281" spans="2:10" s="1" customFormat="1" ht="12.75" x14ac:dyDescent="0.2">
      <c r="B2281" s="43"/>
      <c r="C2281" s="43"/>
      <c r="D2281" s="60"/>
      <c r="E2281" s="40"/>
      <c r="F2281" s="40"/>
      <c r="G2281" s="40"/>
      <c r="H2281" s="40"/>
      <c r="I2281" s="44"/>
      <c r="J2281" s="45"/>
    </row>
    <row r="2282" spans="2:10" s="1" customFormat="1" ht="12.75" x14ac:dyDescent="0.2">
      <c r="B2282" s="43" t="s">
        <v>268</v>
      </c>
      <c r="C2282" s="43" t="s">
        <v>347</v>
      </c>
      <c r="D2282" s="60"/>
      <c r="E2282" s="40"/>
      <c r="F2282" s="40"/>
      <c r="G2282" s="40"/>
      <c r="H2282" s="40"/>
      <c r="I2282" s="44">
        <f>+SUM(H2283:H2284)</f>
        <v>12.55</v>
      </c>
      <c r="J2282" s="45" t="s">
        <v>345</v>
      </c>
    </row>
    <row r="2283" spans="2:10" s="1" customFormat="1" ht="12.75" x14ac:dyDescent="0.2">
      <c r="B2283" s="57"/>
      <c r="C2283" s="39" t="s">
        <v>528</v>
      </c>
      <c r="D2283" s="60">
        <v>1</v>
      </c>
      <c r="E2283" s="89">
        <v>10.55</v>
      </c>
      <c r="F2283" s="40"/>
      <c r="G2283" s="40"/>
      <c r="H2283" s="40">
        <f>IF(AND(F2283=0,G2283=0),D2283*E2283,IF(AND(E2283=0,G2283=0),D2283*F2283,IF(AND(E2283=0,F2283=0),D2283*G2283,IF(AND(E2283=0),D2283*F2283*G2283,IF(AND(F2283=0),D2283*E2283*G2283,IF(AND(G2283=0),D2283*E2283*F2283,D2283*E2283*F2283*G2283))))))</f>
        <v>10.55</v>
      </c>
      <c r="I2283" s="40"/>
      <c r="J2283" s="41" t="s">
        <v>345</v>
      </c>
    </row>
    <row r="2284" spans="2:10" s="1" customFormat="1" ht="12.75" x14ac:dyDescent="0.2">
      <c r="B2284" s="57"/>
      <c r="C2284" s="39" t="s">
        <v>663</v>
      </c>
      <c r="D2284" s="60">
        <v>1</v>
      </c>
      <c r="E2284" s="40">
        <v>2</v>
      </c>
      <c r="F2284" s="40"/>
      <c r="G2284" s="40"/>
      <c r="H2284" s="40">
        <f>IF(AND(F2284=0,G2284=0),D2284*E2284,IF(AND(E2284=0,G2284=0),D2284*F2284,IF(AND(E2284=0,F2284=0),D2284*G2284,IF(AND(E2284=0),D2284*F2284*G2284,IF(AND(F2284=0),D2284*E2284*G2284,IF(AND(G2284=0),D2284*E2284*F2284,D2284*E2284*F2284*G2284))))))</f>
        <v>2</v>
      </c>
      <c r="I2284" s="40"/>
      <c r="J2284" s="41"/>
    </row>
    <row r="2285" spans="2:10" s="1" customFormat="1" ht="12.75" x14ac:dyDescent="0.2">
      <c r="B2285" s="57"/>
      <c r="C2285" s="39"/>
      <c r="D2285" s="60"/>
      <c r="E2285" s="40"/>
      <c r="F2285" s="40"/>
      <c r="G2285" s="40"/>
      <c r="H2285" s="40"/>
      <c r="I2285" s="40"/>
      <c r="J2285" s="41"/>
    </row>
    <row r="2286" spans="2:10" s="1" customFormat="1" ht="12.75" x14ac:dyDescent="0.2">
      <c r="B2286" s="43" t="s">
        <v>270</v>
      </c>
      <c r="C2286" s="43" t="s">
        <v>269</v>
      </c>
      <c r="D2286" s="60"/>
      <c r="E2286" s="40"/>
      <c r="F2286" s="40"/>
      <c r="G2286" s="40"/>
      <c r="H2286" s="40"/>
      <c r="I2286" s="44">
        <f>SUM(H2287:H2293)</f>
        <v>0</v>
      </c>
      <c r="J2286" s="45" t="str">
        <f>+J2287</f>
        <v>ml</v>
      </c>
    </row>
    <row r="2287" spans="2:10" s="1" customFormat="1" ht="12.75" x14ac:dyDescent="0.2">
      <c r="B2287" s="43"/>
      <c r="C2287" s="77" t="s">
        <v>71</v>
      </c>
      <c r="D2287" s="40"/>
      <c r="E2287" s="40"/>
      <c r="F2287" s="40"/>
      <c r="G2287" s="40"/>
      <c r="H2287" s="40">
        <f t="shared" ref="H2287:H2293" si="158">IF(AND(F2287=0,G2287=0),D2287*E2287,IF(AND(E2287=0,G2287=0),D2287*F2287,IF(AND(E2287=0,F2287=0),D2287*G2287,IF(AND(E2287=0),D2287*F2287*G2287,IF(AND(F2287=0),D2287*E2287*G2287,IF(AND(G2287=0),D2287*E2287*F2287,D2287*E2287*F2287*G2287))))))</f>
        <v>0</v>
      </c>
      <c r="I2287" s="40"/>
      <c r="J2287" s="41" t="str">
        <f t="shared" ref="J2287:J2293" si="159">IF(AND(E2287=0,F2287&lt;&gt;0,G2287&lt;&gt;0),"m2",IF(AND(F2287=0,E2287&lt;&gt;0,G2287&lt;&gt;0),"m2",IF(AND(G2287=0,E2287&lt;&gt;0,F2287&lt;&gt;0),"m2",IF(AND(F2287=0,G2287=0),"ml",IF(AND(E2287=0,G2287=0),"ml",IF(AND(E2287=0,F2287=0),"ml",IF(AND(E2287&lt;&gt;0,F2287&lt;&gt;0,G2287&lt;&gt;0),"m3",0)))))))</f>
        <v>ml</v>
      </c>
    </row>
    <row r="2288" spans="2:10" s="1" customFormat="1" ht="12.75" x14ac:dyDescent="0.2">
      <c r="B2288" s="43"/>
      <c r="C2288" s="39" t="s">
        <v>349</v>
      </c>
      <c r="D2288" s="40"/>
      <c r="E2288" s="40"/>
      <c r="F2288" s="40"/>
      <c r="G2288" s="40"/>
      <c r="H2288" s="40">
        <f t="shared" si="158"/>
        <v>0</v>
      </c>
      <c r="I2288" s="40"/>
      <c r="J2288" s="41" t="str">
        <f t="shared" si="159"/>
        <v>ml</v>
      </c>
    </row>
    <row r="2289" spans="2:10" s="1" customFormat="1" ht="12.75" x14ac:dyDescent="0.2">
      <c r="B2289" s="43"/>
      <c r="C2289" s="39" t="s">
        <v>369</v>
      </c>
      <c r="D2289" s="40"/>
      <c r="E2289" s="40"/>
      <c r="F2289" s="40"/>
      <c r="G2289" s="40"/>
      <c r="H2289" s="40">
        <f t="shared" si="158"/>
        <v>0</v>
      </c>
      <c r="I2289" s="40"/>
      <c r="J2289" s="41" t="str">
        <f t="shared" si="159"/>
        <v>ml</v>
      </c>
    </row>
    <row r="2290" spans="2:10" s="1" customFormat="1" ht="12.75" x14ac:dyDescent="0.2">
      <c r="B2290" s="43"/>
      <c r="C2290" s="77" t="s">
        <v>72</v>
      </c>
      <c r="D2290" s="40"/>
      <c r="E2290" s="40"/>
      <c r="F2290" s="40"/>
      <c r="G2290" s="40"/>
      <c r="H2290" s="40">
        <f t="shared" si="158"/>
        <v>0</v>
      </c>
      <c r="I2290" s="40"/>
      <c r="J2290" s="41" t="str">
        <f t="shared" si="159"/>
        <v>ml</v>
      </c>
    </row>
    <row r="2291" spans="2:10" s="1" customFormat="1" ht="12.75" x14ac:dyDescent="0.2">
      <c r="B2291" s="43"/>
      <c r="C2291" s="39" t="s">
        <v>349</v>
      </c>
      <c r="D2291" s="40"/>
      <c r="E2291" s="40"/>
      <c r="F2291" s="40"/>
      <c r="G2291" s="40"/>
      <c r="H2291" s="40">
        <f t="shared" si="158"/>
        <v>0</v>
      </c>
      <c r="I2291" s="40"/>
      <c r="J2291" s="41" t="str">
        <f t="shared" si="159"/>
        <v>ml</v>
      </c>
    </row>
    <row r="2292" spans="2:10" s="1" customFormat="1" ht="12.75" x14ac:dyDescent="0.2">
      <c r="B2292" s="43"/>
      <c r="C2292" s="77" t="s">
        <v>73</v>
      </c>
      <c r="D2292" s="40"/>
      <c r="E2292" s="40"/>
      <c r="F2292" s="40"/>
      <c r="G2292" s="40"/>
      <c r="H2292" s="40">
        <f t="shared" si="158"/>
        <v>0</v>
      </c>
      <c r="I2292" s="40"/>
      <c r="J2292" s="41" t="str">
        <f t="shared" si="159"/>
        <v>ml</v>
      </c>
    </row>
    <row r="2293" spans="2:10" s="1" customFormat="1" ht="12.75" x14ac:dyDescent="0.2">
      <c r="B2293" s="43"/>
      <c r="C2293" s="39" t="s">
        <v>349</v>
      </c>
      <c r="D2293" s="40"/>
      <c r="E2293" s="40"/>
      <c r="F2293" s="40"/>
      <c r="G2293" s="40"/>
      <c r="H2293" s="40">
        <f t="shared" si="158"/>
        <v>0</v>
      </c>
      <c r="I2293" s="40"/>
      <c r="J2293" s="41" t="str">
        <f t="shared" si="159"/>
        <v>ml</v>
      </c>
    </row>
    <row r="2294" spans="2:10" s="1" customFormat="1" ht="12.75" x14ac:dyDescent="0.2">
      <c r="B2294" s="43"/>
      <c r="C2294" s="39"/>
      <c r="D2294" s="60"/>
      <c r="E2294" s="40"/>
      <c r="F2294" s="40"/>
      <c r="G2294" s="40"/>
      <c r="H2294" s="40"/>
      <c r="I2294" s="40"/>
      <c r="J2294" s="41"/>
    </row>
    <row r="2295" spans="2:10" s="1" customFormat="1" ht="12.75" x14ac:dyDescent="0.2">
      <c r="B2295" s="43" t="s">
        <v>342</v>
      </c>
      <c r="C2295" s="43" t="s">
        <v>271</v>
      </c>
      <c r="D2295" s="60"/>
      <c r="E2295" s="40"/>
      <c r="F2295" s="40"/>
      <c r="G2295" s="40"/>
      <c r="H2295" s="40"/>
      <c r="I2295" s="44">
        <f>SUM(H2296:H2296)</f>
        <v>0</v>
      </c>
      <c r="J2295" s="45" t="str">
        <f>+J2296</f>
        <v>und</v>
      </c>
    </row>
    <row r="2296" spans="2:10" s="1" customFormat="1" ht="12.75" x14ac:dyDescent="0.2">
      <c r="B2296" s="57"/>
      <c r="C2296" s="39" t="s">
        <v>370</v>
      </c>
      <c r="D2296" s="40"/>
      <c r="E2296" s="40"/>
      <c r="F2296" s="40"/>
      <c r="G2296" s="40"/>
      <c r="H2296" s="40">
        <f>+D2296</f>
        <v>0</v>
      </c>
      <c r="I2296" s="40"/>
      <c r="J2296" s="41" t="s">
        <v>13</v>
      </c>
    </row>
    <row r="2297" spans="2:10" s="1" customFormat="1" ht="12.75" x14ac:dyDescent="0.2">
      <c r="B2297" s="43" t="s">
        <v>346</v>
      </c>
      <c r="C2297" s="43" t="s">
        <v>348</v>
      </c>
      <c r="D2297" s="60"/>
      <c r="E2297" s="40"/>
      <c r="F2297" s="40"/>
      <c r="G2297" s="40"/>
      <c r="H2297" s="40"/>
      <c r="I2297" s="44">
        <f>SUM(H2298:H2299)</f>
        <v>1</v>
      </c>
      <c r="J2297" s="45" t="str">
        <f>+J2298</f>
        <v>und</v>
      </c>
    </row>
    <row r="2298" spans="2:10" s="1" customFormat="1" ht="12.75" x14ac:dyDescent="0.2">
      <c r="B2298" s="57"/>
      <c r="C2298" s="39" t="s">
        <v>349</v>
      </c>
      <c r="D2298" s="40">
        <v>0</v>
      </c>
      <c r="E2298" s="40"/>
      <c r="F2298" s="40"/>
      <c r="G2298" s="40"/>
      <c r="H2298" s="40">
        <f>+D2298</f>
        <v>0</v>
      </c>
      <c r="I2298" s="40"/>
      <c r="J2298" s="41" t="s">
        <v>13</v>
      </c>
    </row>
    <row r="2299" spans="2:10" s="1" customFormat="1" ht="12.75" x14ac:dyDescent="0.2">
      <c r="B2299" s="57"/>
      <c r="C2299" s="39" t="s">
        <v>643</v>
      </c>
      <c r="D2299" s="60">
        <v>1</v>
      </c>
      <c r="E2299" s="40"/>
      <c r="F2299" s="40"/>
      <c r="G2299" s="40"/>
      <c r="H2299" s="40">
        <v>1</v>
      </c>
      <c r="I2299" s="40"/>
      <c r="J2299" s="41"/>
    </row>
    <row r="2300" spans="2:10" s="1" customFormat="1" ht="12.75" x14ac:dyDescent="0.2">
      <c r="B2300" s="57" t="s">
        <v>16</v>
      </c>
      <c r="C2300" s="58" t="s">
        <v>224</v>
      </c>
      <c r="D2300" s="60"/>
      <c r="E2300" s="40"/>
      <c r="F2300" s="40"/>
      <c r="G2300" s="40"/>
      <c r="H2300" s="40"/>
      <c r="I2300" s="40"/>
      <c r="J2300" s="41"/>
    </row>
    <row r="2301" spans="2:10" s="1" customFormat="1" ht="12.75" x14ac:dyDescent="0.2">
      <c r="B2301" s="43" t="s">
        <v>17</v>
      </c>
      <c r="C2301" s="43" t="s">
        <v>343</v>
      </c>
      <c r="D2301" s="60"/>
      <c r="E2301" s="40"/>
      <c r="F2301" s="40"/>
      <c r="G2301" s="40"/>
      <c r="H2301" s="40"/>
      <c r="I2301" s="44">
        <f>SUM(H2302:H2303)</f>
        <v>0</v>
      </c>
      <c r="J2301" s="45" t="str">
        <f>+J2302</f>
        <v>ml</v>
      </c>
    </row>
    <row r="2302" spans="2:10" s="1" customFormat="1" ht="12.75" x14ac:dyDescent="0.2">
      <c r="B2302" s="57"/>
      <c r="C2302" s="39" t="s">
        <v>425</v>
      </c>
      <c r="D2302" s="40"/>
      <c r="E2302" s="40"/>
      <c r="F2302" s="40"/>
      <c r="G2302" s="40"/>
      <c r="H2302" s="40">
        <f>IF(AND(F2302=0,G2302=0),D2302*E2302,IF(AND(E2302=0,G2302=0),D2302*F2302,IF(AND(E2302=0,F2302=0),D2302*G2302,IF(AND(E2302=0),D2302*F2302*G2302,IF(AND(F2302=0),D2302*E2302*G2302,IF(AND(G2302=0),D2302*E2302*F2302,D2302*E2302*F2302*G2302))))))</f>
        <v>0</v>
      </c>
      <c r="I2302" s="40"/>
      <c r="J2302" s="41" t="str">
        <f>IF(AND(E2302=0,F2302&lt;&gt;0,G2302&lt;&gt;0),"m2",IF(AND(F2302=0,E2302&lt;&gt;0,G2302&lt;&gt;0),"m2",IF(AND(G2302=0,E2302&lt;&gt;0,F2302&lt;&gt;0),"m2",IF(AND(F2302=0,G2302=0),"ml",IF(AND(E2302=0,G2302=0),"ml",IF(AND(E2302=0,F2302=0),"ml",IF(AND(E2302&lt;&gt;0,F2302&lt;&gt;0,G2302&lt;&gt;0),"m3",0)))))))</f>
        <v>ml</v>
      </c>
    </row>
    <row r="2303" spans="2:10" s="1" customFormat="1" ht="12.75" x14ac:dyDescent="0.2">
      <c r="B2303" s="57"/>
      <c r="C2303" s="39" t="s">
        <v>425</v>
      </c>
      <c r="D2303" s="40"/>
      <c r="E2303" s="40"/>
      <c r="F2303" s="40"/>
      <c r="G2303" s="40"/>
      <c r="H2303" s="40">
        <f>IF(AND(F2303=0,G2303=0),D2303*E2303,IF(AND(E2303=0,G2303=0),D2303*F2303,IF(AND(E2303=0,F2303=0),D2303*G2303,IF(AND(E2303=0),D2303*F2303*G2303,IF(AND(F2303=0),D2303*E2303*G2303,IF(AND(G2303=0),D2303*E2303*F2303,D2303*E2303*F2303*G2303))))))</f>
        <v>0</v>
      </c>
      <c r="I2303" s="40"/>
      <c r="J2303" s="41"/>
    </row>
    <row r="2304" spans="2:10" s="1" customFormat="1" ht="12.75" x14ac:dyDescent="0.2">
      <c r="B2304" s="43" t="s">
        <v>240</v>
      </c>
      <c r="C2304" s="43" t="s">
        <v>237</v>
      </c>
      <c r="D2304" s="60"/>
      <c r="E2304" s="40"/>
      <c r="F2304" s="40"/>
      <c r="G2304" s="40"/>
      <c r="H2304" s="40"/>
      <c r="I2304" s="44">
        <f>SUM(H2305:H2307)</f>
        <v>41.65</v>
      </c>
      <c r="J2304" s="45" t="str">
        <f>+J2305</f>
        <v>ml</v>
      </c>
    </row>
    <row r="2305" spans="2:10" s="1" customFormat="1" ht="12.75" x14ac:dyDescent="0.2">
      <c r="B2305" s="57"/>
      <c r="C2305" s="39" t="s">
        <v>433</v>
      </c>
      <c r="D2305" s="40">
        <v>1</v>
      </c>
      <c r="E2305" s="40">
        <f>31.5+6.5</f>
        <v>38</v>
      </c>
      <c r="F2305" s="40"/>
      <c r="G2305" s="40"/>
      <c r="H2305" s="40">
        <f>IF(AND(F2305=0,G2305=0),D2305*E2305,IF(AND(E2305=0,G2305=0),D2305*F2305,IF(AND(E2305=0,F2305=0),D2305*G2305,IF(AND(E2305=0),D2305*F2305*G2305,IF(AND(F2305=0),D2305*E2305*G2305,IF(AND(G2305=0),D2305*E2305*F2305,D2305*E2305*F2305*G2305))))))</f>
        <v>38</v>
      </c>
      <c r="I2305" s="40"/>
      <c r="J2305" s="41" t="str">
        <f>IF(AND(E2305=0,F2305&lt;&gt;0,G2305&lt;&gt;0),"m2",IF(AND(F2305=0,E2305&lt;&gt;0,G2305&lt;&gt;0),"m2",IF(AND(G2305=0,E2305&lt;&gt;0,F2305&lt;&gt;0),"m2",IF(AND(F2305=0,G2305=0),"ml",IF(AND(E2305=0,G2305=0),"ml",IF(AND(E2305=0,F2305=0),"ml",IF(AND(E2305&lt;&gt;0,F2305&lt;&gt;0,G2305&lt;&gt;0),"m3",0)))))))</f>
        <v>ml</v>
      </c>
    </row>
    <row r="2306" spans="2:10" s="1" customFormat="1" ht="12.75" x14ac:dyDescent="0.2">
      <c r="B2306" s="57"/>
      <c r="C2306" s="39" t="s">
        <v>645</v>
      </c>
      <c r="D2306" s="40">
        <v>1</v>
      </c>
      <c r="E2306" s="40">
        <v>3.65</v>
      </c>
      <c r="F2306" s="40"/>
      <c r="G2306" s="40"/>
      <c r="H2306" s="40">
        <f>IF(AND(F2306=0,G2306=0),D2306*E2306,IF(AND(E2306=0,G2306=0),D2306*F2306,IF(AND(E2306=0,F2306=0),D2306*G2306,IF(AND(E2306=0),D2306*F2306*G2306,IF(AND(F2306=0),D2306*E2306*G2306,IF(AND(G2306=0),D2306*E2306*F2306,D2306*E2306*F2306*G2306))))))</f>
        <v>3.65</v>
      </c>
      <c r="I2306" s="40"/>
      <c r="J2306" s="41"/>
    </row>
    <row r="2307" spans="2:10" s="1" customFormat="1" ht="12.75" x14ac:dyDescent="0.2">
      <c r="B2307" s="57"/>
      <c r="C2307" s="39"/>
      <c r="D2307" s="40"/>
      <c r="E2307" s="40"/>
      <c r="F2307" s="40"/>
      <c r="G2307" s="40"/>
      <c r="H2307" s="40"/>
      <c r="I2307" s="40"/>
      <c r="J2307" s="41" t="str">
        <f>IF(AND(E2307=0,F2307&lt;&gt;0,G2307&lt;&gt;0),"m2",IF(AND(F2307=0,E2307&lt;&gt;0,G2307&lt;&gt;0),"m2",IF(AND(G2307=0,E2307&lt;&gt;0,F2307&lt;&gt;0),"m2",IF(AND(F2307=0,G2307=0),"ml",IF(AND(E2307=0,G2307=0),"ml",IF(AND(E2307=0,F2307=0),"ml",IF(AND(E2307&lt;&gt;0,F2307&lt;&gt;0,G2307&lt;&gt;0),"m3",0)))))))</f>
        <v>ml</v>
      </c>
    </row>
    <row r="2308" spans="2:10" s="1" customFormat="1" ht="12.75" x14ac:dyDescent="0.2">
      <c r="B2308" s="43" t="s">
        <v>241</v>
      </c>
      <c r="C2308" s="43" t="s">
        <v>239</v>
      </c>
      <c r="D2308" s="60"/>
      <c r="E2308" s="40"/>
      <c r="F2308" s="40"/>
      <c r="G2308" s="40"/>
      <c r="H2308" s="40"/>
      <c r="I2308" s="44">
        <f>SUM(H2309:H2309)</f>
        <v>0</v>
      </c>
      <c r="J2308" s="45" t="str">
        <f>+J2309</f>
        <v>ml</v>
      </c>
    </row>
    <row r="2309" spans="2:10" s="1" customFormat="1" ht="12.75" x14ac:dyDescent="0.2">
      <c r="B2309" s="57"/>
      <c r="C2309" s="39" t="s">
        <v>400</v>
      </c>
      <c r="D2309" s="40"/>
      <c r="E2309" s="40"/>
      <c r="F2309" s="40"/>
      <c r="G2309" s="40"/>
      <c r="H2309" s="40">
        <f>IF(AND(F2309=0,G2309=0),D2309*E2309,IF(AND(E2309=0,G2309=0),D2309*F2309,IF(AND(E2309=0,F2309=0),D2309*G2309,IF(AND(E2309=0),D2309*F2309*G2309,IF(AND(F2309=0),D2309*E2309*G2309,IF(AND(G2309=0),D2309*E2309*F2309,D2309*E2309*F2309*G2309))))))</f>
        <v>0</v>
      </c>
      <c r="I2309" s="40"/>
      <c r="J2309" s="41" t="str">
        <f>IF(AND(E2309=0,F2309&lt;&gt;0,G2309&lt;&gt;0),"m2",IF(AND(F2309=0,E2309&lt;&gt;0,G2309&lt;&gt;0),"m2",IF(AND(G2309=0,E2309&lt;&gt;0,F2309&lt;&gt;0),"m2",IF(AND(F2309=0,G2309=0),"ml",IF(AND(E2309=0,G2309=0),"ml",IF(AND(E2309=0,F2309=0),"ml",IF(AND(E2309&lt;&gt;0,F2309&lt;&gt;0,G2309&lt;&gt;0),"m3",0)))))))</f>
        <v>ml</v>
      </c>
    </row>
    <row r="2310" spans="2:10" s="1" customFormat="1" ht="12.75" x14ac:dyDescent="0.2">
      <c r="B2310" s="43" t="s">
        <v>243</v>
      </c>
      <c r="C2310" s="43" t="s">
        <v>242</v>
      </c>
      <c r="D2310" s="60"/>
      <c r="E2310" s="40"/>
      <c r="F2310" s="40"/>
      <c r="G2310" s="40"/>
      <c r="H2310" s="40"/>
      <c r="I2310" s="44">
        <f>SUM(H2311:H2311)</f>
        <v>0</v>
      </c>
      <c r="J2310" s="45" t="str">
        <f>+J2311</f>
        <v>ml</v>
      </c>
    </row>
    <row r="2311" spans="2:10" s="1" customFormat="1" ht="12.75" x14ac:dyDescent="0.2">
      <c r="B2311" s="57"/>
      <c r="C2311" s="39" t="s">
        <v>401</v>
      </c>
      <c r="D2311" s="40"/>
      <c r="E2311" s="40"/>
      <c r="F2311" s="40"/>
      <c r="G2311" s="40"/>
      <c r="H2311" s="40">
        <f>IF(AND(F2311=0,G2311=0),D2311*E2311,IF(AND(E2311=0,G2311=0),D2311*F2311,IF(AND(E2311=0,F2311=0),D2311*G2311,IF(AND(E2311=0),D2311*F2311*G2311,IF(AND(F2311=0),D2311*E2311*G2311,IF(AND(G2311=0),D2311*E2311*F2311,D2311*E2311*F2311*G2311))))))</f>
        <v>0</v>
      </c>
      <c r="I2311" s="40"/>
      <c r="J2311" s="41" t="str">
        <f>IF(AND(E2311=0,F2311&lt;&gt;0,G2311&lt;&gt;0),"m2",IF(AND(F2311=0,E2311&lt;&gt;0,G2311&lt;&gt;0),"m2",IF(AND(G2311=0,E2311&lt;&gt;0,F2311&lt;&gt;0),"m2",IF(AND(F2311=0,G2311=0),"ml",IF(AND(E2311=0,G2311=0),"ml",IF(AND(E2311=0,F2311=0),"ml",IF(AND(E2311&lt;&gt;0,F2311&lt;&gt;0,G2311&lt;&gt;0),"m3",0)))))))</f>
        <v>ml</v>
      </c>
    </row>
    <row r="2312" spans="2:10" s="1" customFormat="1" ht="12.75" x14ac:dyDescent="0.2">
      <c r="B2312" s="43" t="s">
        <v>244</v>
      </c>
      <c r="C2312" s="43" t="s">
        <v>245</v>
      </c>
      <c r="D2312" s="60"/>
      <c r="E2312" s="40"/>
      <c r="F2312" s="40"/>
      <c r="G2312" s="40"/>
      <c r="H2312" s="40"/>
      <c r="I2312" s="44">
        <f>SUM(H2313:H2314)</f>
        <v>41.65</v>
      </c>
      <c r="J2312" s="45" t="str">
        <f>+J2313</f>
        <v>ml</v>
      </c>
    </row>
    <row r="2313" spans="2:10" s="1" customFormat="1" ht="12.75" x14ac:dyDescent="0.2">
      <c r="B2313" s="57"/>
      <c r="C2313" s="39" t="s">
        <v>433</v>
      </c>
      <c r="D2313" s="40">
        <v>1</v>
      </c>
      <c r="E2313" s="40">
        <f>31.5+6.5</f>
        <v>38</v>
      </c>
      <c r="F2313" s="40"/>
      <c r="G2313" s="40"/>
      <c r="H2313" s="40">
        <f>IF(AND(F2313=0,G2313=0),D2313*E2313,IF(AND(E2313=0,G2313=0),D2313*F2313,IF(AND(E2313=0,F2313=0),D2313*G2313,IF(AND(E2313=0),D2313*F2313*G2313,IF(AND(F2313=0),D2313*E2313*G2313,IF(AND(G2313=0),D2313*E2313*F2313,D2313*E2313*F2313*G2313))))))</f>
        <v>38</v>
      </c>
      <c r="I2313" s="40"/>
      <c r="J2313" s="41" t="str">
        <f>IF(AND(E2313=0,F2313&lt;&gt;0,G2313&lt;&gt;0),"m2",IF(AND(F2313=0,E2313&lt;&gt;0,G2313&lt;&gt;0),"m2",IF(AND(G2313=0,E2313&lt;&gt;0,F2313&lt;&gt;0),"m2",IF(AND(F2313=0,G2313=0),"ml",IF(AND(E2313=0,G2313=0),"ml",IF(AND(E2313=0,F2313=0),"ml",IF(AND(E2313&lt;&gt;0,F2313&lt;&gt;0,G2313&lt;&gt;0),"m3",0)))))))</f>
        <v>ml</v>
      </c>
    </row>
    <row r="2314" spans="2:10" s="1" customFormat="1" ht="12.75" x14ac:dyDescent="0.2">
      <c r="B2314" s="57"/>
      <c r="C2314" s="39" t="s">
        <v>645</v>
      </c>
      <c r="D2314" s="40">
        <v>1</v>
      </c>
      <c r="E2314" s="40">
        <v>3.65</v>
      </c>
      <c r="F2314" s="40"/>
      <c r="G2314" s="40"/>
      <c r="H2314" s="40">
        <f>IF(AND(F2314=0,G2314=0),D2314*E2314,IF(AND(E2314=0,G2314=0),D2314*F2314,IF(AND(E2314=0,F2314=0),D2314*G2314,IF(AND(E2314=0),D2314*F2314*G2314,IF(AND(F2314=0),D2314*E2314*G2314,IF(AND(G2314=0),D2314*E2314*F2314,D2314*E2314*F2314*G2314))))))</f>
        <v>3.65</v>
      </c>
      <c r="I2314" s="40"/>
      <c r="J2314" s="41" t="str">
        <f>IF(AND(E2314=0,F2314&lt;&gt;0,G2314&lt;&gt;0),"m2",IF(AND(F2314=0,E2314&lt;&gt;0,G2314&lt;&gt;0),"m2",IF(AND(G2314=0,E2314&lt;&gt;0,F2314&lt;&gt;0),"m2",IF(AND(F2314=0,G2314=0),"ml",IF(AND(E2314=0,G2314=0),"ml",IF(AND(E2314=0,F2314=0),"ml",IF(AND(E2314&lt;&gt;0,F2314&lt;&gt;0,G2314&lt;&gt;0),"m3",0)))))))</f>
        <v>ml</v>
      </c>
    </row>
    <row r="2315" spans="2:10" s="1" customFormat="1" ht="12.75" x14ac:dyDescent="0.2">
      <c r="B2315" s="57"/>
      <c r="C2315" s="39"/>
      <c r="D2315" s="60"/>
      <c r="E2315" s="86"/>
      <c r="F2315" s="40"/>
      <c r="G2315" s="40"/>
      <c r="H2315" s="40">
        <f>IF(AND(F2315=0,G2315=0),D2315*E2315,IF(AND(E2315=0,G2315=0),D2315*F2315,IF(AND(E2315=0,F2315=0),D2315*G2315,IF(AND(E2315=0),D2315*F2315*G2315,IF(AND(F2315=0),D2315*E2315*G2315,IF(AND(G2315=0),D2315*E2315*F2315,D2315*E2315*F2315*G2315))))))</f>
        <v>0</v>
      </c>
      <c r="I2315" s="40"/>
      <c r="J2315" s="41" t="str">
        <f>IF(AND(E2315=0,F2315&lt;&gt;0,G2315&lt;&gt;0),"m2",IF(AND(F2315=0,E2315&lt;&gt;0,G2315&lt;&gt;0),"m2",IF(AND(G2315=0,E2315&lt;&gt;0,F2315&lt;&gt;0),"m2",IF(AND(F2315=0,G2315=0),"ml",IF(AND(E2315=0,G2315=0),"ml",IF(AND(E2315=0,F2315=0),"ml",IF(AND(E2315&lt;&gt;0,F2315&lt;&gt;0,G2315&lt;&gt;0),"m3",0)))))))</f>
        <v>ml</v>
      </c>
    </row>
    <row r="2316" spans="2:10" s="1" customFormat="1" ht="12.75" x14ac:dyDescent="0.2">
      <c r="B2316" s="43" t="s">
        <v>248</v>
      </c>
      <c r="C2316" s="43" t="s">
        <v>246</v>
      </c>
      <c r="D2316" s="60"/>
      <c r="E2316" s="40"/>
      <c r="F2316" s="40"/>
      <c r="G2316" s="40"/>
      <c r="H2316" s="40"/>
      <c r="I2316" s="44">
        <f>SUM(H2317:H2318)</f>
        <v>0</v>
      </c>
      <c r="J2316" s="45" t="e">
        <f>+#REF!</f>
        <v>#REF!</v>
      </c>
    </row>
    <row r="2317" spans="2:10" s="1" customFormat="1" ht="12.75" x14ac:dyDescent="0.2">
      <c r="B2317" s="57"/>
      <c r="C2317" s="39"/>
      <c r="D2317" s="40"/>
      <c r="E2317" s="40"/>
      <c r="F2317" s="40"/>
      <c r="G2317" s="40"/>
      <c r="H2317" s="40">
        <f>IF(AND(F2317=0,G2317=0),D2317*E2317,IF(AND(E2317=0,G2317=0),D2317*F2317,IF(AND(E2317=0,F2317=0),D2317*G2317,IF(AND(E2317=0),D2317*F2317*G2317,IF(AND(F2317=0),D2317*E2317*G2317,IF(AND(G2317=0),D2317*E2317*F2317,D2317*E2317*F2317*G2317))))))</f>
        <v>0</v>
      </c>
      <c r="I2317" s="40"/>
      <c r="J2317" s="41" t="str">
        <f>IF(AND(E2317=0,F2317&lt;&gt;0,G2317&lt;&gt;0),"m2",IF(AND(F2317=0,E2317&lt;&gt;0,G2317&lt;&gt;0),"m2",IF(AND(G2317=0,E2317&lt;&gt;0,F2317&lt;&gt;0),"m2",IF(AND(F2317=0,G2317=0),"ml",IF(AND(E2317=0,G2317=0),"ml",IF(AND(E2317=0,F2317=0),"ml",IF(AND(E2317&lt;&gt;0,F2317&lt;&gt;0,G2317&lt;&gt;0),"m3",0)))))))</f>
        <v>ml</v>
      </c>
    </row>
    <row r="2318" spans="2:10" s="1" customFormat="1" ht="12.75" x14ac:dyDescent="0.2">
      <c r="B2318" s="57"/>
      <c r="C2318" s="39"/>
      <c r="D2318" s="60"/>
      <c r="E2318" s="86"/>
      <c r="F2318" s="40"/>
      <c r="G2318" s="40"/>
      <c r="H2318" s="40"/>
      <c r="I2318" s="40"/>
      <c r="J2318" s="41"/>
    </row>
    <row r="2319" spans="2:10" s="1" customFormat="1" ht="12.75" x14ac:dyDescent="0.2">
      <c r="B2319" s="43" t="s">
        <v>249</v>
      </c>
      <c r="C2319" s="43" t="s">
        <v>247</v>
      </c>
      <c r="D2319" s="60"/>
      <c r="E2319" s="40"/>
      <c r="F2319" s="40"/>
      <c r="G2319" s="40"/>
      <c r="H2319" s="40"/>
      <c r="I2319" s="44">
        <f>SUM(H2320:H2320)</f>
        <v>0</v>
      </c>
      <c r="J2319" s="45" t="str">
        <f>+J2320</f>
        <v>ml</v>
      </c>
    </row>
    <row r="2320" spans="2:10" s="1" customFormat="1" ht="12.75" x14ac:dyDescent="0.2">
      <c r="B2320" s="57"/>
      <c r="C2320" s="39" t="s">
        <v>396</v>
      </c>
      <c r="D2320" s="40"/>
      <c r="E2320" s="40"/>
      <c r="F2320" s="40"/>
      <c r="G2320" s="40"/>
      <c r="H2320" s="40">
        <f>IF(AND(F2320=0,G2320=0),D2320*E2320,IF(AND(E2320=0,G2320=0),D2320*F2320,IF(AND(E2320=0,F2320=0),D2320*G2320,IF(AND(E2320=0),D2320*F2320*G2320,IF(AND(F2320=0),D2320*E2320*G2320,IF(AND(G2320=0),D2320*E2320*F2320,D2320*E2320*F2320*G2320))))))</f>
        <v>0</v>
      </c>
      <c r="I2320" s="40"/>
      <c r="J2320" s="41" t="str">
        <f>IF(AND(E2320=0,F2320&lt;&gt;0,G2320&lt;&gt;0),"m2",IF(AND(F2320=0,E2320&lt;&gt;0,G2320&lt;&gt;0),"m2",IF(AND(G2320=0,E2320&lt;&gt;0,F2320&lt;&gt;0),"m2",IF(AND(F2320=0,G2320=0),"ml",IF(AND(E2320=0,G2320=0),"ml",IF(AND(E2320=0,F2320=0),"ml",IF(AND(E2320&lt;&gt;0,F2320&lt;&gt;0,G2320&lt;&gt;0),"m3",0)))))))</f>
        <v>ml</v>
      </c>
    </row>
    <row r="2321" spans="2:10" s="1" customFormat="1" ht="12.75" x14ac:dyDescent="0.2">
      <c r="B2321" s="43" t="s">
        <v>256</v>
      </c>
      <c r="C2321" s="43" t="s">
        <v>226</v>
      </c>
      <c r="D2321" s="60"/>
      <c r="E2321" s="40"/>
      <c r="F2321" s="40"/>
      <c r="G2321" s="40"/>
      <c r="H2321" s="40"/>
      <c r="I2321" s="44">
        <f>+SUM(H2322:H2323)</f>
        <v>1.4</v>
      </c>
      <c r="J2321" s="45" t="s">
        <v>345</v>
      </c>
    </row>
    <row r="2322" spans="2:10" s="1" customFormat="1" ht="12.75" x14ac:dyDescent="0.2">
      <c r="B2322" s="57"/>
      <c r="C2322" s="39" t="s">
        <v>402</v>
      </c>
      <c r="D2322" s="40">
        <v>1</v>
      </c>
      <c r="E2322" s="40">
        <v>0.7</v>
      </c>
      <c r="F2322" s="40"/>
      <c r="G2322" s="40"/>
      <c r="H2322" s="40">
        <f>IF(AND(F2322=0,G2322=0),D2322*E2322,IF(AND(E2322=0,G2322=0),D2322*F2322,IF(AND(E2322=0,F2322=0),D2322*G2322,IF(AND(E2322=0),D2322*F2322*G2322,IF(AND(F2322=0),D2322*E2322*G2322,IF(AND(G2322=0),D2322*E2322*F2322,D2322*E2322*F2322*G2322))))))</f>
        <v>0.7</v>
      </c>
      <c r="I2322" s="40"/>
      <c r="J2322" s="41"/>
    </row>
    <row r="2323" spans="2:10" s="1" customFormat="1" ht="12.75" x14ac:dyDescent="0.2">
      <c r="B2323" s="57"/>
      <c r="C2323" s="39" t="s">
        <v>392</v>
      </c>
      <c r="D2323" s="40">
        <v>1</v>
      </c>
      <c r="E2323" s="40">
        <v>0.7</v>
      </c>
      <c r="F2323" s="40"/>
      <c r="G2323" s="40"/>
      <c r="H2323" s="40">
        <f>IF(AND(F2323=0,G2323=0),D2323*E2323,IF(AND(E2323=0,G2323=0),D2323*F2323,IF(AND(E2323=0,F2323=0),D2323*G2323,IF(AND(E2323=0),D2323*F2323*G2323,IF(AND(F2323=0),D2323*E2323*G2323,IF(AND(G2323=0),D2323*E2323*F2323,D2323*E2323*F2323*G2323))))))</f>
        <v>0.7</v>
      </c>
      <c r="I2323" s="40"/>
      <c r="J2323" s="41"/>
    </row>
    <row r="2324" spans="2:10" s="1" customFormat="1" ht="12.75" x14ac:dyDescent="0.2">
      <c r="B2324" s="57"/>
      <c r="C2324" s="39"/>
      <c r="D2324" s="60"/>
      <c r="E2324" s="40"/>
      <c r="F2324" s="40"/>
      <c r="G2324" s="40"/>
      <c r="H2324" s="40"/>
      <c r="I2324" s="40"/>
      <c r="J2324" s="41"/>
    </row>
    <row r="2325" spans="2:10" s="1" customFormat="1" ht="12.75" x14ac:dyDescent="0.2">
      <c r="B2325" s="43" t="s">
        <v>596</v>
      </c>
      <c r="C2325" s="43" t="s">
        <v>472</v>
      </c>
      <c r="D2325" s="60"/>
      <c r="E2325" s="40"/>
      <c r="F2325" s="40"/>
      <c r="G2325" s="40"/>
      <c r="H2325" s="40"/>
      <c r="I2325" s="44">
        <f>SUM(H2326:H2326)</f>
        <v>15.29</v>
      </c>
      <c r="J2325" s="45" t="str">
        <f>+J2326</f>
        <v>ml</v>
      </c>
    </row>
    <row r="2326" spans="2:10" s="1" customFormat="1" ht="12.75" x14ac:dyDescent="0.2">
      <c r="B2326" s="57"/>
      <c r="C2326" s="39" t="s">
        <v>553</v>
      </c>
      <c r="D2326" s="40">
        <v>1</v>
      </c>
      <c r="E2326" s="40">
        <f>4.92+2.65+7.72</f>
        <v>15.29</v>
      </c>
      <c r="F2326" s="40"/>
      <c r="G2326" s="40"/>
      <c r="H2326" s="40">
        <f>IF(AND(F2326=0,G2326=0),D2326*E2326,IF(AND(E2326=0,G2326=0),D2326*F2326,IF(AND(E2326=0,F2326=0),D2326*G2326,IF(AND(E2326=0),D2326*F2326*G2326,IF(AND(F2326=0),D2326*E2326*G2326,IF(AND(G2326=0),D2326*E2326*F2326,D2326*E2326*F2326*G2326))))))</f>
        <v>15.29</v>
      </c>
      <c r="I2326" s="40"/>
      <c r="J2326" s="41" t="str">
        <f>IF(AND(E2326=0,F2326&lt;&gt;0,G2326&lt;&gt;0),"m2",IF(AND(F2326=0,E2326&lt;&gt;0,G2326&lt;&gt;0),"m2",IF(AND(G2326=0,E2326&lt;&gt;0,F2326&lt;&gt;0),"m2",IF(AND(F2326=0,G2326=0),"ml",IF(AND(E2326=0,G2326=0),"ml",IF(AND(E2326=0,F2326=0),"ml",IF(AND(E2326&lt;&gt;0,F2326&lt;&gt;0,G2326&lt;&gt;0),"m3",0)))))))</f>
        <v>ml</v>
      </c>
    </row>
    <row r="2327" spans="2:10" s="1" customFormat="1" ht="12.75" x14ac:dyDescent="0.2">
      <c r="B2327" s="43" t="s">
        <v>257</v>
      </c>
      <c r="C2327" s="43" t="s">
        <v>228</v>
      </c>
      <c r="D2327" s="60"/>
      <c r="E2327" s="40"/>
      <c r="F2327" s="40"/>
      <c r="G2327" s="40"/>
      <c r="H2327" s="40"/>
      <c r="I2327" s="44">
        <f>SUM(H2328:H2328)</f>
        <v>0</v>
      </c>
      <c r="J2327" s="45" t="str">
        <f>+J2328</f>
        <v>ml</v>
      </c>
    </row>
    <row r="2328" spans="2:10" s="1" customFormat="1" ht="12.75" x14ac:dyDescent="0.2">
      <c r="B2328" s="57"/>
      <c r="C2328" s="39" t="s">
        <v>399</v>
      </c>
      <c r="D2328" s="40"/>
      <c r="E2328" s="40"/>
      <c r="F2328" s="40"/>
      <c r="G2328" s="40"/>
      <c r="H2328" s="40">
        <f>IF(AND(F2328=0,G2328=0),D2328*E2328,IF(AND(E2328=0,G2328=0),D2328*F2328,IF(AND(E2328=0,F2328=0),D2328*G2328,IF(AND(E2328=0),D2328*F2328*G2328,IF(AND(F2328=0),D2328*E2328*G2328,IF(AND(G2328=0),D2328*E2328*F2328,D2328*E2328*F2328*G2328))))))</f>
        <v>0</v>
      </c>
      <c r="I2328" s="40"/>
      <c r="J2328" s="41" t="str">
        <f>IF(AND(E2328=0,F2328&lt;&gt;0,G2328&lt;&gt;0),"m2",IF(AND(F2328=0,E2328&lt;&gt;0,G2328&lt;&gt;0),"m2",IF(AND(G2328=0,E2328&lt;&gt;0,F2328&lt;&gt;0),"m2",IF(AND(F2328=0,G2328=0),"ml",IF(AND(E2328=0,G2328=0),"ml",IF(AND(E2328=0,F2328=0),"ml",IF(AND(E2328&lt;&gt;0,F2328&lt;&gt;0,G2328&lt;&gt;0),"m3",0)))))))</f>
        <v>ml</v>
      </c>
    </row>
    <row r="2329" spans="2:10" s="1" customFormat="1" ht="12.75" x14ac:dyDescent="0.2">
      <c r="B2329" s="43" t="s">
        <v>258</v>
      </c>
      <c r="C2329" s="43" t="s">
        <v>250</v>
      </c>
      <c r="D2329" s="60"/>
      <c r="E2329" s="40"/>
      <c r="F2329" s="40"/>
      <c r="G2329" s="40"/>
      <c r="H2329" s="40"/>
      <c r="I2329" s="44">
        <f>SUM(H2330:H2330)</f>
        <v>0</v>
      </c>
      <c r="J2329" s="45" t="str">
        <f>+J2330</f>
        <v>ml</v>
      </c>
    </row>
    <row r="2330" spans="2:10" s="1" customFormat="1" ht="12.75" x14ac:dyDescent="0.2">
      <c r="B2330" s="57"/>
      <c r="C2330" s="39" t="s">
        <v>388</v>
      </c>
      <c r="D2330" s="40"/>
      <c r="E2330" s="40"/>
      <c r="F2330" s="40"/>
      <c r="G2330" s="40"/>
      <c r="H2330" s="40">
        <f>IF(AND(F2330=0,G2330=0),D2330*E2330,IF(AND(E2330=0,G2330=0),D2330*F2330,IF(AND(E2330=0,F2330=0),D2330*G2330,IF(AND(E2330=0),D2330*F2330*G2330,IF(AND(F2330=0),D2330*E2330*G2330,IF(AND(G2330=0),D2330*E2330*F2330,D2330*E2330*F2330*G2330))))))</f>
        <v>0</v>
      </c>
      <c r="I2330" s="40"/>
      <c r="J2330" s="41" t="str">
        <f>IF(AND(E2330=0,F2330&lt;&gt;0,G2330&lt;&gt;0),"m2",IF(AND(F2330=0,E2330&lt;&gt;0,G2330&lt;&gt;0),"m2",IF(AND(G2330=0,E2330&lt;&gt;0,F2330&lt;&gt;0),"m2",IF(AND(F2330=0,G2330=0),"ml",IF(AND(E2330=0,G2330=0),"ml",IF(AND(E2330=0,F2330=0),"ml",IF(AND(E2330&lt;&gt;0,F2330&lt;&gt;0,G2330&lt;&gt;0),"m3",0)))))))</f>
        <v>ml</v>
      </c>
    </row>
    <row r="2331" spans="2:10" s="1" customFormat="1" ht="12.75" x14ac:dyDescent="0.2">
      <c r="B2331" s="43" t="s">
        <v>259</v>
      </c>
      <c r="C2331" s="43" t="s">
        <v>251</v>
      </c>
      <c r="D2331" s="60"/>
      <c r="E2331" s="40"/>
      <c r="F2331" s="40"/>
      <c r="G2331" s="40"/>
      <c r="H2331" s="40"/>
      <c r="I2331" s="44">
        <f>SUM(H2332:H2332)</f>
        <v>0</v>
      </c>
      <c r="J2331" s="45" t="str">
        <f>+J2332</f>
        <v>ml</v>
      </c>
    </row>
    <row r="2332" spans="2:10" s="1" customFormat="1" ht="12.75" x14ac:dyDescent="0.2">
      <c r="B2332" s="57"/>
      <c r="C2332" s="39" t="s">
        <v>389</v>
      </c>
      <c r="D2332" s="40"/>
      <c r="E2332" s="40"/>
      <c r="F2332" s="40"/>
      <c r="G2332" s="40"/>
      <c r="H2332" s="40">
        <f>IF(AND(F2332=0,G2332=0),D2332*E2332,IF(AND(E2332=0,G2332=0),D2332*F2332,IF(AND(E2332=0,F2332=0),D2332*G2332,IF(AND(E2332=0),D2332*F2332*G2332,IF(AND(F2332=0),D2332*E2332*G2332,IF(AND(G2332=0),D2332*E2332*F2332,D2332*E2332*F2332*G2332))))))</f>
        <v>0</v>
      </c>
      <c r="I2332" s="40"/>
      <c r="J2332" s="41" t="str">
        <f>IF(AND(E2332=0,F2332&lt;&gt;0,G2332&lt;&gt;0),"m2",IF(AND(F2332=0,E2332&lt;&gt;0,G2332&lt;&gt;0),"m2",IF(AND(G2332=0,E2332&lt;&gt;0,F2332&lt;&gt;0),"m2",IF(AND(F2332=0,G2332=0),"ml",IF(AND(E2332=0,G2332=0),"ml",IF(AND(E2332=0,F2332=0),"ml",IF(AND(E2332&lt;&gt;0,F2332&lt;&gt;0,G2332&lt;&gt;0),"m3",0)))))))</f>
        <v>ml</v>
      </c>
    </row>
    <row r="2333" spans="2:10" s="1" customFormat="1" ht="12.75" x14ac:dyDescent="0.2">
      <c r="B2333" s="43" t="s">
        <v>260</v>
      </c>
      <c r="C2333" s="43" t="s">
        <v>252</v>
      </c>
      <c r="D2333" s="60"/>
      <c r="E2333" s="40"/>
      <c r="F2333" s="40"/>
      <c r="G2333" s="40"/>
      <c r="H2333" s="40"/>
      <c r="I2333" s="44">
        <f>SUM(H2334:H2334)</f>
        <v>0</v>
      </c>
      <c r="J2333" s="45" t="str">
        <f>+J2334</f>
        <v>ml</v>
      </c>
    </row>
    <row r="2334" spans="2:10" s="1" customFormat="1" ht="12.75" x14ac:dyDescent="0.2">
      <c r="B2334" s="57"/>
      <c r="C2334" s="39" t="s">
        <v>397</v>
      </c>
      <c r="D2334" s="40"/>
      <c r="E2334" s="40"/>
      <c r="F2334" s="40"/>
      <c r="G2334" s="40"/>
      <c r="H2334" s="40">
        <f>IF(AND(F2334=0,G2334=0),D2334*E2334,IF(AND(E2334=0,G2334=0),D2334*F2334,IF(AND(E2334=0,F2334=0),D2334*G2334,IF(AND(E2334=0),D2334*F2334*G2334,IF(AND(F2334=0),D2334*E2334*G2334,IF(AND(G2334=0),D2334*E2334*F2334,D2334*E2334*F2334*G2334))))))</f>
        <v>0</v>
      </c>
      <c r="I2334" s="40"/>
      <c r="J2334" s="41" t="str">
        <f>IF(AND(E2334=0,F2334&lt;&gt;0,G2334&lt;&gt;0),"m2",IF(AND(F2334=0,E2334&lt;&gt;0,G2334&lt;&gt;0),"m2",IF(AND(G2334=0,E2334&lt;&gt;0,F2334&lt;&gt;0),"m2",IF(AND(F2334=0,G2334=0),"ml",IF(AND(E2334=0,G2334=0),"ml",IF(AND(E2334=0,F2334=0),"ml",IF(AND(E2334&lt;&gt;0,F2334&lt;&gt;0,G2334&lt;&gt;0),"m3",0)))))))</f>
        <v>ml</v>
      </c>
    </row>
    <row r="2335" spans="2:10" s="1" customFormat="1" ht="12.75" x14ac:dyDescent="0.2">
      <c r="B2335" s="93" t="s">
        <v>591</v>
      </c>
      <c r="C2335" s="93" t="s">
        <v>565</v>
      </c>
      <c r="D2335" s="60"/>
      <c r="E2335" s="40"/>
      <c r="F2335" s="40"/>
      <c r="G2335" s="40"/>
      <c r="H2335" s="40"/>
      <c r="I2335" s="44">
        <f>SUM(H2336:H2336)</f>
        <v>0</v>
      </c>
      <c r="J2335" s="45" t="s">
        <v>13</v>
      </c>
    </row>
    <row r="2336" spans="2:10" s="1" customFormat="1" ht="12.75" x14ac:dyDescent="0.2">
      <c r="B2336" s="43"/>
      <c r="C2336" s="39" t="s">
        <v>554</v>
      </c>
      <c r="D2336" s="40"/>
      <c r="E2336" s="40"/>
      <c r="F2336" s="40"/>
      <c r="G2336" s="40"/>
      <c r="H2336" s="40">
        <f t="shared" ref="H2336" si="160">+D2336</f>
        <v>0</v>
      </c>
      <c r="I2336" s="40"/>
      <c r="J2336" s="41" t="s">
        <v>13</v>
      </c>
    </row>
    <row r="2337" spans="2:10" s="1" customFormat="1" ht="12.75" x14ac:dyDescent="0.2">
      <c r="B2337" s="43"/>
      <c r="C2337" s="39"/>
      <c r="D2337" s="60"/>
      <c r="E2337" s="40"/>
      <c r="F2337" s="40"/>
      <c r="G2337" s="40"/>
      <c r="H2337" s="40"/>
      <c r="I2337" s="40"/>
      <c r="J2337" s="41"/>
    </row>
    <row r="2338" spans="2:10" s="1" customFormat="1" ht="12.75" x14ac:dyDescent="0.2">
      <c r="B2338" s="43" t="s">
        <v>261</v>
      </c>
      <c r="C2338" s="43" t="s">
        <v>253</v>
      </c>
      <c r="D2338" s="60"/>
      <c r="E2338" s="40"/>
      <c r="F2338" s="40"/>
      <c r="G2338" s="40"/>
      <c r="H2338" s="40"/>
      <c r="I2338" s="44">
        <f>SUM(H2339:H2339)</f>
        <v>0</v>
      </c>
      <c r="J2338" s="45" t="str">
        <f>+J2339</f>
        <v>und</v>
      </c>
    </row>
    <row r="2339" spans="2:10" s="1" customFormat="1" ht="12.75" x14ac:dyDescent="0.2">
      <c r="B2339" s="43"/>
      <c r="C2339" s="39" t="s">
        <v>402</v>
      </c>
      <c r="D2339" s="40"/>
      <c r="E2339" s="40"/>
      <c r="F2339" s="40"/>
      <c r="G2339" s="40"/>
      <c r="H2339" s="40">
        <f>+D2339</f>
        <v>0</v>
      </c>
      <c r="I2339" s="40"/>
      <c r="J2339" s="41" t="s">
        <v>13</v>
      </c>
    </row>
    <row r="2340" spans="2:10" s="1" customFormat="1" ht="12.75" x14ac:dyDescent="0.2">
      <c r="B2340" s="43" t="s">
        <v>262</v>
      </c>
      <c r="C2340" s="43" t="s">
        <v>254</v>
      </c>
      <c r="D2340" s="60"/>
      <c r="E2340" s="40"/>
      <c r="F2340" s="40"/>
      <c r="G2340" s="40"/>
      <c r="H2340" s="40"/>
      <c r="I2340" s="44">
        <f>SUM(H2341:H2341)</f>
        <v>0</v>
      </c>
      <c r="J2340" s="45" t="str">
        <f>+J2341</f>
        <v>und</v>
      </c>
    </row>
    <row r="2341" spans="2:10" s="1" customFormat="1" ht="12.75" x14ac:dyDescent="0.2">
      <c r="B2341" s="57"/>
      <c r="C2341" s="39" t="s">
        <v>238</v>
      </c>
      <c r="D2341" s="40"/>
      <c r="E2341" s="40"/>
      <c r="F2341" s="40"/>
      <c r="G2341" s="40"/>
      <c r="H2341" s="40">
        <f>+D2341</f>
        <v>0</v>
      </c>
      <c r="I2341" s="40"/>
      <c r="J2341" s="41" t="s">
        <v>13</v>
      </c>
    </row>
    <row r="2342" spans="2:10" s="1" customFormat="1" ht="12.75" x14ac:dyDescent="0.2">
      <c r="B2342" s="43" t="s">
        <v>350</v>
      </c>
      <c r="C2342" s="43" t="s">
        <v>255</v>
      </c>
      <c r="D2342" s="60"/>
      <c r="E2342" s="40"/>
      <c r="F2342" s="40"/>
      <c r="G2342" s="40"/>
      <c r="H2342" s="40"/>
      <c r="I2342" s="44">
        <f>SUM(H2343:H2343)</f>
        <v>0</v>
      </c>
      <c r="J2342" s="45" t="str">
        <f>+J2343</f>
        <v>und</v>
      </c>
    </row>
    <row r="2343" spans="2:10" s="1" customFormat="1" ht="12.75" x14ac:dyDescent="0.2">
      <c r="B2343" s="57"/>
      <c r="C2343" s="39" t="s">
        <v>395</v>
      </c>
      <c r="D2343" s="40"/>
      <c r="E2343" s="40"/>
      <c r="F2343" s="40"/>
      <c r="G2343" s="40"/>
      <c r="H2343" s="40">
        <f>+D2343</f>
        <v>0</v>
      </c>
      <c r="I2343" s="40"/>
      <c r="J2343" s="41" t="s">
        <v>13</v>
      </c>
    </row>
    <row r="2344" spans="2:10" s="1" customFormat="1" ht="12.75" x14ac:dyDescent="0.2">
      <c r="B2344" s="57"/>
      <c r="C2344" s="39"/>
      <c r="D2344" s="60"/>
      <c r="E2344" s="40"/>
      <c r="F2344" s="40"/>
      <c r="G2344" s="40"/>
      <c r="H2344" s="40"/>
      <c r="I2344" s="40"/>
      <c r="J2344" s="41"/>
    </row>
    <row r="2345" spans="2:10" s="1" customFormat="1" ht="12.75" x14ac:dyDescent="0.2">
      <c r="B2345" s="93" t="s">
        <v>694</v>
      </c>
      <c r="C2345" s="93" t="s">
        <v>695</v>
      </c>
      <c r="D2345" s="60"/>
      <c r="E2345" s="40"/>
      <c r="F2345" s="40"/>
      <c r="G2345" s="40"/>
      <c r="H2345" s="40"/>
      <c r="I2345" s="44">
        <f>SUM(H2346:H2347)</f>
        <v>2</v>
      </c>
      <c r="J2345" s="45">
        <f>+J2369</f>
        <v>0</v>
      </c>
    </row>
    <row r="2346" spans="2:10" s="1" customFormat="1" ht="12.75" x14ac:dyDescent="0.2">
      <c r="B2346" s="57"/>
      <c r="C2346" s="39" t="s">
        <v>402</v>
      </c>
      <c r="D2346" s="40">
        <v>1</v>
      </c>
      <c r="E2346" s="40"/>
      <c r="F2346" s="40"/>
      <c r="G2346" s="40"/>
      <c r="H2346" s="40">
        <f t="shared" ref="H2346:H2347" si="161">+D2346</f>
        <v>1</v>
      </c>
      <c r="I2346" s="40"/>
      <c r="J2346" s="41" t="s">
        <v>13</v>
      </c>
    </row>
    <row r="2347" spans="2:10" s="1" customFormat="1" ht="12.75" x14ac:dyDescent="0.2">
      <c r="B2347" s="57"/>
      <c r="C2347" s="39" t="s">
        <v>392</v>
      </c>
      <c r="D2347" s="40">
        <v>1</v>
      </c>
      <c r="E2347" s="40"/>
      <c r="F2347" s="40"/>
      <c r="G2347" s="40"/>
      <c r="H2347" s="40">
        <f t="shared" si="161"/>
        <v>1</v>
      </c>
      <c r="I2347" s="40"/>
      <c r="J2347" s="41"/>
    </row>
    <row r="2348" spans="2:10" s="1" customFormat="1" ht="12.75" x14ac:dyDescent="0.2">
      <c r="B2348" s="57"/>
      <c r="C2348" s="39"/>
      <c r="D2348" s="60"/>
      <c r="E2348" s="40"/>
      <c r="F2348" s="40"/>
      <c r="G2348" s="40"/>
      <c r="H2348" s="40"/>
      <c r="I2348" s="40"/>
      <c r="J2348" s="41"/>
    </row>
    <row r="2349" spans="2:10" s="1" customFormat="1" ht="15.75" customHeight="1" x14ac:dyDescent="0.2">
      <c r="B2349" s="25" t="s">
        <v>23</v>
      </c>
      <c r="C2349" s="1" t="s">
        <v>622</v>
      </c>
      <c r="D2349" s="60"/>
      <c r="E2349" s="40"/>
      <c r="F2349" s="40"/>
      <c r="G2349" s="40"/>
      <c r="H2349" s="24"/>
      <c r="I2349" s="25">
        <f>+SUM(H2350:H2351)</f>
        <v>6.6125000000000007</v>
      </c>
      <c r="J2349" s="26" t="s">
        <v>4</v>
      </c>
    </row>
    <row r="2350" spans="2:10" s="1" customFormat="1" ht="15.75" customHeight="1" x14ac:dyDescent="0.2">
      <c r="B2350" s="25"/>
      <c r="C2350" s="39" t="s">
        <v>433</v>
      </c>
      <c r="D2350" s="40">
        <v>1</v>
      </c>
      <c r="E2350" s="40">
        <f>31.5+6.5</f>
        <v>38</v>
      </c>
      <c r="F2350" s="40">
        <v>0.5</v>
      </c>
      <c r="G2350" s="40">
        <f>0.2+0.1</f>
        <v>0.30000000000000004</v>
      </c>
      <c r="H2350" s="40">
        <f>IF(AND(F2350=0,G2350=0),D2350*E2350,IF(AND(E2350=0,G2350=0),D2350*F2350,IF(AND(E2350=0,F2350=0),D2350*G2350,IF(AND(E2350=0),D2350*F2350*G2350,IF(AND(F2350=0),D2350*E2350*G2350,IF(AND(G2350=0),D2350*E2350*F2350,D2350*E2350*F2350*G2350))))))</f>
        <v>5.7000000000000011</v>
      </c>
      <c r="I2350" s="40"/>
      <c r="J2350" s="41"/>
    </row>
    <row r="2351" spans="2:10" s="1" customFormat="1" ht="12.75" x14ac:dyDescent="0.2">
      <c r="B2351" s="25"/>
      <c r="C2351" s="39" t="s">
        <v>645</v>
      </c>
      <c r="D2351" s="40">
        <v>1</v>
      </c>
      <c r="E2351" s="40">
        <v>3.65</v>
      </c>
      <c r="F2351" s="40"/>
      <c r="G2351" s="40">
        <f>0.15+0.1</f>
        <v>0.25</v>
      </c>
      <c r="H2351" s="40">
        <f>IF(AND(F2351=0,G2351=0),D2351*E2351,IF(AND(E2351=0,G2351=0),D2351*F2351,IF(AND(E2351=0,F2351=0),D2351*G2351,IF(AND(E2351=0),D2351*F2351*G2351,IF(AND(F2351=0),D2351*E2351*G2351,IF(AND(G2351=0),D2351*E2351*F2351,D2351*E2351*F2351*G2351))))))</f>
        <v>0.91249999999999998</v>
      </c>
      <c r="I2351" s="40"/>
      <c r="J2351" s="41"/>
    </row>
    <row r="2352" spans="2:10" s="1" customFormat="1" ht="12.75" x14ac:dyDescent="0.2">
      <c r="B2352" s="25"/>
      <c r="D2352" s="60"/>
      <c r="E2352" s="40"/>
      <c r="F2352" s="40"/>
      <c r="G2352" s="40"/>
      <c r="H2352" s="24"/>
      <c r="I2352" s="25"/>
      <c r="J2352" s="26"/>
    </row>
    <row r="2353" spans="2:10" s="1" customFormat="1" ht="12.75" x14ac:dyDescent="0.2">
      <c r="B2353" s="25" t="s">
        <v>24</v>
      </c>
      <c r="C2353" s="1" t="s">
        <v>623</v>
      </c>
      <c r="D2353" s="60"/>
      <c r="E2353" s="40"/>
      <c r="F2353" s="40"/>
      <c r="G2353" s="40"/>
      <c r="H2353" s="24"/>
      <c r="I2353" s="25">
        <f>+SUM(H2354:H2355)</f>
        <v>0.36480000000000001</v>
      </c>
      <c r="J2353" s="26" t="s">
        <v>4</v>
      </c>
    </row>
    <row r="2354" spans="2:10" s="1" customFormat="1" ht="12.75" x14ac:dyDescent="0.2">
      <c r="B2354" s="57"/>
      <c r="C2354" s="39" t="s">
        <v>402</v>
      </c>
      <c r="D2354" s="40">
        <v>1</v>
      </c>
      <c r="E2354" s="40">
        <v>0.6</v>
      </c>
      <c r="F2354" s="40">
        <v>0.8</v>
      </c>
      <c r="G2354" s="40">
        <f>0.26+0.1</f>
        <v>0.36</v>
      </c>
      <c r="H2354" s="40">
        <f>IF(AND(F2354=0,G2354=0),D2354*E2354,IF(AND(E2354=0,G2354=0),D2354*F2354,IF(AND(E2354=0,F2354=0),D2354*G2354,IF(AND(E2354=0),D2354*F2354*G2354,IF(AND(F2354=0),D2354*E2354*G2354,IF(AND(G2354=0),D2354*E2354*F2354,D2354*E2354*F2354*G2354))))))</f>
        <v>0.17279999999999998</v>
      </c>
      <c r="I2354" s="40"/>
      <c r="J2354" s="41"/>
    </row>
    <row r="2355" spans="2:10" s="1" customFormat="1" ht="12.75" x14ac:dyDescent="0.2">
      <c r="B2355" s="57"/>
      <c r="C2355" s="39" t="s">
        <v>392</v>
      </c>
      <c r="D2355" s="40">
        <v>1</v>
      </c>
      <c r="E2355" s="40">
        <v>0.6</v>
      </c>
      <c r="F2355" s="40">
        <v>0.8</v>
      </c>
      <c r="G2355" s="40">
        <f>0.3+0.1</f>
        <v>0.4</v>
      </c>
      <c r="H2355" s="40">
        <f>IF(AND(F2355=0,G2355=0),D2355*E2355,IF(AND(E2355=0,G2355=0),D2355*F2355,IF(AND(E2355=0,F2355=0),D2355*G2355,IF(AND(E2355=0),D2355*F2355*G2355,IF(AND(F2355=0),D2355*E2355*G2355,IF(AND(G2355=0),D2355*E2355*F2355,D2355*E2355*F2355*G2355))))))</f>
        <v>0.192</v>
      </c>
      <c r="I2355" s="40"/>
      <c r="J2355" s="41"/>
    </row>
    <row r="2356" spans="2:10" s="1" customFormat="1" ht="12.75" x14ac:dyDescent="0.2">
      <c r="B2356" s="57"/>
      <c r="C2356" s="39"/>
      <c r="D2356" s="60"/>
      <c r="E2356" s="40"/>
      <c r="F2356" s="40"/>
      <c r="G2356" s="40"/>
      <c r="H2356" s="40"/>
      <c r="I2356" s="40"/>
      <c r="J2356" s="41"/>
    </row>
    <row r="2357" spans="2:10" s="1" customFormat="1" ht="12.75" x14ac:dyDescent="0.2">
      <c r="B2357" s="46"/>
      <c r="C2357" s="59"/>
      <c r="D2357" s="60"/>
      <c r="E2357" s="40"/>
      <c r="F2357" s="40"/>
      <c r="G2357" s="40"/>
      <c r="H2357" s="40"/>
      <c r="I2357" s="40"/>
      <c r="J2357" s="41"/>
    </row>
    <row r="2358" spans="2:10" s="1" customFormat="1" ht="12.75" x14ac:dyDescent="0.2">
      <c r="B2358" s="107" t="s">
        <v>717</v>
      </c>
      <c r="C2358" s="343" t="s">
        <v>735</v>
      </c>
      <c r="D2358" s="60"/>
      <c r="E2358" s="40"/>
      <c r="F2358" s="40"/>
      <c r="G2358" s="40"/>
      <c r="H2358" s="40"/>
      <c r="I2358" s="40">
        <f>+SUM(H2359:H2362)</f>
        <v>2.84</v>
      </c>
      <c r="J2358" s="41" t="s">
        <v>45</v>
      </c>
    </row>
    <row r="2359" spans="2:10" s="1" customFormat="1" ht="12.75" x14ac:dyDescent="0.2">
      <c r="B2359" s="107"/>
      <c r="C2359" s="39" t="s">
        <v>402</v>
      </c>
      <c r="D2359" s="40">
        <v>2</v>
      </c>
      <c r="E2359" s="40">
        <v>2</v>
      </c>
      <c r="F2359" s="40"/>
      <c r="G2359" s="40">
        <f>0.26+0.15</f>
        <v>0.41000000000000003</v>
      </c>
      <c r="H2359" s="40">
        <f t="shared" ref="H2359:H2362" si="162">IF(AND(F2359=0,G2359=0),D2359*E2359,IF(AND(E2359=0,G2359=0),D2359*F2359,IF(AND(E2359=0,F2359=0),D2359*G2359,IF(AND(E2359=0),D2359*F2359*G2359,IF(AND(F2359=0),D2359*E2359*G2359,IF(AND(G2359=0),D2359*E2359*F2359,D2359*E2359*F2359*G2359))))))</f>
        <v>1.6400000000000001</v>
      </c>
      <c r="I2359" s="40"/>
      <c r="J2359" s="41"/>
    </row>
    <row r="2360" spans="2:10" s="1" customFormat="1" ht="12.75" x14ac:dyDescent="0.2">
      <c r="B2360" s="107"/>
      <c r="C2360" s="39"/>
      <c r="D2360" s="40">
        <v>1</v>
      </c>
      <c r="E2360" s="40">
        <v>0.4</v>
      </c>
      <c r="F2360" s="40"/>
      <c r="G2360" s="40">
        <v>0.6</v>
      </c>
      <c r="H2360" s="40">
        <f t="shared" si="162"/>
        <v>0.24</v>
      </c>
      <c r="I2360" s="40"/>
      <c r="J2360" s="41"/>
    </row>
    <row r="2361" spans="2:10" s="1" customFormat="1" ht="12.75" x14ac:dyDescent="0.2">
      <c r="B2361" s="107"/>
      <c r="C2361" s="39" t="s">
        <v>392</v>
      </c>
      <c r="D2361" s="40">
        <v>2</v>
      </c>
      <c r="E2361" s="40">
        <v>0.8</v>
      </c>
      <c r="F2361" s="40"/>
      <c r="G2361" s="40">
        <f>0.3+0.15</f>
        <v>0.44999999999999996</v>
      </c>
      <c r="H2361" s="40">
        <f t="shared" si="162"/>
        <v>0.72</v>
      </c>
      <c r="I2361" s="40"/>
      <c r="J2361" s="41"/>
    </row>
    <row r="2362" spans="2:10" s="1" customFormat="1" ht="12.75" x14ac:dyDescent="0.2">
      <c r="B2362" s="107"/>
      <c r="C2362" s="59"/>
      <c r="D2362" s="40">
        <v>1</v>
      </c>
      <c r="E2362" s="40">
        <v>0.4</v>
      </c>
      <c r="F2362" s="40"/>
      <c r="G2362" s="40">
        <v>0.6</v>
      </c>
      <c r="H2362" s="40">
        <f t="shared" si="162"/>
        <v>0.24</v>
      </c>
      <c r="I2362" s="40"/>
      <c r="J2362" s="41"/>
    </row>
    <row r="2363" spans="2:10" s="1" customFormat="1" ht="12.75" x14ac:dyDescent="0.2">
      <c r="B2363" s="107" t="s">
        <v>734</v>
      </c>
      <c r="C2363" s="343" t="s">
        <v>736</v>
      </c>
      <c r="D2363" s="60"/>
      <c r="E2363" s="40"/>
      <c r="F2363" s="40"/>
      <c r="G2363" s="40"/>
      <c r="H2363" s="40"/>
      <c r="I2363" s="40">
        <f>+SUM(H2364:H2367)</f>
        <v>37.11999999999999</v>
      </c>
      <c r="J2363" s="41" t="s">
        <v>45</v>
      </c>
    </row>
    <row r="2364" spans="2:10" s="1" customFormat="1" ht="12.75" x14ac:dyDescent="0.2">
      <c r="B2364" s="46"/>
      <c r="C2364" s="39" t="s">
        <v>732</v>
      </c>
      <c r="D2364" s="40">
        <v>2</v>
      </c>
      <c r="E2364" s="40">
        <f>31.5+6.5</f>
        <v>38</v>
      </c>
      <c r="F2364" s="40"/>
      <c r="G2364" s="40">
        <f>0.2+0.15</f>
        <v>0.35</v>
      </c>
      <c r="H2364" s="40">
        <f t="shared" ref="H2364:H2367" si="163">IF(AND(F2364=0,G2364=0),D2364*E2364,IF(AND(E2364=0,G2364=0),D2364*F2364,IF(AND(E2364=0,F2364=0),D2364*G2364,IF(AND(E2364=0),D2364*F2364*G2364,IF(AND(F2364=0),D2364*E2364*G2364,IF(AND(G2364=0),D2364*E2364*F2364,D2364*E2364*F2364*G2364))))))</f>
        <v>26.599999999999998</v>
      </c>
      <c r="I2364" s="40"/>
      <c r="J2364" s="41"/>
    </row>
    <row r="2365" spans="2:10" s="1" customFormat="1" ht="12.75" x14ac:dyDescent="0.2">
      <c r="B2365" s="46"/>
      <c r="C2365" s="39"/>
      <c r="D2365" s="40">
        <v>1</v>
      </c>
      <c r="E2365" s="40">
        <v>38</v>
      </c>
      <c r="F2365" s="40"/>
      <c r="G2365" s="40">
        <v>0.2</v>
      </c>
      <c r="H2365" s="40">
        <f t="shared" si="163"/>
        <v>7.6000000000000005</v>
      </c>
      <c r="I2365" s="40"/>
      <c r="J2365" s="41"/>
    </row>
    <row r="2366" spans="2:10" s="1" customFormat="1" ht="12.75" x14ac:dyDescent="0.2">
      <c r="B2366" s="46"/>
      <c r="C2366" s="39" t="s">
        <v>645</v>
      </c>
      <c r="D2366" s="40">
        <v>2</v>
      </c>
      <c r="E2366" s="40">
        <v>3.65</v>
      </c>
      <c r="F2366" s="40"/>
      <c r="G2366" s="40">
        <f>0.15+0.15</f>
        <v>0.3</v>
      </c>
      <c r="H2366" s="40">
        <f t="shared" si="163"/>
        <v>2.19</v>
      </c>
      <c r="I2366" s="40"/>
      <c r="J2366" s="41"/>
    </row>
    <row r="2367" spans="2:10" s="1" customFormat="1" ht="12.75" x14ac:dyDescent="0.2">
      <c r="B2367" s="46"/>
      <c r="C2367" s="59"/>
      <c r="D2367" s="60">
        <v>1</v>
      </c>
      <c r="E2367" s="40">
        <v>3.65</v>
      </c>
      <c r="F2367" s="40"/>
      <c r="G2367" s="40">
        <v>0.2</v>
      </c>
      <c r="H2367" s="40">
        <f t="shared" si="163"/>
        <v>0.73</v>
      </c>
      <c r="I2367" s="40"/>
      <c r="J2367" s="41"/>
    </row>
    <row r="2368" spans="2:10" s="1" customFormat="1" ht="12.75" x14ac:dyDescent="0.2">
      <c r="B2368" s="46"/>
      <c r="C2368" s="59"/>
      <c r="D2368" s="60"/>
      <c r="E2368" s="40"/>
      <c r="F2368" s="40"/>
      <c r="G2368" s="40"/>
      <c r="H2368" s="40"/>
      <c r="I2368" s="40"/>
      <c r="J2368" s="41"/>
    </row>
    <row r="2369" spans="2:10" s="1" customFormat="1" ht="12.75" x14ac:dyDescent="0.2">
      <c r="B2369" s="57"/>
      <c r="C2369" s="39"/>
      <c r="D2369" s="60"/>
      <c r="E2369" s="40"/>
      <c r="F2369" s="40"/>
      <c r="G2369" s="40"/>
      <c r="H2369" s="40"/>
      <c r="I2369" s="40"/>
      <c r="J2369" s="41"/>
    </row>
    <row r="2370" spans="2:10" s="1" customFormat="1" ht="12.75" x14ac:dyDescent="0.2">
      <c r="B2370" s="57" t="s">
        <v>18</v>
      </c>
      <c r="C2370" s="58" t="s">
        <v>223</v>
      </c>
      <c r="D2370" s="60"/>
      <c r="E2370" s="40"/>
      <c r="F2370" s="40"/>
      <c r="G2370" s="40"/>
      <c r="H2370" s="40"/>
      <c r="I2370" s="40"/>
      <c r="J2370" s="41"/>
    </row>
    <row r="2371" spans="2:10" s="1" customFormat="1" ht="12.75" x14ac:dyDescent="0.2">
      <c r="B2371" s="43" t="s">
        <v>19</v>
      </c>
      <c r="C2371" s="43" t="s">
        <v>265</v>
      </c>
      <c r="D2371" s="60"/>
      <c r="E2371" s="40"/>
      <c r="F2371" s="40"/>
      <c r="G2371" s="40"/>
      <c r="H2371" s="40"/>
      <c r="I2371" s="44">
        <f>SUM(H2372:H2372)</f>
        <v>6</v>
      </c>
      <c r="J2371" s="45" t="s">
        <v>345</v>
      </c>
    </row>
    <row r="2372" spans="2:10" s="1" customFormat="1" ht="12.75" x14ac:dyDescent="0.2">
      <c r="B2372" s="46"/>
      <c r="C2372" s="39" t="s">
        <v>231</v>
      </c>
      <c r="D2372" s="40">
        <v>6</v>
      </c>
      <c r="E2372" s="40"/>
      <c r="F2372" s="40"/>
      <c r="G2372" s="40"/>
      <c r="H2372" s="40">
        <f>+D2372</f>
        <v>6</v>
      </c>
      <c r="I2372" s="40"/>
      <c r="J2372" s="41" t="s">
        <v>13</v>
      </c>
    </row>
    <row r="2373" spans="2:10" s="1" customFormat="1" ht="12.75" x14ac:dyDescent="0.2">
      <c r="B2373" s="43" t="s">
        <v>20</v>
      </c>
      <c r="C2373" s="43" t="s">
        <v>272</v>
      </c>
      <c r="D2373" s="60"/>
      <c r="E2373" s="40"/>
      <c r="F2373" s="40"/>
      <c r="G2373" s="40"/>
      <c r="H2373" s="40"/>
      <c r="I2373" s="44">
        <f>SUM(H2374)</f>
        <v>11</v>
      </c>
      <c r="J2373" s="45" t="str">
        <f>+J2374</f>
        <v>und</v>
      </c>
    </row>
    <row r="2374" spans="2:10" s="1" customFormat="1" ht="12.75" x14ac:dyDescent="0.2">
      <c r="B2374" s="46"/>
      <c r="C2374" s="39" t="s">
        <v>463</v>
      </c>
      <c r="D2374" s="60">
        <f>+D2283*ROUNDUP(E2283/1,0)</f>
        <v>11</v>
      </c>
      <c r="E2374" s="40"/>
      <c r="F2374" s="40"/>
      <c r="G2374" s="40"/>
      <c r="H2374" s="40">
        <f>+D2374</f>
        <v>11</v>
      </c>
      <c r="I2374" s="40"/>
      <c r="J2374" s="41" t="s">
        <v>13</v>
      </c>
    </row>
    <row r="2375" spans="2:10" s="1" customFormat="1" ht="12.75" x14ac:dyDescent="0.2">
      <c r="B2375" s="46"/>
      <c r="C2375" s="39"/>
      <c r="D2375" s="40"/>
      <c r="E2375" s="40"/>
      <c r="F2375" s="40"/>
      <c r="G2375" s="40"/>
      <c r="H2375" s="40"/>
      <c r="I2375" s="40"/>
      <c r="J2375" s="41" t="s">
        <v>13</v>
      </c>
    </row>
    <row r="2376" spans="2:10" s="1" customFormat="1" ht="12.75" x14ac:dyDescent="0.2">
      <c r="B2376" s="43" t="s">
        <v>21</v>
      </c>
      <c r="C2376" s="43" t="s">
        <v>266</v>
      </c>
      <c r="D2376" s="60"/>
      <c r="E2376" s="40"/>
      <c r="F2376" s="40"/>
      <c r="G2376" s="40"/>
      <c r="H2376" s="40"/>
      <c r="I2376" s="44">
        <f>SUM(H2377:H2379)</f>
        <v>0</v>
      </c>
      <c r="J2376" s="45" t="str">
        <f>+J2377</f>
        <v>und</v>
      </c>
    </row>
    <row r="2377" spans="2:10" s="1" customFormat="1" ht="12.75" x14ac:dyDescent="0.2">
      <c r="B2377" s="43"/>
      <c r="C2377" s="39" t="s">
        <v>71</v>
      </c>
      <c r="D2377" s="40"/>
      <c r="E2377" s="40"/>
      <c r="F2377" s="40"/>
      <c r="G2377" s="40"/>
      <c r="H2377" s="40">
        <f>+D2377</f>
        <v>0</v>
      </c>
      <c r="I2377" s="40"/>
      <c r="J2377" s="41" t="s">
        <v>13</v>
      </c>
    </row>
    <row r="2378" spans="2:10" s="1" customFormat="1" ht="12.75" x14ac:dyDescent="0.2">
      <c r="B2378" s="43"/>
      <c r="C2378" s="39" t="s">
        <v>72</v>
      </c>
      <c r="D2378" s="40"/>
      <c r="E2378" s="40"/>
      <c r="F2378" s="40"/>
      <c r="G2378" s="40"/>
      <c r="H2378" s="40">
        <f>+D2378</f>
        <v>0</v>
      </c>
      <c r="I2378" s="40"/>
      <c r="J2378" s="41" t="s">
        <v>13</v>
      </c>
    </row>
    <row r="2379" spans="2:10" s="1" customFormat="1" ht="12.75" x14ac:dyDescent="0.2">
      <c r="B2379" s="43"/>
      <c r="C2379" s="39" t="s">
        <v>73</v>
      </c>
      <c r="D2379" s="40"/>
      <c r="E2379" s="40"/>
      <c r="F2379" s="40"/>
      <c r="G2379" s="40"/>
      <c r="H2379" s="40">
        <f>+D2379</f>
        <v>0</v>
      </c>
      <c r="I2379" s="40"/>
      <c r="J2379" s="41" t="s">
        <v>13</v>
      </c>
    </row>
    <row r="2380" spans="2:10" s="1" customFormat="1" ht="12.75" x14ac:dyDescent="0.2">
      <c r="B2380" s="43" t="s">
        <v>273</v>
      </c>
      <c r="C2380" s="43" t="s">
        <v>354</v>
      </c>
      <c r="D2380" s="60"/>
      <c r="E2380" s="40"/>
      <c r="F2380" s="40"/>
      <c r="G2380" s="40"/>
      <c r="H2380" s="40"/>
      <c r="I2380" s="44">
        <f>SUM(H2381:H2381)</f>
        <v>4</v>
      </c>
      <c r="J2380" s="45" t="str">
        <f>+J2381</f>
        <v>und</v>
      </c>
    </row>
    <row r="2381" spans="2:10" s="1" customFormat="1" ht="12.75" x14ac:dyDescent="0.2">
      <c r="B2381" s="43"/>
      <c r="C2381" s="39" t="s">
        <v>463</v>
      </c>
      <c r="D2381" s="60">
        <v>1</v>
      </c>
      <c r="E2381" s="40">
        <v>4</v>
      </c>
      <c r="F2381" s="40"/>
      <c r="G2381" s="40"/>
      <c r="H2381" s="40">
        <f>IF(AND(F2381=0,G2381=0),D2381*E2381,IF(AND(E2381=0,G2381=0),D2381*F2381,IF(AND(E2381=0,F2381=0),D2381*G2381,IF(AND(E2381=0),D2381*F2381*G2381,IF(AND(F2381=0),D2381*E2381*G2381,IF(AND(G2381=0),D2381*E2381*F2381,D2381*E2381*F2381*G2381))))))</f>
        <v>4</v>
      </c>
      <c r="I2381" s="40"/>
      <c r="J2381" s="41" t="s">
        <v>13</v>
      </c>
    </row>
    <row r="2382" spans="2:10" s="1" customFormat="1" ht="12.75" x14ac:dyDescent="0.2">
      <c r="B2382" s="43" t="s">
        <v>274</v>
      </c>
      <c r="C2382" s="43" t="s">
        <v>357</v>
      </c>
      <c r="D2382" s="60"/>
      <c r="E2382" s="40"/>
      <c r="F2382" s="40"/>
      <c r="G2382" s="40"/>
      <c r="H2382" s="40"/>
      <c r="I2382" s="44">
        <f>SUM(H2383:H2383)</f>
        <v>1</v>
      </c>
      <c r="J2382" s="45" t="str">
        <f>+J2383</f>
        <v>und</v>
      </c>
    </row>
    <row r="2383" spans="2:10" s="1" customFormat="1" ht="12.75" x14ac:dyDescent="0.2">
      <c r="B2383" s="43"/>
      <c r="C2383" s="39" t="s">
        <v>375</v>
      </c>
      <c r="D2383" s="40">
        <v>1</v>
      </c>
      <c r="E2383" s="40">
        <v>1</v>
      </c>
      <c r="F2383" s="40"/>
      <c r="G2383" s="40"/>
      <c r="H2383" s="40">
        <f>+D2383</f>
        <v>1</v>
      </c>
      <c r="I2383" s="40"/>
      <c r="J2383" s="41" t="s">
        <v>13</v>
      </c>
    </row>
    <row r="2384" spans="2:10" s="1" customFormat="1" ht="12.75" x14ac:dyDescent="0.2">
      <c r="B2384" s="43" t="s">
        <v>355</v>
      </c>
      <c r="C2384" s="43" t="s">
        <v>263</v>
      </c>
      <c r="D2384" s="60"/>
      <c r="E2384" s="40"/>
      <c r="F2384" s="40"/>
      <c r="G2384" s="40"/>
      <c r="H2384" s="40"/>
      <c r="I2384" s="44">
        <f>SUM(H2385:H2385)</f>
        <v>0</v>
      </c>
      <c r="J2384" s="45" t="str">
        <f>+J2385</f>
        <v>und</v>
      </c>
    </row>
    <row r="2385" spans="2:10" s="1" customFormat="1" ht="14.25" customHeight="1" x14ac:dyDescent="0.2">
      <c r="B2385" s="46"/>
      <c r="C2385" s="39" t="s">
        <v>420</v>
      </c>
      <c r="D2385" s="40"/>
      <c r="E2385" s="40"/>
      <c r="F2385" s="40"/>
      <c r="G2385" s="40"/>
      <c r="H2385" s="40">
        <f>+D2385</f>
        <v>0</v>
      </c>
      <c r="I2385" s="40"/>
      <c r="J2385" s="41" t="s">
        <v>13</v>
      </c>
    </row>
    <row r="2386" spans="2:10" s="1" customFormat="1" ht="12.75" x14ac:dyDescent="0.2">
      <c r="B2386" s="43" t="s">
        <v>356</v>
      </c>
      <c r="C2386" s="43" t="s">
        <v>264</v>
      </c>
      <c r="D2386" s="60"/>
      <c r="E2386" s="40"/>
      <c r="F2386" s="40"/>
      <c r="G2386" s="40"/>
      <c r="H2386" s="40"/>
      <c r="I2386" s="44">
        <f>SUM(H2387:H2387)</f>
        <v>0</v>
      </c>
      <c r="J2386" s="45" t="str">
        <f>+J2387</f>
        <v>und</v>
      </c>
    </row>
    <row r="2387" spans="2:10" s="1" customFormat="1" ht="12.75" x14ac:dyDescent="0.2">
      <c r="B2387" s="46"/>
      <c r="C2387" s="39" t="s">
        <v>420</v>
      </c>
      <c r="D2387" s="40"/>
      <c r="E2387" s="40"/>
      <c r="F2387" s="40"/>
      <c r="G2387" s="40"/>
      <c r="H2387" s="40">
        <f>+D2387</f>
        <v>0</v>
      </c>
      <c r="I2387" s="40"/>
      <c r="J2387" s="41" t="s">
        <v>13</v>
      </c>
    </row>
    <row r="2388" spans="2:10" s="1" customFormat="1" ht="14.25" customHeight="1" x14ac:dyDescent="0.2">
      <c r="B2388" s="46"/>
      <c r="C2388" s="59"/>
      <c r="D2388" s="60"/>
      <c r="E2388" s="40"/>
      <c r="F2388" s="40"/>
      <c r="G2388" s="40"/>
      <c r="H2388" s="40"/>
      <c r="I2388" s="40"/>
      <c r="J2388" s="41"/>
    </row>
    <row r="2389" spans="2:10" s="1" customFormat="1" ht="12.75" x14ac:dyDescent="0.2">
      <c r="B2389" s="43" t="s">
        <v>659</v>
      </c>
      <c r="C2389" s="43" t="s">
        <v>657</v>
      </c>
      <c r="D2389" s="60"/>
      <c r="E2389" s="40"/>
      <c r="F2389" s="40"/>
      <c r="G2389" s="40"/>
      <c r="H2389" s="40"/>
      <c r="I2389" s="44">
        <f>+SUM(H2390:H2391)</f>
        <v>3</v>
      </c>
      <c r="J2389" s="45" t="s">
        <v>13</v>
      </c>
    </row>
    <row r="2390" spans="2:10" s="1" customFormat="1" ht="12.75" x14ac:dyDescent="0.2">
      <c r="B2390" s="46"/>
      <c r="C2390" s="59" t="s">
        <v>658</v>
      </c>
      <c r="D2390" s="60">
        <v>3</v>
      </c>
      <c r="E2390" s="40">
        <v>1</v>
      </c>
      <c r="F2390" s="40"/>
      <c r="G2390" s="40"/>
      <c r="H2390" s="40">
        <f t="shared" ref="H2390" si="164">+D2390</f>
        <v>3</v>
      </c>
      <c r="I2390" s="40"/>
      <c r="J2390" s="41"/>
    </row>
    <row r="2391" spans="2:10" s="1" customFormat="1" ht="12.75" x14ac:dyDescent="0.2">
      <c r="B2391" s="43" t="s">
        <v>659</v>
      </c>
      <c r="C2391" s="372" t="s">
        <v>657</v>
      </c>
      <c r="D2391" s="60"/>
      <c r="E2391" s="40"/>
      <c r="F2391" s="40"/>
      <c r="G2391" s="40"/>
      <c r="H2391" s="40"/>
      <c r="I2391" s="44">
        <f>+SUM(H2392:H2392)</f>
        <v>12</v>
      </c>
      <c r="J2391" s="45" t="s">
        <v>13</v>
      </c>
    </row>
    <row r="2392" spans="2:10" s="1" customFormat="1" ht="12.75" x14ac:dyDescent="0.2">
      <c r="B2392" s="46"/>
      <c r="C2392" s="39" t="s">
        <v>456</v>
      </c>
      <c r="D2392" s="60">
        <f>6*2</f>
        <v>12</v>
      </c>
      <c r="E2392" s="40"/>
      <c r="F2392" s="40"/>
      <c r="G2392" s="40"/>
      <c r="H2392" s="40">
        <f>+D2392</f>
        <v>12</v>
      </c>
      <c r="I2392" s="40"/>
      <c r="J2392" s="41"/>
    </row>
    <row r="2393" spans="2:10" s="1" customFormat="1" ht="12.75" x14ac:dyDescent="0.2">
      <c r="B2393" s="46"/>
      <c r="C2393" s="59"/>
      <c r="D2393" s="60"/>
      <c r="E2393" s="40"/>
      <c r="F2393" s="40"/>
      <c r="G2393" s="40"/>
      <c r="H2393" s="40"/>
      <c r="I2393" s="40"/>
      <c r="J2393" s="41"/>
    </row>
    <row r="2394" spans="2:10" s="1" customFormat="1" ht="12.75" x14ac:dyDescent="0.2">
      <c r="B2394" s="46"/>
      <c r="C2394" s="59"/>
      <c r="D2394" s="60"/>
      <c r="E2394" s="40"/>
      <c r="F2394" s="40"/>
      <c r="G2394" s="40"/>
      <c r="H2394" s="40"/>
      <c r="I2394" s="40"/>
      <c r="J2394" s="41"/>
    </row>
    <row r="2395" spans="2:10" s="1" customFormat="1" ht="12.75" x14ac:dyDescent="0.2">
      <c r="B2395" s="73" t="s">
        <v>14</v>
      </c>
      <c r="C2395" s="73" t="s">
        <v>615</v>
      </c>
      <c r="D2395" s="60"/>
      <c r="E2395" s="40"/>
      <c r="F2395" s="40"/>
      <c r="G2395" s="40"/>
      <c r="H2395" s="40"/>
      <c r="I2395" s="40"/>
      <c r="J2395" s="41"/>
    </row>
    <row r="2396" spans="2:10" s="1" customFormat="1" ht="12.75" x14ac:dyDescent="0.2">
      <c r="B2396" s="25" t="s">
        <v>766</v>
      </c>
      <c r="C2396" s="28" t="s">
        <v>616</v>
      </c>
      <c r="D2396" s="60"/>
      <c r="E2396" s="40"/>
      <c r="F2396" s="40"/>
      <c r="G2396" s="40"/>
      <c r="H2396" s="40"/>
      <c r="I2396" s="40">
        <f>+SUM(H2397:H2400)</f>
        <v>21.785</v>
      </c>
      <c r="J2396" s="41" t="s">
        <v>45</v>
      </c>
    </row>
    <row r="2397" spans="2:10" s="1" customFormat="1" ht="12.75" x14ac:dyDescent="0.2">
      <c r="B2397" s="46"/>
      <c r="C2397" s="39" t="s">
        <v>726</v>
      </c>
      <c r="D2397" s="40">
        <v>1</v>
      </c>
      <c r="E2397" s="40">
        <f>31.5+6.5</f>
        <v>38</v>
      </c>
      <c r="F2397" s="40">
        <v>0.5</v>
      </c>
      <c r="G2397" s="40"/>
      <c r="H2397" s="40">
        <f t="shared" ref="H2397:H2400" si="165">IF(AND(F2397=0,G2397=0),D2397*E2397,IF(AND(E2397=0,G2397=0),D2397*F2397,IF(AND(E2397=0,F2397=0),D2397*G2397,IF(AND(E2397=0),D2397*F2397*G2397,IF(AND(F2397=0),D2397*E2397*G2397,IF(AND(G2397=0),D2397*E2397*F2397,D2397*E2397*F2397*G2397))))))</f>
        <v>19</v>
      </c>
      <c r="I2397" s="40"/>
      <c r="J2397" s="41"/>
    </row>
    <row r="2398" spans="2:10" s="1" customFormat="1" ht="12.75" x14ac:dyDescent="0.2">
      <c r="B2398" s="46"/>
      <c r="C2398" s="39" t="s">
        <v>645</v>
      </c>
      <c r="D2398" s="40">
        <v>1</v>
      </c>
      <c r="E2398" s="40">
        <v>3.65</v>
      </c>
      <c r="F2398" s="40">
        <v>0.5</v>
      </c>
      <c r="G2398" s="40"/>
      <c r="H2398" s="40">
        <f t="shared" si="165"/>
        <v>1.825</v>
      </c>
      <c r="I2398" s="40"/>
      <c r="J2398" s="41"/>
    </row>
    <row r="2399" spans="2:10" s="1" customFormat="1" ht="12.75" x14ac:dyDescent="0.2">
      <c r="B2399" s="46"/>
      <c r="C2399" s="39" t="s">
        <v>402</v>
      </c>
      <c r="D2399" s="40">
        <v>1</v>
      </c>
      <c r="E2399" s="40">
        <v>0.6</v>
      </c>
      <c r="F2399" s="40">
        <v>0.8</v>
      </c>
      <c r="G2399" s="40"/>
      <c r="H2399" s="40">
        <f t="shared" si="165"/>
        <v>0.48</v>
      </c>
      <c r="I2399" s="40"/>
      <c r="J2399" s="41"/>
    </row>
    <row r="2400" spans="2:10" s="1" customFormat="1" ht="12.75" x14ac:dyDescent="0.2">
      <c r="B2400" s="46"/>
      <c r="C2400" s="39" t="s">
        <v>392</v>
      </c>
      <c r="D2400" s="40">
        <v>1</v>
      </c>
      <c r="E2400" s="40">
        <v>0.6</v>
      </c>
      <c r="F2400" s="40">
        <v>0.8</v>
      </c>
      <c r="G2400" s="40"/>
      <c r="H2400" s="40">
        <f t="shared" si="165"/>
        <v>0.48</v>
      </c>
      <c r="I2400" s="40"/>
      <c r="J2400" s="41"/>
    </row>
    <row r="2401" spans="2:10" s="1" customFormat="1" ht="12.75" x14ac:dyDescent="0.2">
      <c r="B2401" s="46"/>
      <c r="C2401" s="59"/>
      <c r="D2401" s="60"/>
      <c r="E2401" s="40"/>
      <c r="F2401" s="40"/>
      <c r="G2401" s="40"/>
      <c r="H2401" s="40"/>
      <c r="I2401" s="40"/>
      <c r="J2401" s="41"/>
    </row>
    <row r="2402" spans="2:10" s="1" customFormat="1" ht="12.75" x14ac:dyDescent="0.2">
      <c r="B2402" s="46"/>
      <c r="C2402" s="59"/>
      <c r="D2402" s="60"/>
      <c r="E2402" s="40"/>
      <c r="F2402" s="40"/>
      <c r="G2402" s="40"/>
      <c r="H2402" s="40"/>
      <c r="I2402" s="40"/>
      <c r="J2402" s="41"/>
    </row>
    <row r="2403" spans="2:10" x14ac:dyDescent="0.25">
      <c r="B2403" s="73" t="s">
        <v>22</v>
      </c>
      <c r="C2403" s="73" t="s">
        <v>614</v>
      </c>
      <c r="D2403" s="23"/>
      <c r="E2403" s="23"/>
      <c r="F2403" s="23"/>
      <c r="G2403" s="23"/>
      <c r="H2403" s="24"/>
      <c r="I2403" s="25"/>
      <c r="J2403" s="26"/>
    </row>
    <row r="2404" spans="2:10" s="1" customFormat="1" ht="15.75" customHeight="1" x14ac:dyDescent="0.2">
      <c r="B2404" s="25" t="s">
        <v>23</v>
      </c>
      <c r="C2404" s="1" t="s">
        <v>622</v>
      </c>
      <c r="D2404" s="60"/>
      <c r="E2404" s="40"/>
      <c r="F2404" s="40"/>
      <c r="G2404" s="40"/>
      <c r="H2404" s="24"/>
      <c r="I2404" s="25">
        <f>+SUM(H2405:H2406)</f>
        <v>6.5910000000000011</v>
      </c>
      <c r="J2404" s="26" t="s">
        <v>4</v>
      </c>
    </row>
    <row r="2405" spans="2:10" s="1" customFormat="1" ht="15.75" customHeight="1" x14ac:dyDescent="0.2">
      <c r="B2405" s="25"/>
      <c r="C2405" s="39" t="s">
        <v>726</v>
      </c>
      <c r="D2405" s="40">
        <v>1</v>
      </c>
      <c r="E2405" s="40">
        <f>31.5+6.5</f>
        <v>38</v>
      </c>
      <c r="F2405" s="40">
        <v>0.4</v>
      </c>
      <c r="G2405" s="40">
        <f>0.2+0.2</f>
        <v>0.4</v>
      </c>
      <c r="H2405" s="40">
        <f>IF(AND(F2405=0,G2405=0),D2405*E2405,IF(AND(E2405=0,G2405=0),D2405*F2405,IF(AND(E2405=0,F2405=0),D2405*G2405,IF(AND(E2405=0),D2405*F2405*G2405,IF(AND(F2405=0),D2405*E2405*G2405,IF(AND(G2405=0),D2405*E2405*F2405,D2405*E2405*F2405*G2405))))))</f>
        <v>6.080000000000001</v>
      </c>
      <c r="I2405" s="40"/>
      <c r="J2405" s="41"/>
    </row>
    <row r="2406" spans="2:10" s="1" customFormat="1" ht="12.75" x14ac:dyDescent="0.2">
      <c r="B2406" s="25"/>
      <c r="C2406" s="39" t="s">
        <v>645</v>
      </c>
      <c r="D2406" s="40">
        <v>1</v>
      </c>
      <c r="E2406" s="40">
        <v>3.65</v>
      </c>
      <c r="F2406" s="40">
        <v>0.4</v>
      </c>
      <c r="G2406" s="40">
        <f>0.15+0.2</f>
        <v>0.35</v>
      </c>
      <c r="H2406" s="40">
        <f>IF(AND(F2406=0,G2406=0),D2406*E2406,IF(AND(E2406=0,G2406=0),D2406*F2406,IF(AND(E2406=0,F2406=0),D2406*G2406,IF(AND(E2406=0),D2406*F2406*G2406,IF(AND(F2406=0),D2406*E2406*G2406,IF(AND(G2406=0),D2406*E2406*F2406,D2406*E2406*F2406*G2406))))))</f>
        <v>0.51100000000000001</v>
      </c>
      <c r="I2406" s="40"/>
      <c r="J2406" s="41"/>
    </row>
    <row r="2407" spans="2:10" s="1" customFormat="1" ht="12.75" x14ac:dyDescent="0.2">
      <c r="B2407" s="25"/>
      <c r="D2407" s="60"/>
      <c r="E2407" s="40"/>
      <c r="F2407" s="40"/>
      <c r="G2407" s="40"/>
      <c r="H2407" s="24"/>
      <c r="I2407" s="25"/>
      <c r="J2407" s="26"/>
    </row>
    <row r="2408" spans="2:10" s="1" customFormat="1" ht="12.75" x14ac:dyDescent="0.2">
      <c r="B2408" s="25" t="s">
        <v>24</v>
      </c>
      <c r="C2408" s="1" t="s">
        <v>623</v>
      </c>
      <c r="D2408" s="60"/>
      <c r="E2408" s="40"/>
      <c r="F2408" s="40"/>
      <c r="G2408" s="40"/>
      <c r="H2408" s="24"/>
      <c r="I2408" s="25">
        <f>+SUM(H2409:H2410)</f>
        <v>0.46079999999999999</v>
      </c>
      <c r="J2408" s="26" t="s">
        <v>4</v>
      </c>
    </row>
    <row r="2409" spans="2:10" s="1" customFormat="1" ht="12.75" x14ac:dyDescent="0.2">
      <c r="B2409" s="57"/>
      <c r="C2409" s="39" t="s">
        <v>402</v>
      </c>
      <c r="D2409" s="40">
        <v>1</v>
      </c>
      <c r="E2409" s="40">
        <v>0.6</v>
      </c>
      <c r="F2409" s="40">
        <v>0.8</v>
      </c>
      <c r="G2409" s="40">
        <f>0.26+0.2</f>
        <v>0.46</v>
      </c>
      <c r="H2409" s="40">
        <f>IF(AND(F2409=0,G2409=0),D2409*E2409,IF(AND(E2409=0,G2409=0),D2409*F2409,IF(AND(E2409=0,F2409=0),D2409*G2409,IF(AND(E2409=0),D2409*F2409*G2409,IF(AND(F2409=0),D2409*E2409*G2409,IF(AND(G2409=0),D2409*E2409*F2409,D2409*E2409*F2409*G2409))))))</f>
        <v>0.2208</v>
      </c>
      <c r="I2409" s="40"/>
      <c r="J2409" s="41"/>
    </row>
    <row r="2410" spans="2:10" s="1" customFormat="1" ht="12.75" x14ac:dyDescent="0.2">
      <c r="B2410" s="57"/>
      <c r="C2410" s="39" t="s">
        <v>392</v>
      </c>
      <c r="D2410" s="40">
        <v>1</v>
      </c>
      <c r="E2410" s="40">
        <v>0.6</v>
      </c>
      <c r="F2410" s="40">
        <v>0.8</v>
      </c>
      <c r="G2410" s="40">
        <f>0.3+0.2</f>
        <v>0.5</v>
      </c>
      <c r="H2410" s="40">
        <f>IF(AND(F2410=0,G2410=0),D2410*E2410,IF(AND(E2410=0,G2410=0),D2410*F2410,IF(AND(E2410=0,F2410=0),D2410*G2410,IF(AND(E2410=0),D2410*F2410*G2410,IF(AND(F2410=0),D2410*E2410*G2410,IF(AND(G2410=0),D2410*E2410*F2410,D2410*E2410*F2410*G2410))))))</f>
        <v>0.24</v>
      </c>
      <c r="I2410" s="40"/>
      <c r="J2410" s="41"/>
    </row>
    <row r="2411" spans="2:10" s="1" customFormat="1" ht="12.75" x14ac:dyDescent="0.2">
      <c r="B2411" s="46"/>
      <c r="C2411" s="59"/>
      <c r="D2411" s="60"/>
      <c r="E2411" s="40"/>
      <c r="F2411" s="40"/>
      <c r="G2411" s="40"/>
      <c r="H2411" s="40"/>
      <c r="I2411" s="40"/>
      <c r="J2411" s="41"/>
    </row>
    <row r="2412" spans="2:10" s="1" customFormat="1" ht="12.75" x14ac:dyDescent="0.2">
      <c r="B2412" s="46"/>
      <c r="C2412" s="59"/>
      <c r="D2412" s="60"/>
      <c r="E2412" s="40"/>
      <c r="F2412" s="40"/>
      <c r="G2412" s="40"/>
      <c r="H2412" s="40"/>
      <c r="I2412" s="40"/>
      <c r="J2412" s="41"/>
    </row>
    <row r="2413" spans="2:10" x14ac:dyDescent="0.25">
      <c r="B2413" s="107" t="s">
        <v>777</v>
      </c>
      <c r="C2413" s="370" t="s">
        <v>779</v>
      </c>
      <c r="D2413" s="23"/>
      <c r="E2413" s="23"/>
      <c r="F2413" s="23"/>
      <c r="G2413" s="23"/>
      <c r="I2413" s="24">
        <f>+SUM(H2414:H2417)</f>
        <v>17.62</v>
      </c>
      <c r="J2413" s="26" t="s">
        <v>45</v>
      </c>
    </row>
    <row r="2414" spans="2:10" x14ac:dyDescent="0.25">
      <c r="B2414" s="107"/>
      <c r="C2414" s="39" t="s">
        <v>732</v>
      </c>
      <c r="D2414" s="40">
        <v>1</v>
      </c>
      <c r="E2414" s="40">
        <f>31.5+6.5</f>
        <v>38</v>
      </c>
      <c r="F2414" s="40">
        <v>0.4</v>
      </c>
      <c r="G2414" s="40"/>
      <c r="H2414" s="40">
        <f>IF(AND(F2414=0,G2414=0),D2414*E2414,IF(AND(E2414=0,G2414=0),D2414*F2414,IF(AND(E2414=0,F2414=0),D2414*G2414,IF(AND(E2414=0),D2414*F2414*G2414,IF(AND(F2414=0),D2414*E2414*G2414,IF(AND(G2414=0),D2414*E2414*F2414,D2414*E2414*F2414*G2414))))))</f>
        <v>15.200000000000001</v>
      </c>
      <c r="I2414" s="25"/>
      <c r="J2414" s="26"/>
    </row>
    <row r="2415" spans="2:10" x14ac:dyDescent="0.25">
      <c r="B2415" s="107"/>
      <c r="C2415" s="39" t="s">
        <v>645</v>
      </c>
      <c r="D2415" s="40">
        <v>1</v>
      </c>
      <c r="E2415" s="40">
        <v>3.65</v>
      </c>
      <c r="F2415" s="40">
        <v>0.4</v>
      </c>
      <c r="G2415" s="40"/>
      <c r="H2415" s="40">
        <f>IF(AND(F2415=0,G2415=0),D2415*E2415,IF(AND(E2415=0,G2415=0),D2415*F2415,IF(AND(E2415=0,F2415=0),D2415*G2415,IF(AND(E2415=0),D2415*F2415*G2415,IF(AND(F2415=0),D2415*E2415*G2415,IF(AND(G2415=0),D2415*E2415*F2415,D2415*E2415*F2415*G2415))))))</f>
        <v>1.46</v>
      </c>
      <c r="I2415" s="25"/>
      <c r="J2415" s="26"/>
    </row>
    <row r="2416" spans="2:10" x14ac:dyDescent="0.25">
      <c r="B2416" s="107"/>
      <c r="C2416" s="39" t="s">
        <v>402</v>
      </c>
      <c r="D2416" s="40">
        <v>1</v>
      </c>
      <c r="E2416" s="40">
        <v>0.6</v>
      </c>
      <c r="F2416" s="40">
        <v>0.8</v>
      </c>
      <c r="G2416" s="40"/>
      <c r="H2416" s="40">
        <f>IF(AND(F2416=0,G2416=0),D2416*E2416,IF(AND(E2416=0,G2416=0),D2416*F2416,IF(AND(E2416=0,F2416=0),D2416*G2416,IF(AND(E2416=0),D2416*F2416*G2416,IF(AND(F2416=0),D2416*E2416*G2416,IF(AND(G2416=0),D2416*E2416*F2416,D2416*E2416*F2416*G2416))))))</f>
        <v>0.48</v>
      </c>
      <c r="I2416" s="25"/>
      <c r="J2416" s="26"/>
    </row>
    <row r="2417" spans="2:10" x14ac:dyDescent="0.25">
      <c r="B2417" s="107"/>
      <c r="C2417" s="39" t="s">
        <v>392</v>
      </c>
      <c r="D2417" s="40">
        <v>1</v>
      </c>
      <c r="E2417" s="40">
        <v>0.6</v>
      </c>
      <c r="F2417" s="40">
        <v>0.8</v>
      </c>
      <c r="G2417" s="40"/>
      <c r="H2417" s="40">
        <f>IF(AND(F2417=0,G2417=0),D2417*E2417,IF(AND(E2417=0,G2417=0),D2417*F2417,IF(AND(E2417=0,F2417=0),D2417*G2417,IF(AND(E2417=0),D2417*F2417*G2417,IF(AND(F2417=0),D2417*E2417*G2417,IF(AND(G2417=0),D2417*E2417*F2417,D2417*E2417*F2417*G2417))))))</f>
        <v>0.48</v>
      </c>
      <c r="I2417" s="25"/>
      <c r="J2417" s="26"/>
    </row>
    <row r="2418" spans="2:10" x14ac:dyDescent="0.25">
      <c r="B2418" s="107"/>
      <c r="C2418" s="370"/>
      <c r="D2418" s="23"/>
      <c r="E2418" s="23"/>
      <c r="F2418" s="23"/>
      <c r="G2418" s="23"/>
      <c r="H2418" s="24"/>
      <c r="I2418" s="25"/>
      <c r="J2418" s="26"/>
    </row>
    <row r="2419" spans="2:10" s="1" customFormat="1" ht="12.75" x14ac:dyDescent="0.2">
      <c r="B2419" s="25" t="s">
        <v>631</v>
      </c>
      <c r="C2419" s="28" t="s">
        <v>719</v>
      </c>
      <c r="D2419" s="60"/>
      <c r="E2419" s="40"/>
      <c r="F2419" s="40"/>
      <c r="G2419" s="40"/>
      <c r="H2419" s="40"/>
      <c r="I2419" s="40">
        <f>+SUM(H2420:H2420)</f>
        <v>49.4</v>
      </c>
      <c r="J2419" s="41" t="s">
        <v>45</v>
      </c>
    </row>
    <row r="2420" spans="2:10" s="1" customFormat="1" ht="12.75" x14ac:dyDescent="0.2">
      <c r="B2420" s="46"/>
      <c r="C2420" s="39" t="s">
        <v>433</v>
      </c>
      <c r="D2420" s="40">
        <v>1</v>
      </c>
      <c r="E2420" s="40">
        <f>31.5+6.5</f>
        <v>38</v>
      </c>
      <c r="F2420" s="40">
        <v>0.5</v>
      </c>
      <c r="G2420" s="40">
        <f>0.2+0.2</f>
        <v>0.4</v>
      </c>
      <c r="H2420" s="40">
        <f>+(F2420+G2420*2)*E2420</f>
        <v>49.4</v>
      </c>
      <c r="I2420" s="40"/>
      <c r="J2420" s="41"/>
    </row>
    <row r="2421" spans="2:10" s="1" customFormat="1" ht="12.75" x14ac:dyDescent="0.2">
      <c r="B2421" s="46"/>
      <c r="C2421" s="59"/>
      <c r="D2421" s="60"/>
      <c r="E2421" s="40"/>
      <c r="F2421" s="40"/>
      <c r="G2421" s="40"/>
      <c r="H2421" s="40"/>
      <c r="I2421" s="40"/>
      <c r="J2421" s="41"/>
    </row>
    <row r="2422" spans="2:10" s="1" customFormat="1" ht="12.75" x14ac:dyDescent="0.2">
      <c r="B2422" s="46"/>
      <c r="C2422" s="59"/>
      <c r="D2422" s="60"/>
      <c r="E2422" s="40"/>
      <c r="F2422" s="40"/>
      <c r="G2422" s="40"/>
      <c r="H2422" s="40"/>
      <c r="I2422" s="40"/>
      <c r="J2422" s="41"/>
    </row>
    <row r="2423" spans="2:10" s="1" customFormat="1" ht="12.75" x14ac:dyDescent="0.2">
      <c r="B2423" s="46"/>
      <c r="C2423" s="59"/>
      <c r="D2423" s="60"/>
      <c r="E2423" s="40"/>
      <c r="F2423" s="40"/>
      <c r="G2423" s="40"/>
      <c r="H2423" s="40"/>
      <c r="I2423" s="40"/>
      <c r="J2423" s="41"/>
    </row>
    <row r="2424" spans="2:10" s="1" customFormat="1" ht="12.75" x14ac:dyDescent="0.2">
      <c r="B2424" s="107" t="s">
        <v>632</v>
      </c>
      <c r="C2424" s="343" t="s">
        <v>794</v>
      </c>
      <c r="D2424" s="60"/>
      <c r="E2424" s="40"/>
      <c r="F2424" s="40" t="s">
        <v>795</v>
      </c>
      <c r="G2424" s="40"/>
      <c r="H2424" s="40"/>
      <c r="I2424" s="40">
        <f>+SUM(H2425:H2429)</f>
        <v>149.46960000000001</v>
      </c>
      <c r="J2424" s="41" t="s">
        <v>12</v>
      </c>
    </row>
    <row r="2425" spans="2:10" s="1" customFormat="1" ht="12.75" x14ac:dyDescent="0.2">
      <c r="B2425" s="380"/>
      <c r="C2425" s="43" t="s">
        <v>349</v>
      </c>
      <c r="D2425" s="60">
        <v>6</v>
      </c>
      <c r="E2425" s="40">
        <f>9.8+0.75</f>
        <v>10.55</v>
      </c>
      <c r="F2425" s="40">
        <f>8.2/5</f>
        <v>1.64</v>
      </c>
      <c r="G2425" s="40"/>
      <c r="H2425" s="40">
        <f>IF(AND(F2425=0,G2425=0),D2425*E2425,IF(AND(E2425=0,G2425=0),D2425*F2425,IF(AND(E2425=0,F2425=0),D2425*G2425,IF(AND(E2425=0),D2425*F2425*G2425,IF(AND(F2425=0),D2425*E2425*G2425,IF(AND(G2425=0),D2425*E2425*F2425,D2425*E2425*F2425*G2425))))))</f>
        <v>103.812</v>
      </c>
      <c r="I2425" s="40"/>
      <c r="J2425" s="41"/>
    </row>
    <row r="2426" spans="2:10" s="1" customFormat="1" ht="12.75" x14ac:dyDescent="0.2">
      <c r="B2426" s="380"/>
      <c r="C2426" s="39" t="s">
        <v>528</v>
      </c>
      <c r="D2426" s="60">
        <v>1</v>
      </c>
      <c r="E2426" s="89">
        <v>10.55</v>
      </c>
      <c r="F2426" s="40">
        <f>8.2/5</f>
        <v>1.64</v>
      </c>
      <c r="G2426" s="40"/>
      <c r="H2426" s="40">
        <f t="shared" ref="H2426:H2429" si="166">IF(AND(F2426=0,G2426=0),D2426*E2426,IF(AND(E2426=0,G2426=0),D2426*F2426,IF(AND(E2426=0,F2426=0),D2426*G2426,IF(AND(E2426=0),D2426*F2426*G2426,IF(AND(F2426=0),D2426*E2426*G2426,IF(AND(G2426=0),D2426*E2426*F2426,D2426*E2426*F2426*G2426))))))</f>
        <v>17.302</v>
      </c>
      <c r="I2426" s="40"/>
      <c r="J2426" s="41"/>
    </row>
    <row r="2427" spans="2:10" s="1" customFormat="1" ht="12.75" x14ac:dyDescent="0.2">
      <c r="B2427" s="380"/>
      <c r="C2427" s="39" t="s">
        <v>663</v>
      </c>
      <c r="D2427" s="60">
        <v>1</v>
      </c>
      <c r="E2427" s="40">
        <v>2</v>
      </c>
      <c r="F2427" s="40">
        <f t="shared" ref="F2427" si="167">8.2/5</f>
        <v>1.64</v>
      </c>
      <c r="G2427" s="40"/>
      <c r="H2427" s="40">
        <f t="shared" si="166"/>
        <v>3.28</v>
      </c>
      <c r="I2427" s="40"/>
      <c r="J2427" s="41"/>
    </row>
    <row r="2428" spans="2:10" s="1" customFormat="1" ht="12.75" x14ac:dyDescent="0.2">
      <c r="B2428" s="380"/>
      <c r="C2428" s="43" t="s">
        <v>472</v>
      </c>
      <c r="D2428" s="60"/>
      <c r="E2428" s="40"/>
      <c r="F2428" s="40"/>
      <c r="G2428" s="40"/>
      <c r="H2428" s="40"/>
      <c r="I2428" s="40"/>
      <c r="J2428" s="41"/>
    </row>
    <row r="2429" spans="2:10" s="1" customFormat="1" ht="12.75" x14ac:dyDescent="0.2">
      <c r="B2429" s="380"/>
      <c r="C2429" s="39" t="s">
        <v>553</v>
      </c>
      <c r="D2429" s="40">
        <v>1</v>
      </c>
      <c r="E2429" s="40">
        <f>4.92+2.65+7.72</f>
        <v>15.29</v>
      </c>
      <c r="F2429" s="40">
        <v>1.64</v>
      </c>
      <c r="G2429" s="40"/>
      <c r="H2429" s="40">
        <f t="shared" si="166"/>
        <v>25.075599999999998</v>
      </c>
      <c r="I2429" s="40"/>
      <c r="J2429" s="41"/>
    </row>
    <row r="2430" spans="2:10" s="1" customFormat="1" ht="12.75" x14ac:dyDescent="0.2">
      <c r="B2430" s="380"/>
      <c r="C2430" s="366"/>
      <c r="D2430" s="60"/>
      <c r="E2430" s="40"/>
      <c r="F2430" s="40"/>
      <c r="G2430" s="40"/>
      <c r="H2430" s="40"/>
      <c r="I2430" s="40"/>
      <c r="J2430" s="41"/>
    </row>
    <row r="2431" spans="2:10" s="1" customFormat="1" ht="12.75" x14ac:dyDescent="0.2">
      <c r="B2431" s="25" t="s">
        <v>633</v>
      </c>
      <c r="C2431" s="28" t="s">
        <v>625</v>
      </c>
      <c r="D2431" s="60"/>
      <c r="E2431" s="40"/>
      <c r="F2431" s="40"/>
      <c r="G2431" s="40"/>
      <c r="H2431" s="40"/>
      <c r="I2431" s="40">
        <f>+SUM(H2432:H2439)</f>
        <v>3.9159000000000002</v>
      </c>
      <c r="J2431" s="41" t="s">
        <v>4</v>
      </c>
    </row>
    <row r="2432" spans="2:10" s="1" customFormat="1" ht="12.75" x14ac:dyDescent="0.2">
      <c r="B2432" s="46"/>
      <c r="C2432" s="39" t="s">
        <v>732</v>
      </c>
      <c r="D2432" s="40">
        <v>2</v>
      </c>
      <c r="E2432" s="40">
        <f>31.5+6.5</f>
        <v>38</v>
      </c>
      <c r="F2432" s="40">
        <v>0.1</v>
      </c>
      <c r="G2432" s="40">
        <v>0.2</v>
      </c>
      <c r="H2432" s="40">
        <f t="shared" ref="H2432:H2439" si="168">IF(AND(F2432=0,G2432=0),D2432*E2432,IF(AND(E2432=0,G2432=0),D2432*F2432,IF(AND(E2432=0,F2432=0),D2432*G2432,IF(AND(E2432=0),D2432*F2432*G2432,IF(AND(F2432=0),D2432*E2432*G2432,IF(AND(G2432=0),D2432*E2432*F2432,D2432*E2432*F2432*G2432))))))</f>
        <v>1.5200000000000002</v>
      </c>
      <c r="I2432" s="40"/>
      <c r="J2432" s="41"/>
    </row>
    <row r="2433" spans="2:10" s="1" customFormat="1" ht="12.75" x14ac:dyDescent="0.2">
      <c r="B2433" s="46"/>
      <c r="C2433" s="39"/>
      <c r="D2433" s="40">
        <v>1</v>
      </c>
      <c r="E2433" s="40">
        <v>38</v>
      </c>
      <c r="F2433" s="40">
        <v>0.4</v>
      </c>
      <c r="G2433" s="40">
        <v>0.1</v>
      </c>
      <c r="H2433" s="40">
        <f t="shared" si="168"/>
        <v>1.5200000000000002</v>
      </c>
      <c r="I2433" s="40"/>
      <c r="J2433" s="41"/>
    </row>
    <row r="2434" spans="2:10" s="1" customFormat="1" ht="12.75" x14ac:dyDescent="0.2">
      <c r="B2434" s="46"/>
      <c r="C2434" s="39" t="s">
        <v>645</v>
      </c>
      <c r="D2434" s="40">
        <v>2</v>
      </c>
      <c r="E2434" s="40">
        <v>3.65</v>
      </c>
      <c r="F2434" s="40">
        <v>0.5</v>
      </c>
      <c r="G2434" s="40">
        <v>0.15</v>
      </c>
      <c r="H2434" s="40">
        <f t="shared" si="168"/>
        <v>0.54749999999999999</v>
      </c>
      <c r="I2434" s="40"/>
      <c r="J2434" s="41"/>
    </row>
    <row r="2435" spans="2:10" s="1" customFormat="1" ht="12.75" x14ac:dyDescent="0.2">
      <c r="B2435" s="46"/>
      <c r="C2435" s="59"/>
      <c r="D2435" s="60">
        <v>1</v>
      </c>
      <c r="E2435" s="40">
        <v>3.65</v>
      </c>
      <c r="F2435" s="40">
        <v>0.4</v>
      </c>
      <c r="G2435" s="40">
        <v>0.1</v>
      </c>
      <c r="H2435" s="40">
        <f t="shared" si="168"/>
        <v>0.14599999999999999</v>
      </c>
      <c r="I2435" s="40"/>
      <c r="J2435" s="41"/>
    </row>
    <row r="2436" spans="2:10" s="1" customFormat="1" ht="12.75" x14ac:dyDescent="0.2">
      <c r="B2436" s="46"/>
      <c r="C2436" s="39" t="s">
        <v>402</v>
      </c>
      <c r="D2436" s="40">
        <v>2</v>
      </c>
      <c r="E2436" s="40">
        <v>0.8</v>
      </c>
      <c r="F2436" s="40">
        <v>0.1</v>
      </c>
      <c r="G2436" s="40">
        <v>0.36</v>
      </c>
      <c r="H2436" s="40">
        <f t="shared" si="168"/>
        <v>5.7600000000000012E-2</v>
      </c>
      <c r="I2436" s="40"/>
      <c r="J2436" s="41"/>
    </row>
    <row r="2437" spans="2:10" s="1" customFormat="1" ht="12.75" x14ac:dyDescent="0.2">
      <c r="B2437" s="46"/>
      <c r="C2437" s="39"/>
      <c r="D2437" s="40">
        <v>2</v>
      </c>
      <c r="E2437" s="40">
        <v>0.4</v>
      </c>
      <c r="F2437" s="40">
        <v>0.1</v>
      </c>
      <c r="G2437" s="40">
        <v>0.36</v>
      </c>
      <c r="H2437" s="40">
        <f t="shared" si="168"/>
        <v>2.8800000000000006E-2</v>
      </c>
      <c r="I2437" s="40"/>
      <c r="J2437" s="41"/>
    </row>
    <row r="2438" spans="2:10" s="1" customFormat="1" ht="12.75" x14ac:dyDescent="0.2">
      <c r="B2438" s="46"/>
      <c r="C2438" s="39" t="s">
        <v>392</v>
      </c>
      <c r="D2438" s="40">
        <v>2</v>
      </c>
      <c r="E2438" s="40">
        <v>0.8</v>
      </c>
      <c r="F2438" s="40">
        <v>0.1</v>
      </c>
      <c r="G2438" s="40">
        <v>0.4</v>
      </c>
      <c r="H2438" s="40">
        <f t="shared" si="168"/>
        <v>6.4000000000000015E-2</v>
      </c>
      <c r="I2438" s="40"/>
      <c r="J2438" s="41"/>
    </row>
    <row r="2439" spans="2:10" s="1" customFormat="1" ht="12.75" x14ac:dyDescent="0.2">
      <c r="B2439" s="46"/>
      <c r="C2439" s="59"/>
      <c r="D2439" s="40">
        <v>2</v>
      </c>
      <c r="E2439" s="40">
        <v>0.4</v>
      </c>
      <c r="F2439" s="40">
        <v>0.1</v>
      </c>
      <c r="G2439" s="40">
        <v>0.4</v>
      </c>
      <c r="H2439" s="40">
        <f t="shared" si="168"/>
        <v>3.2000000000000008E-2</v>
      </c>
      <c r="I2439" s="40"/>
      <c r="J2439" s="41"/>
    </row>
    <row r="2440" spans="2:10" s="1" customFormat="1" ht="12.75" x14ac:dyDescent="0.2">
      <c r="B2440" s="46"/>
      <c r="C2440" s="59"/>
      <c r="D2440" s="60"/>
      <c r="E2440" s="40"/>
      <c r="F2440" s="40"/>
      <c r="G2440" s="40"/>
      <c r="H2440" s="40"/>
      <c r="I2440" s="40"/>
      <c r="J2440" s="41"/>
    </row>
    <row r="2441" spans="2:10" s="1" customFormat="1" ht="12.75" x14ac:dyDescent="0.2">
      <c r="B2441" s="46"/>
      <c r="C2441" s="59"/>
      <c r="D2441" s="60"/>
      <c r="E2441" s="40"/>
      <c r="F2441" s="40"/>
      <c r="G2441" s="40"/>
      <c r="H2441" s="40"/>
      <c r="I2441" s="40"/>
      <c r="J2441" s="41"/>
    </row>
    <row r="2442" spans="2:10" s="1" customFormat="1" ht="12.75" x14ac:dyDescent="0.2">
      <c r="B2442" s="107" t="s">
        <v>790</v>
      </c>
      <c r="C2442" s="343" t="s">
        <v>789</v>
      </c>
      <c r="D2442" s="60" t="s">
        <v>791</v>
      </c>
      <c r="E2442" s="40"/>
      <c r="F2442" s="40"/>
      <c r="G2442" s="40"/>
      <c r="H2442" s="40"/>
      <c r="I2442" s="40">
        <f>+SUM(H2443:H2446)</f>
        <v>8.8147500000000019</v>
      </c>
      <c r="J2442" s="41" t="s">
        <v>4</v>
      </c>
    </row>
    <row r="2443" spans="2:10" s="1" customFormat="1" ht="12.75" x14ac:dyDescent="0.2">
      <c r="B2443" s="107"/>
      <c r="C2443" s="39" t="s">
        <v>726</v>
      </c>
      <c r="D2443" s="40">
        <v>1.25</v>
      </c>
      <c r="E2443" s="40">
        <f>31.5+6.5</f>
        <v>38</v>
      </c>
      <c r="F2443" s="40">
        <v>0.4</v>
      </c>
      <c r="G2443" s="40">
        <f>0.2+0.2</f>
        <v>0.4</v>
      </c>
      <c r="H2443" s="40">
        <f>IF(AND(F2443=0,G2443=0),D2443*E2443,IF(AND(E2443=0,G2443=0),D2443*F2443,IF(AND(E2443=0,F2443=0),D2443*G2443,IF(AND(E2443=0),D2443*F2443*G2443,IF(AND(F2443=0),D2443*E2443*G2443,IF(AND(G2443=0),D2443*E2443*F2443,D2443*E2443*F2443*G2443))))))</f>
        <v>7.6000000000000005</v>
      </c>
      <c r="I2443" s="40"/>
      <c r="J2443" s="41"/>
    </row>
    <row r="2444" spans="2:10" s="1" customFormat="1" ht="12.75" x14ac:dyDescent="0.2">
      <c r="B2444" s="107"/>
      <c r="C2444" s="39" t="s">
        <v>645</v>
      </c>
      <c r="D2444" s="40">
        <v>1.25</v>
      </c>
      <c r="E2444" s="40">
        <v>3.65</v>
      </c>
      <c r="F2444" s="40">
        <v>0.4</v>
      </c>
      <c r="G2444" s="40">
        <f>0.15+0.2</f>
        <v>0.35</v>
      </c>
      <c r="H2444" s="40">
        <f>IF(AND(F2444=0,G2444=0),D2444*E2444,IF(AND(E2444=0,G2444=0),D2444*F2444,IF(AND(E2444=0,F2444=0),D2444*G2444,IF(AND(E2444=0),D2444*F2444*G2444,IF(AND(F2444=0),D2444*E2444*G2444,IF(AND(G2444=0),D2444*E2444*F2444,D2444*E2444*F2444*G2444))))))</f>
        <v>0.63875000000000004</v>
      </c>
      <c r="I2444" s="40"/>
      <c r="J2444" s="41"/>
    </row>
    <row r="2445" spans="2:10" s="1" customFormat="1" ht="12.75" x14ac:dyDescent="0.2">
      <c r="B2445" s="107"/>
      <c r="C2445" s="39" t="s">
        <v>402</v>
      </c>
      <c r="D2445" s="40">
        <v>1.25</v>
      </c>
      <c r="E2445" s="40">
        <v>0.6</v>
      </c>
      <c r="F2445" s="40">
        <v>0.8</v>
      </c>
      <c r="G2445" s="40">
        <f>0.26+0.2</f>
        <v>0.46</v>
      </c>
      <c r="H2445" s="40">
        <f>IF(AND(F2445=0,G2445=0),D2445*E2445,IF(AND(E2445=0,G2445=0),D2445*F2445,IF(AND(E2445=0,F2445=0),D2445*G2445,IF(AND(E2445=0),D2445*F2445*G2445,IF(AND(F2445=0),D2445*E2445*G2445,IF(AND(G2445=0),D2445*E2445*F2445,D2445*E2445*F2445*G2445))))))</f>
        <v>0.27600000000000008</v>
      </c>
      <c r="I2445" s="40"/>
      <c r="J2445" s="41"/>
    </row>
    <row r="2446" spans="2:10" s="1" customFormat="1" ht="12.75" x14ac:dyDescent="0.2">
      <c r="B2446" s="107"/>
      <c r="C2446" s="39" t="s">
        <v>392</v>
      </c>
      <c r="D2446" s="40">
        <v>1.25</v>
      </c>
      <c r="E2446" s="40">
        <v>0.6</v>
      </c>
      <c r="F2446" s="40">
        <v>0.8</v>
      </c>
      <c r="G2446" s="40">
        <f>0.3+0.2</f>
        <v>0.5</v>
      </c>
      <c r="H2446" s="40">
        <f>IF(AND(F2446=0,G2446=0),D2446*E2446,IF(AND(E2446=0,G2446=0),D2446*F2446,IF(AND(E2446=0,F2446=0),D2446*G2446,IF(AND(E2446=0),D2446*F2446*G2446,IF(AND(F2446=0),D2446*E2446*G2446,IF(AND(G2446=0),D2446*E2446*F2446,D2446*E2446*F2446*G2446))))))</f>
        <v>0.30000000000000004</v>
      </c>
      <c r="I2446" s="40"/>
      <c r="J2446" s="41"/>
    </row>
    <row r="2447" spans="2:10" s="1" customFormat="1" ht="12.75" x14ac:dyDescent="0.2">
      <c r="B2447" s="107"/>
      <c r="C2447" s="343"/>
      <c r="D2447" s="60"/>
      <c r="E2447" s="40"/>
      <c r="F2447" s="40"/>
      <c r="G2447" s="40"/>
      <c r="H2447" s="40"/>
      <c r="I2447" s="40"/>
      <c r="J2447" s="41"/>
    </row>
    <row r="2448" spans="2:10" s="1" customFormat="1" ht="12.75" x14ac:dyDescent="0.2">
      <c r="B2448" s="107"/>
      <c r="C2448" s="343"/>
      <c r="D2448" s="60"/>
      <c r="E2448" s="40"/>
      <c r="F2448" s="40"/>
      <c r="G2448" s="40"/>
      <c r="H2448" s="40"/>
      <c r="I2448" s="40"/>
      <c r="J2448" s="41"/>
    </row>
    <row r="2449" spans="2:10" s="1" customFormat="1" ht="12.75" x14ac:dyDescent="0.2">
      <c r="B2449" s="107" t="s">
        <v>634</v>
      </c>
      <c r="C2449" s="343" t="s">
        <v>624</v>
      </c>
      <c r="D2449" s="60"/>
      <c r="E2449" s="40"/>
      <c r="F2449" s="40"/>
      <c r="G2449" s="40"/>
      <c r="H2449" s="40"/>
      <c r="I2449" s="40">
        <f>+I2442</f>
        <v>8.8147500000000019</v>
      </c>
      <c r="J2449" s="41" t="s">
        <v>4</v>
      </c>
    </row>
    <row r="2450" spans="2:10" s="1" customFormat="1" ht="12.75" x14ac:dyDescent="0.2">
      <c r="B2450" s="46"/>
      <c r="C2450" s="59"/>
      <c r="D2450" s="60"/>
      <c r="E2450" s="40"/>
      <c r="F2450" s="40"/>
      <c r="G2450" s="40"/>
      <c r="H2450" s="40"/>
      <c r="I2450" s="40"/>
      <c r="J2450" s="41"/>
    </row>
    <row r="2451" spans="2:10" s="1" customFormat="1" ht="12.75" x14ac:dyDescent="0.2">
      <c r="B2451" s="46"/>
      <c r="C2451" s="59"/>
      <c r="D2451" s="60"/>
      <c r="E2451" s="40"/>
      <c r="F2451" s="40"/>
      <c r="G2451" s="40"/>
      <c r="H2451" s="40"/>
      <c r="I2451" s="40"/>
      <c r="J2451" s="41"/>
    </row>
    <row r="2452" spans="2:10" s="1" customFormat="1" ht="12.75" x14ac:dyDescent="0.2">
      <c r="B2452" s="46"/>
      <c r="C2452" s="59"/>
      <c r="D2452" s="60"/>
      <c r="E2452" s="40"/>
      <c r="F2452" s="40"/>
      <c r="G2452" s="40"/>
      <c r="H2452" s="40"/>
      <c r="I2452" s="40"/>
      <c r="J2452" s="41"/>
    </row>
    <row r="2453" spans="2:10" s="1" customFormat="1" ht="12.75" x14ac:dyDescent="0.2">
      <c r="B2453" s="46"/>
      <c r="C2453" s="59"/>
      <c r="D2453" s="60"/>
      <c r="E2453" s="40"/>
      <c r="F2453" s="40"/>
      <c r="G2453" s="40"/>
      <c r="H2453" s="40"/>
      <c r="I2453" s="40"/>
      <c r="J2453" s="41"/>
    </row>
    <row r="2454" spans="2:10" s="1" customFormat="1" ht="12.75" x14ac:dyDescent="0.2">
      <c r="B2454" s="46"/>
      <c r="C2454" s="59"/>
      <c r="D2454" s="60"/>
      <c r="E2454" s="40"/>
      <c r="F2454" s="40"/>
      <c r="G2454" s="40"/>
      <c r="H2454" s="40"/>
      <c r="I2454" s="40"/>
      <c r="J2454" s="41"/>
    </row>
    <row r="2455" spans="2:10" s="1" customFormat="1" ht="12.75" x14ac:dyDescent="0.2">
      <c r="B2455" s="46"/>
      <c r="C2455" s="59"/>
      <c r="D2455" s="60"/>
      <c r="E2455" s="40"/>
      <c r="F2455" s="40"/>
      <c r="G2455" s="40"/>
      <c r="H2455" s="40"/>
      <c r="I2455" s="40"/>
      <c r="J2455" s="41"/>
    </row>
    <row r="2456" spans="2:10" s="1" customFormat="1" ht="12.75" x14ac:dyDescent="0.2">
      <c r="B2456" s="46"/>
      <c r="C2456" s="59"/>
      <c r="D2456" s="60"/>
      <c r="E2456" s="40"/>
      <c r="F2456" s="40"/>
      <c r="G2456" s="40"/>
      <c r="H2456" s="40"/>
      <c r="I2456" s="40"/>
      <c r="J2456" s="41"/>
    </row>
    <row r="2457" spans="2:10" s="1" customFormat="1" ht="12.75" x14ac:dyDescent="0.2">
      <c r="B2457" s="46"/>
      <c r="C2457" s="59"/>
      <c r="D2457" s="60"/>
      <c r="E2457" s="40"/>
      <c r="F2457" s="40"/>
      <c r="G2457" s="40"/>
      <c r="H2457" s="40"/>
      <c r="I2457" s="40"/>
      <c r="J2457" s="41"/>
    </row>
    <row r="2458" spans="2:10" s="1" customFormat="1" ht="12.75" x14ac:dyDescent="0.2">
      <c r="B2458" s="46"/>
      <c r="C2458" s="59"/>
      <c r="D2458" s="60"/>
      <c r="E2458" s="40"/>
      <c r="F2458" s="40"/>
      <c r="G2458" s="40"/>
      <c r="H2458" s="40"/>
      <c r="I2458" s="40"/>
      <c r="J2458" s="41"/>
    </row>
    <row r="2459" spans="2:10" s="1" customFormat="1" ht="12.75" x14ac:dyDescent="0.2">
      <c r="B2459" s="46"/>
      <c r="C2459" s="59"/>
      <c r="D2459" s="60"/>
      <c r="E2459" s="40"/>
      <c r="F2459" s="40"/>
      <c r="G2459" s="40"/>
      <c r="H2459" s="40"/>
      <c r="I2459" s="40"/>
      <c r="J2459" s="41"/>
    </row>
    <row r="2460" spans="2:10" s="1" customFormat="1" ht="12.75" x14ac:dyDescent="0.2">
      <c r="B2460" s="46"/>
      <c r="C2460" s="59"/>
      <c r="D2460" s="60"/>
      <c r="E2460" s="40"/>
      <c r="F2460" s="40"/>
      <c r="G2460" s="40"/>
      <c r="H2460" s="40"/>
      <c r="I2460" s="40"/>
      <c r="J2460" s="41"/>
    </row>
    <row r="2461" spans="2:10" s="1" customFormat="1" ht="12.75" x14ac:dyDescent="0.2">
      <c r="B2461" s="46"/>
      <c r="C2461" s="59"/>
      <c r="D2461" s="60"/>
      <c r="E2461" s="40"/>
      <c r="F2461" s="40"/>
      <c r="G2461" s="40"/>
      <c r="H2461" s="40"/>
      <c r="I2461" s="40"/>
      <c r="J2461" s="41"/>
    </row>
    <row r="2462" spans="2:10" s="1" customFormat="1" ht="12.75" x14ac:dyDescent="0.2">
      <c r="C2462" s="98" t="s">
        <v>37</v>
      </c>
      <c r="D2462" s="98"/>
      <c r="E2462" s="98"/>
      <c r="F2462" s="98"/>
      <c r="G2462" s="98"/>
      <c r="H2462" s="98"/>
    </row>
    <row r="2463" spans="2:10" s="1" customFormat="1" ht="12.75" x14ac:dyDescent="0.2">
      <c r="C2463" s="98" t="s">
        <v>38</v>
      </c>
      <c r="D2463" s="98"/>
      <c r="E2463" s="98"/>
      <c r="F2463" s="98"/>
      <c r="G2463" s="98"/>
      <c r="H2463" s="98"/>
    </row>
    <row r="2464" spans="2:10" s="1" customFormat="1" ht="12.75" x14ac:dyDescent="0.2">
      <c r="C2464" s="98" t="s">
        <v>39</v>
      </c>
      <c r="D2464" s="98"/>
      <c r="E2464" s="98"/>
      <c r="F2464" s="98"/>
      <c r="G2464" s="98"/>
      <c r="H2464" s="98"/>
    </row>
    <row r="2465" spans="2:10" s="1" customFormat="1" ht="12.75" x14ac:dyDescent="0.2">
      <c r="C2465" s="99" t="s">
        <v>40</v>
      </c>
      <c r="D2465" s="99"/>
      <c r="E2465" s="99"/>
      <c r="F2465" s="99"/>
      <c r="G2465" s="99"/>
      <c r="H2465" s="99"/>
    </row>
    <row r="2466" spans="2:10" s="1" customFormat="1" ht="12.75" customHeight="1" x14ac:dyDescent="0.2">
      <c r="C2466" s="80"/>
      <c r="D2466" s="99"/>
      <c r="E2466" s="99"/>
      <c r="F2466" s="99"/>
      <c r="G2466" s="99"/>
      <c r="H2466" s="99"/>
    </row>
    <row r="2467" spans="2:10" s="1" customFormat="1" ht="15.75" x14ac:dyDescent="0.2">
      <c r="B2467" s="100" t="s">
        <v>65</v>
      </c>
      <c r="C2467" s="101"/>
      <c r="D2467" s="101"/>
      <c r="E2467" s="101"/>
      <c r="F2467" s="101"/>
      <c r="G2467" s="101"/>
      <c r="H2467" s="101"/>
      <c r="I2467" s="101"/>
      <c r="J2467" s="102"/>
    </row>
    <row r="2468" spans="2:10" s="1" customFormat="1" ht="20.25" x14ac:dyDescent="0.2">
      <c r="B2468" s="104" t="s">
        <v>430</v>
      </c>
      <c r="C2468" s="105"/>
      <c r="D2468" s="105"/>
      <c r="E2468" s="105"/>
      <c r="F2468" s="105"/>
      <c r="G2468" s="105"/>
      <c r="H2468" s="105"/>
      <c r="I2468" s="105"/>
      <c r="J2468" s="106"/>
    </row>
    <row r="2469" spans="2:10" s="1" customFormat="1" ht="13.5" thickBot="1" x14ac:dyDescent="0.25">
      <c r="B2469" s="81"/>
      <c r="C2469" s="81"/>
      <c r="D2469" s="103"/>
      <c r="E2469" s="103"/>
      <c r="F2469" s="103"/>
      <c r="G2469" s="103"/>
      <c r="H2469" s="103"/>
      <c r="I2469" s="103"/>
      <c r="J2469" s="103"/>
    </row>
    <row r="2470" spans="2:10" s="1" customFormat="1" ht="165.75" x14ac:dyDescent="0.2">
      <c r="B2470" s="94" t="s">
        <v>27</v>
      </c>
      <c r="C2470" s="95"/>
      <c r="D2470" s="95"/>
      <c r="E2470" s="95"/>
      <c r="F2470" s="95"/>
      <c r="G2470" s="95"/>
      <c r="H2470" s="95"/>
      <c r="I2470" s="95"/>
      <c r="J2470" s="96"/>
    </row>
    <row r="2471" spans="2:10" s="1" customFormat="1" ht="12.75" x14ac:dyDescent="0.2">
      <c r="B2471" s="2" t="s">
        <v>35</v>
      </c>
      <c r="C2471" s="3" t="s">
        <v>36</v>
      </c>
      <c r="D2471" s="3"/>
      <c r="E2471" s="4"/>
      <c r="F2471" s="5"/>
      <c r="G2471" s="6" t="s">
        <v>8</v>
      </c>
      <c r="H2471" s="97">
        <v>42879</v>
      </c>
      <c r="I2471" s="97"/>
      <c r="J2471" s="7"/>
    </row>
    <row r="2472" spans="2:10" s="1" customFormat="1" ht="12.75" x14ac:dyDescent="0.2">
      <c r="B2472" s="2" t="s">
        <v>33</v>
      </c>
      <c r="C2472" s="3" t="s">
        <v>29</v>
      </c>
      <c r="D2472" s="8"/>
      <c r="E2472" s="8"/>
      <c r="F2472" s="3"/>
      <c r="G2472" s="9" t="s">
        <v>32</v>
      </c>
      <c r="H2472" s="4" t="s">
        <v>29</v>
      </c>
      <c r="I2472" s="10"/>
      <c r="J2472" s="11"/>
    </row>
    <row r="2473" spans="2:10" s="1" customFormat="1" ht="12.75" x14ac:dyDescent="0.2">
      <c r="B2473" s="2" t="s">
        <v>34</v>
      </c>
      <c r="C2473" s="3" t="s">
        <v>29</v>
      </c>
      <c r="D2473" s="8"/>
      <c r="E2473" s="8"/>
      <c r="F2473" s="3"/>
      <c r="G2473" s="9" t="s">
        <v>30</v>
      </c>
      <c r="H2473" s="4" t="s">
        <v>31</v>
      </c>
      <c r="I2473" s="10"/>
      <c r="J2473" s="11"/>
    </row>
    <row r="2474" spans="2:10" s="1" customFormat="1" ht="13.5" thickBot="1" x14ac:dyDescent="0.25">
      <c r="B2474" s="12" t="s">
        <v>43</v>
      </c>
      <c r="C2474" s="13" t="s">
        <v>44</v>
      </c>
      <c r="D2474" s="14"/>
      <c r="E2474" s="14"/>
      <c r="F2474" s="13"/>
      <c r="G2474" s="15" t="s">
        <v>41</v>
      </c>
      <c r="H2474" s="16" t="s">
        <v>42</v>
      </c>
      <c r="I2474" s="17"/>
      <c r="J2474" s="18"/>
    </row>
    <row r="2475" spans="2:10" s="1" customFormat="1" ht="12.75" x14ac:dyDescent="0.2">
      <c r="B2475" s="81"/>
      <c r="C2475" s="81"/>
      <c r="D2475" s="103"/>
      <c r="E2475" s="103"/>
      <c r="F2475" s="103"/>
      <c r="G2475" s="103"/>
      <c r="H2475" s="103"/>
      <c r="I2475" s="103"/>
      <c r="J2475" s="103"/>
    </row>
    <row r="2476" spans="2:10" s="1" customFormat="1" ht="12.75" x14ac:dyDescent="0.2">
      <c r="B2476" s="21" t="s">
        <v>5</v>
      </c>
      <c r="C2476" s="22" t="s">
        <v>0</v>
      </c>
      <c r="D2476" s="22" t="s">
        <v>9</v>
      </c>
      <c r="E2476" s="22" t="s">
        <v>10</v>
      </c>
      <c r="F2476" s="22" t="s">
        <v>1</v>
      </c>
      <c r="G2476" s="22" t="s">
        <v>2</v>
      </c>
      <c r="H2476" s="22" t="s">
        <v>11</v>
      </c>
      <c r="I2476" s="22" t="s">
        <v>6</v>
      </c>
      <c r="J2476" s="22" t="s">
        <v>7</v>
      </c>
    </row>
    <row r="2477" spans="2:10" s="1" customFormat="1" ht="12.75" x14ac:dyDescent="0.2">
      <c r="B2477" s="55">
        <v>4.03</v>
      </c>
      <c r="C2477" s="56" t="s">
        <v>222</v>
      </c>
      <c r="D2477" s="60"/>
      <c r="E2477" s="40"/>
      <c r="F2477" s="40"/>
      <c r="G2477" s="40"/>
      <c r="H2477" s="40"/>
      <c r="I2477" s="40"/>
      <c r="J2477" s="41"/>
    </row>
    <row r="2478" spans="2:10" s="1" customFormat="1" ht="12.75" x14ac:dyDescent="0.2">
      <c r="B2478" s="57" t="s">
        <v>14</v>
      </c>
      <c r="C2478" s="58" t="s">
        <v>225</v>
      </c>
      <c r="D2478" s="60"/>
      <c r="E2478" s="40"/>
      <c r="F2478" s="40"/>
      <c r="G2478" s="40"/>
      <c r="H2478" s="40"/>
      <c r="I2478" s="40"/>
      <c r="J2478" s="41"/>
    </row>
    <row r="2479" spans="2:10" s="1" customFormat="1" ht="12.75" x14ac:dyDescent="0.2">
      <c r="B2479" s="43" t="s">
        <v>15</v>
      </c>
      <c r="C2479" s="43" t="s">
        <v>359</v>
      </c>
      <c r="D2479" s="60"/>
      <c r="E2479" s="40"/>
      <c r="F2479" s="40"/>
      <c r="G2479" s="40"/>
      <c r="H2479" s="40"/>
      <c r="I2479" s="44">
        <f>SUM(H2480:H2480)</f>
        <v>0</v>
      </c>
      <c r="J2479" s="45" t="str">
        <f>+J2480</f>
        <v>ml</v>
      </c>
    </row>
    <row r="2480" spans="2:10" s="1" customFormat="1" ht="12.75" x14ac:dyDescent="0.2">
      <c r="B2480" s="43"/>
      <c r="C2480" s="39" t="s">
        <v>387</v>
      </c>
      <c r="D2480" s="40"/>
      <c r="E2480" s="40"/>
      <c r="F2480" s="40"/>
      <c r="G2480" s="40"/>
      <c r="H2480" s="40">
        <f>IF(AND(F2480=0,G2480=0),D2480*E2480,IF(AND(E2480=0,G2480=0),D2480*F2480,IF(AND(E2480=0,F2480=0),D2480*G2480,IF(AND(E2480=0),D2480*F2480*G2480,IF(AND(F2480=0),D2480*E2480*G2480,IF(AND(G2480=0),D2480*E2480*F2480,D2480*E2480*F2480*G2480))))))</f>
        <v>0</v>
      </c>
      <c r="I2480" s="40"/>
      <c r="J2480" s="41" t="str">
        <f>IF(AND(E2480=0,F2480&lt;&gt;0,G2480&lt;&gt;0),"m2",IF(AND(F2480=0,E2480&lt;&gt;0,G2480&lt;&gt;0),"m2",IF(AND(G2480=0,E2480&lt;&gt;0,F2480&lt;&gt;0),"m2",IF(AND(F2480=0,G2480=0),"ml",IF(AND(E2480=0,G2480=0),"ml",IF(AND(E2480=0,F2480=0),"ml",IF(AND(E2480&lt;&gt;0,F2480&lt;&gt;0,G2480&lt;&gt;0),"m3",0)))))))</f>
        <v>ml</v>
      </c>
    </row>
    <row r="2481" spans="2:10" s="1" customFormat="1" ht="12.75" x14ac:dyDescent="0.2">
      <c r="B2481" s="43"/>
      <c r="C2481" s="39"/>
      <c r="D2481" s="40"/>
      <c r="E2481" s="40"/>
      <c r="F2481" s="40"/>
      <c r="G2481" s="40"/>
      <c r="H2481" s="40">
        <f>IF(AND(F2481=0,G2481=0),D2481*E2481,IF(AND(E2481=0,G2481=0),D2481*F2481,IF(AND(E2481=0,F2481=0),D2481*G2481,IF(AND(E2481=0),D2481*F2481*G2481,IF(AND(F2481=0),D2481*E2481*G2481,IF(AND(G2481=0),D2481*E2481*F2481,D2481*E2481*F2481*G2481))))))</f>
        <v>0</v>
      </c>
      <c r="I2481" s="40"/>
      <c r="J2481" s="41" t="str">
        <f>IF(AND(E2481=0,F2481&lt;&gt;0,G2481&lt;&gt;0),"m2",IF(AND(F2481=0,E2481&lt;&gt;0,G2481&lt;&gt;0),"m2",IF(AND(G2481=0,E2481&lt;&gt;0,F2481&lt;&gt;0),"m2",IF(AND(F2481=0,G2481=0),"ml",IF(AND(E2481=0,G2481=0),"ml",IF(AND(E2481=0,F2481=0),"ml",IF(AND(E2481&lt;&gt;0,F2481&lt;&gt;0,G2481&lt;&gt;0),"m3",0)))))))</f>
        <v>ml</v>
      </c>
    </row>
    <row r="2482" spans="2:10" s="1" customFormat="1" ht="12.75" x14ac:dyDescent="0.2">
      <c r="B2482" s="43" t="s">
        <v>232</v>
      </c>
      <c r="C2482" s="43" t="s">
        <v>235</v>
      </c>
      <c r="D2482" s="60"/>
      <c r="E2482" s="40"/>
      <c r="F2482" s="40"/>
      <c r="G2482" s="40"/>
      <c r="H2482" s="40"/>
      <c r="I2482" s="44">
        <f>SUM(H2483:H2484)</f>
        <v>23</v>
      </c>
      <c r="J2482" s="45" t="str">
        <f>+J2483</f>
        <v>ml</v>
      </c>
    </row>
    <row r="2483" spans="2:10" s="1" customFormat="1" ht="12.75" x14ac:dyDescent="0.2">
      <c r="B2483" s="57"/>
      <c r="C2483" s="39" t="s">
        <v>378</v>
      </c>
      <c r="D2483" s="40">
        <v>2</v>
      </c>
      <c r="E2483" s="40">
        <v>4.5</v>
      </c>
      <c r="F2483" s="40"/>
      <c r="G2483" s="40"/>
      <c r="H2483" s="40">
        <f>IF(AND(F2483=0,G2483=0),D2483*E2483,IF(AND(E2483=0,G2483=0),D2483*F2483,IF(AND(E2483=0,F2483=0),D2483*G2483,IF(AND(E2483=0),D2483*F2483*G2483,IF(AND(F2483=0),D2483*E2483*G2483,IF(AND(G2483=0),D2483*E2483*F2483,D2483*E2483*F2483*G2483))))))</f>
        <v>9</v>
      </c>
      <c r="I2483" s="40"/>
      <c r="J2483" s="41" t="str">
        <f>IF(AND(E2483=0,F2483&lt;&gt;0,G2483&lt;&gt;0),"m2",IF(AND(F2483=0,E2483&lt;&gt;0,G2483&lt;&gt;0),"m2",IF(AND(G2483=0,E2483&lt;&gt;0,F2483&lt;&gt;0),"m2",IF(AND(F2483=0,G2483=0),"ml",IF(AND(E2483=0,G2483=0),"ml",IF(AND(E2483=0,F2483=0),"ml",IF(AND(E2483&lt;&gt;0,F2483&lt;&gt;0,G2483&lt;&gt;0),"m3",0)))))))</f>
        <v>ml</v>
      </c>
    </row>
    <row r="2484" spans="2:10" s="1" customFormat="1" ht="12.75" x14ac:dyDescent="0.2">
      <c r="B2484" s="57"/>
      <c r="C2484" s="39" t="s">
        <v>379</v>
      </c>
      <c r="D2484" s="40">
        <v>1</v>
      </c>
      <c r="E2484" s="40">
        <v>14</v>
      </c>
      <c r="F2484" s="40"/>
      <c r="G2484" s="40"/>
      <c r="H2484" s="40">
        <f>IF(AND(F2484=0,G2484=0),D2484*E2484,IF(AND(E2484=0,G2484=0),D2484*F2484,IF(AND(E2484=0,F2484=0),D2484*G2484,IF(AND(E2484=0),D2484*F2484*G2484,IF(AND(F2484=0),D2484*E2484*G2484,IF(AND(G2484=0),D2484*E2484*F2484,D2484*E2484*F2484*G2484))))))</f>
        <v>14</v>
      </c>
      <c r="I2484" s="40"/>
      <c r="J2484" s="41" t="str">
        <f>IF(AND(E2484=0,F2484&lt;&gt;0,G2484&lt;&gt;0),"m2",IF(AND(F2484=0,E2484&lt;&gt;0,G2484&lt;&gt;0),"m2",IF(AND(G2484=0,E2484&lt;&gt;0,F2484&lt;&gt;0),"m2",IF(AND(F2484=0,G2484=0),"ml",IF(AND(E2484=0,G2484=0),"ml",IF(AND(E2484=0,F2484=0),"ml",IF(AND(E2484&lt;&gt;0,F2484&lt;&gt;0,G2484&lt;&gt;0),"m3",0)))))))</f>
        <v>ml</v>
      </c>
    </row>
    <row r="2485" spans="2:10" s="1" customFormat="1" ht="12.75" x14ac:dyDescent="0.2">
      <c r="B2485" s="43" t="s">
        <v>233</v>
      </c>
      <c r="C2485" s="43" t="s">
        <v>236</v>
      </c>
      <c r="D2485" s="60"/>
      <c r="E2485" s="40"/>
      <c r="F2485" s="40"/>
      <c r="G2485" s="40"/>
      <c r="H2485" s="40"/>
      <c r="I2485" s="44">
        <f>SUM(H2486:H2486)</f>
        <v>0</v>
      </c>
      <c r="J2485" s="45" t="str">
        <f>+J2486</f>
        <v>ml</v>
      </c>
    </row>
    <row r="2486" spans="2:10" s="1" customFormat="1" ht="12.75" x14ac:dyDescent="0.2">
      <c r="B2486" s="57"/>
      <c r="C2486" s="39" t="s">
        <v>378</v>
      </c>
      <c r="D2486" s="40"/>
      <c r="E2486" s="40"/>
      <c r="F2486" s="40"/>
      <c r="G2486" s="40"/>
      <c r="H2486" s="40">
        <f>IF(AND(F2486=0,G2486=0),D2486*E2486,IF(AND(E2486=0,G2486=0),D2486*F2486,IF(AND(E2486=0,F2486=0),D2486*G2486,IF(AND(E2486=0),D2486*F2486*G2486,IF(AND(F2486=0),D2486*E2486*G2486,IF(AND(G2486=0),D2486*E2486*F2486,D2486*E2486*F2486*G2486))))))</f>
        <v>0</v>
      </c>
      <c r="I2486" s="40"/>
      <c r="J2486" s="41" t="str">
        <f>IF(AND(E2486=0,F2486&lt;&gt;0,G2486&lt;&gt;0),"m2",IF(AND(F2486=0,E2486&lt;&gt;0,G2486&lt;&gt;0),"m2",IF(AND(G2486=0,E2486&lt;&gt;0,F2486&lt;&gt;0),"m2",IF(AND(F2486=0,G2486=0),"ml",IF(AND(E2486=0,G2486=0),"ml",IF(AND(E2486=0,F2486=0),"ml",IF(AND(E2486&lt;&gt;0,F2486&lt;&gt;0,G2486&lt;&gt;0),"m3",0)))))))</f>
        <v>ml</v>
      </c>
    </row>
    <row r="2487" spans="2:10" s="1" customFormat="1" ht="12.75" x14ac:dyDescent="0.2">
      <c r="B2487" s="57"/>
      <c r="C2487" s="39" t="s">
        <v>379</v>
      </c>
      <c r="D2487" s="40"/>
      <c r="E2487" s="40"/>
      <c r="F2487" s="40"/>
      <c r="G2487" s="40"/>
      <c r="H2487" s="40">
        <f>IF(AND(F2487=0,G2487=0),D2487*E2487,IF(AND(E2487=0,G2487=0),D2487*F2487,IF(AND(E2487=0,F2487=0),D2487*G2487,IF(AND(E2487=0),D2487*F2487*G2487,IF(AND(F2487=0),D2487*E2487*G2487,IF(AND(G2487=0),D2487*E2487*F2487,D2487*E2487*F2487*G2487))))))</f>
        <v>0</v>
      </c>
      <c r="I2487" s="40"/>
      <c r="J2487" s="41" t="str">
        <f>IF(AND(E2487=0,F2487&lt;&gt;0,G2487&lt;&gt;0),"m2",IF(AND(F2487=0,E2487&lt;&gt;0,G2487&lt;&gt;0),"m2",IF(AND(G2487=0,E2487&lt;&gt;0,F2487&lt;&gt;0),"m2",IF(AND(F2487=0,G2487=0),"ml",IF(AND(E2487=0,G2487=0),"ml",IF(AND(E2487=0,F2487=0),"ml",IF(AND(E2487&lt;&gt;0,F2487&lt;&gt;0,G2487&lt;&gt;0),"m3",0)))))))</f>
        <v>ml</v>
      </c>
    </row>
    <row r="2488" spans="2:10" s="1" customFormat="1" ht="12.75" x14ac:dyDescent="0.2">
      <c r="B2488" s="43" t="s">
        <v>234</v>
      </c>
      <c r="C2488" s="43" t="s">
        <v>267</v>
      </c>
      <c r="D2488" s="60"/>
      <c r="E2488" s="40"/>
      <c r="F2488" s="40"/>
      <c r="G2488" s="40"/>
      <c r="H2488" s="40"/>
      <c r="I2488" s="44">
        <f>+SUM(H2489)</f>
        <v>28</v>
      </c>
      <c r="J2488" s="45" t="s">
        <v>345</v>
      </c>
    </row>
    <row r="2489" spans="2:10" s="1" customFormat="1" ht="12.75" x14ac:dyDescent="0.2">
      <c r="B2489" s="43"/>
      <c r="C2489" s="39" t="s">
        <v>349</v>
      </c>
      <c r="D2489" s="60">
        <v>2</v>
      </c>
      <c r="E2489" s="40">
        <v>14</v>
      </c>
      <c r="F2489" s="40"/>
      <c r="G2489" s="40"/>
      <c r="H2489" s="40">
        <f>IF(AND(F2489=0,G2489=0),D2489*E2489,IF(AND(E2489=0,G2489=0),D2489*F2489,IF(AND(E2489=0,F2489=0),D2489*G2489,IF(AND(E2489=0),D2489*F2489*G2489,IF(AND(F2489=0),D2489*E2489*G2489,IF(AND(G2489=0),D2489*E2489*F2489,D2489*E2489*F2489*G2489))))))</f>
        <v>28</v>
      </c>
      <c r="I2489" s="44"/>
      <c r="J2489" s="45"/>
    </row>
    <row r="2490" spans="2:10" s="1" customFormat="1" ht="12.75" x14ac:dyDescent="0.2">
      <c r="B2490" s="43" t="s">
        <v>268</v>
      </c>
      <c r="C2490" s="43" t="s">
        <v>347</v>
      </c>
      <c r="D2490" s="60"/>
      <c r="E2490" s="40"/>
      <c r="F2490" s="40"/>
      <c r="G2490" s="40"/>
      <c r="H2490" s="40"/>
      <c r="I2490" s="44">
        <f>SUM(H2491:H2497)</f>
        <v>0</v>
      </c>
      <c r="J2490" s="45" t="str">
        <f>+J2491</f>
        <v>ml</v>
      </c>
    </row>
    <row r="2491" spans="2:10" s="1" customFormat="1" ht="12.75" x14ac:dyDescent="0.2">
      <c r="B2491" s="57"/>
      <c r="C2491" s="77" t="s">
        <v>71</v>
      </c>
      <c r="D2491" s="40"/>
      <c r="E2491" s="40"/>
      <c r="F2491" s="40"/>
      <c r="G2491" s="40"/>
      <c r="H2491" s="40">
        <f t="shared" ref="H2491:H2497" si="169">IF(AND(F2491=0,G2491=0),D2491*E2491,IF(AND(E2491=0,G2491=0),D2491*F2491,IF(AND(E2491=0,F2491=0),D2491*G2491,IF(AND(E2491=0),D2491*F2491*G2491,IF(AND(F2491=0),D2491*E2491*G2491,IF(AND(G2491=0),D2491*E2491*F2491,D2491*E2491*F2491*G2491))))))</f>
        <v>0</v>
      </c>
      <c r="I2491" s="40"/>
      <c r="J2491" s="41" t="str">
        <f t="shared" ref="J2491:J2497" si="170">IF(AND(E2491=0,F2491&lt;&gt;0,G2491&lt;&gt;0),"m2",IF(AND(F2491=0,E2491&lt;&gt;0,G2491&lt;&gt;0),"m2",IF(AND(G2491=0,E2491&lt;&gt;0,F2491&lt;&gt;0),"m2",IF(AND(F2491=0,G2491=0),"ml",IF(AND(E2491=0,G2491=0),"ml",IF(AND(E2491=0,F2491=0),"ml",IF(AND(E2491&lt;&gt;0,F2491&lt;&gt;0,G2491&lt;&gt;0),"m3",0)))))))</f>
        <v>ml</v>
      </c>
    </row>
    <row r="2492" spans="2:10" s="1" customFormat="1" ht="12.75" x14ac:dyDescent="0.2">
      <c r="B2492" s="57"/>
      <c r="C2492" s="39" t="s">
        <v>349</v>
      </c>
      <c r="D2492" s="40"/>
      <c r="E2492" s="40"/>
      <c r="F2492" s="40"/>
      <c r="G2492" s="40"/>
      <c r="H2492" s="40">
        <f t="shared" si="169"/>
        <v>0</v>
      </c>
      <c r="I2492" s="40"/>
      <c r="J2492" s="41" t="str">
        <f t="shared" si="170"/>
        <v>ml</v>
      </c>
    </row>
    <row r="2493" spans="2:10" s="1" customFormat="1" ht="12.75" x14ac:dyDescent="0.2">
      <c r="B2493" s="57"/>
      <c r="C2493" s="39" t="s">
        <v>369</v>
      </c>
      <c r="D2493" s="40"/>
      <c r="E2493" s="40"/>
      <c r="F2493" s="40"/>
      <c r="G2493" s="40"/>
      <c r="H2493" s="40">
        <f t="shared" si="169"/>
        <v>0</v>
      </c>
      <c r="I2493" s="40"/>
      <c r="J2493" s="41" t="str">
        <f t="shared" si="170"/>
        <v>ml</v>
      </c>
    </row>
    <row r="2494" spans="2:10" s="1" customFormat="1" ht="12.75" x14ac:dyDescent="0.2">
      <c r="B2494" s="57"/>
      <c r="C2494" s="77" t="s">
        <v>72</v>
      </c>
      <c r="D2494" s="40"/>
      <c r="E2494" s="40"/>
      <c r="F2494" s="40"/>
      <c r="G2494" s="40"/>
      <c r="H2494" s="40">
        <f t="shared" si="169"/>
        <v>0</v>
      </c>
      <c r="I2494" s="40"/>
      <c r="J2494" s="41" t="str">
        <f t="shared" si="170"/>
        <v>ml</v>
      </c>
    </row>
    <row r="2495" spans="2:10" s="1" customFormat="1" ht="12.75" x14ac:dyDescent="0.2">
      <c r="B2495" s="57"/>
      <c r="C2495" s="39" t="s">
        <v>349</v>
      </c>
      <c r="D2495" s="40"/>
      <c r="E2495" s="40"/>
      <c r="F2495" s="40"/>
      <c r="G2495" s="40"/>
      <c r="H2495" s="40">
        <f t="shared" si="169"/>
        <v>0</v>
      </c>
      <c r="I2495" s="40"/>
      <c r="J2495" s="41" t="str">
        <f t="shared" si="170"/>
        <v>ml</v>
      </c>
    </row>
    <row r="2496" spans="2:10" s="1" customFormat="1" ht="12.75" x14ac:dyDescent="0.2">
      <c r="B2496" s="57"/>
      <c r="C2496" s="77" t="s">
        <v>73</v>
      </c>
      <c r="D2496" s="40"/>
      <c r="E2496" s="40"/>
      <c r="F2496" s="40"/>
      <c r="G2496" s="40"/>
      <c r="H2496" s="40">
        <f t="shared" si="169"/>
        <v>0</v>
      </c>
      <c r="I2496" s="40"/>
      <c r="J2496" s="41" t="str">
        <f t="shared" si="170"/>
        <v>ml</v>
      </c>
    </row>
    <row r="2497" spans="2:10" s="1" customFormat="1" ht="12.75" x14ac:dyDescent="0.2">
      <c r="B2497" s="57"/>
      <c r="C2497" s="39" t="s">
        <v>349</v>
      </c>
      <c r="D2497" s="40"/>
      <c r="E2497" s="40"/>
      <c r="F2497" s="40"/>
      <c r="G2497" s="40"/>
      <c r="H2497" s="40">
        <f t="shared" si="169"/>
        <v>0</v>
      </c>
      <c r="I2497" s="40"/>
      <c r="J2497" s="41" t="str">
        <f t="shared" si="170"/>
        <v>ml</v>
      </c>
    </row>
    <row r="2498" spans="2:10" s="1" customFormat="1" ht="12.75" x14ac:dyDescent="0.2">
      <c r="B2498" s="43" t="s">
        <v>270</v>
      </c>
      <c r="C2498" s="43" t="s">
        <v>269</v>
      </c>
      <c r="D2498" s="60"/>
      <c r="E2498" s="40"/>
      <c r="F2498" s="40"/>
      <c r="G2498" s="40"/>
      <c r="H2498" s="40"/>
      <c r="I2498" s="44">
        <f>SUM(H2499:H2505)</f>
        <v>0</v>
      </c>
      <c r="J2498" s="45" t="str">
        <f>+J2499</f>
        <v>ml</v>
      </c>
    </row>
    <row r="2499" spans="2:10" s="1" customFormat="1" ht="12.75" x14ac:dyDescent="0.2">
      <c r="B2499" s="43"/>
      <c r="C2499" s="77" t="s">
        <v>71</v>
      </c>
      <c r="D2499" s="40"/>
      <c r="E2499" s="40"/>
      <c r="F2499" s="40"/>
      <c r="G2499" s="40"/>
      <c r="H2499" s="40">
        <f t="shared" ref="H2499:H2505" si="171">IF(AND(F2499=0,G2499=0),D2499*E2499,IF(AND(E2499=0,G2499=0),D2499*F2499,IF(AND(E2499=0,F2499=0),D2499*G2499,IF(AND(E2499=0),D2499*F2499*G2499,IF(AND(F2499=0),D2499*E2499*G2499,IF(AND(G2499=0),D2499*E2499*F2499,D2499*E2499*F2499*G2499))))))</f>
        <v>0</v>
      </c>
      <c r="I2499" s="40"/>
      <c r="J2499" s="41" t="str">
        <f t="shared" ref="J2499:J2505" si="172">IF(AND(E2499=0,F2499&lt;&gt;0,G2499&lt;&gt;0),"m2",IF(AND(F2499=0,E2499&lt;&gt;0,G2499&lt;&gt;0),"m2",IF(AND(G2499=0,E2499&lt;&gt;0,F2499&lt;&gt;0),"m2",IF(AND(F2499=0,G2499=0),"ml",IF(AND(E2499=0,G2499=0),"ml",IF(AND(E2499=0,F2499=0),"ml",IF(AND(E2499&lt;&gt;0,F2499&lt;&gt;0,G2499&lt;&gt;0),"m3",0)))))))</f>
        <v>ml</v>
      </c>
    </row>
    <row r="2500" spans="2:10" s="1" customFormat="1" ht="12.75" x14ac:dyDescent="0.2">
      <c r="B2500" s="43"/>
      <c r="C2500" s="39" t="s">
        <v>349</v>
      </c>
      <c r="D2500" s="40"/>
      <c r="E2500" s="40"/>
      <c r="F2500" s="40"/>
      <c r="G2500" s="40"/>
      <c r="H2500" s="40">
        <f t="shared" si="171"/>
        <v>0</v>
      </c>
      <c r="I2500" s="40"/>
      <c r="J2500" s="41" t="str">
        <f t="shared" si="172"/>
        <v>ml</v>
      </c>
    </row>
    <row r="2501" spans="2:10" s="1" customFormat="1" ht="12.75" x14ac:dyDescent="0.2">
      <c r="B2501" s="43"/>
      <c r="C2501" s="39" t="s">
        <v>369</v>
      </c>
      <c r="D2501" s="40"/>
      <c r="E2501" s="40"/>
      <c r="F2501" s="40"/>
      <c r="G2501" s="40"/>
      <c r="H2501" s="40">
        <f t="shared" si="171"/>
        <v>0</v>
      </c>
      <c r="I2501" s="40"/>
      <c r="J2501" s="41" t="str">
        <f t="shared" si="172"/>
        <v>ml</v>
      </c>
    </row>
    <row r="2502" spans="2:10" s="1" customFormat="1" ht="12.75" x14ac:dyDescent="0.2">
      <c r="B2502" s="43"/>
      <c r="C2502" s="77" t="s">
        <v>72</v>
      </c>
      <c r="D2502" s="40"/>
      <c r="E2502" s="40"/>
      <c r="F2502" s="40"/>
      <c r="G2502" s="40"/>
      <c r="H2502" s="40">
        <f t="shared" si="171"/>
        <v>0</v>
      </c>
      <c r="I2502" s="40"/>
      <c r="J2502" s="41" t="str">
        <f t="shared" si="172"/>
        <v>ml</v>
      </c>
    </row>
    <row r="2503" spans="2:10" s="1" customFormat="1" ht="12.75" x14ac:dyDescent="0.2">
      <c r="B2503" s="43"/>
      <c r="C2503" s="39" t="s">
        <v>349</v>
      </c>
      <c r="D2503" s="40"/>
      <c r="E2503" s="40"/>
      <c r="F2503" s="40"/>
      <c r="G2503" s="40"/>
      <c r="H2503" s="40">
        <f t="shared" si="171"/>
        <v>0</v>
      </c>
      <c r="I2503" s="40"/>
      <c r="J2503" s="41" t="str">
        <f t="shared" si="172"/>
        <v>ml</v>
      </c>
    </row>
    <row r="2504" spans="2:10" s="1" customFormat="1" ht="12.75" x14ac:dyDescent="0.2">
      <c r="B2504" s="43"/>
      <c r="C2504" s="77" t="s">
        <v>73</v>
      </c>
      <c r="D2504" s="40"/>
      <c r="E2504" s="40"/>
      <c r="F2504" s="40"/>
      <c r="G2504" s="40"/>
      <c r="H2504" s="40">
        <f t="shared" si="171"/>
        <v>0</v>
      </c>
      <c r="I2504" s="40"/>
      <c r="J2504" s="41" t="str">
        <f t="shared" si="172"/>
        <v>ml</v>
      </c>
    </row>
    <row r="2505" spans="2:10" s="1" customFormat="1" ht="12.75" x14ac:dyDescent="0.2">
      <c r="B2505" s="43"/>
      <c r="C2505" s="39" t="s">
        <v>349</v>
      </c>
      <c r="D2505" s="40"/>
      <c r="E2505" s="40"/>
      <c r="F2505" s="40"/>
      <c r="G2505" s="40"/>
      <c r="H2505" s="40">
        <f t="shared" si="171"/>
        <v>0</v>
      </c>
      <c r="I2505" s="40"/>
      <c r="J2505" s="41" t="str">
        <f t="shared" si="172"/>
        <v>ml</v>
      </c>
    </row>
    <row r="2506" spans="2:10" s="1" customFormat="1" ht="12.75" x14ac:dyDescent="0.2">
      <c r="B2506" s="43" t="s">
        <v>342</v>
      </c>
      <c r="C2506" s="43" t="s">
        <v>271</v>
      </c>
      <c r="D2506" s="60"/>
      <c r="E2506" s="40"/>
      <c r="F2506" s="40"/>
      <c r="G2506" s="40"/>
      <c r="H2506" s="40"/>
      <c r="I2506" s="44">
        <f>SUM(H2507:H2507)</f>
        <v>0</v>
      </c>
      <c r="J2506" s="45" t="str">
        <f>+J2507</f>
        <v>und</v>
      </c>
    </row>
    <row r="2507" spans="2:10" s="1" customFormat="1" ht="12.75" x14ac:dyDescent="0.2">
      <c r="B2507" s="57"/>
      <c r="C2507" s="39" t="s">
        <v>370</v>
      </c>
      <c r="D2507" s="40"/>
      <c r="E2507" s="40"/>
      <c r="F2507" s="40"/>
      <c r="G2507" s="40"/>
      <c r="H2507" s="40">
        <f>+D2507</f>
        <v>0</v>
      </c>
      <c r="I2507" s="40"/>
      <c r="J2507" s="41" t="s">
        <v>13</v>
      </c>
    </row>
    <row r="2508" spans="2:10" s="1" customFormat="1" ht="12.75" x14ac:dyDescent="0.2">
      <c r="B2508" s="43" t="s">
        <v>346</v>
      </c>
      <c r="C2508" s="43" t="s">
        <v>348</v>
      </c>
      <c r="D2508" s="60"/>
      <c r="E2508" s="40"/>
      <c r="F2508" s="40"/>
      <c r="G2508" s="40"/>
      <c r="H2508" s="40"/>
      <c r="I2508" s="44">
        <f>SUM(H2509:H2509)</f>
        <v>2</v>
      </c>
      <c r="J2508" s="45" t="str">
        <f>+J2509</f>
        <v>und</v>
      </c>
    </row>
    <row r="2509" spans="2:10" s="1" customFormat="1" ht="12.75" x14ac:dyDescent="0.2">
      <c r="B2509" s="57"/>
      <c r="C2509" s="39" t="s">
        <v>349</v>
      </c>
      <c r="D2509" s="40">
        <v>2</v>
      </c>
      <c r="E2509" s="40"/>
      <c r="F2509" s="40"/>
      <c r="G2509" s="40"/>
      <c r="H2509" s="40">
        <f>+D2509</f>
        <v>2</v>
      </c>
      <c r="I2509" s="40"/>
      <c r="J2509" s="41" t="s">
        <v>13</v>
      </c>
    </row>
    <row r="2510" spans="2:10" s="1" customFormat="1" ht="12.75" x14ac:dyDescent="0.2">
      <c r="B2510" s="57" t="s">
        <v>16</v>
      </c>
      <c r="C2510" s="58" t="s">
        <v>224</v>
      </c>
      <c r="D2510" s="60"/>
      <c r="E2510" s="40"/>
      <c r="F2510" s="40"/>
      <c r="G2510" s="40"/>
      <c r="H2510" s="40"/>
      <c r="I2510" s="40"/>
      <c r="J2510" s="41"/>
    </row>
    <row r="2511" spans="2:10" s="1" customFormat="1" ht="12.75" x14ac:dyDescent="0.2">
      <c r="B2511" s="43" t="s">
        <v>17</v>
      </c>
      <c r="C2511" s="43" t="s">
        <v>343</v>
      </c>
      <c r="D2511" s="60"/>
      <c r="E2511" s="40"/>
      <c r="F2511" s="40"/>
      <c r="G2511" s="40"/>
      <c r="H2511" s="40"/>
      <c r="I2511" s="44">
        <f>SUM(H2512:H2513)</f>
        <v>0</v>
      </c>
      <c r="J2511" s="45" t="str">
        <f>+J2512</f>
        <v>ml</v>
      </c>
    </row>
    <row r="2512" spans="2:10" s="1" customFormat="1" ht="12.75" x14ac:dyDescent="0.2">
      <c r="B2512" s="57"/>
      <c r="C2512" s="39" t="s">
        <v>425</v>
      </c>
      <c r="D2512" s="40"/>
      <c r="E2512" s="40"/>
      <c r="F2512" s="40"/>
      <c r="G2512" s="40"/>
      <c r="H2512" s="40">
        <f>IF(AND(F2512=0,G2512=0),D2512*E2512,IF(AND(E2512=0,G2512=0),D2512*F2512,IF(AND(E2512=0,F2512=0),D2512*G2512,IF(AND(E2512=0),D2512*F2512*G2512,IF(AND(F2512=0),D2512*E2512*G2512,IF(AND(G2512=0),D2512*E2512*F2512,D2512*E2512*F2512*G2512))))))</f>
        <v>0</v>
      </c>
      <c r="I2512" s="40"/>
      <c r="J2512" s="41" t="str">
        <f>IF(AND(E2512=0,F2512&lt;&gt;0,G2512&lt;&gt;0),"m2",IF(AND(F2512=0,E2512&lt;&gt;0,G2512&lt;&gt;0),"m2",IF(AND(G2512=0,E2512&lt;&gt;0,F2512&lt;&gt;0),"m2",IF(AND(F2512=0,G2512=0),"ml",IF(AND(E2512=0,G2512=0),"ml",IF(AND(E2512=0,F2512=0),"ml",IF(AND(E2512&lt;&gt;0,F2512&lt;&gt;0,G2512&lt;&gt;0),"m3",0)))))))</f>
        <v>ml</v>
      </c>
    </row>
    <row r="2513" spans="2:10" s="1" customFormat="1" ht="12.75" x14ac:dyDescent="0.2">
      <c r="B2513" s="57"/>
      <c r="C2513" s="39" t="s">
        <v>425</v>
      </c>
      <c r="D2513" s="40"/>
      <c r="E2513" s="40"/>
      <c r="F2513" s="40"/>
      <c r="G2513" s="40"/>
      <c r="H2513" s="40">
        <f>IF(AND(F2513=0,G2513=0),D2513*E2513,IF(AND(E2513=0,G2513=0),D2513*F2513,IF(AND(E2513=0,F2513=0),D2513*G2513,IF(AND(E2513=0),D2513*F2513*G2513,IF(AND(F2513=0),D2513*E2513*G2513,IF(AND(G2513=0),D2513*E2513*F2513,D2513*E2513*F2513*G2513))))))</f>
        <v>0</v>
      </c>
      <c r="I2513" s="40"/>
      <c r="J2513" s="41"/>
    </row>
    <row r="2514" spans="2:10" s="1" customFormat="1" ht="12.75" x14ac:dyDescent="0.2">
      <c r="B2514" s="43" t="s">
        <v>240</v>
      </c>
      <c r="C2514" s="43" t="s">
        <v>237</v>
      </c>
      <c r="D2514" s="60"/>
      <c r="E2514" s="40"/>
      <c r="F2514" s="40"/>
      <c r="G2514" s="40"/>
      <c r="H2514" s="40"/>
      <c r="I2514" s="44">
        <f>SUM(H2515:H2516)</f>
        <v>0</v>
      </c>
      <c r="J2514" s="45" t="str">
        <f>+J2515</f>
        <v>ml</v>
      </c>
    </row>
    <row r="2515" spans="2:10" s="1" customFormat="1" ht="12.75" x14ac:dyDescent="0.2">
      <c r="B2515" s="57"/>
      <c r="H2515" s="40"/>
      <c r="I2515" s="40"/>
      <c r="J2515" s="41" t="str">
        <f>IF(AND(E2731=0,F2731&lt;&gt;0,G2731&lt;&gt;0),"m2",IF(AND(F2731=0,E2731&lt;&gt;0,G2731&lt;&gt;0),"m2",IF(AND(G2731=0,E2731&lt;&gt;0,F2731&lt;&gt;0),"m2",IF(AND(F2731=0,G2731=0),"ml",IF(AND(E2731=0,G2731=0),"ml",IF(AND(E2731=0,F2731=0),"ml",IF(AND(E2731&lt;&gt;0,F2731&lt;&gt;0,G2731&lt;&gt;0),"m3",0)))))))</f>
        <v>ml</v>
      </c>
    </row>
    <row r="2516" spans="2:10" s="1" customFormat="1" ht="12.75" x14ac:dyDescent="0.2">
      <c r="B2516" s="57"/>
      <c r="C2516" s="39"/>
      <c r="D2516" s="40"/>
      <c r="E2516" s="40"/>
      <c r="F2516" s="40"/>
      <c r="G2516" s="40"/>
      <c r="H2516" s="40"/>
      <c r="I2516" s="40"/>
      <c r="J2516" s="41" t="str">
        <f>IF(AND(E2516=0,F2516&lt;&gt;0,G2516&lt;&gt;0),"m2",IF(AND(F2516=0,E2516&lt;&gt;0,G2516&lt;&gt;0),"m2",IF(AND(G2516=0,E2516&lt;&gt;0,F2516&lt;&gt;0),"m2",IF(AND(F2516=0,G2516=0),"ml",IF(AND(E2516=0,G2516=0),"ml",IF(AND(E2516=0,F2516=0),"ml",IF(AND(E2516&lt;&gt;0,F2516&lt;&gt;0,G2516&lt;&gt;0),"m3",0)))))))</f>
        <v>ml</v>
      </c>
    </row>
    <row r="2517" spans="2:10" s="1" customFormat="1" ht="12.75" x14ac:dyDescent="0.2">
      <c r="B2517" s="43" t="s">
        <v>241</v>
      </c>
      <c r="C2517" s="43" t="s">
        <v>239</v>
      </c>
      <c r="D2517" s="60"/>
      <c r="E2517" s="40"/>
      <c r="F2517" s="40"/>
      <c r="G2517" s="40"/>
      <c r="H2517" s="40"/>
      <c r="I2517" s="44">
        <f>SUM(H2518:H2518)</f>
        <v>7.9</v>
      </c>
      <c r="J2517" s="45" t="str">
        <f>+J2518</f>
        <v>ml</v>
      </c>
    </row>
    <row r="2518" spans="2:10" s="1" customFormat="1" ht="12.75" x14ac:dyDescent="0.2">
      <c r="B2518" s="57"/>
      <c r="C2518" s="39" t="s">
        <v>550</v>
      </c>
      <c r="D2518" s="40">
        <v>2</v>
      </c>
      <c r="E2518" s="40">
        <v>3.95</v>
      </c>
      <c r="F2518" s="40"/>
      <c r="G2518" s="40"/>
      <c r="H2518" s="40">
        <f>IF(AND(F2518=0,G2518=0),D2518*E2518,IF(AND(E2518=0,G2518=0),D2518*F2518,IF(AND(E2518=0,F2518=0),D2518*G2518,IF(AND(E2518=0),D2518*F2518*G2518,IF(AND(F2518=0),D2518*E2518*G2518,IF(AND(G2518=0),D2518*E2518*F2518,D2518*E2518*F2518*G2518))))))</f>
        <v>7.9</v>
      </c>
      <c r="I2518" s="40"/>
      <c r="J2518" s="41" t="str">
        <f>IF(AND(E2518=0,F2518&lt;&gt;0,G2518&lt;&gt;0),"m2",IF(AND(F2518=0,E2518&lt;&gt;0,G2518&lt;&gt;0),"m2",IF(AND(G2518=0,E2518&lt;&gt;0,F2518&lt;&gt;0),"m2",IF(AND(F2518=0,G2518=0),"ml",IF(AND(E2518=0,G2518=0),"ml",IF(AND(E2518=0,F2518=0),"ml",IF(AND(E2518&lt;&gt;0,F2518&lt;&gt;0,G2518&lt;&gt;0),"m3",0)))))))</f>
        <v>ml</v>
      </c>
    </row>
    <row r="2519" spans="2:10" s="1" customFormat="1" ht="12.75" x14ac:dyDescent="0.2">
      <c r="B2519" s="43" t="s">
        <v>243</v>
      </c>
      <c r="C2519" s="43" t="s">
        <v>242</v>
      </c>
      <c r="D2519" s="60"/>
      <c r="E2519" s="40"/>
      <c r="F2519" s="40"/>
      <c r="G2519" s="40"/>
      <c r="H2519" s="40"/>
      <c r="I2519" s="44">
        <f>SUM(H2520:H2520)</f>
        <v>0</v>
      </c>
      <c r="J2519" s="45" t="str">
        <f>+J2520</f>
        <v>ml</v>
      </c>
    </row>
    <row r="2520" spans="2:10" s="1" customFormat="1" ht="12.75" x14ac:dyDescent="0.2">
      <c r="B2520" s="57"/>
      <c r="C2520" s="39" t="s">
        <v>401</v>
      </c>
      <c r="D2520" s="40"/>
      <c r="E2520" s="40"/>
      <c r="F2520" s="40"/>
      <c r="G2520" s="40"/>
      <c r="H2520" s="40">
        <f>IF(AND(F2520=0,G2520=0),D2520*E2520,IF(AND(E2520=0,G2520=0),D2520*F2520,IF(AND(E2520=0,F2520=0),D2520*G2520,IF(AND(E2520=0),D2520*F2520*G2520,IF(AND(F2520=0),D2520*E2520*G2520,IF(AND(G2520=0),D2520*E2520*F2520,D2520*E2520*F2520*G2520))))))</f>
        <v>0</v>
      </c>
      <c r="I2520" s="40"/>
      <c r="J2520" s="41" t="str">
        <f>IF(AND(E2520=0,F2520&lt;&gt;0,G2520&lt;&gt;0),"m2",IF(AND(F2520=0,E2520&lt;&gt;0,G2520&lt;&gt;0),"m2",IF(AND(G2520=0,E2520&lt;&gt;0,F2520&lt;&gt;0),"m2",IF(AND(F2520=0,G2520=0),"ml",IF(AND(E2520=0,G2520=0),"ml",IF(AND(E2520=0,F2520=0),"ml",IF(AND(E2520&lt;&gt;0,F2520&lt;&gt;0,G2520&lt;&gt;0),"m3",0)))))))</f>
        <v>ml</v>
      </c>
    </row>
    <row r="2521" spans="2:10" s="1" customFormat="1" ht="12.75" x14ac:dyDescent="0.2">
      <c r="B2521" s="43" t="s">
        <v>244</v>
      </c>
      <c r="C2521" s="43" t="s">
        <v>245</v>
      </c>
      <c r="D2521" s="60"/>
      <c r="E2521" s="40"/>
      <c r="F2521" s="40"/>
      <c r="G2521" s="40"/>
      <c r="H2521" s="40"/>
      <c r="I2521" s="44">
        <f>SUM(H2522:H2524)</f>
        <v>0</v>
      </c>
      <c r="J2521" s="45" t="str">
        <f>+J2522</f>
        <v>ml</v>
      </c>
    </row>
    <row r="2522" spans="2:10" s="1" customFormat="1" ht="12.75" x14ac:dyDescent="0.2">
      <c r="B2522" s="57"/>
      <c r="C2522" s="39" t="s">
        <v>427</v>
      </c>
      <c r="D2522" s="40"/>
      <c r="E2522" s="40"/>
      <c r="F2522" s="40"/>
      <c r="G2522" s="40"/>
      <c r="H2522" s="40">
        <f>IF(AND(F2522=0,G2522=0),D2522*E2522,IF(AND(E2522=0,G2522=0),D2522*F2522,IF(AND(E2522=0,F2522=0),D2522*G2522,IF(AND(E2522=0),D2522*F2522*G2522,IF(AND(F2522=0),D2522*E2522*G2522,IF(AND(G2522=0),D2522*E2522*F2522,D2522*E2522*F2522*G2522))))))</f>
        <v>0</v>
      </c>
      <c r="I2522" s="40"/>
      <c r="J2522" s="41" t="str">
        <f>IF(AND(E2522=0,F2522&lt;&gt;0,G2522&lt;&gt;0),"m2",IF(AND(F2522=0,E2522&lt;&gt;0,G2522&lt;&gt;0),"m2",IF(AND(G2522=0,E2522&lt;&gt;0,F2522&lt;&gt;0),"m2",IF(AND(F2522=0,G2522=0),"ml",IF(AND(E2522=0,G2522=0),"ml",IF(AND(E2522=0,F2522=0),"ml",IF(AND(E2522&lt;&gt;0,F2522&lt;&gt;0,G2522&lt;&gt;0),"m3",0)))))))</f>
        <v>ml</v>
      </c>
    </row>
    <row r="2523" spans="2:10" s="1" customFormat="1" ht="12.75" x14ac:dyDescent="0.2">
      <c r="B2523" s="57"/>
      <c r="C2523" s="39" t="s">
        <v>428</v>
      </c>
      <c r="D2523" s="40"/>
      <c r="E2523" s="40"/>
      <c r="F2523" s="40"/>
      <c r="G2523" s="40"/>
      <c r="H2523" s="40">
        <f>IF(AND(F2523=0,G2523=0),D2523*E2523,IF(AND(E2523=0,G2523=0),D2523*F2523,IF(AND(E2523=0,F2523=0),D2523*G2523,IF(AND(E2523=0),D2523*F2523*G2523,IF(AND(F2523=0),D2523*E2523*G2523,IF(AND(G2523=0),D2523*E2523*F2523,D2523*E2523*F2523*G2523))))))</f>
        <v>0</v>
      </c>
      <c r="I2523" s="40"/>
      <c r="J2523" s="41" t="str">
        <f>IF(AND(E2523=0,F2523&lt;&gt;0,G2523&lt;&gt;0),"m2",IF(AND(F2523=0,E2523&lt;&gt;0,G2523&lt;&gt;0),"m2",IF(AND(G2523=0,E2523&lt;&gt;0,F2523&lt;&gt;0),"m2",IF(AND(F2523=0,G2523=0),"ml",IF(AND(E2523=0,G2523=0),"ml",IF(AND(E2523=0,F2523=0),"ml",IF(AND(E2523&lt;&gt;0,F2523&lt;&gt;0,G2523&lt;&gt;0),"m3",0)))))))</f>
        <v>ml</v>
      </c>
    </row>
    <row r="2524" spans="2:10" s="1" customFormat="1" ht="12.75" x14ac:dyDescent="0.2">
      <c r="B2524" s="57"/>
      <c r="C2524" s="39" t="s">
        <v>429</v>
      </c>
      <c r="D2524" s="40"/>
      <c r="E2524" s="40"/>
      <c r="F2524" s="40"/>
      <c r="G2524" s="40"/>
      <c r="H2524" s="40">
        <f>IF(AND(F2524=0,G2524=0),D2524*E2524,IF(AND(E2524=0,G2524=0),D2524*F2524,IF(AND(E2524=0,F2524=0),D2524*G2524,IF(AND(E2524=0),D2524*F2524*G2524,IF(AND(F2524=0),D2524*E2524*G2524,IF(AND(G2524=0),D2524*E2524*F2524,D2524*E2524*F2524*G2524))))))</f>
        <v>0</v>
      </c>
      <c r="I2524" s="40"/>
      <c r="J2524" s="41" t="str">
        <f>IF(AND(E2524=0,F2524&lt;&gt;0,G2524&lt;&gt;0),"m2",IF(AND(F2524=0,E2524&lt;&gt;0,G2524&lt;&gt;0),"m2",IF(AND(G2524=0,E2524&lt;&gt;0,F2524&lt;&gt;0),"m2",IF(AND(F2524=0,G2524=0),"ml",IF(AND(E2524=0,G2524=0),"ml",IF(AND(E2524=0,F2524=0),"ml",IF(AND(E2524&lt;&gt;0,F2524&lt;&gt;0,G2524&lt;&gt;0),"m3",0)))))))</f>
        <v>ml</v>
      </c>
    </row>
    <row r="2525" spans="2:10" s="1" customFormat="1" ht="12.75" x14ac:dyDescent="0.2">
      <c r="B2525" s="43" t="s">
        <v>248</v>
      </c>
      <c r="C2525" s="43" t="s">
        <v>246</v>
      </c>
      <c r="D2525" s="60"/>
      <c r="E2525" s="40"/>
      <c r="F2525" s="40"/>
      <c r="G2525" s="40"/>
      <c r="H2525" s="40"/>
      <c r="I2525" s="44">
        <f>SUM(H2526:H2526)</f>
        <v>7.9</v>
      </c>
      <c r="J2525" s="45" t="str">
        <f>+J2526</f>
        <v>ml</v>
      </c>
    </row>
    <row r="2526" spans="2:10" s="1" customFormat="1" ht="12.75" x14ac:dyDescent="0.2">
      <c r="B2526" s="57"/>
      <c r="C2526" s="39" t="s">
        <v>550</v>
      </c>
      <c r="D2526" s="40">
        <v>2</v>
      </c>
      <c r="E2526" s="40">
        <v>3.95</v>
      </c>
      <c r="F2526" s="40"/>
      <c r="G2526" s="40"/>
      <c r="H2526" s="40">
        <f>IF(AND(F2526=0,G2526=0),D2526*E2526,IF(AND(E2526=0,G2526=0),D2526*F2526,IF(AND(E2526=0,F2526=0),D2526*G2526,IF(AND(E2526=0),D2526*F2526*G2526,IF(AND(F2526=0),D2526*E2526*G2526,IF(AND(G2526=0),D2526*E2526*F2526,D2526*E2526*F2526*G2526))))))</f>
        <v>7.9</v>
      </c>
      <c r="I2526" s="40"/>
      <c r="J2526" s="41" t="str">
        <f>IF(AND(E2526=0,F2526&lt;&gt;0,G2526&lt;&gt;0),"m2",IF(AND(F2526=0,E2526&lt;&gt;0,G2526&lt;&gt;0),"m2",IF(AND(G2526=0,E2526&lt;&gt;0,F2526&lt;&gt;0),"m2",IF(AND(F2526=0,G2526=0),"ml",IF(AND(E2526=0,G2526=0),"ml",IF(AND(E2526=0,F2526=0),"ml",IF(AND(E2526&lt;&gt;0,F2526&lt;&gt;0,G2526&lt;&gt;0),"m3",0)))))))</f>
        <v>ml</v>
      </c>
    </row>
    <row r="2527" spans="2:10" s="1" customFormat="1" ht="12.75" x14ac:dyDescent="0.2">
      <c r="B2527" s="57"/>
      <c r="C2527" s="39"/>
      <c r="D2527" s="60"/>
      <c r="E2527" s="40"/>
      <c r="F2527" s="40"/>
      <c r="G2527" s="40"/>
      <c r="H2527" s="40"/>
      <c r="I2527" s="40"/>
      <c r="J2527" s="41"/>
    </row>
    <row r="2528" spans="2:10" s="1" customFormat="1" ht="12.75" x14ac:dyDescent="0.2">
      <c r="B2528" s="43" t="s">
        <v>689</v>
      </c>
      <c r="C2528" s="43" t="s">
        <v>690</v>
      </c>
      <c r="D2528" s="60"/>
      <c r="E2528" s="40"/>
      <c r="F2528" s="40"/>
      <c r="G2528" s="40"/>
      <c r="H2528" s="40"/>
      <c r="I2528" s="44">
        <f>SUM(H2529:H2530)</f>
        <v>24.4</v>
      </c>
      <c r="J2528" s="45" t="s">
        <v>345</v>
      </c>
    </row>
    <row r="2529" spans="2:10" s="1" customFormat="1" ht="12.75" x14ac:dyDescent="0.2">
      <c r="B2529" s="57"/>
      <c r="C2529" s="39" t="s">
        <v>445</v>
      </c>
      <c r="D2529" s="8">
        <v>2</v>
      </c>
      <c r="E2529" s="86">
        <v>6.2</v>
      </c>
      <c r="F2529" s="40"/>
      <c r="G2529" s="40"/>
      <c r="H2529" s="40">
        <f t="shared" ref="H2529:H2530" si="173">IF(AND(F2529=0,G2529=0),D2529*E2529,IF(AND(E2529=0,G2529=0),D2529*F2529,IF(AND(E2529=0,F2529=0),D2529*G2529,IF(AND(E2529=0),D2529*F2529*G2529,IF(AND(F2529=0),D2529*E2529*G2529,IF(AND(G2529=0),D2529*E2529*F2529,D2529*E2529*F2529*G2529))))))</f>
        <v>12.4</v>
      </c>
      <c r="I2529" s="40"/>
      <c r="J2529" s="41"/>
    </row>
    <row r="2530" spans="2:10" s="1" customFormat="1" ht="12.75" x14ac:dyDescent="0.2">
      <c r="B2530" s="57"/>
      <c r="C2530" s="39" t="s">
        <v>446</v>
      </c>
      <c r="D2530" s="8">
        <v>2</v>
      </c>
      <c r="E2530" s="86">
        <v>6</v>
      </c>
      <c r="F2530" s="40"/>
      <c r="G2530" s="40"/>
      <c r="H2530" s="40">
        <f t="shared" si="173"/>
        <v>12</v>
      </c>
      <c r="I2530" s="40"/>
      <c r="J2530" s="41"/>
    </row>
    <row r="2531" spans="2:10" s="1" customFormat="1" ht="12.75" x14ac:dyDescent="0.2">
      <c r="B2531" s="43" t="s">
        <v>249</v>
      </c>
      <c r="C2531" s="43" t="s">
        <v>247</v>
      </c>
      <c r="D2531" s="60"/>
      <c r="E2531" s="40"/>
      <c r="F2531" s="40"/>
      <c r="G2531" s="40"/>
      <c r="H2531" s="40"/>
      <c r="I2531" s="44">
        <f>SUM(H2532:H2532)</f>
        <v>0</v>
      </c>
      <c r="J2531" s="45" t="str">
        <f>+J2532</f>
        <v>ml</v>
      </c>
    </row>
    <row r="2532" spans="2:10" s="1" customFormat="1" ht="12.75" x14ac:dyDescent="0.2">
      <c r="B2532" s="57"/>
      <c r="C2532" s="39" t="s">
        <v>396</v>
      </c>
      <c r="D2532" s="40"/>
      <c r="E2532" s="40"/>
      <c r="F2532" s="40"/>
      <c r="G2532" s="40"/>
      <c r="H2532" s="40">
        <f>IF(AND(F2532=0,G2532=0),D2532*E2532,IF(AND(E2532=0,G2532=0),D2532*F2532,IF(AND(E2532=0,F2532=0),D2532*G2532,IF(AND(E2532=0),D2532*F2532*G2532,IF(AND(F2532=0),D2532*E2532*G2532,IF(AND(G2532=0),D2532*E2532*F2532,D2532*E2532*F2532*G2532))))))</f>
        <v>0</v>
      </c>
      <c r="I2532" s="40"/>
      <c r="J2532" s="41" t="str">
        <f>IF(AND(E2532=0,F2532&lt;&gt;0,G2532&lt;&gt;0),"m2",IF(AND(F2532=0,E2532&lt;&gt;0,G2532&lt;&gt;0),"m2",IF(AND(G2532=0,E2532&lt;&gt;0,F2532&lt;&gt;0),"m2",IF(AND(F2532=0,G2532=0),"ml",IF(AND(E2532=0,G2532=0),"ml",IF(AND(E2532=0,F2532=0),"ml",IF(AND(E2532&lt;&gt;0,F2532&lt;&gt;0,G2532&lt;&gt;0),"m3",0)))))))</f>
        <v>ml</v>
      </c>
    </row>
    <row r="2533" spans="2:10" s="1" customFormat="1" ht="12.75" x14ac:dyDescent="0.2">
      <c r="B2533" s="43" t="s">
        <v>256</v>
      </c>
      <c r="C2533" s="43" t="s">
        <v>226</v>
      </c>
      <c r="D2533" s="60"/>
      <c r="E2533" s="40"/>
      <c r="F2533" s="40"/>
      <c r="G2533" s="40"/>
      <c r="H2533" s="40"/>
      <c r="I2533" s="44">
        <f>SUM(H2534:H2535)</f>
        <v>0</v>
      </c>
      <c r="J2533" s="45" t="str">
        <f>+J2535</f>
        <v>ml</v>
      </c>
    </row>
    <row r="2534" spans="2:10" s="1" customFormat="1" ht="12.75" x14ac:dyDescent="0.2">
      <c r="B2534" s="43"/>
      <c r="C2534" s="39" t="s">
        <v>371</v>
      </c>
      <c r="D2534" s="40"/>
      <c r="E2534" s="40"/>
      <c r="F2534" s="40"/>
      <c r="G2534" s="40"/>
      <c r="H2534" s="40">
        <f>IF(AND(F2534=0,G2534=0),D2534*E2534,IF(AND(E2534=0,G2534=0),D2534*F2534,IF(AND(E2534=0,F2534=0),D2534*G2534,IF(AND(E2534=0),D2534*F2534*G2534,IF(AND(F2534=0),D2534*E2534*G2534,IF(AND(G2534=0),D2534*E2534*F2534,D2534*E2534*F2534*G2534))))))</f>
        <v>0</v>
      </c>
      <c r="I2534" s="40"/>
      <c r="J2534" s="41" t="str">
        <f>IF(AND(E2534=0,F2534&lt;&gt;0,G2534&lt;&gt;0),"m2",IF(AND(F2534=0,E2534&lt;&gt;0,G2534&lt;&gt;0),"m2",IF(AND(G2534=0,E2534&lt;&gt;0,F2534&lt;&gt;0),"m2",IF(AND(F2534=0,G2534=0),"ml",IF(AND(E2534=0,G2534=0),"ml",IF(AND(E2534=0,F2534=0),"ml",IF(AND(E2534&lt;&gt;0,F2534&lt;&gt;0,G2534&lt;&gt;0),"m3",0)))))))</f>
        <v>ml</v>
      </c>
    </row>
    <row r="2535" spans="2:10" s="1" customFormat="1" ht="12.75" x14ac:dyDescent="0.2">
      <c r="B2535" s="57"/>
      <c r="C2535" s="39" t="s">
        <v>371</v>
      </c>
      <c r="D2535" s="40"/>
      <c r="E2535" s="40"/>
      <c r="F2535" s="40"/>
      <c r="G2535" s="40"/>
      <c r="H2535" s="40">
        <f>IF(AND(F2535=0,G2535=0),D2535*E2535,IF(AND(E2535=0,G2535=0),D2535*F2535,IF(AND(E2535=0,F2535=0),D2535*G2535,IF(AND(E2535=0),D2535*F2535*G2535,IF(AND(F2535=0),D2535*E2535*G2535,IF(AND(G2535=0),D2535*E2535*F2535,D2535*E2535*F2535*G2535))))))</f>
        <v>0</v>
      </c>
      <c r="I2535" s="40"/>
      <c r="J2535" s="41" t="str">
        <f>IF(AND(E2535=0,F2535&lt;&gt;0,G2535&lt;&gt;0),"m2",IF(AND(F2535=0,E2535&lt;&gt;0,G2535&lt;&gt;0),"m2",IF(AND(G2535=0,E2535&lt;&gt;0,F2535&lt;&gt;0),"m2",IF(AND(F2535=0,G2535=0),"ml",IF(AND(E2535=0,G2535=0),"ml",IF(AND(E2535=0,F2535=0),"ml",IF(AND(E2535&lt;&gt;0,F2535&lt;&gt;0,G2535&lt;&gt;0),"m3",0)))))))</f>
        <v>ml</v>
      </c>
    </row>
    <row r="2536" spans="2:10" s="1" customFormat="1" ht="12.75" x14ac:dyDescent="0.2">
      <c r="B2536" s="43" t="s">
        <v>596</v>
      </c>
      <c r="C2536" s="43" t="s">
        <v>472</v>
      </c>
      <c r="D2536" s="60"/>
      <c r="E2536" s="40"/>
      <c r="F2536" s="40"/>
      <c r="G2536" s="40"/>
      <c r="H2536" s="40"/>
      <c r="I2536" s="44">
        <f>+SUM(H2537:H2539)</f>
        <v>20.65</v>
      </c>
      <c r="J2536" s="45" t="s">
        <v>345</v>
      </c>
    </row>
    <row r="2537" spans="2:10" s="1" customFormat="1" ht="12.75" x14ac:dyDescent="0.2">
      <c r="B2537" s="43"/>
      <c r="C2537" s="39" t="s">
        <v>510</v>
      </c>
      <c r="D2537" s="60">
        <v>1</v>
      </c>
      <c r="E2537" s="40">
        <v>4.95</v>
      </c>
      <c r="F2537" s="40"/>
      <c r="G2537" s="40"/>
      <c r="H2537" s="40">
        <f>IF(AND(F2537=0,G2537=0),D2537*E2537,IF(AND(E2537=0,G2537=0),D2537*F2537,IF(AND(E2537=0,F2537=0),D2537*G2537,IF(AND(E2537=0),D2537*F2537*G2537,IF(AND(F2537=0),D2537*E2537*G2537,IF(AND(G2537=0),D2537*E2537*F2537,D2537*E2537*F2537*G2537))))))</f>
        <v>4.95</v>
      </c>
      <c r="I2537" s="44"/>
      <c r="J2537" s="45"/>
    </row>
    <row r="2538" spans="2:10" s="1" customFormat="1" ht="12.75" x14ac:dyDescent="0.2">
      <c r="B2538" s="43"/>
      <c r="C2538" s="39" t="s">
        <v>511</v>
      </c>
      <c r="D2538" s="60">
        <v>3</v>
      </c>
      <c r="E2538" s="40">
        <v>2.65</v>
      </c>
      <c r="F2538" s="40"/>
      <c r="G2538" s="40"/>
      <c r="H2538" s="40">
        <f>IF(AND(F2538=0,G2538=0),D2538*E2538,IF(AND(E2538=0,G2538=0),D2538*F2538,IF(AND(E2538=0,F2538=0),D2538*G2538,IF(AND(E2538=0),D2538*F2538*G2538,IF(AND(F2538=0),D2538*E2538*G2538,IF(AND(G2538=0),D2538*E2538*F2538,D2538*E2538*F2538*G2538))))))</f>
        <v>7.9499999999999993</v>
      </c>
      <c r="I2538" s="44"/>
      <c r="J2538" s="45"/>
    </row>
    <row r="2539" spans="2:10" s="1" customFormat="1" ht="12.75" x14ac:dyDescent="0.2">
      <c r="B2539" s="43"/>
      <c r="C2539" s="39" t="s">
        <v>512</v>
      </c>
      <c r="D2539" s="60">
        <v>1</v>
      </c>
      <c r="E2539" s="40">
        <v>7.75</v>
      </c>
      <c r="F2539" s="40"/>
      <c r="G2539" s="40"/>
      <c r="H2539" s="40">
        <f>IF(AND(F2539=0,G2539=0),D2539*E2539,IF(AND(E2539=0,G2539=0),D2539*F2539,IF(AND(E2539=0,F2539=0),D2539*G2539,IF(AND(E2539=0),D2539*F2539*G2539,IF(AND(F2539=0),D2539*E2539*G2539,IF(AND(G2539=0),D2539*E2539*F2539,D2539*E2539*F2539*G2539))))))</f>
        <v>7.75</v>
      </c>
      <c r="I2539" s="44"/>
      <c r="J2539" s="45"/>
    </row>
    <row r="2540" spans="2:10" s="1" customFormat="1" ht="12.75" x14ac:dyDescent="0.2">
      <c r="B2540" s="43"/>
      <c r="C2540" s="39"/>
      <c r="D2540" s="60"/>
      <c r="E2540" s="40"/>
      <c r="F2540" s="40"/>
      <c r="G2540" s="40"/>
      <c r="H2540" s="40"/>
      <c r="I2540" s="44"/>
      <c r="J2540" s="45"/>
    </row>
    <row r="2541" spans="2:10" s="1" customFormat="1" ht="12.75" x14ac:dyDescent="0.2">
      <c r="B2541" s="43" t="s">
        <v>597</v>
      </c>
      <c r="C2541" s="43" t="s">
        <v>490</v>
      </c>
      <c r="D2541" s="60"/>
      <c r="E2541" s="40"/>
      <c r="F2541" s="40"/>
      <c r="G2541" s="40"/>
      <c r="H2541" s="40"/>
      <c r="I2541" s="44">
        <f>+SUM(H2542:H2542)</f>
        <v>0</v>
      </c>
      <c r="J2541" s="45" t="s">
        <v>345</v>
      </c>
    </row>
    <row r="2542" spans="2:10" s="1" customFormat="1" ht="12.75" x14ac:dyDescent="0.2">
      <c r="B2542" s="43"/>
      <c r="C2542" s="39" t="s">
        <v>510</v>
      </c>
      <c r="D2542" s="60"/>
      <c r="E2542" s="40"/>
      <c r="F2542" s="40"/>
      <c r="G2542" s="40"/>
      <c r="H2542" s="40">
        <f>IF(AND(F2542=0,G2542=0),D2542*E2542,IF(AND(E2542=0,G2542=0),D2542*F2542,IF(AND(E2542=0,F2542=0),D2542*G2542,IF(AND(E2542=0),D2542*F2542*G2542,IF(AND(F2542=0),D2542*E2542*G2542,IF(AND(G2542=0),D2542*E2542*F2542,D2542*E2542*F2542*G2542))))))</f>
        <v>0</v>
      </c>
      <c r="I2542" s="44"/>
      <c r="J2542" s="45"/>
    </row>
    <row r="2543" spans="2:10" s="1" customFormat="1" ht="12.75" x14ac:dyDescent="0.2">
      <c r="B2543" s="43"/>
      <c r="C2543" s="39"/>
      <c r="D2543" s="60"/>
      <c r="E2543" s="40"/>
      <c r="F2543" s="40"/>
      <c r="G2543" s="40"/>
      <c r="H2543" s="40"/>
      <c r="I2543" s="44"/>
      <c r="J2543" s="45"/>
    </row>
    <row r="2544" spans="2:10" s="1" customFormat="1" ht="12.75" x14ac:dyDescent="0.2">
      <c r="B2544" s="43" t="s">
        <v>257</v>
      </c>
      <c r="C2544" s="43" t="s">
        <v>228</v>
      </c>
      <c r="D2544" s="60"/>
      <c r="E2544" s="40"/>
      <c r="F2544" s="40"/>
      <c r="G2544" s="40"/>
      <c r="H2544" s="40"/>
      <c r="I2544" s="44">
        <f>SUM(H2545:H2545)</f>
        <v>0</v>
      </c>
      <c r="J2544" s="45" t="str">
        <f>+J2545</f>
        <v>ml</v>
      </c>
    </row>
    <row r="2545" spans="2:10" s="1" customFormat="1" ht="12.75" x14ac:dyDescent="0.2">
      <c r="B2545" s="57"/>
      <c r="C2545" s="39" t="s">
        <v>399</v>
      </c>
      <c r="D2545" s="40"/>
      <c r="E2545" s="40"/>
      <c r="F2545" s="40"/>
      <c r="G2545" s="40"/>
      <c r="H2545" s="40">
        <f>IF(AND(F2545=0,G2545=0),D2545*E2545,IF(AND(E2545=0,G2545=0),D2545*F2545,IF(AND(E2545=0,F2545=0),D2545*G2545,IF(AND(E2545=0),D2545*F2545*G2545,IF(AND(F2545=0),D2545*E2545*G2545,IF(AND(G2545=0),D2545*E2545*F2545,D2545*E2545*F2545*G2545))))))</f>
        <v>0</v>
      </c>
      <c r="I2545" s="40"/>
      <c r="J2545" s="41" t="str">
        <f>IF(AND(E2545=0,F2545&lt;&gt;0,G2545&lt;&gt;0),"m2",IF(AND(F2545=0,E2545&lt;&gt;0,G2545&lt;&gt;0),"m2",IF(AND(G2545=0,E2545&lt;&gt;0,F2545&lt;&gt;0),"m2",IF(AND(F2545=0,G2545=0),"ml",IF(AND(E2545=0,G2545=0),"ml",IF(AND(E2545=0,F2545=0),"ml",IF(AND(E2545&lt;&gt;0,F2545&lt;&gt;0,G2545&lt;&gt;0),"m3",0)))))))</f>
        <v>ml</v>
      </c>
    </row>
    <row r="2546" spans="2:10" s="1" customFormat="1" ht="12.75" x14ac:dyDescent="0.2">
      <c r="B2546" s="43" t="s">
        <v>258</v>
      </c>
      <c r="C2546" s="43" t="s">
        <v>250</v>
      </c>
      <c r="D2546" s="60"/>
      <c r="E2546" s="40"/>
      <c r="F2546" s="40"/>
      <c r="G2546" s="40"/>
      <c r="H2546" s="40"/>
      <c r="I2546" s="44">
        <f>SUM(H2547:H2547)</f>
        <v>0</v>
      </c>
      <c r="J2546" s="45" t="str">
        <f>+J2547</f>
        <v>ml</v>
      </c>
    </row>
    <row r="2547" spans="2:10" s="1" customFormat="1" ht="12.75" x14ac:dyDescent="0.2">
      <c r="B2547" s="57"/>
      <c r="C2547" s="39" t="s">
        <v>388</v>
      </c>
      <c r="D2547" s="40"/>
      <c r="E2547" s="40"/>
      <c r="F2547" s="40"/>
      <c r="G2547" s="40"/>
      <c r="H2547" s="40">
        <f>IF(AND(F2547=0,G2547=0),D2547*E2547,IF(AND(E2547=0,G2547=0),D2547*F2547,IF(AND(E2547=0,F2547=0),D2547*G2547,IF(AND(E2547=0),D2547*F2547*G2547,IF(AND(F2547=0),D2547*E2547*G2547,IF(AND(G2547=0),D2547*E2547*F2547,D2547*E2547*F2547*G2547))))))</f>
        <v>0</v>
      </c>
      <c r="I2547" s="40"/>
      <c r="J2547" s="41" t="str">
        <f>IF(AND(E2547=0,F2547&lt;&gt;0,G2547&lt;&gt;0),"m2",IF(AND(F2547=0,E2547&lt;&gt;0,G2547&lt;&gt;0),"m2",IF(AND(G2547=0,E2547&lt;&gt;0,F2547&lt;&gt;0),"m2",IF(AND(F2547=0,G2547=0),"ml",IF(AND(E2547=0,G2547=0),"ml",IF(AND(E2547=0,F2547=0),"ml",IF(AND(E2547&lt;&gt;0,F2547&lt;&gt;0,G2547&lt;&gt;0),"m3",0)))))))</f>
        <v>ml</v>
      </c>
    </row>
    <row r="2548" spans="2:10" s="1" customFormat="1" ht="12.75" x14ac:dyDescent="0.2">
      <c r="B2548" s="43" t="s">
        <v>259</v>
      </c>
      <c r="C2548" s="43" t="s">
        <v>251</v>
      </c>
      <c r="D2548" s="60"/>
      <c r="E2548" s="40"/>
      <c r="F2548" s="40"/>
      <c r="G2548" s="40"/>
      <c r="H2548" s="40"/>
      <c r="I2548" s="44">
        <f>SUM(H2549:H2549)</f>
        <v>0</v>
      </c>
      <c r="J2548" s="45" t="str">
        <f>+J2549</f>
        <v>ml</v>
      </c>
    </row>
    <row r="2549" spans="2:10" s="1" customFormat="1" ht="12.75" x14ac:dyDescent="0.2">
      <c r="B2549" s="57"/>
      <c r="C2549" s="39" t="s">
        <v>389</v>
      </c>
      <c r="D2549" s="40"/>
      <c r="E2549" s="40"/>
      <c r="F2549" s="40"/>
      <c r="G2549" s="40"/>
      <c r="H2549" s="40">
        <f>IF(AND(F2549=0,G2549=0),D2549*E2549,IF(AND(E2549=0,G2549=0),D2549*F2549,IF(AND(E2549=0,F2549=0),D2549*G2549,IF(AND(E2549=0),D2549*F2549*G2549,IF(AND(F2549=0),D2549*E2549*G2549,IF(AND(G2549=0),D2549*E2549*F2549,D2549*E2549*F2549*G2549))))))</f>
        <v>0</v>
      </c>
      <c r="I2549" s="40"/>
      <c r="J2549" s="41" t="str">
        <f>IF(AND(E2549=0,F2549&lt;&gt;0,G2549&lt;&gt;0),"m2",IF(AND(F2549=0,E2549&lt;&gt;0,G2549&lt;&gt;0),"m2",IF(AND(G2549=0,E2549&lt;&gt;0,F2549&lt;&gt;0),"m2",IF(AND(F2549=0,G2549=0),"ml",IF(AND(E2549=0,G2549=0),"ml",IF(AND(E2549=0,F2549=0),"ml",IF(AND(E2549&lt;&gt;0,F2549&lt;&gt;0,G2549&lt;&gt;0),"m3",0)))))))</f>
        <v>ml</v>
      </c>
    </row>
    <row r="2550" spans="2:10" s="1" customFormat="1" ht="12.75" x14ac:dyDescent="0.2">
      <c r="B2550" s="43" t="s">
        <v>260</v>
      </c>
      <c r="C2550" s="43" t="s">
        <v>252</v>
      </c>
      <c r="D2550" s="60"/>
      <c r="E2550" s="40"/>
      <c r="F2550" s="40"/>
      <c r="G2550" s="40"/>
      <c r="H2550" s="40"/>
      <c r="I2550" s="44">
        <f>SUM(H2551:H2551)</f>
        <v>0</v>
      </c>
      <c r="J2550" s="45" t="str">
        <f>+J2551</f>
        <v>ml</v>
      </c>
    </row>
    <row r="2551" spans="2:10" s="1" customFormat="1" ht="12.75" x14ac:dyDescent="0.2">
      <c r="B2551" s="57"/>
      <c r="C2551" s="39" t="s">
        <v>397</v>
      </c>
      <c r="D2551" s="40"/>
      <c r="E2551" s="40"/>
      <c r="F2551" s="40"/>
      <c r="G2551" s="40"/>
      <c r="H2551" s="40">
        <f>IF(AND(F2551=0,G2551=0),D2551*E2551,IF(AND(E2551=0,G2551=0),D2551*F2551,IF(AND(E2551=0,F2551=0),D2551*G2551,IF(AND(E2551=0),D2551*F2551*G2551,IF(AND(F2551=0),D2551*E2551*G2551,IF(AND(G2551=0),D2551*E2551*F2551,D2551*E2551*F2551*G2551))))))</f>
        <v>0</v>
      </c>
      <c r="I2551" s="40"/>
      <c r="J2551" s="41" t="str">
        <f>IF(AND(E2551=0,F2551&lt;&gt;0,G2551&lt;&gt;0),"m2",IF(AND(F2551=0,E2551&lt;&gt;0,G2551&lt;&gt;0),"m2",IF(AND(G2551=0,E2551&lt;&gt;0,F2551&lt;&gt;0),"m2",IF(AND(F2551=0,G2551=0),"ml",IF(AND(E2551=0,G2551=0),"ml",IF(AND(E2551=0,F2551=0),"ml",IF(AND(E2551&lt;&gt;0,F2551&lt;&gt;0,G2551&lt;&gt;0),"m3",0)))))))</f>
        <v>ml</v>
      </c>
    </row>
    <row r="2552" spans="2:10" s="1" customFormat="1" ht="12.75" x14ac:dyDescent="0.2">
      <c r="B2552" s="43" t="s">
        <v>261</v>
      </c>
      <c r="C2552" s="43" t="s">
        <v>253</v>
      </c>
      <c r="D2552" s="60"/>
      <c r="E2552" s="40"/>
      <c r="F2552" s="40"/>
      <c r="G2552" s="40"/>
      <c r="H2552" s="40"/>
      <c r="I2552" s="44">
        <f>SUM(H2553:H2553)</f>
        <v>0</v>
      </c>
      <c r="J2552" s="45" t="str">
        <f>+J2553</f>
        <v>und</v>
      </c>
    </row>
    <row r="2553" spans="2:10" s="1" customFormat="1" ht="12.75" x14ac:dyDescent="0.2">
      <c r="B2553" s="43"/>
      <c r="C2553" s="39" t="s">
        <v>402</v>
      </c>
      <c r="D2553" s="40"/>
      <c r="E2553" s="40"/>
      <c r="F2553" s="40"/>
      <c r="G2553" s="40"/>
      <c r="H2553" s="40">
        <f>+D2553</f>
        <v>0</v>
      </c>
      <c r="I2553" s="40"/>
      <c r="J2553" s="41" t="s">
        <v>13</v>
      </c>
    </row>
    <row r="2554" spans="2:10" s="1" customFormat="1" ht="12.75" x14ac:dyDescent="0.2">
      <c r="B2554" s="43" t="s">
        <v>262</v>
      </c>
      <c r="C2554" s="43" t="s">
        <v>254</v>
      </c>
      <c r="D2554" s="60"/>
      <c r="E2554" s="40"/>
      <c r="F2554" s="40"/>
      <c r="G2554" s="40"/>
      <c r="H2554" s="40"/>
      <c r="I2554" s="44">
        <f>SUM(H2555:H2555)</f>
        <v>0</v>
      </c>
      <c r="J2554" s="45" t="str">
        <f>+J2555</f>
        <v>und</v>
      </c>
    </row>
    <row r="2555" spans="2:10" s="1" customFormat="1" ht="12.75" x14ac:dyDescent="0.2">
      <c r="B2555" s="57"/>
      <c r="C2555" s="39" t="s">
        <v>238</v>
      </c>
      <c r="D2555" s="40"/>
      <c r="E2555" s="40"/>
      <c r="F2555" s="40"/>
      <c r="G2555" s="40"/>
      <c r="H2555" s="40">
        <f>+D2555</f>
        <v>0</v>
      </c>
      <c r="I2555" s="40"/>
      <c r="J2555" s="41" t="s">
        <v>13</v>
      </c>
    </row>
    <row r="2556" spans="2:10" s="1" customFormat="1" ht="12.75" x14ac:dyDescent="0.2">
      <c r="B2556" s="43" t="s">
        <v>350</v>
      </c>
      <c r="C2556" s="43" t="s">
        <v>255</v>
      </c>
      <c r="D2556" s="60"/>
      <c r="E2556" s="40"/>
      <c r="F2556" s="40"/>
      <c r="G2556" s="40"/>
      <c r="H2556" s="40"/>
      <c r="I2556" s="44">
        <f>SUM(H2557:H2557)</f>
        <v>0</v>
      </c>
      <c r="J2556" s="45" t="str">
        <f>+J2557</f>
        <v>und</v>
      </c>
    </row>
    <row r="2557" spans="2:10" s="1" customFormat="1" ht="12.75" x14ac:dyDescent="0.2">
      <c r="B2557" s="57"/>
      <c r="C2557" s="39" t="s">
        <v>395</v>
      </c>
      <c r="D2557" s="40"/>
      <c r="E2557" s="40"/>
      <c r="F2557" s="40"/>
      <c r="G2557" s="40"/>
      <c r="H2557" s="40">
        <f>+D2557</f>
        <v>0</v>
      </c>
      <c r="I2557" s="40"/>
      <c r="J2557" s="41" t="s">
        <v>13</v>
      </c>
    </row>
    <row r="2558" spans="2:10" s="1" customFormat="1" ht="12.75" x14ac:dyDescent="0.2">
      <c r="B2558" s="57"/>
      <c r="C2558" s="39"/>
      <c r="D2558" s="60"/>
      <c r="E2558" s="40"/>
      <c r="F2558" s="40"/>
      <c r="G2558" s="40"/>
      <c r="H2558" s="40"/>
      <c r="I2558" s="40"/>
      <c r="J2558" s="41"/>
    </row>
    <row r="2559" spans="2:10" s="1" customFormat="1" ht="12.75" x14ac:dyDescent="0.2">
      <c r="B2559" s="93" t="s">
        <v>548</v>
      </c>
      <c r="C2559" s="92" t="s">
        <v>566</v>
      </c>
      <c r="D2559" s="23"/>
      <c r="E2559" s="23"/>
      <c r="F2559" s="40"/>
      <c r="G2559" s="40"/>
      <c r="I2559" s="44">
        <f>SUM(H2560:H2568)</f>
        <v>24.4</v>
      </c>
      <c r="J2559" s="45" t="s">
        <v>345</v>
      </c>
    </row>
    <row r="2560" spans="2:10" s="1" customFormat="1" ht="12.75" x14ac:dyDescent="0.2">
      <c r="B2560" s="57"/>
      <c r="C2560" s="39" t="s">
        <v>445</v>
      </c>
      <c r="D2560" s="8">
        <v>2</v>
      </c>
      <c r="E2560" s="86">
        <v>6.2</v>
      </c>
      <c r="F2560" s="40"/>
      <c r="G2560" s="40"/>
      <c r="H2560" s="40">
        <f>IF(AND(F2560=0,G2560=0),D2560*E2560,IF(AND(E2560=0,G2560=0),D2560*F2560,IF(AND(E2560=0,F2560=0),D2560*G2560,IF(AND(E2560=0),D2560*F2560*G2560,IF(AND(F2560=0),D2560*E2560*G2560,IF(AND(G2560=0),D2560*E2560*F2560,D2560*E2560*F2560*G2560))))))</f>
        <v>12.4</v>
      </c>
      <c r="I2560" s="40"/>
      <c r="J2560" s="41"/>
    </row>
    <row r="2561" spans="2:10" s="1" customFormat="1" ht="12.75" x14ac:dyDescent="0.2">
      <c r="B2561" s="57"/>
      <c r="C2561" s="92" t="s">
        <v>683</v>
      </c>
      <c r="D2561" s="8"/>
      <c r="E2561" s="86"/>
      <c r="F2561" s="40" t="s">
        <v>685</v>
      </c>
      <c r="G2561" s="40" t="s">
        <v>682</v>
      </c>
      <c r="I2561" s="40">
        <f>+SUM(G2562:G2563)</f>
        <v>6.44</v>
      </c>
      <c r="J2561" s="41"/>
    </row>
    <row r="2562" spans="2:10" s="1" customFormat="1" ht="12.75" x14ac:dyDescent="0.2">
      <c r="B2562" s="57"/>
      <c r="C2562" s="39" t="s">
        <v>437</v>
      </c>
      <c r="D2562" s="8">
        <v>4</v>
      </c>
      <c r="E2562" s="86">
        <v>1</v>
      </c>
      <c r="F2562" s="40">
        <v>0.56000000000000005</v>
      </c>
      <c r="G2562" s="40">
        <f>+D2562*E2562*F2562</f>
        <v>2.2400000000000002</v>
      </c>
      <c r="H2562" s="40"/>
      <c r="I2562" s="40"/>
      <c r="J2562" s="41"/>
    </row>
    <row r="2563" spans="2:10" s="1" customFormat="1" ht="12.75" x14ac:dyDescent="0.2">
      <c r="B2563" s="57"/>
      <c r="C2563" s="39" t="s">
        <v>438</v>
      </c>
      <c r="D2563" s="8">
        <v>6</v>
      </c>
      <c r="E2563" s="86">
        <f>0.55+0.35*2</f>
        <v>1.25</v>
      </c>
      <c r="F2563" s="40">
        <v>0.56000000000000005</v>
      </c>
      <c r="G2563" s="40">
        <f>+D2563*E2563*F2563</f>
        <v>4.2</v>
      </c>
      <c r="H2563" s="40"/>
      <c r="I2563" s="40"/>
      <c r="J2563" s="41"/>
    </row>
    <row r="2564" spans="2:10" s="1" customFormat="1" ht="12.75" x14ac:dyDescent="0.2">
      <c r="B2564" s="57"/>
      <c r="C2564" s="85"/>
      <c r="D2564" s="8"/>
      <c r="E2564" s="86"/>
      <c r="F2564" s="40"/>
      <c r="G2564" s="40"/>
      <c r="H2564" s="40"/>
      <c r="I2564" s="40"/>
      <c r="J2564" s="41"/>
    </row>
    <row r="2565" spans="2:10" s="1" customFormat="1" ht="12.75" x14ac:dyDescent="0.2">
      <c r="B2565" s="57"/>
      <c r="C2565" s="39" t="s">
        <v>446</v>
      </c>
      <c r="D2565" s="8">
        <v>2</v>
      </c>
      <c r="E2565" s="86">
        <v>6</v>
      </c>
      <c r="F2565" s="40"/>
      <c r="G2565" s="40"/>
      <c r="H2565" s="40">
        <f>IF(AND(F2565=0,G2565=0),D2565*E2565,IF(AND(E2565=0,G2565=0),D2565*F2565,IF(AND(E2565=0,F2565=0),D2565*G2565,IF(AND(E2565=0),D2565*F2565*G2565,IF(AND(F2565=0),D2565*E2565*G2565,IF(AND(G2565=0),D2565*E2565*F2565,D2565*E2565*F2565*G2565))))))</f>
        <v>12</v>
      </c>
      <c r="I2565" s="40"/>
      <c r="J2565" s="41"/>
    </row>
    <row r="2566" spans="2:10" s="1" customFormat="1" ht="12.75" x14ac:dyDescent="0.2">
      <c r="B2566" s="57"/>
      <c r="C2566" s="92" t="s">
        <v>683</v>
      </c>
      <c r="D2566" s="8"/>
      <c r="E2566" s="86"/>
      <c r="F2566" s="40" t="s">
        <v>685</v>
      </c>
      <c r="G2566" s="40" t="s">
        <v>682</v>
      </c>
      <c r="I2566" s="89">
        <f>+SUM(G2567:G2568)</f>
        <v>12.656000000000002</v>
      </c>
      <c r="J2566" s="41"/>
    </row>
    <row r="2567" spans="2:10" s="1" customFormat="1" ht="12.75" x14ac:dyDescent="0.2">
      <c r="B2567" s="57"/>
      <c r="C2567" s="39" t="s">
        <v>437</v>
      </c>
      <c r="D2567" s="8">
        <f>4+4+5</f>
        <v>13</v>
      </c>
      <c r="E2567" s="86">
        <v>1</v>
      </c>
      <c r="F2567" s="40">
        <v>0.56000000000000005</v>
      </c>
      <c r="G2567" s="40">
        <f>+D2567*E2567*F2567</f>
        <v>7.2800000000000011</v>
      </c>
      <c r="H2567" s="40"/>
      <c r="I2567" s="40"/>
      <c r="J2567" s="41"/>
    </row>
    <row r="2568" spans="2:10" s="1" customFormat="1" ht="12.75" x14ac:dyDescent="0.2">
      <c r="B2568" s="57"/>
      <c r="C2568" s="39" t="s">
        <v>438</v>
      </c>
      <c r="D2568" s="8">
        <v>6</v>
      </c>
      <c r="E2568" s="86">
        <f>0.5*2+0.6</f>
        <v>1.6</v>
      </c>
      <c r="F2568" s="40">
        <v>0.56000000000000005</v>
      </c>
      <c r="G2568" s="40">
        <f>+D2568*E2568*F2568</f>
        <v>5.3760000000000012</v>
      </c>
      <c r="H2568" s="40"/>
      <c r="I2568" s="40"/>
      <c r="J2568" s="41"/>
    </row>
    <row r="2569" spans="2:10" s="1" customFormat="1" ht="12.75" x14ac:dyDescent="0.2">
      <c r="B2569" s="57"/>
      <c r="C2569" s="39"/>
      <c r="D2569" s="60"/>
      <c r="E2569" s="40"/>
      <c r="F2569" s="40"/>
      <c r="G2569" s="40"/>
      <c r="H2569" s="40"/>
      <c r="I2569" s="40"/>
      <c r="J2569" s="41"/>
    </row>
    <row r="2570" spans="2:10" s="1" customFormat="1" ht="12.75" x14ac:dyDescent="0.2">
      <c r="B2570" s="93" t="s">
        <v>593</v>
      </c>
      <c r="C2570" s="93" t="s">
        <v>564</v>
      </c>
      <c r="D2570" s="60"/>
      <c r="E2570" s="40"/>
      <c r="F2570" s="40"/>
      <c r="G2570" s="40"/>
      <c r="H2570" s="40"/>
      <c r="I2570" s="44">
        <f>SUM(H2571)</f>
        <v>0.89999999999999991</v>
      </c>
      <c r="J2570" s="45" t="s">
        <v>345</v>
      </c>
    </row>
    <row r="2571" spans="2:10" s="1" customFormat="1" ht="12.75" x14ac:dyDescent="0.2">
      <c r="B2571" s="57"/>
      <c r="C2571" s="39" t="s">
        <v>554</v>
      </c>
      <c r="D2571" s="60">
        <v>3</v>
      </c>
      <c r="E2571" s="40">
        <v>0.3</v>
      </c>
      <c r="F2571" s="40"/>
      <c r="G2571" s="40"/>
      <c r="H2571" s="40">
        <f>IF(AND(F2571=0,G2571=0),D2571*E2571,IF(AND(E2571=0,G2571=0),D2571*F2571,IF(AND(E2571=0,F2571=0),D2571*G2571,IF(AND(E2571=0),D2571*F2571*G2571,IF(AND(F2571=0),D2571*E2571*G2571,IF(AND(G2571=0),D2571*E2571*F2571,D2571*E2571*F2571*G2571))))))</f>
        <v>0.89999999999999991</v>
      </c>
      <c r="I2571" s="40"/>
      <c r="J2571" s="41"/>
    </row>
    <row r="2572" spans="2:10" s="1" customFormat="1" ht="12.75" x14ac:dyDescent="0.2">
      <c r="B2572" s="57"/>
      <c r="C2572" s="82"/>
      <c r="D2572" s="83"/>
      <c r="E2572" s="84"/>
      <c r="F2572" s="40"/>
      <c r="G2572" s="40"/>
      <c r="H2572" s="40"/>
      <c r="I2572" s="40"/>
      <c r="J2572" s="41"/>
    </row>
    <row r="2573" spans="2:10" s="1" customFormat="1" ht="12.75" x14ac:dyDescent="0.2">
      <c r="B2573" s="93" t="s">
        <v>599</v>
      </c>
      <c r="C2573" s="93" t="s">
        <v>565</v>
      </c>
      <c r="D2573" s="60"/>
      <c r="E2573" s="40"/>
      <c r="F2573" s="40"/>
      <c r="G2573" s="40"/>
      <c r="H2573" s="40"/>
      <c r="I2573" s="44">
        <f>SUM(H2574:H2575)</f>
        <v>3</v>
      </c>
      <c r="J2573" s="45" t="s">
        <v>13</v>
      </c>
    </row>
    <row r="2574" spans="2:10" s="1" customFormat="1" ht="12.75" x14ac:dyDescent="0.2">
      <c r="B2574" s="43"/>
      <c r="C2574" s="39" t="s">
        <v>693</v>
      </c>
      <c r="D2574" s="40">
        <v>3</v>
      </c>
      <c r="E2574" s="40"/>
      <c r="F2574" s="40"/>
      <c r="G2574" s="40"/>
      <c r="H2574" s="40">
        <f t="shared" ref="H2574" si="174">+D2574</f>
        <v>3</v>
      </c>
      <c r="I2574" s="40"/>
      <c r="J2574" s="41" t="s">
        <v>13</v>
      </c>
    </row>
    <row r="2575" spans="2:10" s="1" customFormat="1" ht="12.75" x14ac:dyDescent="0.2">
      <c r="B2575" s="43"/>
      <c r="C2575" s="39"/>
      <c r="D2575" s="40"/>
      <c r="E2575" s="40"/>
      <c r="F2575" s="40"/>
      <c r="G2575" s="40"/>
      <c r="H2575" s="40"/>
      <c r="I2575" s="40"/>
      <c r="J2575" s="41"/>
    </row>
    <row r="2576" spans="2:10" s="1" customFormat="1" ht="12.75" x14ac:dyDescent="0.2">
      <c r="B2576" s="46"/>
      <c r="C2576" s="59"/>
      <c r="D2576" s="60"/>
      <c r="E2576" s="40"/>
      <c r="F2576" s="40"/>
      <c r="G2576" s="40"/>
      <c r="H2576" s="40"/>
      <c r="I2576" s="40"/>
      <c r="J2576" s="41"/>
    </row>
    <row r="2577" spans="2:10" s="1" customFormat="1" ht="12.75" x14ac:dyDescent="0.2">
      <c r="B2577" s="107" t="s">
        <v>717</v>
      </c>
      <c r="C2577" s="343" t="s">
        <v>735</v>
      </c>
      <c r="D2577" s="60"/>
      <c r="E2577" s="40"/>
      <c r="F2577" s="40"/>
      <c r="G2577" s="40"/>
      <c r="H2577" s="40"/>
      <c r="I2577" s="40">
        <f>+SUM(H2578:H2579)</f>
        <v>1.2000000000000002</v>
      </c>
      <c r="J2577" s="41" t="s">
        <v>45</v>
      </c>
    </row>
    <row r="2578" spans="2:10" s="1" customFormat="1" ht="12.75" x14ac:dyDescent="0.2">
      <c r="B2578" s="107"/>
      <c r="C2578" s="39" t="s">
        <v>693</v>
      </c>
      <c r="D2578" s="40">
        <v>3</v>
      </c>
      <c r="E2578" s="40">
        <f>0.4*2</f>
        <v>0.8</v>
      </c>
      <c r="F2578" s="40"/>
      <c r="G2578" s="40">
        <f>0.3+0.15</f>
        <v>0.44999999999999996</v>
      </c>
      <c r="H2578" s="40">
        <f t="shared" ref="H2578:H2579" si="175">IF(AND(F2578=0,G2578=0),D2578*E2578,IF(AND(E2578=0,G2578=0),D2578*F2578,IF(AND(E2578=0,F2578=0),D2578*G2578,IF(AND(E2578=0),D2578*F2578*G2578,IF(AND(F2578=0),D2578*E2578*G2578,IF(AND(G2578=0),D2578*E2578*F2578,D2578*E2578*F2578*G2578))))))</f>
        <v>1.08</v>
      </c>
      <c r="I2578" s="40"/>
      <c r="J2578" s="41"/>
    </row>
    <row r="2579" spans="2:10" s="1" customFormat="1" ht="12.75" x14ac:dyDescent="0.2">
      <c r="B2579" s="107"/>
      <c r="C2579" s="59"/>
      <c r="D2579" s="60">
        <v>3</v>
      </c>
      <c r="E2579" s="40">
        <v>0.2</v>
      </c>
      <c r="F2579" s="40"/>
      <c r="G2579" s="40">
        <v>0.2</v>
      </c>
      <c r="H2579" s="40">
        <f t="shared" si="175"/>
        <v>0.12000000000000002</v>
      </c>
      <c r="I2579" s="40"/>
      <c r="J2579" s="41"/>
    </row>
    <row r="2580" spans="2:10" s="1" customFormat="1" ht="12.75" x14ac:dyDescent="0.2">
      <c r="B2580" s="107"/>
      <c r="C2580" s="59"/>
      <c r="D2580" s="60"/>
      <c r="E2580" s="40"/>
      <c r="F2580" s="40"/>
      <c r="G2580" s="40"/>
      <c r="H2580" s="40"/>
      <c r="I2580" s="40"/>
      <c r="J2580" s="41"/>
    </row>
    <row r="2581" spans="2:10" s="1" customFormat="1" ht="12.75" x14ac:dyDescent="0.2">
      <c r="B2581" s="107" t="s">
        <v>734</v>
      </c>
      <c r="C2581" s="343" t="s">
        <v>736</v>
      </c>
      <c r="D2581" s="60"/>
      <c r="E2581" s="40"/>
      <c r="F2581" s="40"/>
      <c r="G2581" s="40"/>
      <c r="H2581" s="40"/>
      <c r="I2581" s="40">
        <f>+SUM(H2582:H2587)</f>
        <v>25.295000000000002</v>
      </c>
      <c r="J2581" s="41" t="s">
        <v>45</v>
      </c>
    </row>
    <row r="2582" spans="2:10" s="1" customFormat="1" ht="12.75" x14ac:dyDescent="0.2">
      <c r="B2582" s="46"/>
      <c r="C2582" s="39" t="s">
        <v>550</v>
      </c>
      <c r="D2582" s="40">
        <v>2</v>
      </c>
      <c r="E2582" s="40">
        <v>3.95</v>
      </c>
      <c r="F2582" s="40"/>
      <c r="G2582" s="40">
        <f>0.55+0.15</f>
        <v>0.70000000000000007</v>
      </c>
      <c r="H2582" s="40">
        <f t="shared" ref="H2582:H2587" si="176">IF(AND(F2582=0,G2582=0),D2582*E2582,IF(AND(E2582=0,G2582=0),D2582*F2582,IF(AND(E2582=0,F2582=0),D2582*G2582,IF(AND(E2582=0),D2582*F2582*G2582,IF(AND(F2582=0),D2582*E2582*G2582,IF(AND(G2582=0),D2582*E2582*F2582,D2582*E2582*F2582*G2582))))))</f>
        <v>5.5300000000000011</v>
      </c>
      <c r="I2582" s="40"/>
      <c r="J2582" s="41"/>
    </row>
    <row r="2583" spans="2:10" s="1" customFormat="1" ht="12.75" x14ac:dyDescent="0.2">
      <c r="B2583" s="46"/>
      <c r="C2583" s="39"/>
      <c r="D2583" s="23">
        <v>1</v>
      </c>
      <c r="E2583" s="24">
        <v>3.95</v>
      </c>
      <c r="F2583" s="40"/>
      <c r="G2583" s="40">
        <v>0.3</v>
      </c>
      <c r="H2583" s="40">
        <f t="shared" si="176"/>
        <v>1.1850000000000001</v>
      </c>
      <c r="I2583" s="40"/>
      <c r="J2583" s="41"/>
    </row>
    <row r="2584" spans="2:10" s="1" customFormat="1" ht="12.75" x14ac:dyDescent="0.2">
      <c r="B2584" s="46"/>
      <c r="C2584" s="39" t="s">
        <v>445</v>
      </c>
      <c r="D2584" s="8">
        <v>2</v>
      </c>
      <c r="E2584" s="86">
        <v>6.2</v>
      </c>
      <c r="F2584" s="40"/>
      <c r="G2584" s="40">
        <f>0.78-0.25+0.15</f>
        <v>0.68</v>
      </c>
      <c r="H2584" s="40">
        <f t="shared" si="176"/>
        <v>8.4320000000000004</v>
      </c>
      <c r="I2584" s="40"/>
      <c r="J2584" s="41"/>
    </row>
    <row r="2585" spans="2:10" s="1" customFormat="1" ht="12.75" x14ac:dyDescent="0.2">
      <c r="B2585" s="46"/>
      <c r="C2585" s="39"/>
      <c r="D2585" s="8">
        <v>1</v>
      </c>
      <c r="E2585" s="86">
        <v>6.2</v>
      </c>
      <c r="F2585" s="40"/>
      <c r="G2585" s="40">
        <v>0.34</v>
      </c>
      <c r="H2585" s="40">
        <f t="shared" si="176"/>
        <v>2.1080000000000001</v>
      </c>
      <c r="I2585" s="40"/>
      <c r="J2585" s="41"/>
    </row>
    <row r="2586" spans="2:10" s="1" customFormat="1" ht="12.75" x14ac:dyDescent="0.2">
      <c r="B2586" s="46"/>
      <c r="C2586" s="39" t="s">
        <v>446</v>
      </c>
      <c r="D2586" s="8">
        <v>2</v>
      </c>
      <c r="E2586" s="86">
        <v>6</v>
      </c>
      <c r="F2586" s="40"/>
      <c r="G2586" s="40">
        <f>0.35+0.15</f>
        <v>0.5</v>
      </c>
      <c r="H2586" s="40">
        <f t="shared" si="176"/>
        <v>6</v>
      </c>
      <c r="I2586" s="40"/>
      <c r="J2586" s="41"/>
    </row>
    <row r="2587" spans="2:10" s="1" customFormat="1" ht="12.75" x14ac:dyDescent="0.2">
      <c r="B2587" s="46"/>
      <c r="C2587" s="59"/>
      <c r="D2587" s="60">
        <v>1</v>
      </c>
      <c r="E2587" s="40">
        <v>6</v>
      </c>
      <c r="F2587" s="40"/>
      <c r="G2587" s="40">
        <v>0.34</v>
      </c>
      <c r="H2587" s="40">
        <f t="shared" si="176"/>
        <v>2.04</v>
      </c>
      <c r="I2587" s="40"/>
      <c r="J2587" s="41"/>
    </row>
    <row r="2588" spans="2:10" s="1" customFormat="1" ht="12.75" x14ac:dyDescent="0.2">
      <c r="B2588" s="46"/>
      <c r="C2588" s="59"/>
      <c r="D2588" s="60"/>
      <c r="E2588" s="40"/>
      <c r="F2588" s="40"/>
      <c r="G2588" s="40"/>
      <c r="H2588" s="40"/>
      <c r="I2588" s="40"/>
      <c r="J2588" s="41"/>
    </row>
    <row r="2589" spans="2:10" s="1" customFormat="1" ht="12.75" x14ac:dyDescent="0.2">
      <c r="B2589" s="57"/>
      <c r="C2589" s="39"/>
      <c r="D2589" s="60"/>
      <c r="E2589" s="40"/>
      <c r="F2589" s="40"/>
      <c r="G2589" s="40"/>
      <c r="H2589" s="40"/>
      <c r="I2589" s="40"/>
      <c r="J2589" s="41"/>
    </row>
    <row r="2590" spans="2:10" s="1" customFormat="1" ht="12.75" x14ac:dyDescent="0.2">
      <c r="B2590" s="57"/>
      <c r="C2590" s="39"/>
      <c r="D2590" s="60"/>
      <c r="E2590" s="40"/>
      <c r="F2590" s="40"/>
      <c r="G2590" s="40"/>
      <c r="H2590" s="40"/>
      <c r="I2590" s="40"/>
      <c r="J2590" s="41"/>
    </row>
    <row r="2591" spans="2:10" s="1" customFormat="1" ht="12.75" x14ac:dyDescent="0.2">
      <c r="B2591" s="57"/>
      <c r="C2591" s="39"/>
      <c r="D2591" s="60"/>
      <c r="E2591" s="40"/>
      <c r="F2591" s="40"/>
      <c r="G2591" s="40"/>
      <c r="H2591" s="40"/>
      <c r="I2591" s="40"/>
      <c r="J2591" s="41"/>
    </row>
    <row r="2592" spans="2:10" s="1" customFormat="1" ht="12.75" x14ac:dyDescent="0.2">
      <c r="B2592" s="57" t="s">
        <v>18</v>
      </c>
      <c r="C2592" s="58" t="s">
        <v>223</v>
      </c>
      <c r="D2592" s="60"/>
      <c r="E2592" s="40"/>
      <c r="F2592" s="40"/>
      <c r="G2592" s="40"/>
      <c r="H2592" s="40"/>
      <c r="I2592" s="40"/>
      <c r="J2592" s="41"/>
    </row>
    <row r="2593" spans="2:10" s="1" customFormat="1" ht="12.75" x14ac:dyDescent="0.2">
      <c r="B2593" s="43" t="s">
        <v>19</v>
      </c>
      <c r="C2593" s="43" t="s">
        <v>265</v>
      </c>
      <c r="D2593" s="60"/>
      <c r="E2593" s="40"/>
      <c r="F2593" s="40"/>
      <c r="G2593" s="40"/>
      <c r="H2593" s="40"/>
      <c r="I2593" s="44">
        <f>SUM(H2594:H2594)</f>
        <v>2</v>
      </c>
      <c r="J2593" s="45" t="s">
        <v>13</v>
      </c>
    </row>
    <row r="2594" spans="2:10" s="1" customFormat="1" ht="12.75" x14ac:dyDescent="0.2">
      <c r="B2594" s="46"/>
      <c r="C2594" s="39" t="s">
        <v>231</v>
      </c>
      <c r="D2594" s="40">
        <v>2</v>
      </c>
      <c r="E2594" s="40"/>
      <c r="F2594" s="40"/>
      <c r="G2594" s="40"/>
      <c r="H2594" s="40">
        <f>+D2594</f>
        <v>2</v>
      </c>
      <c r="I2594" s="40"/>
      <c r="J2594" s="41" t="s">
        <v>13</v>
      </c>
    </row>
    <row r="2595" spans="2:10" s="1" customFormat="1" ht="12.75" x14ac:dyDescent="0.2">
      <c r="B2595" s="43" t="s">
        <v>20</v>
      </c>
      <c r="C2595" s="43" t="s">
        <v>272</v>
      </c>
      <c r="D2595" s="60"/>
      <c r="E2595" s="40"/>
      <c r="F2595" s="40"/>
      <c r="G2595" s="40"/>
      <c r="H2595" s="40"/>
      <c r="I2595" s="44">
        <f>SUM(H2596:H2601)</f>
        <v>0</v>
      </c>
      <c r="J2595" s="45" t="str">
        <f>+J2596</f>
        <v>und</v>
      </c>
    </row>
    <row r="2596" spans="2:10" s="1" customFormat="1" ht="12.75" x14ac:dyDescent="0.2">
      <c r="B2596" s="46"/>
      <c r="C2596" s="77" t="s">
        <v>71</v>
      </c>
      <c r="D2596" s="40"/>
      <c r="E2596" s="40"/>
      <c r="F2596" s="40"/>
      <c r="G2596" s="40"/>
      <c r="H2596" s="40"/>
      <c r="I2596" s="40"/>
      <c r="J2596" s="41" t="s">
        <v>13</v>
      </c>
    </row>
    <row r="2597" spans="2:10" s="1" customFormat="1" ht="12.75" x14ac:dyDescent="0.2">
      <c r="B2597" s="46"/>
      <c r="C2597" s="39" t="s">
        <v>349</v>
      </c>
      <c r="D2597" s="40"/>
      <c r="E2597" s="40"/>
      <c r="F2597" s="40"/>
      <c r="G2597" s="40"/>
      <c r="H2597" s="40">
        <f>+D2597</f>
        <v>0</v>
      </c>
      <c r="I2597" s="40"/>
      <c r="J2597" s="41" t="s">
        <v>13</v>
      </c>
    </row>
    <row r="2598" spans="2:10" s="1" customFormat="1" ht="12.75" x14ac:dyDescent="0.2">
      <c r="B2598" s="46"/>
      <c r="C2598" s="77" t="s">
        <v>72</v>
      </c>
      <c r="D2598" s="40"/>
      <c r="E2598" s="40"/>
      <c r="F2598" s="40"/>
      <c r="G2598" s="40"/>
      <c r="H2598" s="40"/>
      <c r="I2598" s="40"/>
      <c r="J2598" s="41" t="s">
        <v>13</v>
      </c>
    </row>
    <row r="2599" spans="2:10" s="1" customFormat="1" ht="12.75" x14ac:dyDescent="0.2">
      <c r="B2599" s="46"/>
      <c r="C2599" s="39" t="s">
        <v>349</v>
      </c>
      <c r="D2599" s="40"/>
      <c r="E2599" s="40"/>
      <c r="F2599" s="40"/>
      <c r="G2599" s="40"/>
      <c r="H2599" s="40">
        <f>+D2599</f>
        <v>0</v>
      </c>
      <c r="I2599" s="40"/>
      <c r="J2599" s="41" t="s">
        <v>13</v>
      </c>
    </row>
    <row r="2600" spans="2:10" s="1" customFormat="1" ht="12.75" x14ac:dyDescent="0.2">
      <c r="B2600" s="46"/>
      <c r="C2600" s="77" t="s">
        <v>73</v>
      </c>
      <c r="D2600" s="40"/>
      <c r="E2600" s="40"/>
      <c r="F2600" s="40"/>
      <c r="G2600" s="40"/>
      <c r="H2600" s="40"/>
      <c r="I2600" s="40"/>
      <c r="J2600" s="41" t="s">
        <v>13</v>
      </c>
    </row>
    <row r="2601" spans="2:10" s="1" customFormat="1" ht="12.75" x14ac:dyDescent="0.2">
      <c r="B2601" s="46"/>
      <c r="C2601" s="39" t="s">
        <v>349</v>
      </c>
      <c r="D2601" s="40"/>
      <c r="E2601" s="40"/>
      <c r="F2601" s="40"/>
      <c r="G2601" s="40"/>
      <c r="H2601" s="40">
        <f>+D2601</f>
        <v>0</v>
      </c>
      <c r="I2601" s="40"/>
      <c r="J2601" s="41" t="s">
        <v>13</v>
      </c>
    </row>
    <row r="2602" spans="2:10" s="1" customFormat="1" ht="12.75" x14ac:dyDescent="0.2">
      <c r="B2602" s="43" t="s">
        <v>21</v>
      </c>
      <c r="C2602" s="43" t="s">
        <v>266</v>
      </c>
      <c r="D2602" s="60"/>
      <c r="E2602" s="40"/>
      <c r="F2602" s="40"/>
      <c r="G2602" s="40"/>
      <c r="H2602" s="40"/>
      <c r="I2602" s="44">
        <f>SUM(H2603:H2605)</f>
        <v>0</v>
      </c>
      <c r="J2602" s="45" t="str">
        <f>+J2603</f>
        <v>und</v>
      </c>
    </row>
    <row r="2603" spans="2:10" s="1" customFormat="1" ht="12.75" x14ac:dyDescent="0.2">
      <c r="B2603" s="43"/>
      <c r="C2603" s="39" t="s">
        <v>71</v>
      </c>
      <c r="D2603" s="40"/>
      <c r="E2603" s="40"/>
      <c r="F2603" s="40"/>
      <c r="G2603" s="40"/>
      <c r="H2603" s="40">
        <f>+D2603</f>
        <v>0</v>
      </c>
      <c r="I2603" s="40"/>
      <c r="J2603" s="41" t="s">
        <v>13</v>
      </c>
    </row>
    <row r="2604" spans="2:10" s="1" customFormat="1" ht="12.75" x14ac:dyDescent="0.2">
      <c r="B2604" s="43"/>
      <c r="C2604" s="39" t="s">
        <v>72</v>
      </c>
      <c r="D2604" s="40"/>
      <c r="E2604" s="40"/>
      <c r="F2604" s="40"/>
      <c r="G2604" s="40"/>
      <c r="H2604" s="40">
        <f>+D2604</f>
        <v>0</v>
      </c>
      <c r="I2604" s="40"/>
      <c r="J2604" s="41" t="s">
        <v>13</v>
      </c>
    </row>
    <row r="2605" spans="2:10" s="1" customFormat="1" ht="12.75" x14ac:dyDescent="0.2">
      <c r="B2605" s="43"/>
      <c r="C2605" s="39" t="s">
        <v>73</v>
      </c>
      <c r="D2605" s="40"/>
      <c r="E2605" s="40"/>
      <c r="F2605" s="40"/>
      <c r="G2605" s="40"/>
      <c r="H2605" s="40">
        <f>+D2605</f>
        <v>0</v>
      </c>
      <c r="I2605" s="40"/>
      <c r="J2605" s="41" t="s">
        <v>13</v>
      </c>
    </row>
    <row r="2606" spans="2:10" s="1" customFormat="1" ht="12.75" x14ac:dyDescent="0.2">
      <c r="B2606" s="43" t="s">
        <v>273</v>
      </c>
      <c r="C2606" s="43" t="s">
        <v>354</v>
      </c>
      <c r="D2606" s="60"/>
      <c r="E2606" s="40"/>
      <c r="F2606" s="40"/>
      <c r="G2606" s="40"/>
      <c r="H2606" s="40"/>
      <c r="I2606" s="44">
        <f>SUM(H2607:H2607)</f>
        <v>0</v>
      </c>
      <c r="J2606" s="45" t="str">
        <f>+J2607</f>
        <v>und</v>
      </c>
    </row>
    <row r="2607" spans="2:10" s="1" customFormat="1" ht="12.75" x14ac:dyDescent="0.2">
      <c r="B2607" s="43"/>
      <c r="C2607" s="39" t="s">
        <v>375</v>
      </c>
      <c r="D2607" s="40"/>
      <c r="E2607" s="40"/>
      <c r="F2607" s="40"/>
      <c r="G2607" s="40"/>
      <c r="H2607" s="40">
        <f>IF(AND(F2607=0,G2607=0),D2607*E2607,IF(AND(E2607=0,G2607=0),D2607*F2607,IF(AND(E2607=0,F2607=0),D2607*G2607,IF(AND(E2607=0),D2607*F2607*G2607,IF(AND(F2607=0),D2607*E2607*G2607,IF(AND(G2607=0),D2607*E2607*F2607,D2607*E2607*F2607*G2607))))))</f>
        <v>0</v>
      </c>
      <c r="I2607" s="40"/>
      <c r="J2607" s="41" t="s">
        <v>13</v>
      </c>
    </row>
    <row r="2608" spans="2:10" s="1" customFormat="1" ht="12.75" x14ac:dyDescent="0.2">
      <c r="B2608" s="43" t="s">
        <v>274</v>
      </c>
      <c r="C2608" s="43" t="s">
        <v>357</v>
      </c>
      <c r="D2608" s="60"/>
      <c r="E2608" s="40"/>
      <c r="F2608" s="40"/>
      <c r="G2608" s="40"/>
      <c r="H2608" s="40"/>
      <c r="I2608" s="44">
        <f>SUM(H2609:H2609)</f>
        <v>0</v>
      </c>
      <c r="J2608" s="45" t="str">
        <f>+J2609</f>
        <v>und</v>
      </c>
    </row>
    <row r="2609" spans="2:10" s="1" customFormat="1" ht="12.75" x14ac:dyDescent="0.2">
      <c r="B2609" s="43"/>
      <c r="C2609" s="39" t="s">
        <v>375</v>
      </c>
      <c r="D2609" s="40"/>
      <c r="E2609" s="40"/>
      <c r="F2609" s="40"/>
      <c r="G2609" s="40"/>
      <c r="H2609" s="40">
        <f>+D2609</f>
        <v>0</v>
      </c>
      <c r="I2609" s="40"/>
      <c r="J2609" s="41" t="s">
        <v>13</v>
      </c>
    </row>
    <row r="2610" spans="2:10" s="1" customFormat="1" ht="12.75" x14ac:dyDescent="0.2">
      <c r="B2610" s="43" t="s">
        <v>355</v>
      </c>
      <c r="C2610" s="43" t="s">
        <v>263</v>
      </c>
      <c r="D2610" s="60"/>
      <c r="E2610" s="40"/>
      <c r="F2610" s="40"/>
      <c r="G2610" s="40"/>
      <c r="H2610" s="40"/>
      <c r="I2610" s="44">
        <f>SUM(H2611:H2611)</f>
        <v>0</v>
      </c>
      <c r="J2610" s="45" t="str">
        <f>+J2611</f>
        <v>und</v>
      </c>
    </row>
    <row r="2611" spans="2:10" s="1" customFormat="1" ht="14.25" customHeight="1" x14ac:dyDescent="0.2">
      <c r="B2611" s="46"/>
      <c r="C2611" s="39" t="s">
        <v>420</v>
      </c>
      <c r="D2611" s="40"/>
      <c r="E2611" s="40"/>
      <c r="F2611" s="40"/>
      <c r="G2611" s="40"/>
      <c r="H2611" s="40">
        <f>+D2611</f>
        <v>0</v>
      </c>
      <c r="I2611" s="40"/>
      <c r="J2611" s="41" t="s">
        <v>13</v>
      </c>
    </row>
    <row r="2612" spans="2:10" s="1" customFormat="1" ht="14.25" customHeight="1" x14ac:dyDescent="0.2">
      <c r="B2612" s="43" t="s">
        <v>356</v>
      </c>
      <c r="C2612" s="43" t="s">
        <v>264</v>
      </c>
      <c r="D2612" s="60"/>
      <c r="E2612" s="40"/>
      <c r="F2612" s="40"/>
      <c r="G2612" s="40"/>
      <c r="H2612" s="40"/>
      <c r="I2612" s="44">
        <f>SUM(H2613:H2613)</f>
        <v>0</v>
      </c>
      <c r="J2612" s="45" t="str">
        <f>+J2613</f>
        <v>und</v>
      </c>
    </row>
    <row r="2613" spans="2:10" s="1" customFormat="1" ht="12.75" x14ac:dyDescent="0.2">
      <c r="B2613" s="46"/>
      <c r="C2613" s="39" t="s">
        <v>420</v>
      </c>
      <c r="D2613" s="40"/>
      <c r="E2613" s="40"/>
      <c r="F2613" s="40"/>
      <c r="G2613" s="40"/>
      <c r="H2613" s="40">
        <f>+D2613</f>
        <v>0</v>
      </c>
      <c r="I2613" s="40"/>
      <c r="J2613" s="41" t="s">
        <v>13</v>
      </c>
    </row>
    <row r="2614" spans="2:10" s="1" customFormat="1" ht="12.75" x14ac:dyDescent="0.2">
      <c r="B2614" s="46"/>
      <c r="C2614" s="59"/>
      <c r="D2614" s="60"/>
      <c r="E2614" s="40"/>
      <c r="F2614" s="40"/>
      <c r="G2614" s="40"/>
      <c r="H2614" s="40"/>
      <c r="I2614" s="40"/>
      <c r="J2614" s="41"/>
    </row>
    <row r="2615" spans="2:10" s="1" customFormat="1" ht="12.75" x14ac:dyDescent="0.2">
      <c r="B2615" s="43" t="s">
        <v>659</v>
      </c>
      <c r="C2615" s="372" t="s">
        <v>657</v>
      </c>
      <c r="D2615" s="60"/>
      <c r="E2615" s="40"/>
      <c r="F2615" s="40"/>
      <c r="G2615" s="40"/>
      <c r="H2615" s="40"/>
      <c r="I2615" s="44">
        <f>+SUM(H2616:H2616)</f>
        <v>5</v>
      </c>
      <c r="J2615" s="45" t="s">
        <v>13</v>
      </c>
    </row>
    <row r="2616" spans="2:10" s="1" customFormat="1" ht="12.75" x14ac:dyDescent="0.2">
      <c r="B2616" s="46"/>
      <c r="C2616" s="39" t="s">
        <v>513</v>
      </c>
      <c r="D2616" s="60">
        <v>5</v>
      </c>
      <c r="E2616" s="40"/>
      <c r="F2616" s="40"/>
      <c r="G2616" s="40"/>
      <c r="H2616" s="40">
        <f>+D2616</f>
        <v>5</v>
      </c>
      <c r="I2616" s="40"/>
      <c r="J2616" s="41"/>
    </row>
    <row r="2617" spans="2:10" s="1" customFormat="1" ht="12.75" x14ac:dyDescent="0.2">
      <c r="B2617" s="46"/>
      <c r="C2617" s="59"/>
      <c r="D2617" s="60"/>
      <c r="E2617" s="40"/>
      <c r="F2617" s="40"/>
      <c r="G2617" s="40"/>
      <c r="H2617" s="40"/>
      <c r="I2617" s="40"/>
      <c r="J2617" s="41"/>
    </row>
    <row r="2618" spans="2:10" s="1" customFormat="1" ht="12.75" x14ac:dyDescent="0.2">
      <c r="B2618" s="46"/>
      <c r="C2618" s="59"/>
      <c r="D2618" s="60"/>
      <c r="E2618" s="40"/>
      <c r="F2618" s="40"/>
      <c r="G2618" s="40"/>
      <c r="H2618" s="40"/>
      <c r="I2618" s="40"/>
      <c r="J2618" s="41"/>
    </row>
    <row r="2619" spans="2:10" s="1" customFormat="1" ht="12.75" x14ac:dyDescent="0.2">
      <c r="B2619" s="73" t="s">
        <v>14</v>
      </c>
      <c r="C2619" s="73" t="s">
        <v>615</v>
      </c>
      <c r="D2619" s="60"/>
      <c r="E2619" s="40"/>
      <c r="F2619" s="40"/>
      <c r="G2619" s="40"/>
      <c r="H2619" s="40"/>
      <c r="I2619" s="40"/>
      <c r="J2619" s="41"/>
    </row>
    <row r="2620" spans="2:10" s="1" customFormat="1" ht="12.75" x14ac:dyDescent="0.2">
      <c r="B2620" s="25" t="s">
        <v>766</v>
      </c>
      <c r="C2620" s="28" t="s">
        <v>616</v>
      </c>
      <c r="D2620" s="60"/>
      <c r="E2620" s="40"/>
      <c r="F2620" s="40"/>
      <c r="G2620" s="40"/>
      <c r="H2620" s="40"/>
      <c r="I2620" s="40">
        <f>+SUM(H2621:H2624)</f>
        <v>20.046000000000003</v>
      </c>
      <c r="J2620" s="41" t="s">
        <v>45</v>
      </c>
    </row>
    <row r="2621" spans="2:10" s="1" customFormat="1" ht="12.75" x14ac:dyDescent="0.2">
      <c r="B2621" s="46"/>
      <c r="C2621" s="39" t="s">
        <v>727</v>
      </c>
      <c r="D2621" s="40">
        <v>2</v>
      </c>
      <c r="E2621" s="40">
        <v>3.95</v>
      </c>
      <c r="F2621" s="40">
        <v>0.5</v>
      </c>
      <c r="G2621" s="40"/>
      <c r="H2621" s="40">
        <f t="shared" ref="H2621:H2624" si="177">IF(AND(F2621=0,G2621=0),D2621*E2621,IF(AND(E2621=0,G2621=0),D2621*F2621,IF(AND(E2621=0,F2621=0),D2621*G2621,IF(AND(E2621=0),D2621*F2621*G2621,IF(AND(F2621=0),D2621*E2621*G2621,IF(AND(G2621=0),D2621*E2621*F2621,D2621*E2621*F2621*G2621))))))</f>
        <v>3.95</v>
      </c>
      <c r="I2621" s="40"/>
      <c r="J2621" s="41"/>
    </row>
    <row r="2622" spans="2:10" s="1" customFormat="1" ht="12.75" x14ac:dyDescent="0.2">
      <c r="B2622" s="46"/>
      <c r="C2622" s="39" t="s">
        <v>728</v>
      </c>
      <c r="D2622" s="8">
        <v>2</v>
      </c>
      <c r="E2622" s="86">
        <v>6.2</v>
      </c>
      <c r="F2622" s="40">
        <f>0.34+0.3</f>
        <v>0.64</v>
      </c>
      <c r="G2622" s="40"/>
      <c r="H2622" s="40">
        <f t="shared" si="177"/>
        <v>7.9360000000000008</v>
      </c>
      <c r="I2622" s="40"/>
      <c r="J2622" s="41"/>
    </row>
    <row r="2623" spans="2:10" s="1" customFormat="1" ht="12.75" x14ac:dyDescent="0.2">
      <c r="B2623" s="46"/>
      <c r="C2623" s="39" t="s">
        <v>446</v>
      </c>
      <c r="D2623" s="8">
        <v>2</v>
      </c>
      <c r="E2623" s="86">
        <v>6</v>
      </c>
      <c r="F2623" s="40">
        <f>0.34+0.3</f>
        <v>0.64</v>
      </c>
      <c r="G2623" s="40"/>
      <c r="H2623" s="40">
        <f t="shared" si="177"/>
        <v>7.68</v>
      </c>
      <c r="I2623" s="40"/>
      <c r="J2623" s="41"/>
    </row>
    <row r="2624" spans="2:10" s="1" customFormat="1" ht="12.75" x14ac:dyDescent="0.2">
      <c r="B2624" s="46"/>
      <c r="C2624" s="39" t="s">
        <v>693</v>
      </c>
      <c r="D2624" s="40">
        <v>3</v>
      </c>
      <c r="E2624" s="40">
        <v>0.4</v>
      </c>
      <c r="F2624" s="40">
        <v>0.4</v>
      </c>
      <c r="G2624" s="40"/>
      <c r="H2624" s="40">
        <f t="shared" si="177"/>
        <v>0.48000000000000009</v>
      </c>
      <c r="I2624" s="40"/>
      <c r="J2624" s="41"/>
    </row>
    <row r="2625" spans="2:10" s="1" customFormat="1" ht="12.75" x14ac:dyDescent="0.2">
      <c r="B2625" s="46"/>
      <c r="C2625" s="59"/>
      <c r="D2625" s="60"/>
      <c r="E2625" s="40"/>
      <c r="F2625" s="40"/>
      <c r="G2625" s="40"/>
      <c r="H2625" s="40"/>
      <c r="I2625" s="40"/>
      <c r="J2625" s="41"/>
    </row>
    <row r="2626" spans="2:10" s="1" customFormat="1" ht="12.75" x14ac:dyDescent="0.2">
      <c r="B2626" s="46"/>
      <c r="C2626" s="59"/>
      <c r="D2626" s="60"/>
      <c r="E2626" s="40"/>
      <c r="F2626" s="40"/>
      <c r="G2626" s="40"/>
      <c r="H2626" s="40"/>
      <c r="I2626" s="40"/>
      <c r="J2626" s="41"/>
    </row>
    <row r="2627" spans="2:10" x14ac:dyDescent="0.25">
      <c r="B2627" s="73" t="s">
        <v>22</v>
      </c>
      <c r="C2627" s="73" t="s">
        <v>614</v>
      </c>
      <c r="D2627" s="23"/>
      <c r="E2627" s="23"/>
      <c r="F2627" s="23"/>
      <c r="G2627" s="23"/>
      <c r="H2627" s="24"/>
      <c r="I2627" s="25"/>
      <c r="J2627" s="26"/>
    </row>
    <row r="2628" spans="2:10" s="1" customFormat="1" ht="15.75" customHeight="1" x14ac:dyDescent="0.2">
      <c r="B2628" s="25" t="s">
        <v>23</v>
      </c>
      <c r="C2628" s="1" t="s">
        <v>622</v>
      </c>
      <c r="D2628" s="60"/>
      <c r="E2628" s="40"/>
      <c r="F2628" s="40"/>
      <c r="G2628" s="40"/>
      <c r="H2628" s="24"/>
      <c r="I2628" s="25">
        <f>+SUM(H2629:H2631)</f>
        <v>13.760580000000001</v>
      </c>
      <c r="J2628" s="26" t="s">
        <v>4</v>
      </c>
    </row>
    <row r="2629" spans="2:10" s="1" customFormat="1" ht="15.75" customHeight="1" x14ac:dyDescent="0.2">
      <c r="B2629" s="25"/>
      <c r="C2629" s="39" t="s">
        <v>550</v>
      </c>
      <c r="D2629" s="40">
        <v>2</v>
      </c>
      <c r="E2629" s="40">
        <v>3.95</v>
      </c>
      <c r="F2629" s="40">
        <v>0.5</v>
      </c>
      <c r="G2629" s="40">
        <f>0.55+0.2</f>
        <v>0.75</v>
      </c>
      <c r="H2629" s="40">
        <f>IF(AND(F2629=0,G2629=0),D2629*E2629,IF(AND(E2629=0,G2629=0),D2629*F2629,IF(AND(E2629=0,F2629=0),D2629*G2629,IF(AND(E2629=0),D2629*F2629*G2629,IF(AND(F2629=0),D2629*E2629*G2629,IF(AND(G2629=0),D2629*E2629*F2629,D2629*E2629*F2629*G2629))))))</f>
        <v>2.9625000000000004</v>
      </c>
      <c r="I2629" s="40"/>
      <c r="J2629" s="41"/>
    </row>
    <row r="2630" spans="2:10" s="1" customFormat="1" ht="12.75" x14ac:dyDescent="0.2">
      <c r="B2630" s="25"/>
      <c r="C2630" s="39" t="s">
        <v>445</v>
      </c>
      <c r="D2630" s="8">
        <v>2</v>
      </c>
      <c r="E2630" s="86">
        <v>6.2</v>
      </c>
      <c r="F2630" s="40">
        <f>0.34+0.3</f>
        <v>0.64</v>
      </c>
      <c r="G2630" s="40">
        <f>0.53+0.25</f>
        <v>0.78</v>
      </c>
      <c r="H2630" s="40">
        <f t="shared" ref="H2630:H2631" si="178">IF(AND(F2630=0,G2630=0),D2630*E2630,IF(AND(E2630=0,G2630=0),D2630*F2630,IF(AND(E2630=0,F2630=0),D2630*G2630,IF(AND(E2630=0),D2630*F2630*G2630,IF(AND(F2630=0),D2630*E2630*G2630,IF(AND(G2630=0),D2630*E2630*F2630,D2630*E2630*F2630*G2630))))))</f>
        <v>6.1900800000000009</v>
      </c>
      <c r="I2630" s="40"/>
      <c r="J2630" s="41"/>
    </row>
    <row r="2631" spans="2:10" s="1" customFormat="1" ht="12.75" x14ac:dyDescent="0.2">
      <c r="B2631" s="25"/>
      <c r="C2631" s="39" t="s">
        <v>446</v>
      </c>
      <c r="D2631" s="8">
        <v>2</v>
      </c>
      <c r="E2631" s="86">
        <v>6</v>
      </c>
      <c r="F2631" s="40">
        <f>0.34+0.3</f>
        <v>0.64</v>
      </c>
      <c r="G2631" s="40">
        <f>0.35+0.25</f>
        <v>0.6</v>
      </c>
      <c r="H2631" s="40">
        <f t="shared" si="178"/>
        <v>4.6079999999999997</v>
      </c>
      <c r="I2631" s="25"/>
      <c r="J2631" s="26"/>
    </row>
    <row r="2632" spans="2:10" s="1" customFormat="1" ht="12.75" x14ac:dyDescent="0.2">
      <c r="B2632" s="25"/>
      <c r="C2632" s="111"/>
      <c r="D2632" s="8"/>
      <c r="E2632" s="86"/>
      <c r="F2632" s="40"/>
      <c r="G2632" s="40"/>
      <c r="H2632" s="24"/>
      <c r="I2632" s="25"/>
      <c r="J2632" s="26"/>
    </row>
    <row r="2633" spans="2:10" s="1" customFormat="1" ht="12.75" x14ac:dyDescent="0.2">
      <c r="B2633" s="25" t="s">
        <v>24</v>
      </c>
      <c r="C2633" s="1" t="s">
        <v>623</v>
      </c>
      <c r="D2633" s="60"/>
      <c r="E2633" s="40"/>
      <c r="F2633" s="40"/>
      <c r="G2633" s="40"/>
      <c r="H2633" s="24"/>
      <c r="I2633" s="25">
        <f>+SUM(H2590:H2590)</f>
        <v>0</v>
      </c>
      <c r="J2633" s="26" t="s">
        <v>4</v>
      </c>
    </row>
    <row r="2634" spans="2:10" s="1" customFormat="1" ht="12.75" x14ac:dyDescent="0.2">
      <c r="B2634" s="57"/>
      <c r="C2634" s="39" t="s">
        <v>693</v>
      </c>
      <c r="D2634" s="40">
        <v>3</v>
      </c>
      <c r="E2634" s="40">
        <v>0.4</v>
      </c>
      <c r="F2634" s="40">
        <v>0.4</v>
      </c>
      <c r="G2634" s="40">
        <f>0.3+0.1</f>
        <v>0.4</v>
      </c>
      <c r="H2634" s="40">
        <f>IF(AND(F2634=0,G2634=0),D2634*E2634,IF(AND(E2634=0,G2634=0),D2634*F2634,IF(AND(E2634=0,F2634=0),D2634*G2634,IF(AND(E2634=0),D2634*F2634*G2634,IF(AND(F2634=0),D2634*E2634*G2634,IF(AND(G2634=0),D2634*E2634*F2634,D2634*E2634*F2634*G2634))))))</f>
        <v>0.19200000000000006</v>
      </c>
      <c r="I2634" s="40"/>
      <c r="J2634" s="41"/>
    </row>
    <row r="2635" spans="2:10" s="1" customFormat="1" ht="12.75" x14ac:dyDescent="0.2">
      <c r="B2635" s="46"/>
      <c r="C2635" s="59"/>
      <c r="D2635" s="60"/>
      <c r="E2635" s="40"/>
      <c r="F2635" s="40"/>
      <c r="G2635" s="40"/>
      <c r="H2635" s="40"/>
      <c r="I2635" s="40"/>
      <c r="J2635" s="41"/>
    </row>
    <row r="2636" spans="2:10" s="1" customFormat="1" ht="12.75" x14ac:dyDescent="0.2">
      <c r="B2636" s="46"/>
      <c r="C2636" s="59"/>
      <c r="D2636" s="60"/>
      <c r="E2636" s="40"/>
      <c r="F2636" s="40"/>
      <c r="G2636" s="40"/>
      <c r="H2636" s="40"/>
      <c r="I2636" s="40"/>
      <c r="J2636" s="41"/>
    </row>
    <row r="2637" spans="2:10" x14ac:dyDescent="0.25">
      <c r="B2637" s="107" t="s">
        <v>777</v>
      </c>
      <c r="C2637" s="370" t="s">
        <v>779</v>
      </c>
      <c r="D2637" s="23"/>
      <c r="E2637" s="23"/>
      <c r="F2637" s="23"/>
      <c r="G2637" s="23"/>
      <c r="I2637" s="24">
        <f>+SUM(H2638:H2641)</f>
        <v>20.045999999999999</v>
      </c>
      <c r="J2637" s="26" t="s">
        <v>45</v>
      </c>
    </row>
    <row r="2638" spans="2:10" x14ac:dyDescent="0.25">
      <c r="B2638" s="107"/>
      <c r="C2638" s="39" t="s">
        <v>693</v>
      </c>
      <c r="D2638" s="40">
        <v>3</v>
      </c>
      <c r="E2638" s="40">
        <v>0.4</v>
      </c>
      <c r="F2638" s="40">
        <v>0.4</v>
      </c>
      <c r="G2638" s="40"/>
      <c r="H2638" s="40">
        <f>IF(AND(F2638=0,G2638=0),D2638*E2638,IF(AND(E2638=0,G2638=0),D2638*F2638,IF(AND(E2638=0,F2638=0),D2638*G2638,IF(AND(E2638=0),D2638*F2638*G2638,IF(AND(F2638=0),D2638*E2638*G2638,IF(AND(G2638=0),D2638*E2638*F2638,D2638*E2638*F2638*G2638))))))</f>
        <v>0.48000000000000009</v>
      </c>
      <c r="I2638" s="25"/>
      <c r="J2638" s="26"/>
    </row>
    <row r="2639" spans="2:10" x14ac:dyDescent="0.25">
      <c r="B2639" s="107"/>
      <c r="C2639" s="39" t="s">
        <v>550</v>
      </c>
      <c r="D2639" s="40">
        <v>2</v>
      </c>
      <c r="E2639" s="40">
        <v>3.95</v>
      </c>
      <c r="F2639" s="40">
        <v>0.5</v>
      </c>
      <c r="G2639" s="40"/>
      <c r="H2639" s="40">
        <f>IF(AND(F2639=0,G2639=0),D2639*E2639,IF(AND(E2639=0,G2639=0),D2639*F2639,IF(AND(E2639=0,F2639=0),D2639*G2639,IF(AND(E2639=0),D2639*F2639*G2639,IF(AND(F2639=0),D2639*E2639*G2639,IF(AND(G2639=0),D2639*E2639*F2639,D2639*E2639*F2639*G2639))))))</f>
        <v>3.95</v>
      </c>
      <c r="I2639" s="25"/>
      <c r="J2639" s="26"/>
    </row>
    <row r="2640" spans="2:10" x14ac:dyDescent="0.25">
      <c r="B2640" s="107"/>
      <c r="C2640" s="39" t="s">
        <v>445</v>
      </c>
      <c r="D2640" s="8">
        <v>2</v>
      </c>
      <c r="E2640" s="86">
        <v>6.2</v>
      </c>
      <c r="F2640" s="40">
        <f>0.34+0.3</f>
        <v>0.64</v>
      </c>
      <c r="G2640" s="40"/>
      <c r="H2640" s="40">
        <f t="shared" ref="H2640:H2641" si="179">IF(AND(F2640=0,G2640=0),D2640*E2640,IF(AND(E2640=0,G2640=0),D2640*F2640,IF(AND(E2640=0,F2640=0),D2640*G2640,IF(AND(E2640=0),D2640*F2640*G2640,IF(AND(F2640=0),D2640*E2640*G2640,IF(AND(G2640=0),D2640*E2640*F2640,D2640*E2640*F2640*G2640))))))</f>
        <v>7.9360000000000008</v>
      </c>
      <c r="I2640" s="25"/>
      <c r="J2640" s="26"/>
    </row>
    <row r="2641" spans="2:10" x14ac:dyDescent="0.25">
      <c r="B2641" s="107"/>
      <c r="C2641" s="39" t="s">
        <v>446</v>
      </c>
      <c r="D2641" s="8">
        <v>2</v>
      </c>
      <c r="E2641" s="86">
        <v>6</v>
      </c>
      <c r="F2641" s="40">
        <f>0.34+0.3</f>
        <v>0.64</v>
      </c>
      <c r="G2641" s="40"/>
      <c r="H2641" s="40">
        <f t="shared" si="179"/>
        <v>7.68</v>
      </c>
      <c r="I2641" s="25"/>
      <c r="J2641" s="26"/>
    </row>
    <row r="2642" spans="2:10" x14ac:dyDescent="0.25">
      <c r="B2642" s="107"/>
      <c r="C2642" s="370"/>
      <c r="D2642" s="23"/>
      <c r="E2642" s="23"/>
      <c r="F2642" s="23"/>
      <c r="G2642" s="23"/>
      <c r="H2642" s="24"/>
      <c r="I2642" s="25"/>
      <c r="J2642" s="26"/>
    </row>
    <row r="2643" spans="2:10" s="1" customFormat="1" ht="12.75" x14ac:dyDescent="0.2">
      <c r="B2643" s="25" t="s">
        <v>631</v>
      </c>
      <c r="C2643" s="28" t="s">
        <v>719</v>
      </c>
      <c r="D2643" s="60"/>
      <c r="E2643" s="40"/>
      <c r="F2643" s="40"/>
      <c r="G2643" s="40"/>
      <c r="H2643" s="40"/>
      <c r="I2643" s="40">
        <f>+SUM(H2644:H2646)</f>
        <v>28.130000000000003</v>
      </c>
      <c r="J2643" s="41" t="s">
        <v>45</v>
      </c>
    </row>
    <row r="2644" spans="2:10" s="1" customFormat="1" ht="12.75" x14ac:dyDescent="0.2">
      <c r="B2644" s="46"/>
      <c r="C2644" s="39" t="s">
        <v>550</v>
      </c>
      <c r="D2644" s="40">
        <v>2</v>
      </c>
      <c r="E2644" s="40">
        <v>3.95</v>
      </c>
      <c r="F2644" s="40">
        <v>0.5</v>
      </c>
      <c r="G2644" s="40">
        <f>0.55+0.1</f>
        <v>0.65</v>
      </c>
      <c r="H2644" s="40">
        <f>+(F2644+G2644*2)*E2644</f>
        <v>7.11</v>
      </c>
      <c r="I2644" s="40"/>
      <c r="J2644" s="41"/>
    </row>
    <row r="2645" spans="2:10" s="1" customFormat="1" ht="12.75" x14ac:dyDescent="0.2">
      <c r="B2645" s="46"/>
      <c r="C2645" s="39" t="s">
        <v>445</v>
      </c>
      <c r="D2645" s="8">
        <v>2</v>
      </c>
      <c r="E2645" s="86">
        <v>6.2</v>
      </c>
      <c r="F2645" s="40">
        <f>0.34+0.3</f>
        <v>0.64</v>
      </c>
      <c r="G2645" s="40">
        <f>0.53+0.1</f>
        <v>0.63</v>
      </c>
      <c r="H2645" s="40">
        <f t="shared" ref="H2645:H2646" si="180">+(F2645+G2645*2)*E2645</f>
        <v>11.78</v>
      </c>
      <c r="I2645" s="40"/>
      <c r="J2645" s="41"/>
    </row>
    <row r="2646" spans="2:10" s="1" customFormat="1" ht="12.75" x14ac:dyDescent="0.2">
      <c r="B2646" s="46"/>
      <c r="C2646" s="39" t="s">
        <v>446</v>
      </c>
      <c r="D2646" s="8">
        <v>2</v>
      </c>
      <c r="E2646" s="86">
        <v>6</v>
      </c>
      <c r="F2646" s="40">
        <f>0.34+0.3</f>
        <v>0.64</v>
      </c>
      <c r="G2646" s="40">
        <f>0.35+0.1</f>
        <v>0.44999999999999996</v>
      </c>
      <c r="H2646" s="40">
        <f t="shared" si="180"/>
        <v>9.24</v>
      </c>
      <c r="I2646" s="40"/>
      <c r="J2646" s="41"/>
    </row>
    <row r="2647" spans="2:10" s="1" customFormat="1" ht="12.75" x14ac:dyDescent="0.2">
      <c r="B2647" s="46"/>
      <c r="C2647" s="59"/>
      <c r="D2647" s="60"/>
      <c r="E2647" s="40"/>
      <c r="F2647" s="40"/>
      <c r="G2647" s="40"/>
      <c r="H2647" s="40"/>
      <c r="I2647" s="40"/>
      <c r="J2647" s="41"/>
    </row>
    <row r="2648" spans="2:10" s="1" customFormat="1" ht="12.75" x14ac:dyDescent="0.2">
      <c r="B2648" s="46"/>
      <c r="C2648" s="59"/>
      <c r="D2648" s="60"/>
      <c r="E2648" s="40"/>
      <c r="F2648" s="40"/>
      <c r="G2648" s="40"/>
      <c r="H2648" s="40"/>
      <c r="I2648" s="40"/>
      <c r="J2648" s="41"/>
    </row>
    <row r="2649" spans="2:10" s="1" customFormat="1" ht="12.75" x14ac:dyDescent="0.2">
      <c r="B2649" s="107" t="s">
        <v>632</v>
      </c>
      <c r="C2649" s="343" t="s">
        <v>794</v>
      </c>
      <c r="D2649" s="60"/>
      <c r="E2649" s="40"/>
      <c r="F2649" s="40" t="s">
        <v>795</v>
      </c>
      <c r="G2649" s="40"/>
      <c r="H2649" s="40"/>
      <c r="I2649" s="40">
        <f>+SUM(H2650:H2654)</f>
        <v>79.785999999999987</v>
      </c>
      <c r="J2649" s="41" t="s">
        <v>12</v>
      </c>
    </row>
    <row r="2650" spans="2:10" s="1" customFormat="1" ht="12.75" x14ac:dyDescent="0.2">
      <c r="B2650" s="380"/>
      <c r="C2650" s="39" t="s">
        <v>349</v>
      </c>
      <c r="D2650" s="60">
        <v>2</v>
      </c>
      <c r="E2650" s="40">
        <v>14</v>
      </c>
      <c r="F2650" s="40">
        <f>8.2/5</f>
        <v>1.64</v>
      </c>
      <c r="G2650" s="40"/>
      <c r="H2650" s="40">
        <f>IF(AND(F2650=0,G2650=0),D2650*E2650,IF(AND(E2650=0,G2650=0),D2650*F2650,IF(AND(E2650=0,F2650=0),D2650*G2650,IF(AND(E2650=0),D2650*F2650*G2650,IF(AND(F2650=0),D2650*E2650*G2650,IF(AND(G2650=0),D2650*E2650*F2650,D2650*E2650*F2650*G2650))))))</f>
        <v>45.919999999999995</v>
      </c>
      <c r="I2650" s="40"/>
      <c r="J2650" s="41"/>
    </row>
    <row r="2651" spans="2:10" s="1" customFormat="1" ht="12.75" x14ac:dyDescent="0.2">
      <c r="B2651" s="380"/>
      <c r="C2651" s="43" t="s">
        <v>472</v>
      </c>
      <c r="D2651" s="60"/>
      <c r="E2651" s="40"/>
      <c r="F2651" s="40"/>
      <c r="G2651" s="40"/>
      <c r="H2651" s="40"/>
      <c r="I2651" s="40"/>
      <c r="J2651" s="41"/>
    </row>
    <row r="2652" spans="2:10" s="1" customFormat="1" ht="12.75" x14ac:dyDescent="0.2">
      <c r="B2652" s="380"/>
      <c r="C2652" s="39" t="s">
        <v>510</v>
      </c>
      <c r="D2652" s="60">
        <v>1</v>
      </c>
      <c r="E2652" s="40">
        <v>4.95</v>
      </c>
      <c r="F2652" s="40">
        <f t="shared" ref="F2652:F2654" si="181">8.2/5</f>
        <v>1.64</v>
      </c>
      <c r="G2652" s="40"/>
      <c r="H2652" s="40">
        <f t="shared" ref="H2652:H2654" si="182">IF(AND(F2652=0,G2652=0),D2652*E2652,IF(AND(E2652=0,G2652=0),D2652*F2652,IF(AND(E2652=0,F2652=0),D2652*G2652,IF(AND(E2652=0),D2652*F2652*G2652,IF(AND(F2652=0),D2652*E2652*G2652,IF(AND(G2652=0),D2652*E2652*F2652,D2652*E2652*F2652*G2652))))))</f>
        <v>8.1180000000000003</v>
      </c>
      <c r="I2652" s="40"/>
      <c r="J2652" s="41"/>
    </row>
    <row r="2653" spans="2:10" s="1" customFormat="1" ht="12.75" x14ac:dyDescent="0.2">
      <c r="B2653" s="380"/>
      <c r="C2653" s="39" t="s">
        <v>511</v>
      </c>
      <c r="D2653" s="60">
        <v>3</v>
      </c>
      <c r="E2653" s="40">
        <v>2.65</v>
      </c>
      <c r="F2653" s="40">
        <f t="shared" si="181"/>
        <v>1.64</v>
      </c>
      <c r="G2653" s="40"/>
      <c r="H2653" s="40">
        <f t="shared" si="182"/>
        <v>13.037999999999998</v>
      </c>
      <c r="I2653" s="40"/>
      <c r="J2653" s="41"/>
    </row>
    <row r="2654" spans="2:10" s="1" customFormat="1" ht="12.75" x14ac:dyDescent="0.2">
      <c r="B2654" s="380"/>
      <c r="C2654" s="39" t="s">
        <v>512</v>
      </c>
      <c r="D2654" s="60">
        <v>1</v>
      </c>
      <c r="E2654" s="40">
        <v>7.75</v>
      </c>
      <c r="F2654" s="40">
        <f t="shared" si="181"/>
        <v>1.64</v>
      </c>
      <c r="G2654" s="40"/>
      <c r="H2654" s="40">
        <f t="shared" si="182"/>
        <v>12.709999999999999</v>
      </c>
      <c r="I2654" s="40"/>
      <c r="J2654" s="41"/>
    </row>
    <row r="2655" spans="2:10" s="1" customFormat="1" ht="12.75" x14ac:dyDescent="0.2">
      <c r="B2655" s="380"/>
      <c r="C2655" s="366"/>
      <c r="D2655" s="60"/>
      <c r="E2655" s="40"/>
      <c r="F2655" s="40"/>
      <c r="G2655" s="40"/>
      <c r="H2655" s="40"/>
      <c r="I2655" s="40"/>
      <c r="J2655" s="41"/>
    </row>
    <row r="2656" spans="2:10" s="1" customFormat="1" ht="12.75" x14ac:dyDescent="0.2">
      <c r="B2656" s="25" t="s">
        <v>633</v>
      </c>
      <c r="C2656" s="28" t="s">
        <v>625</v>
      </c>
      <c r="D2656" s="60"/>
      <c r="E2656" s="40"/>
      <c r="F2656" s="40"/>
      <c r="G2656" s="40"/>
      <c r="H2656" s="40"/>
      <c r="I2656" s="40">
        <f>+SUM(H2657:H2664)</f>
        <v>3.5270000000000001</v>
      </c>
      <c r="J2656" s="41" t="s">
        <v>4</v>
      </c>
    </row>
    <row r="2657" spans="2:10" s="1" customFormat="1" ht="12.75" x14ac:dyDescent="0.2">
      <c r="B2657" s="46"/>
      <c r="C2657" s="39" t="s">
        <v>550</v>
      </c>
      <c r="D2657" s="40">
        <v>2</v>
      </c>
      <c r="E2657" s="40">
        <v>3.95</v>
      </c>
      <c r="F2657" s="40">
        <v>0.1</v>
      </c>
      <c r="G2657" s="40">
        <v>0.55000000000000004</v>
      </c>
      <c r="H2657" s="40">
        <f t="shared" ref="H2657:H2664" si="183">IF(AND(F2657=0,G2657=0),D2657*E2657,IF(AND(E2657=0,G2657=0),D2657*F2657,IF(AND(E2657=0,F2657=0),D2657*G2657,IF(AND(E2657=0),D2657*F2657*G2657,IF(AND(F2657=0),D2657*E2657*G2657,IF(AND(G2657=0),D2657*E2657*F2657,D2657*E2657*F2657*G2657))))))</f>
        <v>0.43450000000000005</v>
      </c>
      <c r="I2657" s="40"/>
      <c r="J2657" s="41"/>
    </row>
    <row r="2658" spans="2:10" s="1" customFormat="1" ht="12.75" x14ac:dyDescent="0.2">
      <c r="B2658" s="46"/>
      <c r="C2658" s="39"/>
      <c r="D2658" s="23">
        <v>1</v>
      </c>
      <c r="E2658" s="24">
        <v>3.95</v>
      </c>
      <c r="F2658" s="40">
        <v>0.5</v>
      </c>
      <c r="G2658" s="40">
        <v>0.1</v>
      </c>
      <c r="H2658" s="40">
        <f t="shared" si="183"/>
        <v>0.19750000000000001</v>
      </c>
      <c r="I2658" s="40"/>
      <c r="J2658" s="41"/>
    </row>
    <row r="2659" spans="2:10" s="1" customFormat="1" ht="12.75" x14ac:dyDescent="0.2">
      <c r="B2659" s="46"/>
      <c r="C2659" s="39" t="s">
        <v>445</v>
      </c>
      <c r="D2659" s="8">
        <v>2</v>
      </c>
      <c r="E2659" s="86">
        <v>6.2</v>
      </c>
      <c r="F2659" s="40">
        <v>0.15</v>
      </c>
      <c r="G2659" s="40">
        <f>0.78-0.25</f>
        <v>0.53</v>
      </c>
      <c r="H2659" s="40">
        <f t="shared" si="183"/>
        <v>0.98580000000000001</v>
      </c>
      <c r="I2659" s="40"/>
      <c r="J2659" s="41"/>
    </row>
    <row r="2660" spans="2:10" s="1" customFormat="1" ht="12.75" x14ac:dyDescent="0.2">
      <c r="B2660" s="46"/>
      <c r="C2660" s="39"/>
      <c r="D2660" s="8">
        <v>1</v>
      </c>
      <c r="E2660" s="86">
        <v>6.2</v>
      </c>
      <c r="F2660" s="40">
        <v>0.64</v>
      </c>
      <c r="G2660" s="40">
        <v>0.15</v>
      </c>
      <c r="H2660" s="40">
        <f t="shared" si="183"/>
        <v>0.59520000000000006</v>
      </c>
      <c r="I2660" s="40"/>
      <c r="J2660" s="41"/>
    </row>
    <row r="2661" spans="2:10" s="1" customFormat="1" ht="12.75" x14ac:dyDescent="0.2">
      <c r="B2661" s="46"/>
      <c r="C2661" s="39" t="s">
        <v>446</v>
      </c>
      <c r="D2661" s="8">
        <v>2</v>
      </c>
      <c r="E2661" s="86">
        <v>6</v>
      </c>
      <c r="F2661" s="40">
        <v>0.15</v>
      </c>
      <c r="G2661" s="40">
        <f>+G2631-0.25</f>
        <v>0.35</v>
      </c>
      <c r="H2661" s="40">
        <f t="shared" si="183"/>
        <v>0.62999999999999989</v>
      </c>
      <c r="I2661" s="40"/>
      <c r="J2661" s="41"/>
    </row>
    <row r="2662" spans="2:10" s="1" customFormat="1" ht="12.75" x14ac:dyDescent="0.2">
      <c r="B2662" s="46"/>
      <c r="C2662" s="59"/>
      <c r="D2662" s="60">
        <v>1</v>
      </c>
      <c r="E2662" s="40">
        <v>6</v>
      </c>
      <c r="F2662" s="40">
        <v>0.64</v>
      </c>
      <c r="G2662" s="40">
        <v>0.15</v>
      </c>
      <c r="H2662" s="40">
        <f t="shared" si="183"/>
        <v>0.57599999999999996</v>
      </c>
      <c r="I2662" s="40"/>
      <c r="J2662" s="41"/>
    </row>
    <row r="2663" spans="2:10" s="1" customFormat="1" ht="12.75" x14ac:dyDescent="0.2">
      <c r="B2663" s="46"/>
      <c r="C2663" s="39" t="s">
        <v>693</v>
      </c>
      <c r="D2663" s="40">
        <v>6</v>
      </c>
      <c r="E2663" s="40">
        <v>0.4</v>
      </c>
      <c r="F2663" s="40">
        <v>0.1</v>
      </c>
      <c r="G2663" s="40">
        <v>0.3</v>
      </c>
      <c r="H2663" s="40">
        <f t="shared" si="183"/>
        <v>7.2000000000000008E-2</v>
      </c>
      <c r="I2663" s="40"/>
      <c r="J2663" s="41"/>
    </row>
    <row r="2664" spans="2:10" s="1" customFormat="1" ht="12.75" x14ac:dyDescent="0.2">
      <c r="B2664" s="46"/>
      <c r="C2664" s="59"/>
      <c r="D2664" s="60">
        <v>6</v>
      </c>
      <c r="E2664" s="40">
        <v>0.2</v>
      </c>
      <c r="F2664" s="40">
        <v>0.1</v>
      </c>
      <c r="G2664" s="40">
        <v>0.3</v>
      </c>
      <c r="H2664" s="40">
        <f t="shared" si="183"/>
        <v>3.6000000000000004E-2</v>
      </c>
      <c r="I2664" s="40"/>
      <c r="J2664" s="41"/>
    </row>
    <row r="2665" spans="2:10" s="1" customFormat="1" ht="12.75" x14ac:dyDescent="0.2">
      <c r="B2665" s="46"/>
      <c r="C2665" s="59"/>
      <c r="D2665" s="60"/>
      <c r="E2665" s="40"/>
      <c r="F2665" s="40"/>
      <c r="G2665" s="40"/>
      <c r="H2665" s="40"/>
      <c r="I2665" s="40"/>
      <c r="J2665" s="41"/>
    </row>
    <row r="2666" spans="2:10" s="1" customFormat="1" ht="12.75" x14ac:dyDescent="0.2">
      <c r="B2666" s="46"/>
      <c r="C2666" s="59"/>
      <c r="D2666" s="60"/>
      <c r="E2666" s="40"/>
      <c r="F2666" s="40"/>
      <c r="G2666" s="40"/>
      <c r="H2666" s="40"/>
      <c r="I2666" s="40"/>
      <c r="J2666" s="41"/>
    </row>
    <row r="2667" spans="2:10" s="1" customFormat="1" ht="12.75" x14ac:dyDescent="0.2">
      <c r="B2667" s="107" t="s">
        <v>790</v>
      </c>
      <c r="C2667" s="343" t="s">
        <v>789</v>
      </c>
      <c r="D2667" s="60" t="s">
        <v>791</v>
      </c>
      <c r="E2667" s="40"/>
      <c r="F2667" s="40"/>
      <c r="G2667" s="40"/>
      <c r="H2667" s="40"/>
      <c r="I2667" s="40">
        <f>+SUM(H2668:H2671)</f>
        <v>17.440724999999997</v>
      </c>
      <c r="J2667" s="41" t="s">
        <v>4</v>
      </c>
    </row>
    <row r="2668" spans="2:10" s="1" customFormat="1" ht="12.75" x14ac:dyDescent="0.2">
      <c r="B2668" s="107"/>
      <c r="C2668" s="39" t="s">
        <v>550</v>
      </c>
      <c r="D2668" s="40">
        <f>1.25*2</f>
        <v>2.5</v>
      </c>
      <c r="E2668" s="40">
        <v>3.95</v>
      </c>
      <c r="F2668" s="40">
        <v>0.5</v>
      </c>
      <c r="G2668" s="40">
        <f>0.55+0.2</f>
        <v>0.75</v>
      </c>
      <c r="H2668" s="40">
        <f>IF(AND(F2668=0,G2668=0),D2668*E2668,IF(AND(E2668=0,G2668=0),D2668*F2668,IF(AND(E2668=0,F2668=0),D2668*G2668,IF(AND(E2668=0),D2668*F2668*G2668,IF(AND(F2668=0),D2668*E2668*G2668,IF(AND(G2668=0),D2668*E2668*F2668,D2668*E2668*F2668*G2668))))))</f>
        <v>3.703125</v>
      </c>
      <c r="I2668" s="40"/>
      <c r="J2668" s="41"/>
    </row>
    <row r="2669" spans="2:10" s="1" customFormat="1" ht="12.75" x14ac:dyDescent="0.2">
      <c r="B2669" s="107"/>
      <c r="C2669" s="39" t="s">
        <v>445</v>
      </c>
      <c r="D2669" s="40">
        <f t="shared" ref="D2669:D2670" si="184">1.25*2</f>
        <v>2.5</v>
      </c>
      <c r="E2669" s="86">
        <v>6.2</v>
      </c>
      <c r="F2669" s="40">
        <f>0.34+0.3</f>
        <v>0.64</v>
      </c>
      <c r="G2669" s="40">
        <f>0.53+0.25</f>
        <v>0.78</v>
      </c>
      <c r="H2669" s="40">
        <f t="shared" ref="H2669:H2670" si="185">IF(AND(F2669=0,G2669=0),D2669*E2669,IF(AND(E2669=0,G2669=0),D2669*F2669,IF(AND(E2669=0,F2669=0),D2669*G2669,IF(AND(E2669=0),D2669*F2669*G2669,IF(AND(F2669=0),D2669*E2669*G2669,IF(AND(G2669=0),D2669*E2669*F2669,D2669*E2669*F2669*G2669))))))</f>
        <v>7.7376000000000005</v>
      </c>
      <c r="I2669" s="40"/>
      <c r="J2669" s="41"/>
    </row>
    <row r="2670" spans="2:10" s="1" customFormat="1" ht="12.75" x14ac:dyDescent="0.2">
      <c r="B2670" s="107"/>
      <c r="C2670" s="39" t="s">
        <v>446</v>
      </c>
      <c r="D2670" s="40">
        <f t="shared" si="184"/>
        <v>2.5</v>
      </c>
      <c r="E2670" s="86">
        <v>6</v>
      </c>
      <c r="F2670" s="40">
        <f>0.34+0.3</f>
        <v>0.64</v>
      </c>
      <c r="G2670" s="40">
        <f>0.35+0.25</f>
        <v>0.6</v>
      </c>
      <c r="H2670" s="40">
        <f t="shared" si="185"/>
        <v>5.76</v>
      </c>
      <c r="I2670" s="40"/>
      <c r="J2670" s="41"/>
    </row>
    <row r="2671" spans="2:10" s="1" customFormat="1" ht="12.75" x14ac:dyDescent="0.2">
      <c r="B2671" s="107"/>
      <c r="C2671" s="39" t="s">
        <v>693</v>
      </c>
      <c r="D2671" s="40">
        <f>1.25*3</f>
        <v>3.75</v>
      </c>
      <c r="E2671" s="40">
        <v>0.4</v>
      </c>
      <c r="F2671" s="40">
        <v>0.4</v>
      </c>
      <c r="G2671" s="40">
        <f>0.3+0.1</f>
        <v>0.4</v>
      </c>
      <c r="H2671" s="40">
        <f>IF(AND(F2671=0,G2671=0),D2671*E2671,IF(AND(E2671=0,G2671=0),D2671*F2671,IF(AND(E2671=0,F2671=0),D2671*G2671,IF(AND(E2671=0),D2671*F2671*G2671,IF(AND(F2671=0),D2671*E2671*G2671,IF(AND(G2671=0),D2671*E2671*F2671,D2671*E2671*F2671*G2671))))))</f>
        <v>0.24000000000000005</v>
      </c>
      <c r="I2671" s="40"/>
      <c r="J2671" s="41"/>
    </row>
    <row r="2672" spans="2:10" s="1" customFormat="1" ht="12.75" x14ac:dyDescent="0.2">
      <c r="B2672" s="107"/>
      <c r="C2672" s="343"/>
      <c r="D2672" s="60"/>
      <c r="E2672" s="40"/>
      <c r="F2672" s="40"/>
      <c r="G2672" s="40"/>
      <c r="H2672" s="40"/>
      <c r="I2672" s="40"/>
      <c r="J2672" s="41"/>
    </row>
    <row r="2673" spans="2:10" s="1" customFormat="1" ht="12.75" x14ac:dyDescent="0.2">
      <c r="B2673" s="107"/>
      <c r="C2673" s="343"/>
      <c r="D2673" s="60"/>
      <c r="E2673" s="40"/>
      <c r="F2673" s="40"/>
      <c r="G2673" s="40"/>
      <c r="H2673" s="40"/>
      <c r="I2673" s="40"/>
      <c r="J2673" s="41"/>
    </row>
    <row r="2674" spans="2:10" s="1" customFormat="1" ht="12.75" x14ac:dyDescent="0.2">
      <c r="B2674" s="107" t="s">
        <v>634</v>
      </c>
      <c r="C2674" s="343" t="s">
        <v>624</v>
      </c>
      <c r="D2674" s="60"/>
      <c r="E2674" s="40"/>
      <c r="F2674" s="40"/>
      <c r="G2674" s="40"/>
      <c r="H2674" s="40"/>
      <c r="I2674" s="40">
        <f>+I2667</f>
        <v>17.440724999999997</v>
      </c>
      <c r="J2674" s="41" t="s">
        <v>4</v>
      </c>
    </row>
    <row r="2675" spans="2:10" s="1" customFormat="1" ht="12.75" x14ac:dyDescent="0.2">
      <c r="B2675" s="46"/>
      <c r="C2675" s="59"/>
      <c r="D2675" s="60"/>
      <c r="E2675" s="40"/>
      <c r="F2675" s="40"/>
      <c r="G2675" s="40"/>
      <c r="H2675" s="40"/>
      <c r="I2675" s="40"/>
      <c r="J2675" s="41"/>
    </row>
    <row r="2676" spans="2:10" s="1" customFormat="1" ht="12.75" x14ac:dyDescent="0.2">
      <c r="B2676" s="46"/>
      <c r="C2676" s="59"/>
      <c r="D2676" s="60"/>
      <c r="E2676" s="40"/>
      <c r="F2676" s="40"/>
      <c r="G2676" s="40"/>
      <c r="H2676" s="40"/>
      <c r="I2676" s="40"/>
      <c r="J2676" s="41"/>
    </row>
    <row r="2677" spans="2:10" s="1" customFormat="1" ht="12.75" x14ac:dyDescent="0.2">
      <c r="C2677" s="98" t="s">
        <v>37</v>
      </c>
      <c r="D2677" s="98"/>
      <c r="E2677" s="98"/>
      <c r="F2677" s="98"/>
      <c r="G2677" s="98"/>
      <c r="H2677" s="98"/>
    </row>
    <row r="2678" spans="2:10" s="1" customFormat="1" ht="12.75" x14ac:dyDescent="0.2">
      <c r="C2678" s="98" t="s">
        <v>38</v>
      </c>
      <c r="D2678" s="98"/>
      <c r="E2678" s="98"/>
      <c r="F2678" s="98"/>
      <c r="G2678" s="98"/>
      <c r="H2678" s="98"/>
    </row>
    <row r="2679" spans="2:10" s="1" customFormat="1" ht="12.75" x14ac:dyDescent="0.2">
      <c r="C2679" s="98" t="s">
        <v>39</v>
      </c>
      <c r="D2679" s="98"/>
      <c r="E2679" s="98"/>
      <c r="F2679" s="98"/>
      <c r="G2679" s="98"/>
      <c r="H2679" s="98"/>
    </row>
    <row r="2680" spans="2:10" s="1" customFormat="1" ht="12.75" x14ac:dyDescent="0.2">
      <c r="C2680" s="99" t="s">
        <v>40</v>
      </c>
      <c r="D2680" s="99"/>
      <c r="E2680" s="99"/>
      <c r="F2680" s="99"/>
      <c r="G2680" s="99"/>
      <c r="H2680" s="99"/>
    </row>
    <row r="2681" spans="2:10" s="1" customFormat="1" ht="12.75" customHeight="1" x14ac:dyDescent="0.2">
      <c r="C2681" s="80"/>
      <c r="D2681" s="99"/>
      <c r="E2681" s="99"/>
      <c r="F2681" s="99"/>
      <c r="G2681" s="99"/>
      <c r="H2681" s="99"/>
    </row>
    <row r="2682" spans="2:10" s="1" customFormat="1" ht="15.75" x14ac:dyDescent="0.2">
      <c r="B2682" s="100" t="s">
        <v>65</v>
      </c>
      <c r="C2682" s="101"/>
      <c r="D2682" s="101"/>
      <c r="E2682" s="101"/>
      <c r="F2682" s="101"/>
      <c r="G2682" s="101"/>
      <c r="H2682" s="101"/>
      <c r="I2682" s="101"/>
      <c r="J2682" s="102"/>
    </row>
    <row r="2683" spans="2:10" s="1" customFormat="1" ht="20.25" x14ac:dyDescent="0.2">
      <c r="B2683" s="104" t="s">
        <v>431</v>
      </c>
      <c r="C2683" s="105"/>
      <c r="D2683" s="105"/>
      <c r="E2683" s="105"/>
      <c r="F2683" s="105"/>
      <c r="G2683" s="105"/>
      <c r="H2683" s="105"/>
      <c r="I2683" s="105"/>
      <c r="J2683" s="106"/>
    </row>
    <row r="2684" spans="2:10" s="1" customFormat="1" ht="13.5" thickBot="1" x14ac:dyDescent="0.25">
      <c r="B2684" s="81"/>
      <c r="C2684" s="81"/>
      <c r="D2684" s="103"/>
      <c r="E2684" s="103"/>
      <c r="F2684" s="103"/>
      <c r="G2684" s="103"/>
      <c r="H2684" s="103"/>
      <c r="I2684" s="103"/>
      <c r="J2684" s="103"/>
    </row>
    <row r="2685" spans="2:10" s="1" customFormat="1" ht="165.75" x14ac:dyDescent="0.2">
      <c r="B2685" s="94" t="s">
        <v>27</v>
      </c>
      <c r="C2685" s="95"/>
      <c r="D2685" s="95"/>
      <c r="E2685" s="95"/>
      <c r="F2685" s="95"/>
      <c r="G2685" s="95"/>
      <c r="H2685" s="95"/>
      <c r="I2685" s="95"/>
      <c r="J2685" s="96"/>
    </row>
    <row r="2686" spans="2:10" s="1" customFormat="1" ht="12.75" x14ac:dyDescent="0.2">
      <c r="B2686" s="2" t="s">
        <v>35</v>
      </c>
      <c r="C2686" s="3" t="s">
        <v>36</v>
      </c>
      <c r="D2686" s="3"/>
      <c r="E2686" s="4"/>
      <c r="F2686" s="5"/>
      <c r="G2686" s="6" t="s">
        <v>8</v>
      </c>
      <c r="H2686" s="97">
        <v>42879</v>
      </c>
      <c r="I2686" s="97"/>
      <c r="J2686" s="7"/>
    </row>
    <row r="2687" spans="2:10" s="1" customFormat="1" ht="12.75" x14ac:dyDescent="0.2">
      <c r="B2687" s="2" t="s">
        <v>33</v>
      </c>
      <c r="C2687" s="3" t="s">
        <v>29</v>
      </c>
      <c r="D2687" s="8"/>
      <c r="E2687" s="8"/>
      <c r="F2687" s="3"/>
      <c r="G2687" s="9" t="s">
        <v>32</v>
      </c>
      <c r="H2687" s="4" t="s">
        <v>29</v>
      </c>
      <c r="I2687" s="10"/>
      <c r="J2687" s="11"/>
    </row>
    <row r="2688" spans="2:10" s="1" customFormat="1" ht="12.75" x14ac:dyDescent="0.2">
      <c r="B2688" s="2" t="s">
        <v>34</v>
      </c>
      <c r="C2688" s="3" t="s">
        <v>29</v>
      </c>
      <c r="D2688" s="8"/>
      <c r="E2688" s="8"/>
      <c r="F2688" s="3"/>
      <c r="G2688" s="9" t="s">
        <v>30</v>
      </c>
      <c r="H2688" s="4" t="s">
        <v>31</v>
      </c>
      <c r="I2688" s="10"/>
      <c r="J2688" s="11"/>
    </row>
    <row r="2689" spans="2:10" s="1" customFormat="1" ht="13.5" thickBot="1" x14ac:dyDescent="0.25">
      <c r="B2689" s="12" t="s">
        <v>43</v>
      </c>
      <c r="C2689" s="13" t="s">
        <v>44</v>
      </c>
      <c r="D2689" s="14"/>
      <c r="E2689" s="14"/>
      <c r="F2689" s="13"/>
      <c r="G2689" s="15" t="s">
        <v>41</v>
      </c>
      <c r="H2689" s="16" t="s">
        <v>42</v>
      </c>
      <c r="I2689" s="17"/>
      <c r="J2689" s="18"/>
    </row>
    <row r="2690" spans="2:10" s="1" customFormat="1" ht="12.75" x14ac:dyDescent="0.2">
      <c r="B2690" s="81"/>
      <c r="C2690" s="81"/>
      <c r="D2690" s="103"/>
      <c r="E2690" s="103"/>
      <c r="F2690" s="103"/>
      <c r="G2690" s="103"/>
      <c r="H2690" s="103"/>
      <c r="I2690" s="103"/>
      <c r="J2690" s="103"/>
    </row>
    <row r="2691" spans="2:10" s="1" customFormat="1" ht="12.75" x14ac:dyDescent="0.2">
      <c r="B2691" s="21" t="s">
        <v>5</v>
      </c>
      <c r="C2691" s="22" t="s">
        <v>0</v>
      </c>
      <c r="D2691" s="22" t="s">
        <v>9</v>
      </c>
      <c r="E2691" s="22" t="s">
        <v>10</v>
      </c>
      <c r="F2691" s="22" t="s">
        <v>1</v>
      </c>
      <c r="G2691" s="22" t="s">
        <v>2</v>
      </c>
      <c r="H2691" s="22" t="s">
        <v>11</v>
      </c>
      <c r="I2691" s="22" t="s">
        <v>6</v>
      </c>
      <c r="J2691" s="22" t="s">
        <v>7</v>
      </c>
    </row>
    <row r="2692" spans="2:10" s="1" customFormat="1" ht="12.75" x14ac:dyDescent="0.2">
      <c r="B2692" s="55">
        <v>4.03</v>
      </c>
      <c r="C2692" s="56" t="s">
        <v>222</v>
      </c>
      <c r="D2692" s="60"/>
      <c r="E2692" s="40"/>
      <c r="F2692" s="40"/>
      <c r="G2692" s="40"/>
      <c r="H2692" s="40"/>
      <c r="I2692" s="40"/>
      <c r="J2692" s="41"/>
    </row>
    <row r="2693" spans="2:10" s="1" customFormat="1" ht="12.75" x14ac:dyDescent="0.2">
      <c r="B2693" s="57" t="s">
        <v>14</v>
      </c>
      <c r="C2693" s="58" t="s">
        <v>225</v>
      </c>
      <c r="D2693" s="60"/>
      <c r="E2693" s="40"/>
      <c r="F2693" s="40"/>
      <c r="G2693" s="40"/>
      <c r="H2693" s="40"/>
      <c r="I2693" s="40"/>
      <c r="J2693" s="41"/>
    </row>
    <row r="2694" spans="2:10" s="1" customFormat="1" ht="12.75" x14ac:dyDescent="0.2">
      <c r="B2694" s="43" t="s">
        <v>15</v>
      </c>
      <c r="C2694" s="43" t="s">
        <v>359</v>
      </c>
      <c r="D2694" s="60"/>
      <c r="E2694" s="40"/>
      <c r="F2694" s="40"/>
      <c r="G2694" s="40"/>
      <c r="H2694" s="40"/>
      <c r="I2694" s="44">
        <f>SUM(H2695:H2695)</f>
        <v>0</v>
      </c>
      <c r="J2694" s="45" t="str">
        <f>+J2695</f>
        <v>ml</v>
      </c>
    </row>
    <row r="2695" spans="2:10" s="1" customFormat="1" ht="12.75" x14ac:dyDescent="0.2">
      <c r="B2695" s="43"/>
      <c r="C2695" s="39" t="s">
        <v>387</v>
      </c>
      <c r="D2695" s="40"/>
      <c r="E2695" s="40"/>
      <c r="F2695" s="40"/>
      <c r="G2695" s="40"/>
      <c r="H2695" s="40">
        <f>IF(AND(F2695=0,G2695=0),D2695*E2695,IF(AND(E2695=0,G2695=0),D2695*F2695,IF(AND(E2695=0,F2695=0),D2695*G2695,IF(AND(E2695=0),D2695*F2695*G2695,IF(AND(F2695=0),D2695*E2695*G2695,IF(AND(G2695=0),D2695*E2695*F2695,D2695*E2695*F2695*G2695))))))</f>
        <v>0</v>
      </c>
      <c r="I2695" s="40"/>
      <c r="J2695" s="41" t="str">
        <f>IF(AND(E2695=0,F2695&lt;&gt;0,G2695&lt;&gt;0),"m2",IF(AND(F2695=0,E2695&lt;&gt;0,G2695&lt;&gt;0),"m2",IF(AND(G2695=0,E2695&lt;&gt;0,F2695&lt;&gt;0),"m2",IF(AND(F2695=0,G2695=0),"ml",IF(AND(E2695=0,G2695=0),"ml",IF(AND(E2695=0,F2695=0),"ml",IF(AND(E2695&lt;&gt;0,F2695&lt;&gt;0,G2695&lt;&gt;0),"m3",0)))))))</f>
        <v>ml</v>
      </c>
    </row>
    <row r="2696" spans="2:10" s="1" customFormat="1" ht="12.75" x14ac:dyDescent="0.2">
      <c r="B2696" s="43"/>
      <c r="C2696" s="39"/>
      <c r="D2696" s="40"/>
      <c r="E2696" s="40"/>
      <c r="F2696" s="40"/>
      <c r="G2696" s="40"/>
      <c r="H2696" s="40">
        <f>IF(AND(F2696=0,G2696=0),D2696*E2696,IF(AND(E2696=0,G2696=0),D2696*F2696,IF(AND(E2696=0,F2696=0),D2696*G2696,IF(AND(E2696=0),D2696*F2696*G2696,IF(AND(F2696=0),D2696*E2696*G2696,IF(AND(G2696=0),D2696*E2696*F2696,D2696*E2696*F2696*G2696))))))</f>
        <v>0</v>
      </c>
      <c r="I2696" s="40"/>
      <c r="J2696" s="41" t="str">
        <f>IF(AND(E2696=0,F2696&lt;&gt;0,G2696&lt;&gt;0),"m2",IF(AND(F2696=0,E2696&lt;&gt;0,G2696&lt;&gt;0),"m2",IF(AND(G2696=0,E2696&lt;&gt;0,F2696&lt;&gt;0),"m2",IF(AND(F2696=0,G2696=0),"ml",IF(AND(E2696=0,G2696=0),"ml",IF(AND(E2696=0,F2696=0),"ml",IF(AND(E2696&lt;&gt;0,F2696&lt;&gt;0,G2696&lt;&gt;0),"m3",0)))))))</f>
        <v>ml</v>
      </c>
    </row>
    <row r="2697" spans="2:10" s="1" customFormat="1" ht="12.75" x14ac:dyDescent="0.2">
      <c r="B2697" s="43" t="s">
        <v>232</v>
      </c>
      <c r="C2697" s="43" t="s">
        <v>235</v>
      </c>
      <c r="D2697" s="60"/>
      <c r="E2697" s="40"/>
      <c r="F2697" s="40"/>
      <c r="G2697" s="40"/>
      <c r="H2697" s="40"/>
      <c r="I2697" s="44">
        <f>SUM(H2698:H2699)</f>
        <v>23</v>
      </c>
      <c r="J2697" s="45" t="str">
        <f>+J2698</f>
        <v>ml</v>
      </c>
    </row>
    <row r="2698" spans="2:10" s="1" customFormat="1" ht="12.75" x14ac:dyDescent="0.2">
      <c r="B2698" s="57"/>
      <c r="C2698" s="39" t="s">
        <v>378</v>
      </c>
      <c r="D2698" s="40">
        <v>2</v>
      </c>
      <c r="E2698" s="40">
        <v>4.5</v>
      </c>
      <c r="F2698" s="40"/>
      <c r="G2698" s="40"/>
      <c r="H2698" s="40">
        <f>IF(AND(F2698=0,G2698=0),D2698*E2698,IF(AND(E2698=0,G2698=0),D2698*F2698,IF(AND(E2698=0,F2698=0),D2698*G2698,IF(AND(E2698=0),D2698*F2698*G2698,IF(AND(F2698=0),D2698*E2698*G2698,IF(AND(G2698=0),D2698*E2698*F2698,D2698*E2698*F2698*G2698))))))</f>
        <v>9</v>
      </c>
      <c r="I2698" s="40"/>
      <c r="J2698" s="41" t="str">
        <f>IF(AND(E2698=0,F2698&lt;&gt;0,G2698&lt;&gt;0),"m2",IF(AND(F2698=0,E2698&lt;&gt;0,G2698&lt;&gt;0),"m2",IF(AND(G2698=0,E2698&lt;&gt;0,F2698&lt;&gt;0),"m2",IF(AND(F2698=0,G2698=0),"ml",IF(AND(E2698=0,G2698=0),"ml",IF(AND(E2698=0,F2698=0),"ml",IF(AND(E2698&lt;&gt;0,F2698&lt;&gt;0,G2698&lt;&gt;0),"m3",0)))))))</f>
        <v>ml</v>
      </c>
    </row>
    <row r="2699" spans="2:10" s="1" customFormat="1" ht="12.75" x14ac:dyDescent="0.2">
      <c r="B2699" s="57"/>
      <c r="C2699" s="39" t="s">
        <v>379</v>
      </c>
      <c r="D2699" s="40">
        <v>1</v>
      </c>
      <c r="E2699" s="40">
        <v>14</v>
      </c>
      <c r="F2699" s="40"/>
      <c r="G2699" s="40"/>
      <c r="H2699" s="40">
        <f>IF(AND(F2699=0,G2699=0),D2699*E2699,IF(AND(E2699=0,G2699=0),D2699*F2699,IF(AND(E2699=0,F2699=0),D2699*G2699,IF(AND(E2699=0),D2699*F2699*G2699,IF(AND(F2699=0),D2699*E2699*G2699,IF(AND(G2699=0),D2699*E2699*F2699,D2699*E2699*F2699*G2699))))))</f>
        <v>14</v>
      </c>
      <c r="I2699" s="40"/>
      <c r="J2699" s="41" t="str">
        <f>IF(AND(E2699=0,F2699&lt;&gt;0,G2699&lt;&gt;0),"m2",IF(AND(F2699=0,E2699&lt;&gt;0,G2699&lt;&gt;0),"m2",IF(AND(G2699=0,E2699&lt;&gt;0,F2699&lt;&gt;0),"m2",IF(AND(F2699=0,G2699=0),"ml",IF(AND(E2699=0,G2699=0),"ml",IF(AND(E2699=0,F2699=0),"ml",IF(AND(E2699&lt;&gt;0,F2699&lt;&gt;0,G2699&lt;&gt;0),"m3",0)))))))</f>
        <v>ml</v>
      </c>
    </row>
    <row r="2700" spans="2:10" s="1" customFormat="1" ht="12.75" x14ac:dyDescent="0.2">
      <c r="B2700" s="43" t="s">
        <v>233</v>
      </c>
      <c r="C2700" s="43" t="s">
        <v>236</v>
      </c>
      <c r="D2700" s="60"/>
      <c r="E2700" s="40"/>
      <c r="F2700" s="40"/>
      <c r="G2700" s="40"/>
      <c r="H2700" s="40"/>
      <c r="I2700" s="44">
        <f>SUM(H2701:H2701)</f>
        <v>0</v>
      </c>
      <c r="J2700" s="45" t="str">
        <f>+J2701</f>
        <v>ml</v>
      </c>
    </row>
    <row r="2701" spans="2:10" s="1" customFormat="1" ht="12.75" x14ac:dyDescent="0.2">
      <c r="B2701" s="57"/>
      <c r="C2701" s="39" t="s">
        <v>378</v>
      </c>
      <c r="D2701" s="40"/>
      <c r="E2701" s="40"/>
      <c r="F2701" s="40"/>
      <c r="G2701" s="40"/>
      <c r="H2701" s="40">
        <f>IF(AND(F2701=0,G2701=0),D2701*E2701,IF(AND(E2701=0,G2701=0),D2701*F2701,IF(AND(E2701=0,F2701=0),D2701*G2701,IF(AND(E2701=0),D2701*F2701*G2701,IF(AND(F2701=0),D2701*E2701*G2701,IF(AND(G2701=0),D2701*E2701*F2701,D2701*E2701*F2701*G2701))))))</f>
        <v>0</v>
      </c>
      <c r="I2701" s="40"/>
      <c r="J2701" s="41" t="str">
        <f>IF(AND(E2701=0,F2701&lt;&gt;0,G2701&lt;&gt;0),"m2",IF(AND(F2701=0,E2701&lt;&gt;0,G2701&lt;&gt;0),"m2",IF(AND(G2701=0,E2701&lt;&gt;0,F2701&lt;&gt;0),"m2",IF(AND(F2701=0,G2701=0),"ml",IF(AND(E2701=0,G2701=0),"ml",IF(AND(E2701=0,F2701=0),"ml",IF(AND(E2701&lt;&gt;0,F2701&lt;&gt;0,G2701&lt;&gt;0),"m3",0)))))))</f>
        <v>ml</v>
      </c>
    </row>
    <row r="2702" spans="2:10" s="1" customFormat="1" ht="12.75" x14ac:dyDescent="0.2">
      <c r="B2702" s="57"/>
      <c r="C2702" s="39" t="s">
        <v>379</v>
      </c>
      <c r="D2702" s="40"/>
      <c r="E2702" s="40"/>
      <c r="F2702" s="40"/>
      <c r="G2702" s="40"/>
      <c r="H2702" s="40">
        <f>IF(AND(F2702=0,G2702=0),D2702*E2702,IF(AND(E2702=0,G2702=0),D2702*F2702,IF(AND(E2702=0,F2702=0),D2702*G2702,IF(AND(E2702=0),D2702*F2702*G2702,IF(AND(F2702=0),D2702*E2702*G2702,IF(AND(G2702=0),D2702*E2702*F2702,D2702*E2702*F2702*G2702))))))</f>
        <v>0</v>
      </c>
      <c r="I2702" s="40"/>
      <c r="J2702" s="41" t="str">
        <f>IF(AND(E2702=0,F2702&lt;&gt;0,G2702&lt;&gt;0),"m2",IF(AND(F2702=0,E2702&lt;&gt;0,G2702&lt;&gt;0),"m2",IF(AND(G2702=0,E2702&lt;&gt;0,F2702&lt;&gt;0),"m2",IF(AND(F2702=0,G2702=0),"ml",IF(AND(E2702=0,G2702=0),"ml",IF(AND(E2702=0,F2702=0),"ml",IF(AND(E2702&lt;&gt;0,F2702&lt;&gt;0,G2702&lt;&gt;0),"m3",0)))))))</f>
        <v>ml</v>
      </c>
    </row>
    <row r="2703" spans="2:10" s="1" customFormat="1" ht="12.75" x14ac:dyDescent="0.2">
      <c r="B2703" s="43" t="s">
        <v>234</v>
      </c>
      <c r="C2703" s="43" t="s">
        <v>267</v>
      </c>
      <c r="D2703" s="60"/>
      <c r="E2703" s="40"/>
      <c r="F2703" s="40"/>
      <c r="G2703" s="40"/>
      <c r="H2703" s="40"/>
      <c r="I2703" s="44">
        <f>+SUM(H2704)</f>
        <v>5.3</v>
      </c>
      <c r="J2703" s="45" t="s">
        <v>345</v>
      </c>
    </row>
    <row r="2704" spans="2:10" s="1" customFormat="1" ht="12.75" x14ac:dyDescent="0.2">
      <c r="B2704" s="43"/>
      <c r="C2704" s="39" t="s">
        <v>467</v>
      </c>
      <c r="D2704" s="60">
        <v>2</v>
      </c>
      <c r="E2704" s="40">
        <v>2.65</v>
      </c>
      <c r="F2704" s="40"/>
      <c r="G2704" s="40"/>
      <c r="H2704" s="40">
        <f>IF(AND(F2704=0,G2704=0),D2704*E2704,IF(AND(E2704=0,G2704=0),D2704*F2704,IF(AND(E2704=0,F2704=0),D2704*G2704,IF(AND(E2704=0),D2704*F2704*G2704,IF(AND(F2704=0),D2704*E2704*G2704,IF(AND(G2704=0),D2704*E2704*F2704,D2704*E2704*F2704*G2704))))))</f>
        <v>5.3</v>
      </c>
      <c r="I2704" s="44"/>
      <c r="J2704" s="45"/>
    </row>
    <row r="2705" spans="2:10" s="1" customFormat="1" ht="12.75" x14ac:dyDescent="0.2">
      <c r="B2705" s="43" t="s">
        <v>268</v>
      </c>
      <c r="C2705" s="43" t="s">
        <v>347</v>
      </c>
      <c r="D2705" s="60"/>
      <c r="E2705" s="40"/>
      <c r="F2705" s="40"/>
      <c r="G2705" s="40"/>
      <c r="H2705" s="40"/>
      <c r="I2705" s="44">
        <f>SUM(H2706:H2712)</f>
        <v>0</v>
      </c>
      <c r="J2705" s="45" t="str">
        <f>+J2706</f>
        <v>ml</v>
      </c>
    </row>
    <row r="2706" spans="2:10" s="1" customFormat="1" ht="12.75" x14ac:dyDescent="0.2">
      <c r="B2706" s="57"/>
      <c r="C2706" s="77" t="s">
        <v>71</v>
      </c>
      <c r="D2706" s="40"/>
      <c r="E2706" s="40"/>
      <c r="F2706" s="40"/>
      <c r="G2706" s="40"/>
      <c r="H2706" s="40">
        <f t="shared" ref="H2706:H2712" si="186">IF(AND(F2706=0,G2706=0),D2706*E2706,IF(AND(E2706=0,G2706=0),D2706*F2706,IF(AND(E2706=0,F2706=0),D2706*G2706,IF(AND(E2706=0),D2706*F2706*G2706,IF(AND(F2706=0),D2706*E2706*G2706,IF(AND(G2706=0),D2706*E2706*F2706,D2706*E2706*F2706*G2706))))))</f>
        <v>0</v>
      </c>
      <c r="I2706" s="40"/>
      <c r="J2706" s="41" t="str">
        <f t="shared" ref="J2706:J2712" si="187">IF(AND(E2706=0,F2706&lt;&gt;0,G2706&lt;&gt;0),"m2",IF(AND(F2706=0,E2706&lt;&gt;0,G2706&lt;&gt;0),"m2",IF(AND(G2706=0,E2706&lt;&gt;0,F2706&lt;&gt;0),"m2",IF(AND(F2706=0,G2706=0),"ml",IF(AND(E2706=0,G2706=0),"ml",IF(AND(E2706=0,F2706=0),"ml",IF(AND(E2706&lt;&gt;0,F2706&lt;&gt;0,G2706&lt;&gt;0),"m3",0)))))))</f>
        <v>ml</v>
      </c>
    </row>
    <row r="2707" spans="2:10" s="1" customFormat="1" ht="12.75" x14ac:dyDescent="0.2">
      <c r="B2707" s="57"/>
      <c r="C2707" s="39" t="s">
        <v>349</v>
      </c>
      <c r="D2707" s="40"/>
      <c r="E2707" s="40"/>
      <c r="F2707" s="40"/>
      <c r="G2707" s="40"/>
      <c r="H2707" s="40">
        <f t="shared" si="186"/>
        <v>0</v>
      </c>
      <c r="I2707" s="40"/>
      <c r="J2707" s="41" t="str">
        <f t="shared" si="187"/>
        <v>ml</v>
      </c>
    </row>
    <row r="2708" spans="2:10" s="1" customFormat="1" ht="12.75" x14ac:dyDescent="0.2">
      <c r="B2708" s="57"/>
      <c r="C2708" s="39" t="s">
        <v>369</v>
      </c>
      <c r="D2708" s="40"/>
      <c r="E2708" s="40"/>
      <c r="F2708" s="40"/>
      <c r="G2708" s="40"/>
      <c r="H2708" s="40">
        <f t="shared" si="186"/>
        <v>0</v>
      </c>
      <c r="I2708" s="40"/>
      <c r="J2708" s="41" t="str">
        <f t="shared" si="187"/>
        <v>ml</v>
      </c>
    </row>
    <row r="2709" spans="2:10" s="1" customFormat="1" ht="12.75" x14ac:dyDescent="0.2">
      <c r="B2709" s="57"/>
      <c r="C2709" s="77" t="s">
        <v>72</v>
      </c>
      <c r="D2709" s="40"/>
      <c r="E2709" s="40"/>
      <c r="F2709" s="40"/>
      <c r="G2709" s="40"/>
      <c r="H2709" s="40">
        <f t="shared" si="186"/>
        <v>0</v>
      </c>
      <c r="I2709" s="40"/>
      <c r="J2709" s="41" t="str">
        <f t="shared" si="187"/>
        <v>ml</v>
      </c>
    </row>
    <row r="2710" spans="2:10" s="1" customFormat="1" ht="12.75" x14ac:dyDescent="0.2">
      <c r="B2710" s="57"/>
      <c r="C2710" s="39" t="s">
        <v>349</v>
      </c>
      <c r="D2710" s="40"/>
      <c r="E2710" s="40"/>
      <c r="F2710" s="40"/>
      <c r="G2710" s="40"/>
      <c r="H2710" s="40">
        <f t="shared" si="186"/>
        <v>0</v>
      </c>
      <c r="I2710" s="40"/>
      <c r="J2710" s="41" t="str">
        <f t="shared" si="187"/>
        <v>ml</v>
      </c>
    </row>
    <row r="2711" spans="2:10" s="1" customFormat="1" ht="12.75" x14ac:dyDescent="0.2">
      <c r="B2711" s="57"/>
      <c r="C2711" s="77" t="s">
        <v>73</v>
      </c>
      <c r="D2711" s="40"/>
      <c r="E2711" s="40"/>
      <c r="F2711" s="40"/>
      <c r="G2711" s="40"/>
      <c r="H2711" s="40">
        <f t="shared" si="186"/>
        <v>0</v>
      </c>
      <c r="I2711" s="40"/>
      <c r="J2711" s="41" t="str">
        <f t="shared" si="187"/>
        <v>ml</v>
      </c>
    </row>
    <row r="2712" spans="2:10" s="1" customFormat="1" ht="12.75" x14ac:dyDescent="0.2">
      <c r="B2712" s="57"/>
      <c r="C2712" s="39" t="s">
        <v>349</v>
      </c>
      <c r="D2712" s="40"/>
      <c r="E2712" s="40"/>
      <c r="F2712" s="40"/>
      <c r="G2712" s="40"/>
      <c r="H2712" s="40">
        <f t="shared" si="186"/>
        <v>0</v>
      </c>
      <c r="I2712" s="40"/>
      <c r="J2712" s="41" t="str">
        <f t="shared" si="187"/>
        <v>ml</v>
      </c>
    </row>
    <row r="2713" spans="2:10" s="1" customFormat="1" ht="12.75" x14ac:dyDescent="0.2">
      <c r="B2713" s="43" t="s">
        <v>270</v>
      </c>
      <c r="C2713" s="43" t="s">
        <v>269</v>
      </c>
      <c r="D2713" s="60"/>
      <c r="E2713" s="40"/>
      <c r="F2713" s="40"/>
      <c r="G2713" s="40"/>
      <c r="H2713" s="40"/>
      <c r="I2713" s="44">
        <f>SUM(H2714:H2720)</f>
        <v>0</v>
      </c>
      <c r="J2713" s="45" t="str">
        <f>+J2714</f>
        <v>ml</v>
      </c>
    </row>
    <row r="2714" spans="2:10" s="1" customFormat="1" ht="12.75" x14ac:dyDescent="0.2">
      <c r="B2714" s="43"/>
      <c r="C2714" s="77" t="s">
        <v>71</v>
      </c>
      <c r="D2714" s="40"/>
      <c r="E2714" s="40"/>
      <c r="F2714" s="40"/>
      <c r="G2714" s="40"/>
      <c r="H2714" s="40">
        <f t="shared" ref="H2714:H2720" si="188">IF(AND(F2714=0,G2714=0),D2714*E2714,IF(AND(E2714=0,G2714=0),D2714*F2714,IF(AND(E2714=0,F2714=0),D2714*G2714,IF(AND(E2714=0),D2714*F2714*G2714,IF(AND(F2714=0),D2714*E2714*G2714,IF(AND(G2714=0),D2714*E2714*F2714,D2714*E2714*F2714*G2714))))))</f>
        <v>0</v>
      </c>
      <c r="I2714" s="40"/>
      <c r="J2714" s="41" t="str">
        <f t="shared" ref="J2714:J2720" si="189">IF(AND(E2714=0,F2714&lt;&gt;0,G2714&lt;&gt;0),"m2",IF(AND(F2714=0,E2714&lt;&gt;0,G2714&lt;&gt;0),"m2",IF(AND(G2714=0,E2714&lt;&gt;0,F2714&lt;&gt;0),"m2",IF(AND(F2714=0,G2714=0),"ml",IF(AND(E2714=0,G2714=0),"ml",IF(AND(E2714=0,F2714=0),"ml",IF(AND(E2714&lt;&gt;0,F2714&lt;&gt;0,G2714&lt;&gt;0),"m3",0)))))))</f>
        <v>ml</v>
      </c>
    </row>
    <row r="2715" spans="2:10" s="1" customFormat="1" ht="12.75" x14ac:dyDescent="0.2">
      <c r="B2715" s="43"/>
      <c r="C2715" s="39" t="s">
        <v>349</v>
      </c>
      <c r="D2715" s="40"/>
      <c r="E2715" s="40"/>
      <c r="F2715" s="40"/>
      <c r="G2715" s="40"/>
      <c r="H2715" s="40">
        <f t="shared" si="188"/>
        <v>0</v>
      </c>
      <c r="I2715" s="40"/>
      <c r="J2715" s="41" t="str">
        <f t="shared" si="189"/>
        <v>ml</v>
      </c>
    </row>
    <row r="2716" spans="2:10" s="1" customFormat="1" ht="12.75" x14ac:dyDescent="0.2">
      <c r="B2716" s="43"/>
      <c r="C2716" s="39" t="s">
        <v>369</v>
      </c>
      <c r="D2716" s="40"/>
      <c r="E2716" s="40"/>
      <c r="F2716" s="40"/>
      <c r="G2716" s="40"/>
      <c r="H2716" s="40">
        <f t="shared" si="188"/>
        <v>0</v>
      </c>
      <c r="I2716" s="40"/>
      <c r="J2716" s="41" t="str">
        <f t="shared" si="189"/>
        <v>ml</v>
      </c>
    </row>
    <row r="2717" spans="2:10" s="1" customFormat="1" ht="12.75" x14ac:dyDescent="0.2">
      <c r="B2717" s="43"/>
      <c r="C2717" s="77" t="s">
        <v>72</v>
      </c>
      <c r="D2717" s="40"/>
      <c r="E2717" s="40"/>
      <c r="F2717" s="40"/>
      <c r="G2717" s="40"/>
      <c r="H2717" s="40">
        <f t="shared" si="188"/>
        <v>0</v>
      </c>
      <c r="I2717" s="40"/>
      <c r="J2717" s="41" t="str">
        <f t="shared" si="189"/>
        <v>ml</v>
      </c>
    </row>
    <row r="2718" spans="2:10" s="1" customFormat="1" ht="12.75" x14ac:dyDescent="0.2">
      <c r="B2718" s="43"/>
      <c r="C2718" s="39" t="s">
        <v>349</v>
      </c>
      <c r="D2718" s="40"/>
      <c r="E2718" s="40"/>
      <c r="F2718" s="40"/>
      <c r="G2718" s="40"/>
      <c r="H2718" s="40">
        <f t="shared" si="188"/>
        <v>0</v>
      </c>
      <c r="I2718" s="40"/>
      <c r="J2718" s="41" t="str">
        <f t="shared" si="189"/>
        <v>ml</v>
      </c>
    </row>
    <row r="2719" spans="2:10" s="1" customFormat="1" ht="12.75" x14ac:dyDescent="0.2">
      <c r="B2719" s="43"/>
      <c r="C2719" s="77" t="s">
        <v>73</v>
      </c>
      <c r="D2719" s="40"/>
      <c r="E2719" s="40"/>
      <c r="F2719" s="40"/>
      <c r="G2719" s="40"/>
      <c r="H2719" s="40">
        <f t="shared" si="188"/>
        <v>0</v>
      </c>
      <c r="I2719" s="40"/>
      <c r="J2719" s="41" t="str">
        <f t="shared" si="189"/>
        <v>ml</v>
      </c>
    </row>
    <row r="2720" spans="2:10" s="1" customFormat="1" ht="12.75" x14ac:dyDescent="0.2">
      <c r="B2720" s="43"/>
      <c r="C2720" s="39" t="s">
        <v>349</v>
      </c>
      <c r="D2720" s="40"/>
      <c r="E2720" s="40"/>
      <c r="F2720" s="40"/>
      <c r="G2720" s="40"/>
      <c r="H2720" s="40">
        <f t="shared" si="188"/>
        <v>0</v>
      </c>
      <c r="I2720" s="40"/>
      <c r="J2720" s="41" t="str">
        <f t="shared" si="189"/>
        <v>ml</v>
      </c>
    </row>
    <row r="2721" spans="2:10" s="1" customFormat="1" ht="12.75" x14ac:dyDescent="0.2">
      <c r="B2721" s="43" t="s">
        <v>342</v>
      </c>
      <c r="C2721" s="43" t="s">
        <v>271</v>
      </c>
      <c r="D2721" s="60"/>
      <c r="E2721" s="40"/>
      <c r="F2721" s="40"/>
      <c r="G2721" s="40"/>
      <c r="H2721" s="40"/>
      <c r="I2721" s="44">
        <f>SUM(H2722:H2723)</f>
        <v>6</v>
      </c>
      <c r="J2721" s="45" t="str">
        <f>+J2723</f>
        <v>und</v>
      </c>
    </row>
    <row r="2722" spans="2:10" s="1" customFormat="1" ht="12.75" x14ac:dyDescent="0.2">
      <c r="B2722" s="43"/>
      <c r="C2722" s="39" t="s">
        <v>711</v>
      </c>
      <c r="D2722" s="60">
        <v>4</v>
      </c>
      <c r="E2722" s="40"/>
      <c r="F2722" s="40"/>
      <c r="G2722" s="40"/>
      <c r="H2722" s="40">
        <f>+D2722</f>
        <v>4</v>
      </c>
      <c r="I2722" s="44"/>
      <c r="J2722" s="45"/>
    </row>
    <row r="2723" spans="2:10" s="1" customFormat="1" ht="12.75" x14ac:dyDescent="0.2">
      <c r="B2723" s="57"/>
      <c r="C2723" s="39" t="s">
        <v>712</v>
      </c>
      <c r="D2723" s="40">
        <v>2</v>
      </c>
      <c r="E2723" s="40"/>
      <c r="F2723" s="40"/>
      <c r="G2723" s="40"/>
      <c r="H2723" s="40">
        <f>+D2723</f>
        <v>2</v>
      </c>
      <c r="I2723" s="40"/>
      <c r="J2723" s="41" t="s">
        <v>13</v>
      </c>
    </row>
    <row r="2724" spans="2:10" s="1" customFormat="1" ht="12.75" x14ac:dyDescent="0.2">
      <c r="B2724" s="43" t="s">
        <v>346</v>
      </c>
      <c r="C2724" s="43" t="s">
        <v>348</v>
      </c>
      <c r="D2724" s="60"/>
      <c r="E2724" s="40"/>
      <c r="F2724" s="40"/>
      <c r="G2724" s="40"/>
      <c r="H2724" s="40"/>
      <c r="I2724" s="44">
        <f>SUM(H2725:H2725)</f>
        <v>2</v>
      </c>
      <c r="J2724" s="45" t="str">
        <f>+J2725</f>
        <v>und</v>
      </c>
    </row>
    <row r="2725" spans="2:10" s="1" customFormat="1" ht="12.75" x14ac:dyDescent="0.2">
      <c r="B2725" s="57"/>
      <c r="C2725" s="39" t="s">
        <v>349</v>
      </c>
      <c r="D2725" s="40">
        <v>2</v>
      </c>
      <c r="E2725" s="40"/>
      <c r="F2725" s="40"/>
      <c r="G2725" s="40"/>
      <c r="H2725" s="40">
        <f>+D2725</f>
        <v>2</v>
      </c>
      <c r="I2725" s="40"/>
      <c r="J2725" s="41" t="s">
        <v>13</v>
      </c>
    </row>
    <row r="2726" spans="2:10" s="1" customFormat="1" ht="12.75" x14ac:dyDescent="0.2">
      <c r="B2726" s="57" t="s">
        <v>16</v>
      </c>
      <c r="C2726" s="58" t="s">
        <v>224</v>
      </c>
      <c r="D2726" s="60"/>
      <c r="E2726" s="40"/>
      <c r="F2726" s="40"/>
      <c r="G2726" s="40"/>
      <c r="H2726" s="40"/>
      <c r="I2726" s="40"/>
      <c r="J2726" s="41"/>
    </row>
    <row r="2727" spans="2:10" s="1" customFormat="1" ht="12.75" x14ac:dyDescent="0.2">
      <c r="B2727" s="43" t="s">
        <v>17</v>
      </c>
      <c r="C2727" s="43" t="s">
        <v>343</v>
      </c>
      <c r="D2727" s="60"/>
      <c r="E2727" s="40"/>
      <c r="F2727" s="40"/>
      <c r="G2727" s="40"/>
      <c r="H2727" s="40"/>
      <c r="I2727" s="44">
        <f>SUM(H2728:H2729)</f>
        <v>0</v>
      </c>
      <c r="J2727" s="45" t="str">
        <f>+J2728</f>
        <v>ml</v>
      </c>
    </row>
    <row r="2728" spans="2:10" s="1" customFormat="1" ht="12.75" x14ac:dyDescent="0.2">
      <c r="B2728" s="57"/>
      <c r="C2728" s="39" t="s">
        <v>425</v>
      </c>
      <c r="D2728" s="40"/>
      <c r="E2728" s="40"/>
      <c r="F2728" s="40"/>
      <c r="G2728" s="40"/>
      <c r="H2728" s="40">
        <f>IF(AND(F2728=0,G2728=0),D2728*E2728,IF(AND(E2728=0,G2728=0),D2728*F2728,IF(AND(E2728=0,F2728=0),D2728*G2728,IF(AND(E2728=0),D2728*F2728*G2728,IF(AND(F2728=0),D2728*E2728*G2728,IF(AND(G2728=0),D2728*E2728*F2728,D2728*E2728*F2728*G2728))))))</f>
        <v>0</v>
      </c>
      <c r="I2728" s="40"/>
      <c r="J2728" s="41" t="str">
        <f>IF(AND(E2728=0,F2728&lt;&gt;0,G2728&lt;&gt;0),"m2",IF(AND(F2728=0,E2728&lt;&gt;0,G2728&lt;&gt;0),"m2",IF(AND(G2728=0,E2728&lt;&gt;0,F2728&lt;&gt;0),"m2",IF(AND(F2728=0,G2728=0),"ml",IF(AND(E2728=0,G2728=0),"ml",IF(AND(E2728=0,F2728=0),"ml",IF(AND(E2728&lt;&gt;0,F2728&lt;&gt;0,G2728&lt;&gt;0),"m3",0)))))))</f>
        <v>ml</v>
      </c>
    </row>
    <row r="2729" spans="2:10" s="1" customFormat="1" ht="12.75" x14ac:dyDescent="0.2">
      <c r="B2729" s="57"/>
      <c r="C2729" s="39" t="s">
        <v>425</v>
      </c>
      <c r="D2729" s="40"/>
      <c r="E2729" s="40"/>
      <c r="F2729" s="40"/>
      <c r="G2729" s="40"/>
      <c r="H2729" s="40">
        <f>IF(AND(F2729=0,G2729=0),D2729*E2729,IF(AND(E2729=0,G2729=0),D2729*F2729,IF(AND(E2729=0,F2729=0),D2729*G2729,IF(AND(E2729=0),D2729*F2729*G2729,IF(AND(F2729=0),D2729*E2729*G2729,IF(AND(G2729=0),D2729*E2729*F2729,D2729*E2729*F2729*G2729))))))</f>
        <v>0</v>
      </c>
      <c r="I2729" s="40"/>
      <c r="J2729" s="41"/>
    </row>
    <row r="2730" spans="2:10" s="1" customFormat="1" ht="12.75" x14ac:dyDescent="0.2">
      <c r="B2730" s="43" t="s">
        <v>240</v>
      </c>
      <c r="C2730" s="43" t="s">
        <v>237</v>
      </c>
      <c r="D2730" s="60"/>
      <c r="E2730" s="40"/>
      <c r="F2730" s="40"/>
      <c r="G2730" s="40"/>
      <c r="H2730" s="40"/>
      <c r="I2730" s="44">
        <f>SUM(H2731:H2733)</f>
        <v>1.75</v>
      </c>
      <c r="J2730" s="45" t="e">
        <f>+J2731</f>
        <v>#REF!</v>
      </c>
    </row>
    <row r="2731" spans="2:10" s="1" customFormat="1" ht="12.75" x14ac:dyDescent="0.2">
      <c r="B2731" s="57"/>
      <c r="C2731" s="39" t="s">
        <v>688</v>
      </c>
      <c r="D2731" s="40">
        <v>1</v>
      </c>
      <c r="E2731" s="40">
        <v>1.75</v>
      </c>
      <c r="F2731" s="40"/>
      <c r="G2731" s="40"/>
      <c r="H2731" s="40">
        <f t="shared" ref="H2731" si="190">IF(AND(F2731=0,G2731=0),D2731*E2731,IF(AND(E2731=0,G2731=0),D2731*F2731,IF(AND(E2731=0,F2731=0),D2731*G2731,IF(AND(E2731=0),D2731*F2731*G2731,IF(AND(F2731=0),D2731*E2731*G2731,IF(AND(G2731=0),D2731*E2731*F2731,D2731*E2731*F2731*G2731))))))</f>
        <v>1.75</v>
      </c>
      <c r="I2731" s="40"/>
      <c r="J2731" s="41" t="e">
        <f>IF(AND(#REF!=0,#REF!&lt;&gt;0,#REF!&lt;&gt;0),"m2",IF(AND(#REF!=0,#REF!&lt;&gt;0,#REF!&lt;&gt;0),"m2",IF(AND(#REF!=0,#REF!&lt;&gt;0,#REF!&lt;&gt;0),"m2",IF(AND(#REF!=0,#REF!=0),"ml",IF(AND(#REF!=0,#REF!=0),"ml",IF(AND(#REF!=0,#REF!=0),"ml",IF(AND(#REF!&lt;&gt;0,#REF!&lt;&gt;0,#REF!&lt;&gt;0),"m3",0)))))))</f>
        <v>#REF!</v>
      </c>
    </row>
    <row r="2732" spans="2:10" s="1" customFormat="1" ht="12.75" x14ac:dyDescent="0.2">
      <c r="B2732" s="57"/>
      <c r="C2732" s="39"/>
      <c r="D2732" s="40"/>
      <c r="E2732" s="40"/>
      <c r="F2732" s="40"/>
      <c r="G2732" s="40"/>
      <c r="H2732" s="40">
        <f>IF(AND(F2732=0,G2732=0),D2732*E2732,IF(AND(E2732=0,G2732=0),D2732*F2732,IF(AND(E2732=0,F2732=0),D2732*G2732,IF(AND(E2732=0),D2732*F2732*G2732,IF(AND(F2732=0),D2732*E2732*G2732,IF(AND(G2732=0),D2732*E2732*F2732,D2732*E2732*F2732*G2732))))))</f>
        <v>0</v>
      </c>
      <c r="I2732" s="40"/>
      <c r="J2732" s="41" t="str">
        <f>IF(AND(E2732=0,F2732&lt;&gt;0,G2732&lt;&gt;0),"m2",IF(AND(F2732=0,E2732&lt;&gt;0,G2732&lt;&gt;0),"m2",IF(AND(G2732=0,E2732&lt;&gt;0,F2732&lt;&gt;0),"m2",IF(AND(F2732=0,G2732=0),"ml",IF(AND(E2732=0,G2732=0),"ml",IF(AND(E2732=0,F2732=0),"ml",IF(AND(E2732&lt;&gt;0,F2732&lt;&gt;0,G2732&lt;&gt;0),"m3",0)))))))</f>
        <v>ml</v>
      </c>
    </row>
    <row r="2733" spans="2:10" s="1" customFormat="1" ht="12.75" x14ac:dyDescent="0.2">
      <c r="B2733" s="57"/>
      <c r="C2733" s="39"/>
      <c r="D2733" s="40"/>
      <c r="E2733" s="40"/>
      <c r="F2733" s="40"/>
      <c r="G2733" s="40"/>
      <c r="H2733" s="40">
        <f>IF(AND(F2733=0,G2733=0),D2733*E2733,IF(AND(E2733=0,G2733=0),D2733*F2733,IF(AND(E2733=0,F2733=0),D2733*G2733,IF(AND(E2733=0),D2733*F2733*G2733,IF(AND(F2733=0),D2733*E2733*G2733,IF(AND(G2733=0),D2733*E2733*F2733,D2733*E2733*F2733*G2733))))))</f>
        <v>0</v>
      </c>
      <c r="I2733" s="40"/>
      <c r="J2733" s="41" t="str">
        <f>IF(AND(E2733=0,F2733&lt;&gt;0,G2733&lt;&gt;0),"m2",IF(AND(F2733=0,E2733&lt;&gt;0,G2733&lt;&gt;0),"m2",IF(AND(G2733=0,E2733&lt;&gt;0,F2733&lt;&gt;0),"m2",IF(AND(F2733=0,G2733=0),"ml",IF(AND(E2733=0,G2733=0),"ml",IF(AND(E2733=0,F2733=0),"ml",IF(AND(E2733&lt;&gt;0,F2733&lt;&gt;0,G2733&lt;&gt;0),"m3",0)))))))</f>
        <v>ml</v>
      </c>
    </row>
    <row r="2734" spans="2:10" s="1" customFormat="1" ht="12.75" x14ac:dyDescent="0.2">
      <c r="B2734" s="43" t="s">
        <v>241</v>
      </c>
      <c r="C2734" s="43" t="s">
        <v>239</v>
      </c>
      <c r="D2734" s="60"/>
      <c r="E2734" s="40"/>
      <c r="F2734" s="40"/>
      <c r="G2734" s="40"/>
      <c r="H2734" s="40"/>
      <c r="I2734" s="44">
        <f>SUM(H2735:H2735)</f>
        <v>0</v>
      </c>
      <c r="J2734" s="45" t="str">
        <f>+J2735</f>
        <v>ml</v>
      </c>
    </row>
    <row r="2735" spans="2:10" s="1" customFormat="1" ht="12.75" x14ac:dyDescent="0.2">
      <c r="B2735" s="57"/>
      <c r="C2735" s="39" t="s">
        <v>400</v>
      </c>
      <c r="D2735" s="40"/>
      <c r="E2735" s="40"/>
      <c r="F2735" s="40"/>
      <c r="G2735" s="40"/>
      <c r="H2735" s="40">
        <f>IF(AND(F2735=0,G2735=0),D2735*E2735,IF(AND(E2735=0,G2735=0),D2735*F2735,IF(AND(E2735=0,F2735=0),D2735*G2735,IF(AND(E2735=0),D2735*F2735*G2735,IF(AND(F2735=0),D2735*E2735*G2735,IF(AND(G2735=0),D2735*E2735*F2735,D2735*E2735*F2735*G2735))))))</f>
        <v>0</v>
      </c>
      <c r="I2735" s="40"/>
      <c r="J2735" s="41" t="str">
        <f>IF(AND(E2735=0,F2735&lt;&gt;0,G2735&lt;&gt;0),"m2",IF(AND(F2735=0,E2735&lt;&gt;0,G2735&lt;&gt;0),"m2",IF(AND(G2735=0,E2735&lt;&gt;0,F2735&lt;&gt;0),"m2",IF(AND(F2735=0,G2735=0),"ml",IF(AND(E2735=0,G2735=0),"ml",IF(AND(E2735=0,F2735=0),"ml",IF(AND(E2735&lt;&gt;0,F2735&lt;&gt;0,G2735&lt;&gt;0),"m3",0)))))))</f>
        <v>ml</v>
      </c>
    </row>
    <row r="2736" spans="2:10" s="1" customFormat="1" ht="12.75" x14ac:dyDescent="0.2">
      <c r="B2736" s="43" t="s">
        <v>243</v>
      </c>
      <c r="C2736" s="43" t="s">
        <v>242</v>
      </c>
      <c r="D2736" s="60"/>
      <c r="E2736" s="40"/>
      <c r="F2736" s="40"/>
      <c r="G2736" s="40"/>
      <c r="H2736" s="40"/>
      <c r="I2736" s="44">
        <f>SUM(H2737:H2737)</f>
        <v>0</v>
      </c>
      <c r="J2736" s="45" t="str">
        <f>+J2737</f>
        <v>ml</v>
      </c>
    </row>
    <row r="2737" spans="2:10" s="1" customFormat="1" ht="12.75" x14ac:dyDescent="0.2">
      <c r="B2737" s="57"/>
      <c r="C2737" s="39" t="s">
        <v>401</v>
      </c>
      <c r="D2737" s="40"/>
      <c r="E2737" s="40"/>
      <c r="F2737" s="40"/>
      <c r="G2737" s="40"/>
      <c r="H2737" s="40">
        <f>IF(AND(F2737=0,G2737=0),D2737*E2737,IF(AND(E2737=0,G2737=0),D2737*F2737,IF(AND(E2737=0,F2737=0),D2737*G2737,IF(AND(E2737=0),D2737*F2737*G2737,IF(AND(F2737=0),D2737*E2737*G2737,IF(AND(G2737=0),D2737*E2737*F2737,D2737*E2737*F2737*G2737))))))</f>
        <v>0</v>
      </c>
      <c r="I2737" s="40"/>
      <c r="J2737" s="41" t="str">
        <f>IF(AND(E2737=0,F2737&lt;&gt;0,G2737&lt;&gt;0),"m2",IF(AND(F2737=0,E2737&lt;&gt;0,G2737&lt;&gt;0),"m2",IF(AND(G2737=0,E2737&lt;&gt;0,F2737&lt;&gt;0),"m2",IF(AND(F2737=0,G2737=0),"ml",IF(AND(E2737=0,G2737=0),"ml",IF(AND(E2737=0,F2737=0),"ml",IF(AND(E2737&lt;&gt;0,F2737&lt;&gt;0,G2737&lt;&gt;0),"m3",0)))))))</f>
        <v>ml</v>
      </c>
    </row>
    <row r="2738" spans="2:10" s="1" customFormat="1" ht="12.75" x14ac:dyDescent="0.2">
      <c r="B2738" s="43" t="s">
        <v>244</v>
      </c>
      <c r="C2738" s="43" t="s">
        <v>245</v>
      </c>
      <c r="D2738" s="60"/>
      <c r="E2738" s="40"/>
      <c r="F2738" s="40"/>
      <c r="G2738" s="40"/>
      <c r="H2738" s="40"/>
      <c r="I2738" s="44">
        <f>SUM(H2739:H2741)</f>
        <v>1.75</v>
      </c>
      <c r="J2738" s="45" t="str">
        <f>+J2739</f>
        <v>ml</v>
      </c>
    </row>
    <row r="2739" spans="2:10" s="1" customFormat="1" ht="12.75" x14ac:dyDescent="0.2">
      <c r="B2739" s="57"/>
      <c r="C2739" s="39" t="s">
        <v>688</v>
      </c>
      <c r="D2739" s="40">
        <v>1</v>
      </c>
      <c r="E2739" s="40">
        <v>1.75</v>
      </c>
      <c r="F2739" s="40"/>
      <c r="G2739" s="40"/>
      <c r="H2739" s="40">
        <f t="shared" ref="H2739" si="191">IF(AND(F2739=0,G2739=0),D2739*E2739,IF(AND(E2739=0,G2739=0),D2739*F2739,IF(AND(E2739=0,F2739=0),D2739*G2739,IF(AND(E2739=0),D2739*F2739*G2739,IF(AND(F2739=0),D2739*E2739*G2739,IF(AND(G2739=0),D2739*E2739*F2739,D2739*E2739*F2739*G2739))))))</f>
        <v>1.75</v>
      </c>
      <c r="I2739" s="40"/>
      <c r="J2739" s="41" t="str">
        <f>IF(AND(E2739=0,F2739&lt;&gt;0,G2739&lt;&gt;0),"m2",IF(AND(F2739=0,E2739&lt;&gt;0,G2739&lt;&gt;0),"m2",IF(AND(G2739=0,E2739&lt;&gt;0,F2739&lt;&gt;0),"m2",IF(AND(F2739=0,G2739=0),"ml",IF(AND(E2739=0,G2739=0),"ml",IF(AND(E2739=0,F2739=0),"ml",IF(AND(E2739&lt;&gt;0,F2739&lt;&gt;0,G2739&lt;&gt;0),"m3",0)))))))</f>
        <v>ml</v>
      </c>
    </row>
    <row r="2740" spans="2:10" s="1" customFormat="1" ht="12.75" x14ac:dyDescent="0.2">
      <c r="B2740" s="57"/>
      <c r="C2740" s="39"/>
      <c r="D2740" s="40"/>
      <c r="E2740" s="40"/>
      <c r="F2740" s="40"/>
      <c r="G2740" s="40"/>
      <c r="H2740" s="40"/>
      <c r="I2740" s="40"/>
      <c r="J2740" s="41" t="str">
        <f>IF(AND(E2740=0,F2740&lt;&gt;0,G2740&lt;&gt;0),"m2",IF(AND(F2740=0,E2740&lt;&gt;0,G2740&lt;&gt;0),"m2",IF(AND(G2740=0,E2740&lt;&gt;0,F2740&lt;&gt;0),"m2",IF(AND(F2740=0,G2740=0),"ml",IF(AND(E2740=0,G2740=0),"ml",IF(AND(E2740=0,F2740=0),"ml",IF(AND(E2740&lt;&gt;0,F2740&lt;&gt;0,G2740&lt;&gt;0),"m3",0)))))))</f>
        <v>ml</v>
      </c>
    </row>
    <row r="2741" spans="2:10" s="1" customFormat="1" ht="12.75" x14ac:dyDescent="0.2">
      <c r="B2741" s="57"/>
      <c r="C2741" s="39"/>
      <c r="D2741" s="40"/>
      <c r="E2741" s="40"/>
      <c r="F2741" s="40"/>
      <c r="G2741" s="40"/>
      <c r="H2741" s="40"/>
      <c r="I2741" s="40"/>
      <c r="J2741" s="41" t="str">
        <f>IF(AND(E2741=0,F2741&lt;&gt;0,G2741&lt;&gt;0),"m2",IF(AND(F2741=0,E2741&lt;&gt;0,G2741&lt;&gt;0),"m2",IF(AND(G2741=0,E2741&lt;&gt;0,F2741&lt;&gt;0),"m2",IF(AND(F2741=0,G2741=0),"ml",IF(AND(E2741=0,G2741=0),"ml",IF(AND(E2741=0,F2741=0),"ml",IF(AND(E2741&lt;&gt;0,F2741&lt;&gt;0,G2741&lt;&gt;0),"m3",0)))))))</f>
        <v>ml</v>
      </c>
    </row>
    <row r="2742" spans="2:10" s="1" customFormat="1" ht="12.75" x14ac:dyDescent="0.2">
      <c r="B2742" s="43" t="s">
        <v>248</v>
      </c>
      <c r="C2742" s="43" t="s">
        <v>246</v>
      </c>
      <c r="D2742" s="60"/>
      <c r="E2742" s="40"/>
      <c r="F2742" s="40"/>
      <c r="G2742" s="40"/>
      <c r="H2742" s="40"/>
      <c r="I2742" s="44">
        <f>SUM(H2743:H2743)</f>
        <v>0</v>
      </c>
      <c r="J2742" s="45" t="str">
        <f>+J2743</f>
        <v>ml</v>
      </c>
    </row>
    <row r="2743" spans="2:10" s="1" customFormat="1" ht="12.75" x14ac:dyDescent="0.2">
      <c r="B2743" s="57"/>
      <c r="C2743" s="39" t="s">
        <v>238</v>
      </c>
      <c r="D2743" s="40"/>
      <c r="E2743" s="40"/>
      <c r="F2743" s="40"/>
      <c r="G2743" s="40"/>
      <c r="H2743" s="40">
        <f>IF(AND(F2743=0,G2743=0),D2743*E2743,IF(AND(E2743=0,G2743=0),D2743*F2743,IF(AND(E2743=0,F2743=0),D2743*G2743,IF(AND(E2743=0),D2743*F2743*G2743,IF(AND(F2743=0),D2743*E2743*G2743,IF(AND(G2743=0),D2743*E2743*F2743,D2743*E2743*F2743*G2743))))))</f>
        <v>0</v>
      </c>
      <c r="I2743" s="40"/>
      <c r="J2743" s="41" t="str">
        <f>IF(AND(E2743=0,F2743&lt;&gt;0,G2743&lt;&gt;0),"m2",IF(AND(F2743=0,E2743&lt;&gt;0,G2743&lt;&gt;0),"m2",IF(AND(G2743=0,E2743&lt;&gt;0,F2743&lt;&gt;0),"m2",IF(AND(F2743=0,G2743=0),"ml",IF(AND(E2743=0,G2743=0),"ml",IF(AND(E2743=0,F2743=0),"ml",IF(AND(E2743&lt;&gt;0,F2743&lt;&gt;0,G2743&lt;&gt;0),"m3",0)))))))</f>
        <v>ml</v>
      </c>
    </row>
    <row r="2744" spans="2:10" s="1" customFormat="1" ht="12.75" x14ac:dyDescent="0.2">
      <c r="B2744" s="43" t="s">
        <v>249</v>
      </c>
      <c r="C2744" s="43" t="s">
        <v>247</v>
      </c>
      <c r="D2744" s="60"/>
      <c r="E2744" s="40"/>
      <c r="F2744" s="40"/>
      <c r="G2744" s="40"/>
      <c r="H2744" s="40"/>
      <c r="I2744" s="44">
        <f>SUM(H2745:H2745)</f>
        <v>0</v>
      </c>
      <c r="J2744" s="45" t="str">
        <f>+J2745</f>
        <v>ml</v>
      </c>
    </row>
    <row r="2745" spans="2:10" s="1" customFormat="1" ht="12.75" x14ac:dyDescent="0.2">
      <c r="B2745" s="57"/>
      <c r="C2745" s="39" t="s">
        <v>396</v>
      </c>
      <c r="D2745" s="40"/>
      <c r="E2745" s="40"/>
      <c r="F2745" s="40"/>
      <c r="G2745" s="40"/>
      <c r="H2745" s="40">
        <f>IF(AND(F2745=0,G2745=0),D2745*E2745,IF(AND(E2745=0,G2745=0),D2745*F2745,IF(AND(E2745=0,F2745=0),D2745*G2745,IF(AND(E2745=0),D2745*F2745*G2745,IF(AND(F2745=0),D2745*E2745*G2745,IF(AND(G2745=0),D2745*E2745*F2745,D2745*E2745*F2745*G2745))))))</f>
        <v>0</v>
      </c>
      <c r="I2745" s="40"/>
      <c r="J2745" s="41" t="str">
        <f>IF(AND(E2745=0,F2745&lt;&gt;0,G2745&lt;&gt;0),"m2",IF(AND(F2745=0,E2745&lt;&gt;0,G2745&lt;&gt;0),"m2",IF(AND(G2745=0,E2745&lt;&gt;0,F2745&lt;&gt;0),"m2",IF(AND(F2745=0,G2745=0),"ml",IF(AND(E2745=0,G2745=0),"ml",IF(AND(E2745=0,F2745=0),"ml",IF(AND(E2745&lt;&gt;0,F2745&lt;&gt;0,G2745&lt;&gt;0),"m3",0)))))))</f>
        <v>ml</v>
      </c>
    </row>
    <row r="2746" spans="2:10" s="1" customFormat="1" ht="12.75" x14ac:dyDescent="0.2">
      <c r="B2746" s="43" t="s">
        <v>256</v>
      </c>
      <c r="C2746" s="43" t="s">
        <v>226</v>
      </c>
      <c r="D2746" s="60"/>
      <c r="E2746" s="40"/>
      <c r="F2746" s="40"/>
      <c r="G2746" s="40"/>
      <c r="H2746" s="40"/>
      <c r="I2746" s="44">
        <f>SUM(H2747:H2748)</f>
        <v>0</v>
      </c>
      <c r="J2746" s="45" t="str">
        <f>+J2748</f>
        <v>ml</v>
      </c>
    </row>
    <row r="2747" spans="2:10" s="1" customFormat="1" ht="12.75" x14ac:dyDescent="0.2">
      <c r="B2747" s="43"/>
      <c r="C2747" s="39" t="s">
        <v>371</v>
      </c>
      <c r="D2747" s="40"/>
      <c r="E2747" s="40"/>
      <c r="F2747" s="40"/>
      <c r="G2747" s="40"/>
      <c r="H2747" s="40">
        <f>IF(AND(F2747=0,G2747=0),D2747*E2747,IF(AND(E2747=0,G2747=0),D2747*F2747,IF(AND(E2747=0,F2747=0),D2747*G2747,IF(AND(E2747=0),D2747*F2747*G2747,IF(AND(F2747=0),D2747*E2747*G2747,IF(AND(G2747=0),D2747*E2747*F2747,D2747*E2747*F2747*G2747))))))</f>
        <v>0</v>
      </c>
      <c r="I2747" s="40"/>
      <c r="J2747" s="41" t="str">
        <f>IF(AND(E2747=0,F2747&lt;&gt;0,G2747&lt;&gt;0),"m2",IF(AND(F2747=0,E2747&lt;&gt;0,G2747&lt;&gt;0),"m2",IF(AND(G2747=0,E2747&lt;&gt;0,F2747&lt;&gt;0),"m2",IF(AND(F2747=0,G2747=0),"ml",IF(AND(E2747=0,G2747=0),"ml",IF(AND(E2747=0,F2747=0),"ml",IF(AND(E2747&lt;&gt;0,F2747&lt;&gt;0,G2747&lt;&gt;0),"m3",0)))))))</f>
        <v>ml</v>
      </c>
    </row>
    <row r="2748" spans="2:10" s="1" customFormat="1" ht="12.75" x14ac:dyDescent="0.2">
      <c r="B2748" s="57"/>
      <c r="C2748" s="39" t="s">
        <v>371</v>
      </c>
      <c r="D2748" s="40"/>
      <c r="E2748" s="40"/>
      <c r="F2748" s="40"/>
      <c r="G2748" s="40"/>
      <c r="H2748" s="40">
        <f>IF(AND(F2748=0,G2748=0),D2748*E2748,IF(AND(E2748=0,G2748=0),D2748*F2748,IF(AND(E2748=0,F2748=0),D2748*G2748,IF(AND(E2748=0),D2748*F2748*G2748,IF(AND(F2748=0),D2748*E2748*G2748,IF(AND(G2748=0),D2748*E2748*F2748,D2748*E2748*F2748*G2748))))))</f>
        <v>0</v>
      </c>
      <c r="I2748" s="40"/>
      <c r="J2748" s="41" t="str">
        <f>IF(AND(E2748=0,F2748&lt;&gt;0,G2748&lt;&gt;0),"m2",IF(AND(F2748=0,E2748&lt;&gt;0,G2748&lt;&gt;0),"m2",IF(AND(G2748=0,E2748&lt;&gt;0,F2748&lt;&gt;0),"m2",IF(AND(F2748=0,G2748=0),"ml",IF(AND(E2748=0,G2748=0),"ml",IF(AND(E2748=0,F2748=0),"ml",IF(AND(E2748&lt;&gt;0,F2748&lt;&gt;0,G2748&lt;&gt;0),"m3",0)))))))</f>
        <v>ml</v>
      </c>
    </row>
    <row r="2749" spans="2:10" s="1" customFormat="1" ht="12.75" x14ac:dyDescent="0.2">
      <c r="B2749" s="43" t="s">
        <v>596</v>
      </c>
      <c r="C2749" s="43" t="s">
        <v>472</v>
      </c>
      <c r="D2749" s="60"/>
      <c r="E2749" s="40"/>
      <c r="F2749" s="40"/>
      <c r="G2749" s="40"/>
      <c r="H2749" s="40"/>
      <c r="I2749" s="44">
        <f>+SUM(H2750:H2750)</f>
        <v>13.7</v>
      </c>
      <c r="J2749" s="45" t="s">
        <v>345</v>
      </c>
    </row>
    <row r="2750" spans="2:10" s="1" customFormat="1" ht="12.75" x14ac:dyDescent="0.2">
      <c r="B2750" s="43"/>
      <c r="C2750" s="39" t="s">
        <v>514</v>
      </c>
      <c r="D2750" s="60">
        <v>1</v>
      </c>
      <c r="E2750" s="40">
        <f>7.9+5.5+0.2+0.1</f>
        <v>13.7</v>
      </c>
      <c r="F2750" s="40"/>
      <c r="G2750" s="40"/>
      <c r="H2750" s="40">
        <f>IF(AND(F2750=0,G2750=0),D2750*E2750,IF(AND(E2750=0,G2750=0),D2750*F2750,IF(AND(E2750=0,F2750=0),D2750*G2750,IF(AND(E2750=0),D2750*F2750*G2750,IF(AND(F2750=0),D2750*E2750*G2750,IF(AND(G2750=0),D2750*E2750*F2750,D2750*E2750*F2750*G2750))))))</f>
        <v>13.7</v>
      </c>
      <c r="I2750" s="44"/>
      <c r="J2750" s="45"/>
    </row>
    <row r="2751" spans="2:10" s="1" customFormat="1" ht="12.75" x14ac:dyDescent="0.2">
      <c r="B2751" s="43"/>
      <c r="C2751" s="39"/>
      <c r="D2751" s="60"/>
      <c r="E2751" s="40"/>
      <c r="F2751" s="40"/>
      <c r="G2751" s="40"/>
      <c r="H2751" s="40"/>
      <c r="I2751" s="44"/>
      <c r="J2751" s="45"/>
    </row>
    <row r="2752" spans="2:10" s="1" customFormat="1" ht="12.75" x14ac:dyDescent="0.2">
      <c r="B2752" s="43" t="s">
        <v>257</v>
      </c>
      <c r="C2752" s="43" t="s">
        <v>228</v>
      </c>
      <c r="D2752" s="60"/>
      <c r="E2752" s="40"/>
      <c r="F2752" s="40"/>
      <c r="G2752" s="40"/>
      <c r="H2752" s="40"/>
      <c r="I2752" s="44">
        <f>SUM(H2753:H2753)</f>
        <v>0</v>
      </c>
      <c r="J2752" s="45" t="str">
        <f>+J2753</f>
        <v>ml</v>
      </c>
    </row>
    <row r="2753" spans="2:10" s="1" customFormat="1" ht="12.75" x14ac:dyDescent="0.2">
      <c r="B2753" s="57"/>
      <c r="C2753" s="39" t="s">
        <v>399</v>
      </c>
      <c r="D2753" s="40"/>
      <c r="E2753" s="40"/>
      <c r="F2753" s="40"/>
      <c r="G2753" s="40"/>
      <c r="H2753" s="40">
        <f>IF(AND(F2753=0,G2753=0),D2753*E2753,IF(AND(E2753=0,G2753=0),D2753*F2753,IF(AND(E2753=0,F2753=0),D2753*G2753,IF(AND(E2753=0),D2753*F2753*G2753,IF(AND(F2753=0),D2753*E2753*G2753,IF(AND(G2753=0),D2753*E2753*F2753,D2753*E2753*F2753*G2753))))))</f>
        <v>0</v>
      </c>
      <c r="I2753" s="40"/>
      <c r="J2753" s="41" t="str">
        <f>IF(AND(E2753=0,F2753&lt;&gt;0,G2753&lt;&gt;0),"m2",IF(AND(F2753=0,E2753&lt;&gt;0,G2753&lt;&gt;0),"m2",IF(AND(G2753=0,E2753&lt;&gt;0,F2753&lt;&gt;0),"m2",IF(AND(F2753=0,G2753=0),"ml",IF(AND(E2753=0,G2753=0),"ml",IF(AND(E2753=0,F2753=0),"ml",IF(AND(E2753&lt;&gt;0,F2753&lt;&gt;0,G2753&lt;&gt;0),"m3",0)))))))</f>
        <v>ml</v>
      </c>
    </row>
    <row r="2754" spans="2:10" s="1" customFormat="1" ht="12.75" x14ac:dyDescent="0.2">
      <c r="B2754" s="43" t="s">
        <v>258</v>
      </c>
      <c r="C2754" s="43" t="s">
        <v>250</v>
      </c>
      <c r="D2754" s="60"/>
      <c r="E2754" s="40"/>
      <c r="F2754" s="40"/>
      <c r="G2754" s="40"/>
      <c r="H2754" s="40"/>
      <c r="I2754" s="44">
        <f>SUM(H2755:H2755)</f>
        <v>0</v>
      </c>
      <c r="J2754" s="45" t="str">
        <f>+J2755</f>
        <v>ml</v>
      </c>
    </row>
    <row r="2755" spans="2:10" s="1" customFormat="1" ht="12.75" x14ac:dyDescent="0.2">
      <c r="B2755" s="57"/>
      <c r="C2755" s="39" t="s">
        <v>388</v>
      </c>
      <c r="D2755" s="40"/>
      <c r="E2755" s="40"/>
      <c r="F2755" s="40"/>
      <c r="G2755" s="40"/>
      <c r="H2755" s="40">
        <f>IF(AND(F2755=0,G2755=0),D2755*E2755,IF(AND(E2755=0,G2755=0),D2755*F2755,IF(AND(E2755=0,F2755=0),D2755*G2755,IF(AND(E2755=0),D2755*F2755*G2755,IF(AND(F2755=0),D2755*E2755*G2755,IF(AND(G2755=0),D2755*E2755*F2755,D2755*E2755*F2755*G2755))))))</f>
        <v>0</v>
      </c>
      <c r="I2755" s="40"/>
      <c r="J2755" s="41" t="str">
        <f>IF(AND(E2755=0,F2755&lt;&gt;0,G2755&lt;&gt;0),"m2",IF(AND(F2755=0,E2755&lt;&gt;0,G2755&lt;&gt;0),"m2",IF(AND(G2755=0,E2755&lt;&gt;0,F2755&lt;&gt;0),"m2",IF(AND(F2755=0,G2755=0),"ml",IF(AND(E2755=0,G2755=0),"ml",IF(AND(E2755=0,F2755=0),"ml",IF(AND(E2755&lt;&gt;0,F2755&lt;&gt;0,G2755&lt;&gt;0),"m3",0)))))))</f>
        <v>ml</v>
      </c>
    </row>
    <row r="2756" spans="2:10" s="1" customFormat="1" ht="12.75" x14ac:dyDescent="0.2">
      <c r="B2756" s="43" t="s">
        <v>259</v>
      </c>
      <c r="C2756" s="43" t="s">
        <v>251</v>
      </c>
      <c r="D2756" s="60"/>
      <c r="E2756" s="40"/>
      <c r="F2756" s="40"/>
      <c r="G2756" s="40"/>
      <c r="H2756" s="40"/>
      <c r="I2756" s="44">
        <f>SUM(H2757:H2757)</f>
        <v>0</v>
      </c>
      <c r="J2756" s="45" t="str">
        <f>+J2757</f>
        <v>ml</v>
      </c>
    </row>
    <row r="2757" spans="2:10" s="1" customFormat="1" ht="12.75" x14ac:dyDescent="0.2">
      <c r="B2757" s="57"/>
      <c r="C2757" s="39" t="s">
        <v>389</v>
      </c>
      <c r="D2757" s="40"/>
      <c r="E2757" s="40"/>
      <c r="F2757" s="40"/>
      <c r="G2757" s="40"/>
      <c r="H2757" s="40">
        <f>IF(AND(F2757=0,G2757=0),D2757*E2757,IF(AND(E2757=0,G2757=0),D2757*F2757,IF(AND(E2757=0,F2757=0),D2757*G2757,IF(AND(E2757=0),D2757*F2757*G2757,IF(AND(F2757=0),D2757*E2757*G2757,IF(AND(G2757=0),D2757*E2757*F2757,D2757*E2757*F2757*G2757))))))</f>
        <v>0</v>
      </c>
      <c r="I2757" s="40"/>
      <c r="J2757" s="41" t="str">
        <f>IF(AND(E2757=0,F2757&lt;&gt;0,G2757&lt;&gt;0),"m2",IF(AND(F2757=0,E2757&lt;&gt;0,G2757&lt;&gt;0),"m2",IF(AND(G2757=0,E2757&lt;&gt;0,F2757&lt;&gt;0),"m2",IF(AND(F2757=0,G2757=0),"ml",IF(AND(E2757=0,G2757=0),"ml",IF(AND(E2757=0,F2757=0),"ml",IF(AND(E2757&lt;&gt;0,F2757&lt;&gt;0,G2757&lt;&gt;0),"m3",0)))))))</f>
        <v>ml</v>
      </c>
    </row>
    <row r="2758" spans="2:10" s="1" customFormat="1" ht="12.75" x14ac:dyDescent="0.2">
      <c r="B2758" s="43" t="s">
        <v>260</v>
      </c>
      <c r="C2758" s="43" t="s">
        <v>252</v>
      </c>
      <c r="D2758" s="60"/>
      <c r="E2758" s="40"/>
      <c r="F2758" s="40"/>
      <c r="G2758" s="40"/>
      <c r="H2758" s="40"/>
      <c r="I2758" s="44">
        <f>SUM(H2759:H2759)</f>
        <v>0</v>
      </c>
      <c r="J2758" s="45" t="str">
        <f>+J2759</f>
        <v>ml</v>
      </c>
    </row>
    <row r="2759" spans="2:10" s="1" customFormat="1" ht="12.75" x14ac:dyDescent="0.2">
      <c r="B2759" s="57"/>
      <c r="C2759" s="39" t="s">
        <v>397</v>
      </c>
      <c r="D2759" s="40"/>
      <c r="E2759" s="40"/>
      <c r="F2759" s="40"/>
      <c r="G2759" s="40"/>
      <c r="H2759" s="40">
        <f>IF(AND(F2759=0,G2759=0),D2759*E2759,IF(AND(E2759=0,G2759=0),D2759*F2759,IF(AND(E2759=0,F2759=0),D2759*G2759,IF(AND(E2759=0),D2759*F2759*G2759,IF(AND(F2759=0),D2759*E2759*G2759,IF(AND(G2759=0),D2759*E2759*F2759,D2759*E2759*F2759*G2759))))))</f>
        <v>0</v>
      </c>
      <c r="I2759" s="40"/>
      <c r="J2759" s="41" t="str">
        <f>IF(AND(E2759=0,F2759&lt;&gt;0,G2759&lt;&gt;0),"m2",IF(AND(F2759=0,E2759&lt;&gt;0,G2759&lt;&gt;0),"m2",IF(AND(G2759=0,E2759&lt;&gt;0,F2759&lt;&gt;0),"m2",IF(AND(F2759=0,G2759=0),"ml",IF(AND(E2759=0,G2759=0),"ml",IF(AND(E2759=0,F2759=0),"ml",IF(AND(E2759&lt;&gt;0,F2759&lt;&gt;0,G2759&lt;&gt;0),"m3",0)))))))</f>
        <v>ml</v>
      </c>
    </row>
    <row r="2760" spans="2:10" s="1" customFormat="1" ht="12.75" x14ac:dyDescent="0.2">
      <c r="B2760" s="43" t="s">
        <v>261</v>
      </c>
      <c r="C2760" s="43" t="s">
        <v>253</v>
      </c>
      <c r="D2760" s="60"/>
      <c r="E2760" s="40"/>
      <c r="F2760" s="40"/>
      <c r="G2760" s="40"/>
      <c r="H2760" s="40"/>
      <c r="I2760" s="44">
        <f>SUM(H2761:H2761)</f>
        <v>0</v>
      </c>
      <c r="J2760" s="45" t="str">
        <f>+J2761</f>
        <v>und</v>
      </c>
    </row>
    <row r="2761" spans="2:10" s="1" customFormat="1" ht="12.75" x14ac:dyDescent="0.2">
      <c r="B2761" s="43"/>
      <c r="C2761" s="39" t="s">
        <v>402</v>
      </c>
      <c r="D2761" s="40"/>
      <c r="E2761" s="40"/>
      <c r="F2761" s="40"/>
      <c r="G2761" s="40"/>
      <c r="H2761" s="40">
        <f>+D2761</f>
        <v>0</v>
      </c>
      <c r="I2761" s="40"/>
      <c r="J2761" s="41" t="s">
        <v>13</v>
      </c>
    </row>
    <row r="2762" spans="2:10" s="1" customFormat="1" ht="12.75" x14ac:dyDescent="0.2">
      <c r="B2762" s="43" t="s">
        <v>262</v>
      </c>
      <c r="C2762" s="43" t="s">
        <v>254</v>
      </c>
      <c r="D2762" s="60"/>
      <c r="E2762" s="40"/>
      <c r="F2762" s="40"/>
      <c r="G2762" s="40"/>
      <c r="H2762" s="40"/>
      <c r="I2762" s="44">
        <f>SUM(H2763:H2763)</f>
        <v>0</v>
      </c>
      <c r="J2762" s="45" t="str">
        <f>+J2763</f>
        <v>und</v>
      </c>
    </row>
    <row r="2763" spans="2:10" s="1" customFormat="1" ht="12.75" x14ac:dyDescent="0.2">
      <c r="B2763" s="57"/>
      <c r="C2763" s="39" t="s">
        <v>238</v>
      </c>
      <c r="D2763" s="40"/>
      <c r="E2763" s="40"/>
      <c r="F2763" s="40"/>
      <c r="G2763" s="40"/>
      <c r="H2763" s="40">
        <f>+D2763</f>
        <v>0</v>
      </c>
      <c r="I2763" s="40"/>
      <c r="J2763" s="41" t="s">
        <v>13</v>
      </c>
    </row>
    <row r="2764" spans="2:10" s="1" customFormat="1" ht="12.75" x14ac:dyDescent="0.2">
      <c r="B2764" s="43" t="s">
        <v>350</v>
      </c>
      <c r="C2764" s="43" t="s">
        <v>255</v>
      </c>
      <c r="D2764" s="60"/>
      <c r="E2764" s="40"/>
      <c r="F2764" s="40"/>
      <c r="G2764" s="40"/>
      <c r="H2764" s="40"/>
      <c r="I2764" s="44">
        <f>SUM(H2765:H2765)</f>
        <v>0</v>
      </c>
      <c r="J2764" s="45" t="str">
        <f>+J2765</f>
        <v>und</v>
      </c>
    </row>
    <row r="2765" spans="2:10" s="1" customFormat="1" ht="12.75" x14ac:dyDescent="0.2">
      <c r="B2765" s="57"/>
      <c r="C2765" s="39" t="s">
        <v>395</v>
      </c>
      <c r="D2765" s="40"/>
      <c r="E2765" s="40"/>
      <c r="F2765" s="40"/>
      <c r="G2765" s="40"/>
      <c r="H2765" s="40">
        <f>+D2765</f>
        <v>0</v>
      </c>
      <c r="I2765" s="40"/>
      <c r="J2765" s="41" t="s">
        <v>13</v>
      </c>
    </row>
    <row r="2766" spans="2:10" s="1" customFormat="1" ht="12.75" x14ac:dyDescent="0.2">
      <c r="B2766" s="46"/>
      <c r="C2766" s="59"/>
      <c r="D2766" s="60"/>
      <c r="E2766" s="40"/>
      <c r="F2766" s="40"/>
      <c r="G2766" s="40"/>
      <c r="H2766" s="40"/>
      <c r="I2766" s="40"/>
      <c r="J2766" s="41"/>
    </row>
    <row r="2767" spans="2:10" s="1" customFormat="1" ht="12.75" x14ac:dyDescent="0.2">
      <c r="B2767" s="107" t="s">
        <v>734</v>
      </c>
      <c r="C2767" s="343" t="s">
        <v>736</v>
      </c>
      <c r="D2767" s="60"/>
      <c r="E2767" s="40"/>
      <c r="F2767" s="40"/>
      <c r="G2767" s="40"/>
      <c r="H2767" s="40"/>
      <c r="I2767" s="40">
        <f>+SUM(H2768:H2769)</f>
        <v>1.9249999999999998</v>
      </c>
      <c r="J2767" s="41" t="s">
        <v>45</v>
      </c>
    </row>
    <row r="2768" spans="2:10" s="1" customFormat="1" ht="12.75" x14ac:dyDescent="0.2">
      <c r="B2768" s="46"/>
      <c r="C2768" s="39" t="s">
        <v>733</v>
      </c>
      <c r="D2768" s="40">
        <v>2</v>
      </c>
      <c r="E2768" s="40">
        <v>1.75</v>
      </c>
      <c r="F2768" s="40"/>
      <c r="G2768" s="40">
        <f>0.3+0.15</f>
        <v>0.44999999999999996</v>
      </c>
      <c r="H2768" s="40">
        <f t="shared" ref="H2768:H2769" si="192">IF(AND(F2768=0,G2768=0),D2768*E2768,IF(AND(E2768=0,G2768=0),D2768*F2768,IF(AND(E2768=0,F2768=0),D2768*G2768,IF(AND(E2768=0),D2768*F2768*G2768,IF(AND(F2768=0),D2768*E2768*G2768,IF(AND(G2768=0),D2768*E2768*F2768,D2768*E2768*F2768*G2768))))))</f>
        <v>1.5749999999999997</v>
      </c>
      <c r="I2768" s="40"/>
      <c r="J2768" s="41"/>
    </row>
    <row r="2769" spans="2:10" s="1" customFormat="1" ht="12.75" x14ac:dyDescent="0.2">
      <c r="B2769" s="46"/>
      <c r="C2769" s="59"/>
      <c r="D2769" s="60">
        <v>1</v>
      </c>
      <c r="E2769" s="40">
        <v>1.75</v>
      </c>
      <c r="F2769" s="40"/>
      <c r="G2769" s="40">
        <v>0.2</v>
      </c>
      <c r="H2769" s="40">
        <f t="shared" si="192"/>
        <v>0.35000000000000003</v>
      </c>
      <c r="I2769" s="40"/>
      <c r="J2769" s="41"/>
    </row>
    <row r="2770" spans="2:10" s="1" customFormat="1" ht="12.75" x14ac:dyDescent="0.2">
      <c r="B2770" s="46"/>
      <c r="C2770" s="59"/>
      <c r="D2770" s="60"/>
      <c r="E2770" s="40"/>
      <c r="F2770" s="40"/>
      <c r="G2770" s="40"/>
      <c r="H2770" s="40"/>
      <c r="I2770" s="40"/>
      <c r="J2770" s="41"/>
    </row>
    <row r="2771" spans="2:10" s="1" customFormat="1" ht="12.75" x14ac:dyDescent="0.2">
      <c r="B2771" s="57"/>
      <c r="C2771" s="39"/>
      <c r="D2771" s="60"/>
      <c r="E2771" s="40"/>
      <c r="F2771" s="40"/>
      <c r="G2771" s="40"/>
      <c r="H2771" s="40"/>
      <c r="I2771" s="40"/>
      <c r="J2771" s="41"/>
    </row>
    <row r="2772" spans="2:10" s="1" customFormat="1" ht="12.75" x14ac:dyDescent="0.2">
      <c r="B2772" s="57"/>
      <c r="C2772" s="39"/>
      <c r="D2772" s="60"/>
      <c r="E2772" s="40"/>
      <c r="F2772" s="40"/>
      <c r="G2772" s="40"/>
      <c r="H2772" s="40"/>
      <c r="I2772" s="40"/>
      <c r="J2772" s="41"/>
    </row>
    <row r="2773" spans="2:10" s="1" customFormat="1" ht="12.75" x14ac:dyDescent="0.2">
      <c r="B2773" s="57" t="s">
        <v>18</v>
      </c>
      <c r="C2773" s="58" t="s">
        <v>223</v>
      </c>
      <c r="D2773" s="60"/>
      <c r="E2773" s="40"/>
      <c r="F2773" s="40"/>
      <c r="G2773" s="40"/>
      <c r="H2773" s="40"/>
      <c r="I2773" s="40"/>
      <c r="J2773" s="41"/>
    </row>
    <row r="2774" spans="2:10" s="1" customFormat="1" ht="12.75" x14ac:dyDescent="0.2">
      <c r="B2774" s="43" t="s">
        <v>19</v>
      </c>
      <c r="C2774" s="43" t="s">
        <v>265</v>
      </c>
      <c r="D2774" s="60"/>
      <c r="E2774" s="40"/>
      <c r="F2774" s="40"/>
      <c r="G2774" s="40"/>
      <c r="H2774" s="40"/>
      <c r="I2774" s="44">
        <f>SUM(H2775:H2775)</f>
        <v>2</v>
      </c>
      <c r="J2774" s="45" t="s">
        <v>13</v>
      </c>
    </row>
    <row r="2775" spans="2:10" s="1" customFormat="1" ht="12.75" x14ac:dyDescent="0.2">
      <c r="B2775" s="46"/>
      <c r="C2775" s="39" t="s">
        <v>231</v>
      </c>
      <c r="D2775" s="40">
        <v>2</v>
      </c>
      <c r="E2775" s="40"/>
      <c r="F2775" s="40"/>
      <c r="G2775" s="40"/>
      <c r="H2775" s="40">
        <f>+D2775</f>
        <v>2</v>
      </c>
      <c r="I2775" s="40"/>
      <c r="J2775" s="41" t="s">
        <v>13</v>
      </c>
    </row>
    <row r="2776" spans="2:10" s="1" customFormat="1" ht="12.75" x14ac:dyDescent="0.2">
      <c r="B2776" s="43" t="s">
        <v>20</v>
      </c>
      <c r="C2776" s="43" t="s">
        <v>272</v>
      </c>
      <c r="D2776" s="60"/>
      <c r="E2776" s="40"/>
      <c r="F2776" s="40"/>
      <c r="G2776" s="40"/>
      <c r="H2776" s="40"/>
      <c r="I2776" s="44">
        <f>SUM(H2777)</f>
        <v>6</v>
      </c>
      <c r="J2776" s="45" t="s">
        <v>13</v>
      </c>
    </row>
    <row r="2777" spans="2:10" s="1" customFormat="1" ht="12.75" x14ac:dyDescent="0.2">
      <c r="B2777" s="43"/>
      <c r="C2777" s="39" t="s">
        <v>467</v>
      </c>
      <c r="D2777" s="60">
        <f>2*ROUNDUP(E2704/1,0)</f>
        <v>6</v>
      </c>
      <c r="E2777" s="40"/>
      <c r="F2777" s="40"/>
      <c r="G2777" s="40"/>
      <c r="H2777" s="40">
        <f>+D2777</f>
        <v>6</v>
      </c>
      <c r="I2777" s="44"/>
      <c r="J2777" s="45"/>
    </row>
    <row r="2778" spans="2:10" s="1" customFormat="1" ht="12.75" x14ac:dyDescent="0.2">
      <c r="B2778" s="46"/>
      <c r="C2778" s="39"/>
      <c r="D2778" s="40"/>
      <c r="E2778" s="40"/>
      <c r="F2778" s="40"/>
      <c r="G2778" s="40"/>
      <c r="H2778" s="40"/>
      <c r="I2778" s="40"/>
      <c r="J2778" s="41" t="s">
        <v>13</v>
      </c>
    </row>
    <row r="2779" spans="2:10" s="1" customFormat="1" ht="12.75" x14ac:dyDescent="0.2">
      <c r="B2779" s="43" t="s">
        <v>21</v>
      </c>
      <c r="C2779" s="43" t="s">
        <v>266</v>
      </c>
      <c r="D2779" s="60"/>
      <c r="E2779" s="40"/>
      <c r="F2779" s="40"/>
      <c r="G2779" s="40"/>
      <c r="H2779" s="40"/>
      <c r="I2779" s="44">
        <f>SUM(H2780:H2782)</f>
        <v>0</v>
      </c>
      <c r="J2779" s="45" t="str">
        <f>+J2780</f>
        <v>und</v>
      </c>
    </row>
    <row r="2780" spans="2:10" s="1" customFormat="1" ht="12.75" x14ac:dyDescent="0.2">
      <c r="B2780" s="43"/>
      <c r="C2780" s="39" t="s">
        <v>71</v>
      </c>
      <c r="D2780" s="40"/>
      <c r="E2780" s="40"/>
      <c r="F2780" s="40"/>
      <c r="G2780" s="40"/>
      <c r="H2780" s="40">
        <f>+D2780</f>
        <v>0</v>
      </c>
      <c r="I2780" s="40"/>
      <c r="J2780" s="41" t="s">
        <v>13</v>
      </c>
    </row>
    <row r="2781" spans="2:10" s="1" customFormat="1" ht="12.75" x14ac:dyDescent="0.2">
      <c r="B2781" s="43"/>
      <c r="C2781" s="39" t="s">
        <v>72</v>
      </c>
      <c r="D2781" s="40"/>
      <c r="E2781" s="40"/>
      <c r="F2781" s="40"/>
      <c r="G2781" s="40"/>
      <c r="H2781" s="40">
        <f>+D2781</f>
        <v>0</v>
      </c>
      <c r="I2781" s="40"/>
      <c r="J2781" s="41" t="s">
        <v>13</v>
      </c>
    </row>
    <row r="2782" spans="2:10" s="1" customFormat="1" ht="12.75" x14ac:dyDescent="0.2">
      <c r="B2782" s="43"/>
      <c r="C2782" s="39" t="s">
        <v>73</v>
      </c>
      <c r="D2782" s="40"/>
      <c r="E2782" s="40"/>
      <c r="F2782" s="40"/>
      <c r="G2782" s="40"/>
      <c r="H2782" s="40">
        <f>+D2782</f>
        <v>0</v>
      </c>
      <c r="I2782" s="40"/>
      <c r="J2782" s="41" t="s">
        <v>13</v>
      </c>
    </row>
    <row r="2783" spans="2:10" s="1" customFormat="1" ht="12.75" x14ac:dyDescent="0.2">
      <c r="B2783" s="43" t="s">
        <v>273</v>
      </c>
      <c r="C2783" s="43" t="s">
        <v>354</v>
      </c>
      <c r="D2783" s="60"/>
      <c r="E2783" s="40"/>
      <c r="F2783" s="40"/>
      <c r="G2783" s="40"/>
      <c r="H2783" s="40"/>
      <c r="I2783" s="44">
        <f>SUM(H2784:H2784)</f>
        <v>0</v>
      </c>
      <c r="J2783" s="45" t="str">
        <f>+J2784</f>
        <v>und</v>
      </c>
    </row>
    <row r="2784" spans="2:10" s="1" customFormat="1" ht="12.75" x14ac:dyDescent="0.2">
      <c r="B2784" s="43"/>
      <c r="C2784" s="39" t="s">
        <v>375</v>
      </c>
      <c r="D2784" s="40"/>
      <c r="E2784" s="40"/>
      <c r="F2784" s="40"/>
      <c r="G2784" s="40"/>
      <c r="H2784" s="40">
        <f>IF(AND(F2784=0,G2784=0),D2784*E2784,IF(AND(E2784=0,G2784=0),D2784*F2784,IF(AND(E2784=0,F2784=0),D2784*G2784,IF(AND(E2784=0),D2784*F2784*G2784,IF(AND(F2784=0),D2784*E2784*G2784,IF(AND(G2784=0),D2784*E2784*F2784,D2784*E2784*F2784*G2784))))))</f>
        <v>0</v>
      </c>
      <c r="I2784" s="40"/>
      <c r="J2784" s="41" t="s">
        <v>13</v>
      </c>
    </row>
    <row r="2785" spans="2:10" s="1" customFormat="1" ht="12.75" x14ac:dyDescent="0.2">
      <c r="B2785" s="43" t="s">
        <v>274</v>
      </c>
      <c r="C2785" s="43" t="s">
        <v>357</v>
      </c>
      <c r="D2785" s="60"/>
      <c r="E2785" s="40"/>
      <c r="F2785" s="40"/>
      <c r="G2785" s="40"/>
      <c r="H2785" s="40"/>
      <c r="I2785" s="44">
        <f>SUM(H2786:H2786)</f>
        <v>0</v>
      </c>
      <c r="J2785" s="45" t="str">
        <f>+J2786</f>
        <v>und</v>
      </c>
    </row>
    <row r="2786" spans="2:10" s="1" customFormat="1" ht="12.75" x14ac:dyDescent="0.2">
      <c r="B2786" s="43"/>
      <c r="C2786" s="39" t="s">
        <v>375</v>
      </c>
      <c r="D2786" s="40"/>
      <c r="E2786" s="40"/>
      <c r="F2786" s="40"/>
      <c r="G2786" s="40"/>
      <c r="H2786" s="40">
        <f>+D2786</f>
        <v>0</v>
      </c>
      <c r="I2786" s="40"/>
      <c r="J2786" s="41" t="s">
        <v>13</v>
      </c>
    </row>
    <row r="2787" spans="2:10" s="1" customFormat="1" ht="12.75" x14ac:dyDescent="0.2">
      <c r="B2787" s="43" t="s">
        <v>355</v>
      </c>
      <c r="C2787" s="43" t="s">
        <v>263</v>
      </c>
      <c r="D2787" s="60"/>
      <c r="E2787" s="40"/>
      <c r="F2787" s="40"/>
      <c r="G2787" s="40"/>
      <c r="H2787" s="40"/>
      <c r="I2787" s="44">
        <f>SUM(H2788:H2788)</f>
        <v>0</v>
      </c>
      <c r="J2787" s="45" t="str">
        <f>+J2788</f>
        <v>und</v>
      </c>
    </row>
    <row r="2788" spans="2:10" s="1" customFormat="1" ht="14.25" customHeight="1" x14ac:dyDescent="0.2">
      <c r="B2788" s="46"/>
      <c r="C2788" s="39" t="s">
        <v>420</v>
      </c>
      <c r="D2788" s="40"/>
      <c r="E2788" s="40"/>
      <c r="F2788" s="40"/>
      <c r="G2788" s="40"/>
      <c r="H2788" s="40">
        <f>+D2788</f>
        <v>0</v>
      </c>
      <c r="I2788" s="40"/>
      <c r="J2788" s="41" t="s">
        <v>13</v>
      </c>
    </row>
    <row r="2789" spans="2:10" s="1" customFormat="1" ht="14.25" customHeight="1" x14ac:dyDescent="0.2">
      <c r="B2789" s="43" t="s">
        <v>356</v>
      </c>
      <c r="C2789" s="43" t="s">
        <v>264</v>
      </c>
      <c r="D2789" s="60"/>
      <c r="E2789" s="40"/>
      <c r="F2789" s="40"/>
      <c r="G2789" s="40"/>
      <c r="H2789" s="40"/>
      <c r="I2789" s="44">
        <f>SUM(H2790:H2790)</f>
        <v>0</v>
      </c>
      <c r="J2789" s="45" t="str">
        <f>+J2790</f>
        <v>und</v>
      </c>
    </row>
    <row r="2790" spans="2:10" s="1" customFormat="1" ht="12.75" x14ac:dyDescent="0.2">
      <c r="B2790" s="46"/>
      <c r="C2790" s="39" t="s">
        <v>420</v>
      </c>
      <c r="D2790" s="40"/>
      <c r="E2790" s="40"/>
      <c r="F2790" s="40"/>
      <c r="G2790" s="40"/>
      <c r="H2790" s="40">
        <f>+D2790</f>
        <v>0</v>
      </c>
      <c r="I2790" s="40"/>
      <c r="J2790" s="41" t="s">
        <v>13</v>
      </c>
    </row>
    <row r="2791" spans="2:10" s="1" customFormat="1" ht="12.75" x14ac:dyDescent="0.2">
      <c r="B2791" s="46"/>
      <c r="C2791" s="59"/>
      <c r="D2791" s="60"/>
      <c r="E2791" s="40"/>
      <c r="F2791" s="40"/>
      <c r="G2791" s="40"/>
      <c r="H2791" s="40"/>
      <c r="I2791" s="40"/>
      <c r="J2791" s="41"/>
    </row>
    <row r="2792" spans="2:10" s="1" customFormat="1" ht="12.75" x14ac:dyDescent="0.2">
      <c r="B2792" s="43" t="s">
        <v>659</v>
      </c>
      <c r="C2792" s="372" t="s">
        <v>657</v>
      </c>
      <c r="D2792" s="60"/>
      <c r="E2792" s="40"/>
      <c r="F2792" s="40"/>
      <c r="G2792" s="40"/>
      <c r="H2792" s="40"/>
      <c r="I2792" s="44">
        <f>+SUM(H2793:H2794)</f>
        <v>7</v>
      </c>
      <c r="J2792" s="45" t="s">
        <v>13</v>
      </c>
    </row>
    <row r="2793" spans="2:10" s="1" customFormat="1" ht="12.75" x14ac:dyDescent="0.2">
      <c r="B2793" s="46"/>
      <c r="C2793" s="39" t="s">
        <v>515</v>
      </c>
      <c r="D2793" s="60">
        <f>2*2</f>
        <v>4</v>
      </c>
      <c r="E2793" s="40"/>
      <c r="F2793" s="40"/>
      <c r="G2793" s="40"/>
      <c r="H2793" s="40">
        <f>+D2793</f>
        <v>4</v>
      </c>
      <c r="I2793" s="40"/>
      <c r="J2793" s="41"/>
    </row>
    <row r="2794" spans="2:10" s="1" customFormat="1" ht="12.75" x14ac:dyDescent="0.2">
      <c r="B2794" s="46"/>
      <c r="C2794" s="59" t="s">
        <v>516</v>
      </c>
      <c r="D2794" s="60">
        <v>3</v>
      </c>
      <c r="E2794" s="40"/>
      <c r="F2794" s="40"/>
      <c r="G2794" s="40"/>
      <c r="H2794" s="40">
        <f>+D2794</f>
        <v>3</v>
      </c>
      <c r="I2794" s="40"/>
      <c r="J2794" s="41"/>
    </row>
    <row r="2795" spans="2:10" s="1" customFormat="1" ht="12.75" x14ac:dyDescent="0.2">
      <c r="B2795" s="46"/>
      <c r="C2795" s="59"/>
      <c r="D2795" s="60"/>
      <c r="E2795" s="40"/>
      <c r="F2795" s="40"/>
      <c r="G2795" s="40"/>
      <c r="H2795" s="40"/>
      <c r="I2795" s="40"/>
      <c r="J2795" s="41"/>
    </row>
    <row r="2796" spans="2:10" s="1" customFormat="1" ht="12.75" x14ac:dyDescent="0.2">
      <c r="B2796" s="73" t="s">
        <v>14</v>
      </c>
      <c r="C2796" s="73" t="s">
        <v>615</v>
      </c>
      <c r="D2796" s="60"/>
      <c r="E2796" s="40"/>
      <c r="F2796" s="40"/>
      <c r="G2796" s="40"/>
      <c r="H2796" s="40"/>
      <c r="I2796" s="40"/>
      <c r="J2796" s="41"/>
    </row>
    <row r="2797" spans="2:10" s="1" customFormat="1" ht="12.75" x14ac:dyDescent="0.2">
      <c r="B2797" s="25" t="s">
        <v>766</v>
      </c>
      <c r="C2797" s="28" t="s">
        <v>616</v>
      </c>
      <c r="D2797" s="60"/>
      <c r="E2797" s="40"/>
      <c r="F2797" s="40"/>
      <c r="G2797" s="40"/>
      <c r="H2797" s="40"/>
      <c r="I2797" s="40">
        <f>+SUM(H2798:H2800)</f>
        <v>6.8650000000000002</v>
      </c>
      <c r="J2797" s="41" t="s">
        <v>45</v>
      </c>
    </row>
    <row r="2798" spans="2:10" s="1" customFormat="1" ht="12.75" x14ac:dyDescent="0.2">
      <c r="B2798" s="46"/>
      <c r="C2798" s="39" t="s">
        <v>688</v>
      </c>
      <c r="D2798" s="40">
        <v>1</v>
      </c>
      <c r="E2798" s="40">
        <v>1.75</v>
      </c>
      <c r="F2798" s="40">
        <v>0.4</v>
      </c>
      <c r="G2798" s="40"/>
      <c r="H2798" s="40">
        <f t="shared" ref="H2798:H2800" si="193">IF(AND(F2798=0,G2798=0),D2798*E2798,IF(AND(E2798=0,G2798=0),D2798*F2798,IF(AND(E2798=0,F2798=0),D2798*G2798,IF(AND(E2798=0),D2798*F2798*G2798,IF(AND(F2798=0),D2798*E2798*G2798,IF(AND(G2798=0),D2798*E2798*F2798,D2798*E2798*F2798*G2798))))))</f>
        <v>0.70000000000000007</v>
      </c>
      <c r="I2798" s="40"/>
      <c r="J2798" s="41"/>
    </row>
    <row r="2799" spans="2:10" s="1" customFormat="1" ht="12.75" x14ac:dyDescent="0.2">
      <c r="B2799" s="46"/>
      <c r="C2799" s="43" t="s">
        <v>472</v>
      </c>
      <c r="D2799" s="60"/>
      <c r="E2799" s="40"/>
      <c r="F2799" s="40"/>
      <c r="G2799" s="40"/>
      <c r="H2799" s="40"/>
      <c r="I2799" s="40"/>
      <c r="J2799" s="41"/>
    </row>
    <row r="2800" spans="2:10" s="1" customFormat="1" ht="12.75" x14ac:dyDescent="0.2">
      <c r="B2800" s="46"/>
      <c r="C2800" s="39" t="s">
        <v>514</v>
      </c>
      <c r="D2800" s="60">
        <v>1</v>
      </c>
      <c r="E2800" s="40">
        <f>7.9+5.5+0.2+0.1</f>
        <v>13.7</v>
      </c>
      <c r="F2800" s="40">
        <v>0.45</v>
      </c>
      <c r="G2800" s="40"/>
      <c r="H2800" s="40">
        <f t="shared" si="193"/>
        <v>6.165</v>
      </c>
      <c r="I2800" s="40"/>
      <c r="J2800" s="41"/>
    </row>
    <row r="2801" spans="2:10" s="1" customFormat="1" ht="12.75" x14ac:dyDescent="0.2">
      <c r="B2801" s="46"/>
      <c r="C2801" s="59"/>
      <c r="D2801" s="60"/>
      <c r="E2801" s="40"/>
      <c r="F2801" s="40"/>
      <c r="G2801" s="40"/>
      <c r="H2801" s="40"/>
      <c r="I2801" s="40"/>
      <c r="J2801" s="41"/>
    </row>
    <row r="2802" spans="2:10" s="1" customFormat="1" ht="12.75" x14ac:dyDescent="0.2">
      <c r="B2802" s="46"/>
      <c r="I2802" s="44"/>
      <c r="J2802" s="45"/>
    </row>
    <row r="2803" spans="2:10" x14ac:dyDescent="0.25">
      <c r="B2803" s="73" t="s">
        <v>22</v>
      </c>
      <c r="C2803" s="73" t="s">
        <v>614</v>
      </c>
      <c r="D2803" s="23"/>
      <c r="E2803" s="23"/>
      <c r="F2803" s="23"/>
      <c r="G2803" s="23"/>
      <c r="H2803" s="24"/>
      <c r="I2803" s="25"/>
      <c r="J2803" s="26"/>
    </row>
    <row r="2804" spans="2:10" s="1" customFormat="1" ht="15.75" customHeight="1" x14ac:dyDescent="0.2">
      <c r="B2804" s="25" t="s">
        <v>23</v>
      </c>
      <c r="C2804" s="1" t="s">
        <v>622</v>
      </c>
      <c r="D2804" s="60"/>
      <c r="E2804" s="40"/>
      <c r="F2804" s="40"/>
      <c r="G2804" s="40"/>
      <c r="H2804" s="24"/>
      <c r="I2804" s="25">
        <f>+SUM(H2805)</f>
        <v>0.35000000000000003</v>
      </c>
      <c r="J2804" s="26" t="s">
        <v>4</v>
      </c>
    </row>
    <row r="2805" spans="2:10" s="1" customFormat="1" ht="15.75" customHeight="1" x14ac:dyDescent="0.2">
      <c r="B2805" s="25"/>
      <c r="C2805" s="39" t="s">
        <v>688</v>
      </c>
      <c r="D2805" s="40">
        <v>1</v>
      </c>
      <c r="E2805" s="40">
        <v>1.75</v>
      </c>
      <c r="F2805" s="40">
        <v>0.4</v>
      </c>
      <c r="G2805" s="40">
        <f>0.3+0.2</f>
        <v>0.5</v>
      </c>
      <c r="H2805" s="40">
        <f>IF(AND(F2805=0,G2805=0),D2805*E2805,IF(AND(E2805=0,G2805=0),D2805*F2805,IF(AND(E2805=0,F2805=0),D2805*G2805,IF(AND(E2805=0),D2805*F2805*G2805,IF(AND(F2805=0),D2805*E2805*G2805,IF(AND(G2805=0),D2805*E2805*F2805,D2805*E2805*F2805*G2805))))))</f>
        <v>0.35000000000000003</v>
      </c>
      <c r="I2805" s="40"/>
      <c r="J2805" s="41"/>
    </row>
    <row r="2806" spans="2:10" s="1" customFormat="1" ht="12.75" x14ac:dyDescent="0.2">
      <c r="B2806" s="46"/>
      <c r="C2806" s="59"/>
      <c r="D2806" s="60"/>
      <c r="E2806" s="40"/>
      <c r="F2806" s="40"/>
      <c r="G2806" s="40"/>
      <c r="H2806" s="40"/>
      <c r="I2806" s="40"/>
      <c r="J2806" s="41"/>
    </row>
    <row r="2807" spans="2:10" s="1" customFormat="1" ht="12.75" x14ac:dyDescent="0.2">
      <c r="B2807" s="46"/>
      <c r="C2807" s="59"/>
      <c r="D2807" s="60"/>
      <c r="E2807" s="40"/>
      <c r="F2807" s="40"/>
      <c r="G2807" s="40"/>
      <c r="H2807" s="40"/>
      <c r="I2807" s="40"/>
      <c r="J2807" s="41"/>
    </row>
    <row r="2808" spans="2:10" x14ac:dyDescent="0.25">
      <c r="B2808" s="107" t="s">
        <v>777</v>
      </c>
      <c r="C2808" s="370" t="s">
        <v>779</v>
      </c>
      <c r="D2808" s="23"/>
      <c r="E2808" s="23"/>
      <c r="F2808" s="23"/>
      <c r="G2808" s="23"/>
      <c r="I2808" s="24">
        <f>+SUM(H2809:H2809)</f>
        <v>0.70000000000000007</v>
      </c>
      <c r="J2808" s="26" t="s">
        <v>45</v>
      </c>
    </row>
    <row r="2809" spans="2:10" x14ac:dyDescent="0.25">
      <c r="B2809" s="107"/>
      <c r="C2809" s="39" t="s">
        <v>688</v>
      </c>
      <c r="D2809" s="40">
        <v>1</v>
      </c>
      <c r="E2809" s="40">
        <v>1.75</v>
      </c>
      <c r="F2809" s="40">
        <v>0.4</v>
      </c>
      <c r="G2809" s="40"/>
      <c r="H2809" s="40">
        <f>IF(AND(F2809=0,G2809=0),D2809*E2809,IF(AND(E2809=0,G2809=0),D2809*F2809,IF(AND(E2809=0,F2809=0),D2809*G2809,IF(AND(E2809=0),D2809*F2809*G2809,IF(AND(F2809=0),D2809*E2809*G2809,IF(AND(G2809=0),D2809*E2809*F2809,D2809*E2809*F2809*G2809))))))</f>
        <v>0.70000000000000007</v>
      </c>
      <c r="I2809" s="25"/>
      <c r="J2809" s="26"/>
    </row>
    <row r="2810" spans="2:10" x14ac:dyDescent="0.25">
      <c r="B2810" s="107"/>
      <c r="C2810" s="370"/>
      <c r="D2810" s="23"/>
      <c r="E2810" s="23"/>
      <c r="F2810" s="23"/>
      <c r="G2810" s="23"/>
      <c r="H2810" s="24"/>
      <c r="I2810" s="25"/>
      <c r="J2810" s="26"/>
    </row>
    <row r="2811" spans="2:10" s="1" customFormat="1" ht="12.75" x14ac:dyDescent="0.2">
      <c r="B2811" s="107" t="s">
        <v>778</v>
      </c>
      <c r="C2811" s="370" t="s">
        <v>776</v>
      </c>
      <c r="D2811" s="60"/>
      <c r="E2811" s="40"/>
      <c r="F2811" s="40"/>
      <c r="G2811" s="40"/>
      <c r="H2811" s="40"/>
      <c r="I2811" s="40">
        <f>+SUM(H2813:H2813)-H2815</f>
        <v>2.4035229678272789</v>
      </c>
      <c r="J2811" s="41" t="s">
        <v>4</v>
      </c>
    </row>
    <row r="2812" spans="2:10" s="1" customFormat="1" ht="12.75" x14ac:dyDescent="0.2">
      <c r="B2812" s="46"/>
      <c r="C2812" s="43" t="s">
        <v>472</v>
      </c>
      <c r="D2812" s="60"/>
      <c r="E2812" s="40"/>
      <c r="F2812" s="40"/>
      <c r="G2812" s="40"/>
      <c r="H2812" s="40"/>
      <c r="I2812" s="40"/>
      <c r="J2812" s="41"/>
    </row>
    <row r="2813" spans="2:10" s="1" customFormat="1" ht="12.75" x14ac:dyDescent="0.2">
      <c r="B2813" s="46"/>
      <c r="C2813" s="39" t="s">
        <v>514</v>
      </c>
      <c r="D2813" s="60">
        <v>1</v>
      </c>
      <c r="E2813" s="40">
        <f>7.9+5.5+0.2+0.1</f>
        <v>13.7</v>
      </c>
      <c r="F2813" s="40">
        <v>0.45</v>
      </c>
      <c r="G2813" s="40">
        <v>0.4</v>
      </c>
      <c r="H2813" s="40">
        <f t="shared" ref="H2813" si="194">IF(AND(F2813=0,G2813=0),D2813*E2813,IF(AND(E2813=0,G2813=0),D2813*F2813,IF(AND(E2813=0,F2813=0),D2813*G2813,IF(AND(E2813=0),D2813*F2813*G2813,IF(AND(F2813=0),D2813*E2813*G2813,IF(AND(G2813=0),D2813*E2813*F2813,D2813*E2813*F2813*G2813))))))</f>
        <v>2.4660000000000002</v>
      </c>
      <c r="I2813" s="40"/>
      <c r="J2813" s="41"/>
    </row>
    <row r="2814" spans="2:10" s="1" customFormat="1" ht="12.75" x14ac:dyDescent="0.2">
      <c r="B2814" s="46"/>
      <c r="F2814" s="40" t="s">
        <v>786</v>
      </c>
      <c r="G2814" s="40">
        <v>3</v>
      </c>
      <c r="I2814" s="40"/>
      <c r="J2814" s="41"/>
    </row>
    <row r="2815" spans="2:10" s="1" customFormat="1" ht="12.75" x14ac:dyDescent="0.2">
      <c r="B2815" s="46"/>
      <c r="C2815" s="39" t="s">
        <v>784</v>
      </c>
      <c r="D2815" s="60">
        <v>1</v>
      </c>
      <c r="E2815" s="40">
        <f>+SUM(E2813:E2813)</f>
        <v>13.7</v>
      </c>
      <c r="F2815" s="40" t="s">
        <v>785</v>
      </c>
      <c r="G2815" s="381">
        <f>+PI()*((G2814*0.0254)^2)/4</f>
        <v>4.5603673118774788E-3</v>
      </c>
      <c r="H2815" s="40">
        <f>+E2815*G2815</f>
        <v>6.2477032172721457E-2</v>
      </c>
      <c r="I2815" s="40"/>
      <c r="J2815" s="41"/>
    </row>
    <row r="2816" spans="2:10" s="1" customFormat="1" ht="12.75" x14ac:dyDescent="0.2">
      <c r="B2816" s="46"/>
      <c r="C2816" s="59"/>
      <c r="D2816" s="60"/>
      <c r="E2816" s="40"/>
      <c r="F2816" s="40"/>
      <c r="G2816" s="40"/>
      <c r="H2816" s="40"/>
      <c r="I2816" s="40"/>
      <c r="J2816" s="41"/>
    </row>
    <row r="2817" spans="2:10" s="1" customFormat="1" ht="12.75" x14ac:dyDescent="0.2">
      <c r="B2817" s="25" t="s">
        <v>631</v>
      </c>
      <c r="C2817" s="28" t="s">
        <v>719</v>
      </c>
      <c r="D2817" s="60"/>
      <c r="E2817" s="40"/>
      <c r="F2817" s="40"/>
      <c r="G2817" s="40"/>
      <c r="H2817" s="40"/>
      <c r="I2817" s="40">
        <f>+SUM(H2818)</f>
        <v>2.1000000000000005</v>
      </c>
      <c r="J2817" s="41" t="s">
        <v>45</v>
      </c>
    </row>
    <row r="2818" spans="2:10" s="1" customFormat="1" ht="12.75" x14ac:dyDescent="0.2">
      <c r="B2818" s="46"/>
      <c r="C2818" s="39" t="s">
        <v>688</v>
      </c>
      <c r="D2818" s="40">
        <v>1</v>
      </c>
      <c r="E2818" s="40">
        <v>1.75</v>
      </c>
      <c r="F2818" s="40">
        <v>0.4</v>
      </c>
      <c r="G2818" s="40">
        <f>0.3+0.1</f>
        <v>0.4</v>
      </c>
      <c r="H2818" s="40">
        <f>+(F2818+G2818*2)*E2818</f>
        <v>2.1000000000000005</v>
      </c>
      <c r="I2818" s="40"/>
      <c r="J2818" s="41"/>
    </row>
    <row r="2819" spans="2:10" s="1" customFormat="1" ht="12.75" x14ac:dyDescent="0.2">
      <c r="B2819" s="46"/>
      <c r="C2819" s="59"/>
      <c r="D2819" s="60"/>
      <c r="E2819" s="40"/>
      <c r="F2819" s="40"/>
      <c r="G2819" s="40"/>
      <c r="H2819" s="40"/>
      <c r="I2819" s="40"/>
      <c r="J2819" s="41"/>
    </row>
    <row r="2820" spans="2:10" s="1" customFormat="1" ht="12.75" x14ac:dyDescent="0.2">
      <c r="B2820" s="25" t="s">
        <v>709</v>
      </c>
      <c r="C2820" s="28" t="s">
        <v>718</v>
      </c>
      <c r="D2820" s="60"/>
      <c r="E2820" s="40"/>
      <c r="F2820" s="40"/>
      <c r="G2820" s="40"/>
      <c r="H2820" s="40"/>
      <c r="I2820" s="40">
        <f>+SUM(H2822)</f>
        <v>17.125</v>
      </c>
      <c r="J2820" s="41" t="s">
        <v>45</v>
      </c>
    </row>
    <row r="2821" spans="2:10" s="1" customFormat="1" ht="12.75" x14ac:dyDescent="0.2">
      <c r="B2821" s="46"/>
      <c r="C2821" s="43" t="s">
        <v>472</v>
      </c>
      <c r="D2821" s="60"/>
      <c r="E2821" s="40"/>
      <c r="F2821" s="40"/>
      <c r="G2821" s="40"/>
      <c r="H2821" s="40"/>
      <c r="I2821" s="40"/>
      <c r="J2821" s="41"/>
    </row>
    <row r="2822" spans="2:10" s="1" customFormat="1" ht="12.75" x14ac:dyDescent="0.2">
      <c r="B2822" s="46"/>
      <c r="C2822" s="39" t="s">
        <v>514</v>
      </c>
      <c r="D2822" s="60">
        <v>1</v>
      </c>
      <c r="E2822" s="40">
        <f>7.9+5.5+0.2+0.1</f>
        <v>13.7</v>
      </c>
      <c r="F2822" s="40">
        <v>0.45</v>
      </c>
      <c r="G2822" s="40">
        <v>0.4</v>
      </c>
      <c r="H2822" s="40">
        <f>+(F2822+G2822*2)*E2822</f>
        <v>17.125</v>
      </c>
      <c r="I2822" s="40"/>
      <c r="J2822" s="41"/>
    </row>
    <row r="2823" spans="2:10" s="1" customFormat="1" ht="12.75" x14ac:dyDescent="0.2">
      <c r="B2823" s="46"/>
      <c r="C2823" s="59"/>
      <c r="D2823" s="60"/>
      <c r="E2823" s="40"/>
      <c r="F2823" s="40"/>
      <c r="G2823" s="40"/>
      <c r="H2823" s="40"/>
      <c r="I2823" s="40"/>
      <c r="J2823" s="41"/>
    </row>
    <row r="2824" spans="2:10" s="1" customFormat="1" ht="12.75" x14ac:dyDescent="0.2">
      <c r="B2824" s="46"/>
      <c r="C2824" s="59"/>
      <c r="D2824" s="60"/>
      <c r="E2824" s="40"/>
      <c r="F2824" s="40"/>
      <c r="G2824" s="40"/>
      <c r="H2824" s="40"/>
      <c r="I2824" s="40"/>
      <c r="J2824" s="41"/>
    </row>
    <row r="2825" spans="2:10" s="1" customFormat="1" ht="12.75" x14ac:dyDescent="0.2">
      <c r="B2825" s="107" t="s">
        <v>632</v>
      </c>
      <c r="C2825" s="343" t="s">
        <v>794</v>
      </c>
      <c r="D2825" s="60"/>
      <c r="E2825" s="40"/>
      <c r="F2825" s="40" t="s">
        <v>795</v>
      </c>
      <c r="G2825" s="40"/>
      <c r="H2825" s="40"/>
      <c r="I2825" s="40">
        <f>+SUM(H2826:H2828)</f>
        <v>31.159999999999997</v>
      </c>
      <c r="J2825" s="41" t="s">
        <v>12</v>
      </c>
    </row>
    <row r="2826" spans="2:10" s="1" customFormat="1" ht="12.75" x14ac:dyDescent="0.2">
      <c r="B2826" s="380"/>
      <c r="C2826" s="39" t="s">
        <v>467</v>
      </c>
      <c r="D2826" s="60">
        <v>2</v>
      </c>
      <c r="E2826" s="40">
        <v>2.65</v>
      </c>
      <c r="F2826" s="40">
        <f>8.2/5</f>
        <v>1.64</v>
      </c>
      <c r="G2826" s="40"/>
      <c r="H2826" s="40">
        <f>IF(AND(F2826=0,G2826=0),D2826*E2826,IF(AND(E2826=0,G2826=0),D2826*F2826,IF(AND(E2826=0,F2826=0),D2826*G2826,IF(AND(E2826=0),D2826*F2826*G2826,IF(AND(F2826=0),D2826*E2826*G2826,IF(AND(G2826=0),D2826*E2826*F2826,D2826*E2826*F2826*G2826))))))</f>
        <v>8.6919999999999984</v>
      </c>
      <c r="I2826" s="40"/>
      <c r="J2826" s="41"/>
    </row>
    <row r="2827" spans="2:10" s="1" customFormat="1" ht="12.75" x14ac:dyDescent="0.2">
      <c r="B2827" s="380"/>
      <c r="C2827" s="43" t="s">
        <v>472</v>
      </c>
      <c r="D2827" s="60"/>
      <c r="E2827" s="40"/>
      <c r="F2827" s="40"/>
      <c r="G2827" s="40"/>
      <c r="H2827" s="40"/>
      <c r="I2827" s="40"/>
      <c r="J2827" s="41"/>
    </row>
    <row r="2828" spans="2:10" s="1" customFormat="1" ht="12.75" x14ac:dyDescent="0.2">
      <c r="B2828" s="380"/>
      <c r="C2828" s="39" t="s">
        <v>514</v>
      </c>
      <c r="D2828" s="60">
        <v>1</v>
      </c>
      <c r="E2828" s="40">
        <f>7.9+5.5+0.2+0.1</f>
        <v>13.7</v>
      </c>
      <c r="F2828" s="40">
        <f t="shared" ref="F2828" si="195">8.2/5</f>
        <v>1.64</v>
      </c>
      <c r="G2828" s="40"/>
      <c r="H2828" s="40">
        <f t="shared" ref="H2828" si="196">IF(AND(F2828=0,G2828=0),D2828*E2828,IF(AND(E2828=0,G2828=0),D2828*F2828,IF(AND(E2828=0,F2828=0),D2828*G2828,IF(AND(E2828=0),D2828*F2828*G2828,IF(AND(F2828=0),D2828*E2828*G2828,IF(AND(G2828=0),D2828*E2828*F2828,D2828*E2828*F2828*G2828))))))</f>
        <v>22.467999999999996</v>
      </c>
      <c r="I2828" s="40"/>
      <c r="J2828" s="41"/>
    </row>
    <row r="2829" spans="2:10" s="1" customFormat="1" ht="12.75" x14ac:dyDescent="0.2">
      <c r="B2829" s="380"/>
      <c r="C2829" s="366"/>
      <c r="D2829" s="60"/>
      <c r="E2829" s="40"/>
      <c r="F2829" s="40"/>
      <c r="G2829" s="40"/>
      <c r="H2829" s="40"/>
      <c r="I2829" s="40"/>
      <c r="J2829" s="41"/>
    </row>
    <row r="2830" spans="2:10" s="1" customFormat="1" ht="12.75" x14ac:dyDescent="0.2">
      <c r="B2830" s="25" t="s">
        <v>633</v>
      </c>
      <c r="C2830" s="28" t="s">
        <v>625</v>
      </c>
      <c r="D2830" s="60"/>
      <c r="E2830" s="40"/>
      <c r="F2830" s="40"/>
      <c r="G2830" s="40"/>
      <c r="H2830" s="40"/>
      <c r="I2830" s="40">
        <f>+SUM(H2831:H2833)</f>
        <v>0.17500000000000002</v>
      </c>
      <c r="J2830" s="41" t="s">
        <v>4</v>
      </c>
    </row>
    <row r="2831" spans="2:10" s="1" customFormat="1" ht="12.75" x14ac:dyDescent="0.2">
      <c r="B2831" s="46"/>
      <c r="C2831" s="39" t="s">
        <v>733</v>
      </c>
      <c r="D2831" s="40">
        <v>2</v>
      </c>
      <c r="E2831" s="40">
        <v>1.75</v>
      </c>
      <c r="F2831" s="40">
        <v>0.1</v>
      </c>
      <c r="G2831" s="40">
        <v>0.3</v>
      </c>
      <c r="H2831" s="40">
        <f t="shared" ref="H2831:H2832" si="197">IF(AND(F2831=0,G2831=0),D2831*E2831,IF(AND(E2831=0,G2831=0),D2831*F2831,IF(AND(E2831=0,F2831=0),D2831*G2831,IF(AND(E2831=0),D2831*F2831*G2831,IF(AND(F2831=0),D2831*E2831*G2831,IF(AND(G2831=0),D2831*E2831*F2831,D2831*E2831*F2831*G2831))))))</f>
        <v>0.10500000000000001</v>
      </c>
      <c r="I2831" s="40"/>
      <c r="J2831" s="41"/>
    </row>
    <row r="2832" spans="2:10" s="1" customFormat="1" ht="12.75" x14ac:dyDescent="0.2">
      <c r="B2832" s="46"/>
      <c r="C2832" s="59"/>
      <c r="D2832" s="60">
        <v>1</v>
      </c>
      <c r="E2832" s="40">
        <v>1.75</v>
      </c>
      <c r="F2832" s="40">
        <v>0.4</v>
      </c>
      <c r="G2832" s="40">
        <v>0.1</v>
      </c>
      <c r="H2832" s="40">
        <f t="shared" si="197"/>
        <v>7.0000000000000007E-2</v>
      </c>
      <c r="I2832" s="40"/>
      <c r="J2832" s="41"/>
    </row>
    <row r="2833" spans="2:10" s="1" customFormat="1" ht="12.75" x14ac:dyDescent="0.2">
      <c r="B2833" s="46"/>
      <c r="C2833" s="59"/>
      <c r="D2833" s="60"/>
      <c r="E2833" s="40"/>
      <c r="F2833" s="40"/>
      <c r="G2833" s="40"/>
      <c r="H2833" s="40"/>
      <c r="I2833" s="40"/>
      <c r="J2833" s="41"/>
    </row>
    <row r="2834" spans="2:10" s="1" customFormat="1" ht="12.75" x14ac:dyDescent="0.2">
      <c r="B2834" s="46"/>
      <c r="C2834" s="59"/>
      <c r="D2834" s="60"/>
      <c r="E2834" s="40"/>
      <c r="F2834" s="40"/>
      <c r="G2834" s="40"/>
      <c r="H2834" s="40"/>
      <c r="I2834" s="40"/>
      <c r="J2834" s="41"/>
    </row>
    <row r="2835" spans="2:10" s="1" customFormat="1" ht="12.75" x14ac:dyDescent="0.2">
      <c r="B2835" s="46"/>
      <c r="C2835" s="59"/>
      <c r="D2835" s="60"/>
      <c r="E2835" s="40"/>
      <c r="F2835" s="40"/>
      <c r="G2835" s="40"/>
      <c r="H2835" s="40"/>
      <c r="I2835" s="40"/>
      <c r="J2835" s="41"/>
    </row>
    <row r="2836" spans="2:10" s="1" customFormat="1" ht="12.75" x14ac:dyDescent="0.2">
      <c r="B2836" s="107" t="s">
        <v>790</v>
      </c>
      <c r="C2836" s="343" t="s">
        <v>789</v>
      </c>
      <c r="D2836" s="60" t="s">
        <v>791</v>
      </c>
      <c r="E2836" s="40"/>
      <c r="F2836" s="40"/>
      <c r="G2836" s="40"/>
      <c r="H2836" s="40"/>
      <c r="I2836" s="40">
        <f>+SUM(H2837:H2840)</f>
        <v>0.51559629021590181</v>
      </c>
      <c r="J2836" s="41" t="s">
        <v>4</v>
      </c>
    </row>
    <row r="2837" spans="2:10" s="1" customFormat="1" ht="12.75" x14ac:dyDescent="0.2">
      <c r="B2837" s="107"/>
      <c r="C2837" s="39" t="s">
        <v>688</v>
      </c>
      <c r="D2837" s="40">
        <v>1.25</v>
      </c>
      <c r="E2837" s="40">
        <v>1.75</v>
      </c>
      <c r="F2837" s="40">
        <v>0.4</v>
      </c>
      <c r="G2837" s="40">
        <f>0.3+0.2</f>
        <v>0.5</v>
      </c>
      <c r="H2837" s="40">
        <f>IF(AND(F2837=0,G2837=0),D2837*E2837,IF(AND(E2837=0,G2837=0),D2837*F2837,IF(AND(E2837=0,F2837=0),D2837*G2837,IF(AND(E2837=0),D2837*F2837*G2837,IF(AND(F2837=0),D2837*E2837*G2837,IF(AND(G2837=0),D2837*E2837*F2837,D2837*E2837*F2837*G2837))))))</f>
        <v>0.4375</v>
      </c>
      <c r="I2837" s="40"/>
      <c r="J2837" s="41"/>
    </row>
    <row r="2838" spans="2:10" s="1" customFormat="1" ht="12.75" x14ac:dyDescent="0.2">
      <c r="B2838" s="107"/>
      <c r="C2838" s="43" t="s">
        <v>472</v>
      </c>
      <c r="D2838" s="60"/>
      <c r="E2838" s="40"/>
      <c r="F2838" s="40"/>
      <c r="G2838" s="40"/>
      <c r="H2838" s="40"/>
      <c r="I2838" s="40"/>
      <c r="J2838" s="41"/>
    </row>
    <row r="2839" spans="2:10" s="1" customFormat="1" ht="12.75" x14ac:dyDescent="0.2">
      <c r="B2839" s="107"/>
      <c r="C2839" s="39" t="s">
        <v>514</v>
      </c>
      <c r="F2839" s="40" t="s">
        <v>786</v>
      </c>
      <c r="G2839" s="40">
        <v>3</v>
      </c>
      <c r="H2839" s="40"/>
      <c r="I2839" s="40"/>
      <c r="J2839" s="41"/>
    </row>
    <row r="2840" spans="2:10" s="1" customFormat="1" ht="12.75" x14ac:dyDescent="0.2">
      <c r="B2840" s="107"/>
      <c r="C2840" s="39" t="s">
        <v>784</v>
      </c>
      <c r="D2840" s="60">
        <v>1.25</v>
      </c>
      <c r="E2840" s="40">
        <f>+E2815</f>
        <v>13.7</v>
      </c>
      <c r="F2840" s="40" t="s">
        <v>785</v>
      </c>
      <c r="G2840" s="381">
        <f>+PI()*((G2839*0.0254)^2)/4</f>
        <v>4.5603673118774788E-3</v>
      </c>
      <c r="H2840" s="40">
        <f>+D2840*E2840*G2840</f>
        <v>7.8096290215901823E-2</v>
      </c>
      <c r="I2840" s="40"/>
      <c r="J2840" s="41"/>
    </row>
    <row r="2841" spans="2:10" s="1" customFormat="1" ht="12.75" x14ac:dyDescent="0.2">
      <c r="B2841" s="107"/>
      <c r="C2841" s="343"/>
      <c r="D2841" s="60"/>
      <c r="E2841" s="40"/>
      <c r="F2841" s="40"/>
      <c r="G2841" s="40"/>
      <c r="H2841" s="40"/>
      <c r="I2841" s="40"/>
      <c r="J2841" s="41"/>
    </row>
    <row r="2842" spans="2:10" s="1" customFormat="1" ht="12.75" x14ac:dyDescent="0.2">
      <c r="B2842" s="107"/>
      <c r="C2842" s="343"/>
      <c r="D2842" s="60"/>
      <c r="E2842" s="40"/>
      <c r="F2842" s="40"/>
      <c r="G2842" s="40"/>
      <c r="H2842" s="40"/>
      <c r="I2842" s="40"/>
      <c r="J2842" s="41"/>
    </row>
    <row r="2843" spans="2:10" s="1" customFormat="1" ht="12.75" x14ac:dyDescent="0.2">
      <c r="B2843" s="107" t="s">
        <v>634</v>
      </c>
      <c r="C2843" s="343" t="s">
        <v>624</v>
      </c>
      <c r="D2843" s="60"/>
      <c r="E2843" s="40"/>
      <c r="F2843" s="40"/>
      <c r="G2843" s="40"/>
      <c r="H2843" s="40"/>
      <c r="I2843" s="40">
        <f>+I2836</f>
        <v>0.51559629021590181</v>
      </c>
      <c r="J2843" s="41" t="s">
        <v>4</v>
      </c>
    </row>
    <row r="2844" spans="2:10" s="1" customFormat="1" ht="12.75" x14ac:dyDescent="0.2">
      <c r="B2844" s="46"/>
      <c r="C2844" s="59"/>
      <c r="D2844" s="60"/>
      <c r="E2844" s="40"/>
      <c r="F2844" s="40"/>
      <c r="G2844" s="40"/>
      <c r="H2844" s="40"/>
      <c r="I2844" s="40"/>
      <c r="J2844" s="41"/>
    </row>
    <row r="2845" spans="2:10" s="1" customFormat="1" ht="12.75" x14ac:dyDescent="0.2">
      <c r="B2845" s="46"/>
      <c r="C2845" s="59"/>
      <c r="D2845" s="60"/>
      <c r="E2845" s="40"/>
      <c r="F2845" s="40"/>
      <c r="G2845" s="40"/>
      <c r="H2845" s="40"/>
      <c r="I2845" s="40"/>
      <c r="J2845" s="41"/>
    </row>
    <row r="2846" spans="2:10" s="1" customFormat="1" ht="12.75" x14ac:dyDescent="0.2">
      <c r="B2846" s="46"/>
      <c r="C2846" s="59"/>
      <c r="D2846" s="60"/>
      <c r="E2846" s="40"/>
      <c r="F2846" s="40"/>
      <c r="G2846" s="40"/>
      <c r="H2846" s="40"/>
      <c r="I2846" s="40"/>
      <c r="J2846" s="41"/>
    </row>
    <row r="2847" spans="2:10" s="1" customFormat="1" ht="12.75" x14ac:dyDescent="0.2">
      <c r="B2847" s="46"/>
      <c r="C2847" s="59"/>
      <c r="D2847" s="60"/>
      <c r="E2847" s="40"/>
      <c r="F2847" s="40"/>
      <c r="G2847" s="40"/>
      <c r="H2847" s="40"/>
      <c r="I2847" s="40"/>
      <c r="J2847" s="41"/>
    </row>
    <row r="2848" spans="2:10" s="1" customFormat="1" ht="12.75" x14ac:dyDescent="0.2">
      <c r="B2848" s="46"/>
      <c r="C2848" s="59"/>
      <c r="D2848" s="60"/>
      <c r="E2848" s="40"/>
      <c r="F2848" s="40"/>
      <c r="G2848" s="40"/>
      <c r="H2848" s="40"/>
      <c r="I2848" s="40"/>
      <c r="J2848" s="41"/>
    </row>
    <row r="2849" spans="2:10" s="1" customFormat="1" ht="12.75" x14ac:dyDescent="0.2">
      <c r="B2849" s="46"/>
      <c r="C2849" s="59"/>
      <c r="D2849" s="60"/>
      <c r="E2849" s="40"/>
      <c r="F2849" s="40"/>
      <c r="G2849" s="40"/>
      <c r="H2849" s="40"/>
      <c r="I2849" s="40"/>
      <c r="J2849" s="41"/>
    </row>
    <row r="2850" spans="2:10" s="1" customFormat="1" ht="12.75" x14ac:dyDescent="0.2">
      <c r="B2850" s="46"/>
      <c r="C2850" s="59"/>
      <c r="D2850" s="60"/>
      <c r="E2850" s="40"/>
      <c r="F2850" s="40"/>
      <c r="G2850" s="40"/>
      <c r="H2850" s="40"/>
      <c r="I2850" s="40"/>
      <c r="J2850" s="41"/>
    </row>
    <row r="2851" spans="2:10" s="1" customFormat="1" ht="12.75" x14ac:dyDescent="0.2">
      <c r="B2851" s="46"/>
      <c r="C2851" s="59"/>
      <c r="D2851" s="60"/>
      <c r="E2851" s="40"/>
      <c r="F2851" s="40"/>
      <c r="G2851" s="40"/>
      <c r="H2851" s="40"/>
      <c r="I2851" s="40"/>
      <c r="J2851" s="41"/>
    </row>
    <row r="2852" spans="2:10" s="1" customFormat="1" ht="12.75" x14ac:dyDescent="0.2">
      <c r="B2852" s="46"/>
      <c r="C2852" s="59"/>
      <c r="D2852" s="60"/>
      <c r="E2852" s="40"/>
      <c r="F2852" s="40"/>
      <c r="G2852" s="40"/>
      <c r="H2852" s="40"/>
      <c r="I2852" s="40"/>
      <c r="J2852" s="41"/>
    </row>
    <row r="2853" spans="2:10" s="1" customFormat="1" ht="12.75" x14ac:dyDescent="0.2">
      <c r="B2853" s="46"/>
      <c r="C2853" s="59"/>
      <c r="D2853" s="60"/>
      <c r="E2853" s="40"/>
      <c r="F2853" s="40"/>
      <c r="G2853" s="40"/>
      <c r="H2853" s="40"/>
      <c r="I2853" s="40"/>
      <c r="J2853" s="41"/>
    </row>
    <row r="2854" spans="2:10" s="1" customFormat="1" ht="12.75" x14ac:dyDescent="0.2">
      <c r="B2854" s="46"/>
      <c r="C2854" s="59"/>
      <c r="D2854" s="60"/>
      <c r="E2854" s="40"/>
      <c r="F2854" s="40"/>
      <c r="G2854" s="40"/>
      <c r="H2854" s="40"/>
      <c r="I2854" s="40"/>
      <c r="J2854" s="41"/>
    </row>
    <row r="2855" spans="2:10" s="1" customFormat="1" ht="12.75" x14ac:dyDescent="0.2">
      <c r="B2855" s="46"/>
      <c r="C2855" s="59"/>
      <c r="D2855" s="60"/>
      <c r="E2855" s="40"/>
      <c r="F2855" s="40"/>
      <c r="G2855" s="40"/>
      <c r="H2855" s="40"/>
      <c r="I2855" s="40"/>
      <c r="J2855" s="41"/>
    </row>
    <row r="2856" spans="2:10" s="1" customFormat="1" ht="12.75" x14ac:dyDescent="0.2">
      <c r="B2856" s="46"/>
      <c r="C2856" s="59"/>
      <c r="D2856" s="60"/>
      <c r="E2856" s="40"/>
      <c r="F2856" s="40"/>
      <c r="G2856" s="40"/>
      <c r="H2856" s="40"/>
      <c r="I2856" s="40"/>
      <c r="J2856" s="41"/>
    </row>
    <row r="2857" spans="2:10" s="1" customFormat="1" ht="12.75" x14ac:dyDescent="0.2">
      <c r="B2857" s="46"/>
      <c r="C2857" s="59"/>
      <c r="D2857" s="60"/>
      <c r="E2857" s="40"/>
      <c r="F2857" s="40"/>
      <c r="G2857" s="40"/>
      <c r="H2857" s="40"/>
      <c r="I2857" s="40"/>
      <c r="J2857" s="41"/>
    </row>
    <row r="2858" spans="2:10" s="1" customFormat="1" ht="12.75" x14ac:dyDescent="0.2">
      <c r="B2858" s="46"/>
      <c r="C2858" s="59"/>
      <c r="D2858" s="60"/>
      <c r="E2858" s="40"/>
      <c r="F2858" s="40"/>
      <c r="G2858" s="40"/>
      <c r="H2858" s="40"/>
      <c r="I2858" s="40"/>
      <c r="J2858" s="41"/>
    </row>
    <row r="2859" spans="2:10" s="1" customFormat="1" ht="12.75" x14ac:dyDescent="0.2">
      <c r="B2859" s="46"/>
      <c r="C2859" s="59"/>
      <c r="D2859" s="60"/>
      <c r="E2859" s="40"/>
      <c r="F2859" s="40"/>
      <c r="G2859" s="40"/>
      <c r="H2859" s="40"/>
      <c r="I2859" s="40"/>
      <c r="J2859" s="41"/>
    </row>
    <row r="2860" spans="2:10" s="1" customFormat="1" ht="12.75" x14ac:dyDescent="0.2">
      <c r="B2860" s="46"/>
      <c r="C2860" s="59"/>
      <c r="D2860" s="60"/>
      <c r="E2860" s="40"/>
      <c r="F2860" s="40"/>
      <c r="G2860" s="40"/>
      <c r="H2860" s="40"/>
      <c r="I2860" s="40"/>
      <c r="J2860" s="41"/>
    </row>
    <row r="2861" spans="2:10" s="1" customFormat="1" ht="12.75" x14ac:dyDescent="0.2">
      <c r="B2861" s="46"/>
      <c r="C2861" s="59"/>
      <c r="D2861" s="60"/>
      <c r="E2861" s="40"/>
      <c r="F2861" s="40"/>
      <c r="G2861" s="40"/>
      <c r="H2861" s="40"/>
      <c r="I2861" s="40"/>
      <c r="J2861" s="41"/>
    </row>
    <row r="2862" spans="2:10" s="1" customFormat="1" ht="12.75" x14ac:dyDescent="0.2">
      <c r="C2862" s="98" t="s">
        <v>37</v>
      </c>
      <c r="D2862" s="98"/>
      <c r="E2862" s="98"/>
      <c r="F2862" s="98"/>
      <c r="G2862" s="98"/>
      <c r="H2862" s="98"/>
    </row>
    <row r="2863" spans="2:10" s="1" customFormat="1" ht="12.75" x14ac:dyDescent="0.2">
      <c r="C2863" s="98" t="s">
        <v>38</v>
      </c>
      <c r="D2863" s="98"/>
      <c r="E2863" s="98"/>
      <c r="F2863" s="98"/>
      <c r="G2863" s="98"/>
      <c r="H2863" s="98"/>
    </row>
    <row r="2864" spans="2:10" s="1" customFormat="1" ht="12.75" x14ac:dyDescent="0.2">
      <c r="C2864" s="98" t="s">
        <v>39</v>
      </c>
      <c r="D2864" s="98"/>
      <c r="E2864" s="98"/>
      <c r="F2864" s="98"/>
      <c r="G2864" s="98"/>
      <c r="H2864" s="98"/>
    </row>
    <row r="2865" spans="2:10" s="1" customFormat="1" ht="12.75" x14ac:dyDescent="0.2">
      <c r="C2865" s="99" t="s">
        <v>40</v>
      </c>
      <c r="D2865" s="99"/>
      <c r="E2865" s="99"/>
      <c r="F2865" s="99"/>
      <c r="G2865" s="99"/>
      <c r="H2865" s="99"/>
    </row>
    <row r="2866" spans="2:10" s="1" customFormat="1" ht="28.5" customHeight="1" x14ac:dyDescent="0.2">
      <c r="C2866" s="80"/>
      <c r="D2866" s="99"/>
      <c r="E2866" s="99"/>
      <c r="F2866" s="99"/>
      <c r="G2866" s="99"/>
      <c r="H2866" s="99"/>
    </row>
    <row r="2867" spans="2:10" s="1" customFormat="1" ht="15.75" x14ac:dyDescent="0.2">
      <c r="B2867" s="100" t="s">
        <v>65</v>
      </c>
      <c r="C2867" s="101"/>
      <c r="D2867" s="101"/>
      <c r="E2867" s="101"/>
      <c r="F2867" s="101"/>
      <c r="G2867" s="101"/>
      <c r="H2867" s="101"/>
      <c r="I2867" s="101"/>
      <c r="J2867" s="102"/>
    </row>
    <row r="2868" spans="2:10" s="1" customFormat="1" ht="20.25" x14ac:dyDescent="0.2">
      <c r="B2868" s="104" t="s">
        <v>432</v>
      </c>
      <c r="C2868" s="105"/>
      <c r="D2868" s="105"/>
      <c r="E2868" s="105"/>
      <c r="F2868" s="105"/>
      <c r="G2868" s="105"/>
      <c r="H2868" s="105"/>
      <c r="I2868" s="105"/>
      <c r="J2868" s="106"/>
    </row>
    <row r="2869" spans="2:10" s="1" customFormat="1" ht="13.5" thickBot="1" x14ac:dyDescent="0.25">
      <c r="B2869" s="81"/>
      <c r="C2869" s="81"/>
      <c r="D2869" s="103"/>
      <c r="E2869" s="103"/>
      <c r="F2869" s="103"/>
      <c r="G2869" s="103"/>
      <c r="H2869" s="103"/>
      <c r="I2869" s="103"/>
      <c r="J2869" s="103"/>
    </row>
    <row r="2870" spans="2:10" s="1" customFormat="1" ht="165.75" x14ac:dyDescent="0.2">
      <c r="B2870" s="94" t="s">
        <v>27</v>
      </c>
      <c r="C2870" s="95"/>
      <c r="D2870" s="95"/>
      <c r="E2870" s="95"/>
      <c r="F2870" s="95"/>
      <c r="G2870" s="95"/>
      <c r="H2870" s="95"/>
      <c r="I2870" s="95"/>
      <c r="J2870" s="96"/>
    </row>
    <row r="2871" spans="2:10" s="1" customFormat="1" ht="12.75" x14ac:dyDescent="0.2">
      <c r="B2871" s="2" t="s">
        <v>35</v>
      </c>
      <c r="C2871" s="3" t="s">
        <v>36</v>
      </c>
      <c r="D2871" s="3"/>
      <c r="E2871" s="4"/>
      <c r="F2871" s="5"/>
      <c r="G2871" s="6" t="s">
        <v>8</v>
      </c>
      <c r="H2871" s="97">
        <v>42879</v>
      </c>
      <c r="I2871" s="97"/>
      <c r="J2871" s="7"/>
    </row>
    <row r="2872" spans="2:10" s="1" customFormat="1" ht="12.75" x14ac:dyDescent="0.2">
      <c r="B2872" s="2" t="s">
        <v>33</v>
      </c>
      <c r="C2872" s="3" t="s">
        <v>29</v>
      </c>
      <c r="D2872" s="8"/>
      <c r="E2872" s="8"/>
      <c r="F2872" s="3"/>
      <c r="G2872" s="9" t="s">
        <v>32</v>
      </c>
      <c r="H2872" s="4" t="s">
        <v>29</v>
      </c>
      <c r="I2872" s="10"/>
      <c r="J2872" s="11"/>
    </row>
    <row r="2873" spans="2:10" s="1" customFormat="1" ht="12.75" x14ac:dyDescent="0.2">
      <c r="B2873" s="2" t="s">
        <v>34</v>
      </c>
      <c r="C2873" s="3" t="s">
        <v>29</v>
      </c>
      <c r="D2873" s="8"/>
      <c r="E2873" s="8"/>
      <c r="F2873" s="3"/>
      <c r="G2873" s="9" t="s">
        <v>30</v>
      </c>
      <c r="H2873" s="4" t="s">
        <v>31</v>
      </c>
      <c r="I2873" s="10"/>
      <c r="J2873" s="11"/>
    </row>
    <row r="2874" spans="2:10" s="1" customFormat="1" ht="13.5" thickBot="1" x14ac:dyDescent="0.25">
      <c r="B2874" s="12" t="s">
        <v>43</v>
      </c>
      <c r="C2874" s="13" t="s">
        <v>44</v>
      </c>
      <c r="D2874" s="14"/>
      <c r="E2874" s="14"/>
      <c r="F2874" s="13"/>
      <c r="G2874" s="15" t="s">
        <v>41</v>
      </c>
      <c r="H2874" s="16" t="s">
        <v>42</v>
      </c>
      <c r="I2874" s="17"/>
      <c r="J2874" s="18"/>
    </row>
    <row r="2875" spans="2:10" s="1" customFormat="1" ht="12.75" x14ac:dyDescent="0.2">
      <c r="B2875" s="81"/>
      <c r="C2875" s="81"/>
      <c r="D2875" s="103"/>
      <c r="E2875" s="103"/>
      <c r="F2875" s="103"/>
      <c r="G2875" s="103"/>
      <c r="H2875" s="103"/>
      <c r="I2875" s="103"/>
      <c r="J2875" s="103"/>
    </row>
    <row r="2876" spans="2:10" s="1" customFormat="1" ht="12.75" x14ac:dyDescent="0.2">
      <c r="B2876" s="21" t="s">
        <v>5</v>
      </c>
      <c r="C2876" s="22" t="s">
        <v>0</v>
      </c>
      <c r="D2876" s="22" t="s">
        <v>9</v>
      </c>
      <c r="E2876" s="22" t="s">
        <v>10</v>
      </c>
      <c r="F2876" s="22" t="s">
        <v>1</v>
      </c>
      <c r="G2876" s="22" t="s">
        <v>2</v>
      </c>
      <c r="H2876" s="22" t="s">
        <v>11</v>
      </c>
      <c r="I2876" s="22" t="s">
        <v>6</v>
      </c>
      <c r="J2876" s="22" t="s">
        <v>7</v>
      </c>
    </row>
    <row r="2877" spans="2:10" s="1" customFormat="1" ht="12.75" x14ac:dyDescent="0.2">
      <c r="B2877" s="55">
        <v>4.03</v>
      </c>
      <c r="C2877" s="56" t="s">
        <v>222</v>
      </c>
      <c r="D2877" s="60"/>
      <c r="E2877" s="40"/>
      <c r="F2877" s="40"/>
      <c r="G2877" s="40"/>
      <c r="H2877" s="40"/>
      <c r="I2877" s="40"/>
      <c r="J2877" s="41"/>
    </row>
    <row r="2878" spans="2:10" s="1" customFormat="1" ht="12.75" x14ac:dyDescent="0.2">
      <c r="B2878" s="57" t="s">
        <v>14</v>
      </c>
      <c r="C2878" s="58" t="s">
        <v>225</v>
      </c>
      <c r="D2878" s="60"/>
      <c r="E2878" s="40"/>
      <c r="F2878" s="40"/>
      <c r="G2878" s="40"/>
      <c r="H2878" s="40"/>
      <c r="I2878" s="40"/>
      <c r="J2878" s="41"/>
    </row>
    <row r="2879" spans="2:10" s="1" customFormat="1" ht="12.75" x14ac:dyDescent="0.2">
      <c r="B2879" s="43" t="s">
        <v>15</v>
      </c>
      <c r="C2879" s="43" t="s">
        <v>359</v>
      </c>
      <c r="D2879" s="60"/>
      <c r="E2879" s="40"/>
      <c r="F2879" s="40"/>
      <c r="G2879" s="40"/>
      <c r="H2879" s="40"/>
      <c r="I2879" s="44">
        <f>SUM(H2880:H2880)</f>
        <v>0</v>
      </c>
      <c r="J2879" s="45" t="str">
        <f>+J2880</f>
        <v>ml</v>
      </c>
    </row>
    <row r="2880" spans="2:10" s="1" customFormat="1" ht="12.75" x14ac:dyDescent="0.2">
      <c r="B2880" s="43"/>
      <c r="C2880" s="39" t="s">
        <v>387</v>
      </c>
      <c r="D2880" s="40"/>
      <c r="E2880" s="40"/>
      <c r="F2880" s="40"/>
      <c r="G2880" s="40"/>
      <c r="H2880" s="40">
        <f>IF(AND(F2880=0,G2880=0),D2880*E2880,IF(AND(E2880=0,G2880=0),D2880*F2880,IF(AND(E2880=0,F2880=0),D2880*G2880,IF(AND(E2880=0),D2880*F2880*G2880,IF(AND(F2880=0),D2880*E2880*G2880,IF(AND(G2880=0),D2880*E2880*F2880,D2880*E2880*F2880*G2880))))))</f>
        <v>0</v>
      </c>
      <c r="I2880" s="40"/>
      <c r="J2880" s="41" t="str">
        <f>IF(AND(E2880=0,F2880&lt;&gt;0,G2880&lt;&gt;0),"m2",IF(AND(F2880=0,E2880&lt;&gt;0,G2880&lt;&gt;0),"m2",IF(AND(G2880=0,E2880&lt;&gt;0,F2880&lt;&gt;0),"m2",IF(AND(F2880=0,G2880=0),"ml",IF(AND(E2880=0,G2880=0),"ml",IF(AND(E2880=0,F2880=0),"ml",IF(AND(E2880&lt;&gt;0,F2880&lt;&gt;0,G2880&lt;&gt;0),"m3",0)))))))</f>
        <v>ml</v>
      </c>
    </row>
    <row r="2881" spans="2:10" s="1" customFormat="1" ht="12.75" x14ac:dyDescent="0.2">
      <c r="B2881" s="43"/>
      <c r="C2881" s="39"/>
      <c r="D2881" s="40"/>
      <c r="E2881" s="40"/>
      <c r="F2881" s="40"/>
      <c r="G2881" s="40"/>
      <c r="H2881" s="40">
        <f>IF(AND(F2881=0,G2881=0),D2881*E2881,IF(AND(E2881=0,G2881=0),D2881*F2881,IF(AND(E2881=0,F2881=0),D2881*G2881,IF(AND(E2881=0),D2881*F2881*G2881,IF(AND(F2881=0),D2881*E2881*G2881,IF(AND(G2881=0),D2881*E2881*F2881,D2881*E2881*F2881*G2881))))))</f>
        <v>0</v>
      </c>
      <c r="I2881" s="40"/>
      <c r="J2881" s="41" t="str">
        <f>IF(AND(E2881=0,F2881&lt;&gt;0,G2881&lt;&gt;0),"m2",IF(AND(F2881=0,E2881&lt;&gt;0,G2881&lt;&gt;0),"m2",IF(AND(G2881=0,E2881&lt;&gt;0,F2881&lt;&gt;0),"m2",IF(AND(F2881=0,G2881=0),"ml",IF(AND(E2881=0,G2881=0),"ml",IF(AND(E2881=0,F2881=0),"ml",IF(AND(E2881&lt;&gt;0,F2881&lt;&gt;0,G2881&lt;&gt;0),"m3",0)))))))</f>
        <v>ml</v>
      </c>
    </row>
    <row r="2882" spans="2:10" s="1" customFormat="1" ht="12.75" x14ac:dyDescent="0.2">
      <c r="B2882" s="43" t="s">
        <v>232</v>
      </c>
      <c r="C2882" s="43" t="s">
        <v>235</v>
      </c>
      <c r="D2882" s="60"/>
      <c r="E2882" s="40"/>
      <c r="F2882" s="40"/>
      <c r="G2882" s="40"/>
      <c r="H2882" s="40"/>
      <c r="I2882" s="44">
        <f>SUM(H2883:H2883)</f>
        <v>0</v>
      </c>
      <c r="J2882" s="45" t="str">
        <f>+J2883</f>
        <v>ml</v>
      </c>
    </row>
    <row r="2883" spans="2:10" s="1" customFormat="1" ht="12.75" x14ac:dyDescent="0.2">
      <c r="B2883" s="57"/>
      <c r="C2883" s="39" t="s">
        <v>378</v>
      </c>
      <c r="D2883" s="40"/>
      <c r="E2883" s="40"/>
      <c r="F2883" s="40"/>
      <c r="G2883" s="40"/>
      <c r="H2883" s="40">
        <f>IF(AND(F2883=0,G2883=0),D2883*E2883,IF(AND(E2883=0,G2883=0),D2883*F2883,IF(AND(E2883=0,F2883=0),D2883*G2883,IF(AND(E2883=0),D2883*F2883*G2883,IF(AND(F2883=0),D2883*E2883*G2883,IF(AND(G2883=0),D2883*E2883*F2883,D2883*E2883*F2883*G2883))))))</f>
        <v>0</v>
      </c>
      <c r="I2883" s="40"/>
      <c r="J2883" s="41" t="str">
        <f>IF(AND(E2883=0,F2883&lt;&gt;0,G2883&lt;&gt;0),"m2",IF(AND(F2883=0,E2883&lt;&gt;0,G2883&lt;&gt;0),"m2",IF(AND(G2883=0,E2883&lt;&gt;0,F2883&lt;&gt;0),"m2",IF(AND(F2883=0,G2883=0),"ml",IF(AND(E2883=0,G2883=0),"ml",IF(AND(E2883=0,F2883=0),"ml",IF(AND(E2883&lt;&gt;0,F2883&lt;&gt;0,G2883&lt;&gt;0),"m3",0)))))))</f>
        <v>ml</v>
      </c>
    </row>
    <row r="2884" spans="2:10" s="1" customFormat="1" ht="12.75" x14ac:dyDescent="0.2">
      <c r="B2884" s="57"/>
      <c r="C2884" s="39" t="s">
        <v>379</v>
      </c>
      <c r="D2884" s="40"/>
      <c r="E2884" s="40"/>
      <c r="F2884" s="40"/>
      <c r="G2884" s="40"/>
      <c r="H2884" s="40">
        <f>IF(AND(F2884=0,G2884=0),D2884*E2884,IF(AND(E2884=0,G2884=0),D2884*F2884,IF(AND(E2884=0,F2884=0),D2884*G2884,IF(AND(E2884=0),D2884*F2884*G2884,IF(AND(F2884=0),D2884*E2884*G2884,IF(AND(G2884=0),D2884*E2884*F2884,D2884*E2884*F2884*G2884))))))</f>
        <v>0</v>
      </c>
      <c r="I2884" s="40"/>
      <c r="J2884" s="41" t="str">
        <f>IF(AND(E2884=0,F2884&lt;&gt;0,G2884&lt;&gt;0),"m2",IF(AND(F2884=0,E2884&lt;&gt;0,G2884&lt;&gt;0),"m2",IF(AND(G2884=0,E2884&lt;&gt;0,F2884&lt;&gt;0),"m2",IF(AND(F2884=0,G2884=0),"ml",IF(AND(E2884=0,G2884=0),"ml",IF(AND(E2884=0,F2884=0),"ml",IF(AND(E2884&lt;&gt;0,F2884&lt;&gt;0,G2884&lt;&gt;0),"m3",0)))))))</f>
        <v>ml</v>
      </c>
    </row>
    <row r="2885" spans="2:10" s="1" customFormat="1" ht="12.75" x14ac:dyDescent="0.2">
      <c r="B2885" s="43" t="s">
        <v>233</v>
      </c>
      <c r="C2885" s="43" t="s">
        <v>236</v>
      </c>
      <c r="D2885" s="60"/>
      <c r="E2885" s="40"/>
      <c r="F2885" s="40"/>
      <c r="G2885" s="40"/>
      <c r="H2885" s="40"/>
      <c r="I2885" s="44">
        <f>SUM(H2886:H2886)</f>
        <v>0</v>
      </c>
      <c r="J2885" s="45" t="str">
        <f>+J2886</f>
        <v>ml</v>
      </c>
    </row>
    <row r="2886" spans="2:10" s="1" customFormat="1" ht="12.75" x14ac:dyDescent="0.2">
      <c r="B2886" s="57"/>
      <c r="C2886" s="39" t="s">
        <v>378</v>
      </c>
      <c r="D2886" s="40"/>
      <c r="E2886" s="40"/>
      <c r="F2886" s="40"/>
      <c r="G2886" s="40"/>
      <c r="H2886" s="40">
        <f>IF(AND(F2886=0,G2886=0),D2886*E2886,IF(AND(E2886=0,G2886=0),D2886*F2886,IF(AND(E2886=0,F2886=0),D2886*G2886,IF(AND(E2886=0),D2886*F2886*G2886,IF(AND(F2886=0),D2886*E2886*G2886,IF(AND(G2886=0),D2886*E2886*F2886,D2886*E2886*F2886*G2886))))))</f>
        <v>0</v>
      </c>
      <c r="I2886" s="40"/>
      <c r="J2886" s="41" t="str">
        <f>IF(AND(E2886=0,F2886&lt;&gt;0,G2886&lt;&gt;0),"m2",IF(AND(F2886=0,E2886&lt;&gt;0,G2886&lt;&gt;0),"m2",IF(AND(G2886=0,E2886&lt;&gt;0,F2886&lt;&gt;0),"m2",IF(AND(F2886=0,G2886=0),"ml",IF(AND(E2886=0,G2886=0),"ml",IF(AND(E2886=0,F2886=0),"ml",IF(AND(E2886&lt;&gt;0,F2886&lt;&gt;0,G2886&lt;&gt;0),"m3",0)))))))</f>
        <v>ml</v>
      </c>
    </row>
    <row r="2887" spans="2:10" s="1" customFormat="1" ht="12.75" x14ac:dyDescent="0.2">
      <c r="B2887" s="57"/>
      <c r="C2887" s="39" t="s">
        <v>379</v>
      </c>
      <c r="D2887" s="40"/>
      <c r="E2887" s="40"/>
      <c r="F2887" s="40"/>
      <c r="G2887" s="40"/>
      <c r="H2887" s="40">
        <f>IF(AND(F2887=0,G2887=0),D2887*E2887,IF(AND(E2887=0,G2887=0),D2887*F2887,IF(AND(E2887=0,F2887=0),D2887*G2887,IF(AND(E2887=0),D2887*F2887*G2887,IF(AND(F2887=0),D2887*E2887*G2887,IF(AND(G2887=0),D2887*E2887*F2887,D2887*E2887*F2887*G2887))))))</f>
        <v>0</v>
      </c>
      <c r="I2887" s="40"/>
      <c r="J2887" s="41" t="str">
        <f>IF(AND(E2887=0,F2887&lt;&gt;0,G2887&lt;&gt;0),"m2",IF(AND(F2887=0,E2887&lt;&gt;0,G2887&lt;&gt;0),"m2",IF(AND(G2887=0,E2887&lt;&gt;0,F2887&lt;&gt;0),"m2",IF(AND(F2887=0,G2887=0),"ml",IF(AND(E2887=0,G2887=0),"ml",IF(AND(E2887=0,F2887=0),"ml",IF(AND(E2887&lt;&gt;0,F2887&lt;&gt;0,G2887&lt;&gt;0),"m3",0)))))))</f>
        <v>ml</v>
      </c>
    </row>
    <row r="2888" spans="2:10" s="1" customFormat="1" ht="12.75" x14ac:dyDescent="0.2">
      <c r="B2888" s="43" t="s">
        <v>234</v>
      </c>
      <c r="C2888" s="43" t="s">
        <v>267</v>
      </c>
      <c r="D2888" s="60"/>
      <c r="E2888" s="40"/>
      <c r="F2888" s="40"/>
      <c r="G2888" s="40"/>
      <c r="H2888" s="40"/>
      <c r="I2888" s="44">
        <f>SUM(H2890:H2895)</f>
        <v>0</v>
      </c>
      <c r="J2888" s="45" t="str">
        <f>+J2890</f>
        <v>ml</v>
      </c>
    </row>
    <row r="2889" spans="2:10" s="1" customFormat="1" ht="12.75" x14ac:dyDescent="0.2">
      <c r="B2889" s="43"/>
      <c r="C2889" s="77" t="s">
        <v>71</v>
      </c>
      <c r="D2889" s="60"/>
      <c r="E2889" s="40"/>
      <c r="F2889" s="40"/>
      <c r="G2889" s="40"/>
      <c r="H2889" s="40"/>
      <c r="I2889" s="44"/>
      <c r="J2889" s="45"/>
    </row>
    <row r="2890" spans="2:10" s="1" customFormat="1" ht="12.75" x14ac:dyDescent="0.2">
      <c r="B2890" s="43"/>
      <c r="C2890" s="39" t="s">
        <v>349</v>
      </c>
      <c r="D2890" s="40"/>
      <c r="E2890" s="40"/>
      <c r="F2890" s="40"/>
      <c r="G2890" s="40"/>
      <c r="H2890" s="40">
        <f t="shared" ref="H2890:H2895" si="198">IF(AND(F2890=0,G2890=0),D2890*E2890,IF(AND(E2890=0,G2890=0),D2890*F2890,IF(AND(E2890=0,F2890=0),D2890*G2890,IF(AND(E2890=0),D2890*F2890*G2890,IF(AND(F2890=0),D2890*E2890*G2890,IF(AND(G2890=0),D2890*E2890*F2890,D2890*E2890*F2890*G2890))))))</f>
        <v>0</v>
      </c>
      <c r="I2890" s="40"/>
      <c r="J2890" s="41" t="str">
        <f t="shared" ref="J2890:J2895" si="199">IF(AND(E2890=0,F2890&lt;&gt;0,G2890&lt;&gt;0),"m2",IF(AND(F2890=0,E2890&lt;&gt;0,G2890&lt;&gt;0),"m2",IF(AND(G2890=0,E2890&lt;&gt;0,F2890&lt;&gt;0),"m2",IF(AND(F2890=0,G2890=0),"ml",IF(AND(E2890=0,G2890=0),"ml",IF(AND(E2890=0,F2890=0),"ml",IF(AND(E2890&lt;&gt;0,F2890&lt;&gt;0,G2890&lt;&gt;0),"m3",0)))))))</f>
        <v>ml</v>
      </c>
    </row>
    <row r="2891" spans="2:10" s="1" customFormat="1" ht="12.75" x14ac:dyDescent="0.2">
      <c r="B2891" s="43"/>
      <c r="C2891" s="39" t="s">
        <v>369</v>
      </c>
      <c r="D2891" s="40"/>
      <c r="E2891" s="40"/>
      <c r="F2891" s="40"/>
      <c r="G2891" s="40"/>
      <c r="H2891" s="40">
        <f t="shared" si="198"/>
        <v>0</v>
      </c>
      <c r="I2891" s="40"/>
      <c r="J2891" s="41" t="str">
        <f t="shared" si="199"/>
        <v>ml</v>
      </c>
    </row>
    <row r="2892" spans="2:10" s="1" customFormat="1" ht="12.75" x14ac:dyDescent="0.2">
      <c r="B2892" s="43"/>
      <c r="C2892" s="77" t="s">
        <v>72</v>
      </c>
      <c r="D2892" s="40"/>
      <c r="E2892" s="40"/>
      <c r="F2892" s="40"/>
      <c r="G2892" s="40"/>
      <c r="H2892" s="40">
        <f t="shared" si="198"/>
        <v>0</v>
      </c>
      <c r="I2892" s="40"/>
      <c r="J2892" s="41" t="str">
        <f t="shared" si="199"/>
        <v>ml</v>
      </c>
    </row>
    <row r="2893" spans="2:10" s="1" customFormat="1" ht="12.75" x14ac:dyDescent="0.2">
      <c r="B2893" s="43"/>
      <c r="C2893" s="39" t="s">
        <v>349</v>
      </c>
      <c r="D2893" s="40"/>
      <c r="E2893" s="40"/>
      <c r="F2893" s="40"/>
      <c r="G2893" s="40"/>
      <c r="H2893" s="40">
        <f t="shared" si="198"/>
        <v>0</v>
      </c>
      <c r="I2893" s="40"/>
      <c r="J2893" s="41" t="str">
        <f t="shared" si="199"/>
        <v>ml</v>
      </c>
    </row>
    <row r="2894" spans="2:10" s="1" customFormat="1" ht="12.75" x14ac:dyDescent="0.2">
      <c r="B2894" s="43"/>
      <c r="C2894" s="77" t="s">
        <v>73</v>
      </c>
      <c r="D2894" s="40"/>
      <c r="E2894" s="40"/>
      <c r="F2894" s="40"/>
      <c r="G2894" s="40"/>
      <c r="H2894" s="40">
        <f t="shared" si="198"/>
        <v>0</v>
      </c>
      <c r="I2894" s="40"/>
      <c r="J2894" s="41" t="str">
        <f t="shared" si="199"/>
        <v>ml</v>
      </c>
    </row>
    <row r="2895" spans="2:10" s="1" customFormat="1" ht="12.75" x14ac:dyDescent="0.2">
      <c r="B2895" s="43"/>
      <c r="C2895" s="39" t="s">
        <v>349</v>
      </c>
      <c r="D2895" s="40"/>
      <c r="E2895" s="40"/>
      <c r="F2895" s="40"/>
      <c r="G2895" s="40"/>
      <c r="H2895" s="40">
        <f t="shared" si="198"/>
        <v>0</v>
      </c>
      <c r="I2895" s="40"/>
      <c r="J2895" s="41" t="str">
        <f t="shared" si="199"/>
        <v>ml</v>
      </c>
    </row>
    <row r="2896" spans="2:10" s="1" customFormat="1" ht="12.75" x14ac:dyDescent="0.2">
      <c r="B2896" s="43" t="s">
        <v>268</v>
      </c>
      <c r="C2896" s="43" t="s">
        <v>347</v>
      </c>
      <c r="D2896" s="60"/>
      <c r="E2896" s="40"/>
      <c r="F2896" s="40"/>
      <c r="G2896" s="40"/>
      <c r="H2896" s="40"/>
      <c r="I2896" s="44">
        <f>SUM(H2897:H2903)</f>
        <v>0</v>
      </c>
      <c r="J2896" s="45" t="str">
        <f>+J2897</f>
        <v>ml</v>
      </c>
    </row>
    <row r="2897" spans="2:10" s="1" customFormat="1" ht="12.75" x14ac:dyDescent="0.2">
      <c r="B2897" s="57"/>
      <c r="C2897" s="77" t="s">
        <v>71</v>
      </c>
      <c r="D2897" s="40"/>
      <c r="E2897" s="40"/>
      <c r="F2897" s="40"/>
      <c r="G2897" s="40"/>
      <c r="H2897" s="40">
        <f t="shared" ref="H2897:H2903" si="200">IF(AND(F2897=0,G2897=0),D2897*E2897,IF(AND(E2897=0,G2897=0),D2897*F2897,IF(AND(E2897=0,F2897=0),D2897*G2897,IF(AND(E2897=0),D2897*F2897*G2897,IF(AND(F2897=0),D2897*E2897*G2897,IF(AND(G2897=0),D2897*E2897*F2897,D2897*E2897*F2897*G2897))))))</f>
        <v>0</v>
      </c>
      <c r="I2897" s="40"/>
      <c r="J2897" s="41" t="str">
        <f t="shared" ref="J2897:J2903" si="201">IF(AND(E2897=0,F2897&lt;&gt;0,G2897&lt;&gt;0),"m2",IF(AND(F2897=0,E2897&lt;&gt;0,G2897&lt;&gt;0),"m2",IF(AND(G2897=0,E2897&lt;&gt;0,F2897&lt;&gt;0),"m2",IF(AND(F2897=0,G2897=0),"ml",IF(AND(E2897=0,G2897=0),"ml",IF(AND(E2897=0,F2897=0),"ml",IF(AND(E2897&lt;&gt;0,F2897&lt;&gt;0,G2897&lt;&gt;0),"m3",0)))))))</f>
        <v>ml</v>
      </c>
    </row>
    <row r="2898" spans="2:10" s="1" customFormat="1" ht="12.75" x14ac:dyDescent="0.2">
      <c r="B2898" s="57"/>
      <c r="C2898" s="39" t="s">
        <v>349</v>
      </c>
      <c r="D2898" s="40"/>
      <c r="E2898" s="40"/>
      <c r="F2898" s="40"/>
      <c r="G2898" s="40"/>
      <c r="H2898" s="40">
        <f t="shared" si="200"/>
        <v>0</v>
      </c>
      <c r="I2898" s="40"/>
      <c r="J2898" s="41" t="str">
        <f t="shared" si="201"/>
        <v>ml</v>
      </c>
    </row>
    <row r="2899" spans="2:10" s="1" customFormat="1" ht="12.75" x14ac:dyDescent="0.2">
      <c r="B2899" s="57"/>
      <c r="C2899" s="39" t="s">
        <v>369</v>
      </c>
      <c r="D2899" s="40"/>
      <c r="E2899" s="40"/>
      <c r="F2899" s="40"/>
      <c r="G2899" s="40"/>
      <c r="H2899" s="40">
        <f t="shared" si="200"/>
        <v>0</v>
      </c>
      <c r="I2899" s="40"/>
      <c r="J2899" s="41" t="str">
        <f t="shared" si="201"/>
        <v>ml</v>
      </c>
    </row>
    <row r="2900" spans="2:10" s="1" customFormat="1" ht="12.75" x14ac:dyDescent="0.2">
      <c r="B2900" s="57"/>
      <c r="C2900" s="77" t="s">
        <v>72</v>
      </c>
      <c r="D2900" s="40"/>
      <c r="E2900" s="40"/>
      <c r="F2900" s="40"/>
      <c r="G2900" s="40"/>
      <c r="H2900" s="40">
        <f t="shared" si="200"/>
        <v>0</v>
      </c>
      <c r="I2900" s="40"/>
      <c r="J2900" s="41" t="str">
        <f t="shared" si="201"/>
        <v>ml</v>
      </c>
    </row>
    <row r="2901" spans="2:10" s="1" customFormat="1" ht="12.75" x14ac:dyDescent="0.2">
      <c r="B2901" s="57"/>
      <c r="C2901" s="39" t="s">
        <v>349</v>
      </c>
      <c r="D2901" s="40"/>
      <c r="E2901" s="40"/>
      <c r="F2901" s="40"/>
      <c r="G2901" s="40"/>
      <c r="H2901" s="40">
        <f t="shared" si="200"/>
        <v>0</v>
      </c>
      <c r="I2901" s="40"/>
      <c r="J2901" s="41" t="str">
        <f t="shared" si="201"/>
        <v>ml</v>
      </c>
    </row>
    <row r="2902" spans="2:10" s="1" customFormat="1" ht="12.75" x14ac:dyDescent="0.2">
      <c r="B2902" s="57"/>
      <c r="C2902" s="77" t="s">
        <v>73</v>
      </c>
      <c r="D2902" s="40"/>
      <c r="E2902" s="40"/>
      <c r="F2902" s="40"/>
      <c r="G2902" s="40"/>
      <c r="H2902" s="40">
        <f t="shared" si="200"/>
        <v>0</v>
      </c>
      <c r="I2902" s="40"/>
      <c r="J2902" s="41" t="str">
        <f t="shared" si="201"/>
        <v>ml</v>
      </c>
    </row>
    <row r="2903" spans="2:10" s="1" customFormat="1" ht="12.75" x14ac:dyDescent="0.2">
      <c r="B2903" s="57"/>
      <c r="C2903" s="39" t="s">
        <v>349</v>
      </c>
      <c r="D2903" s="40"/>
      <c r="E2903" s="40"/>
      <c r="F2903" s="40"/>
      <c r="G2903" s="40"/>
      <c r="H2903" s="40">
        <f t="shared" si="200"/>
        <v>0</v>
      </c>
      <c r="I2903" s="40"/>
      <c r="J2903" s="41" t="str">
        <f t="shared" si="201"/>
        <v>ml</v>
      </c>
    </row>
    <row r="2904" spans="2:10" s="1" customFormat="1" ht="12.75" x14ac:dyDescent="0.2">
      <c r="B2904" s="43" t="s">
        <v>270</v>
      </c>
      <c r="C2904" s="43" t="s">
        <v>269</v>
      </c>
      <c r="D2904" s="60"/>
      <c r="E2904" s="40"/>
      <c r="F2904" s="40"/>
      <c r="G2904" s="40"/>
      <c r="H2904" s="40"/>
      <c r="I2904" s="44">
        <f>SUM(H2905:H2911)</f>
        <v>459</v>
      </c>
      <c r="J2904" s="45" t="str">
        <f>+J2905</f>
        <v>ml</v>
      </c>
    </row>
    <row r="2905" spans="2:10" s="1" customFormat="1" ht="12.75" x14ac:dyDescent="0.2">
      <c r="B2905" s="43"/>
      <c r="C2905" s="77" t="s">
        <v>71</v>
      </c>
      <c r="D2905" s="40"/>
      <c r="E2905" s="40"/>
      <c r="F2905" s="40"/>
      <c r="G2905" s="113"/>
      <c r="H2905" s="114"/>
      <c r="I2905" s="40"/>
      <c r="J2905" s="41" t="str">
        <f>IF(AND(E2905=0,F2905&lt;&gt;0,G2905&lt;&gt;0),"m2",IF(AND(F2905=0,E2905&lt;&gt;0,G2905&lt;&gt;0),"m2",IF(AND(G2905=0,E2905&lt;&gt;0,F2905&lt;&gt;0),"m2",IF(AND(F2905=0,G2905=0),"ml",IF(AND(E2905=0,G2905=0),"ml",IF(AND(E2905=0,F2905=0),"ml",IF(AND(E2905&lt;&gt;0,F2905&lt;&gt;0,G2905&lt;&gt;0),"m3",0)))))))</f>
        <v>ml</v>
      </c>
    </row>
    <row r="2906" spans="2:10" s="1" customFormat="1" ht="12.75" x14ac:dyDescent="0.2">
      <c r="B2906" s="43"/>
      <c r="C2906" s="39" t="s">
        <v>349</v>
      </c>
      <c r="D2906" s="40">
        <v>36</v>
      </c>
      <c r="E2906" s="40">
        <v>3.25</v>
      </c>
      <c r="F2906" s="40"/>
      <c r="H2906" s="113">
        <f t="shared" ref="H2906:H2911" si="202">+D2906*E2906</f>
        <v>117</v>
      </c>
      <c r="I2906" s="40"/>
      <c r="J2906" s="41" t="str">
        <f t="shared" ref="J2906:J2911" si="203">IF(AND(E2906=0,F2906&lt;&gt;0,H2906&lt;&gt;0),"m2",IF(AND(F2906=0,E2906&lt;&gt;0,H2906&lt;&gt;0),"m2",IF(AND(H2906=0,E2906&lt;&gt;0,F2906&lt;&gt;0),"m2",IF(AND(F2906=0,H2906=0),"ml",IF(AND(E2906=0,H2906=0),"ml",IF(AND(E2906=0,F2906=0),"ml",IF(AND(E2906&lt;&gt;0,F2906&lt;&gt;0,H2906&lt;&gt;0),"m3",0)))))))</f>
        <v>m2</v>
      </c>
    </row>
    <row r="2907" spans="2:10" s="1" customFormat="1" ht="12.75" x14ac:dyDescent="0.2">
      <c r="B2907" s="43"/>
      <c r="C2907" s="39" t="s">
        <v>369</v>
      </c>
      <c r="D2907" s="40">
        <v>36</v>
      </c>
      <c r="E2907" s="40">
        <v>3</v>
      </c>
      <c r="F2907" s="40"/>
      <c r="H2907" s="113">
        <f t="shared" si="202"/>
        <v>108</v>
      </c>
      <c r="I2907" s="40"/>
      <c r="J2907" s="41" t="str">
        <f t="shared" si="203"/>
        <v>m2</v>
      </c>
    </row>
    <row r="2908" spans="2:10" s="1" customFormat="1" ht="12.75" x14ac:dyDescent="0.2">
      <c r="B2908" s="43"/>
      <c r="C2908" s="77" t="s">
        <v>72</v>
      </c>
      <c r="D2908" s="40"/>
      <c r="E2908" s="40"/>
      <c r="F2908" s="40"/>
      <c r="H2908" s="113">
        <f t="shared" si="202"/>
        <v>0</v>
      </c>
      <c r="I2908" s="40"/>
      <c r="J2908" s="41" t="str">
        <f t="shared" si="203"/>
        <v>ml</v>
      </c>
    </row>
    <row r="2909" spans="2:10" s="1" customFormat="1" ht="12.75" x14ac:dyDescent="0.2">
      <c r="B2909" s="43"/>
      <c r="C2909" s="39" t="s">
        <v>349</v>
      </c>
      <c r="D2909" s="40">
        <v>36</v>
      </c>
      <c r="E2909" s="40">
        <v>3.25</v>
      </c>
      <c r="F2909" s="40"/>
      <c r="H2909" s="113">
        <f t="shared" si="202"/>
        <v>117</v>
      </c>
      <c r="I2909" s="40"/>
      <c r="J2909" s="41" t="str">
        <f t="shared" si="203"/>
        <v>m2</v>
      </c>
    </row>
    <row r="2910" spans="2:10" s="1" customFormat="1" ht="12.75" x14ac:dyDescent="0.2">
      <c r="B2910" s="43"/>
      <c r="C2910" s="77" t="s">
        <v>73</v>
      </c>
      <c r="D2910" s="40"/>
      <c r="E2910" s="40"/>
      <c r="F2910" s="40"/>
      <c r="H2910" s="113">
        <f t="shared" si="202"/>
        <v>0</v>
      </c>
      <c r="I2910" s="40"/>
      <c r="J2910" s="41" t="str">
        <f t="shared" si="203"/>
        <v>ml</v>
      </c>
    </row>
    <row r="2911" spans="2:10" s="1" customFormat="1" ht="12.75" x14ac:dyDescent="0.2">
      <c r="B2911" s="43"/>
      <c r="C2911" s="39" t="s">
        <v>349</v>
      </c>
      <c r="D2911" s="40">
        <v>36</v>
      </c>
      <c r="E2911" s="40">
        <v>3.25</v>
      </c>
      <c r="F2911" s="40"/>
      <c r="H2911" s="113">
        <f t="shared" si="202"/>
        <v>117</v>
      </c>
      <c r="I2911" s="40"/>
      <c r="J2911" s="41" t="str">
        <f t="shared" si="203"/>
        <v>m2</v>
      </c>
    </row>
    <row r="2912" spans="2:10" s="1" customFormat="1" ht="12.75" x14ac:dyDescent="0.2">
      <c r="B2912" s="43" t="s">
        <v>342</v>
      </c>
      <c r="C2912" s="43" t="s">
        <v>271</v>
      </c>
      <c r="D2912" s="60"/>
      <c r="E2912" s="40"/>
      <c r="F2912" s="40"/>
      <c r="G2912" s="113"/>
      <c r="H2912" s="113"/>
      <c r="I2912" s="44">
        <f>SUM(H2913:H2913)</f>
        <v>18</v>
      </c>
      <c r="J2912" s="45" t="str">
        <f>+J2913</f>
        <v>und</v>
      </c>
    </row>
    <row r="2913" spans="2:10" s="1" customFormat="1" ht="12.75" x14ac:dyDescent="0.2">
      <c r="B2913" s="57"/>
      <c r="C2913" s="39" t="s">
        <v>370</v>
      </c>
      <c r="D2913" s="40">
        <v>18</v>
      </c>
      <c r="E2913" s="40"/>
      <c r="F2913" s="40"/>
      <c r="G2913" s="40"/>
      <c r="H2913" s="40">
        <f>+D2913</f>
        <v>18</v>
      </c>
      <c r="I2913" s="40"/>
      <c r="J2913" s="41" t="s">
        <v>13</v>
      </c>
    </row>
    <row r="2914" spans="2:10" s="1" customFormat="1" ht="12.75" x14ac:dyDescent="0.2">
      <c r="B2914" s="43" t="s">
        <v>346</v>
      </c>
      <c r="C2914" s="43" t="s">
        <v>348</v>
      </c>
      <c r="D2914" s="60"/>
      <c r="E2914" s="40"/>
      <c r="F2914" s="40"/>
      <c r="G2914" s="40"/>
      <c r="H2914" s="40"/>
      <c r="I2914" s="44">
        <f>SUM(H2915:H2915)</f>
        <v>18</v>
      </c>
      <c r="J2914" s="45" t="str">
        <f>+J2915</f>
        <v>und</v>
      </c>
    </row>
    <row r="2915" spans="2:10" s="1" customFormat="1" ht="12.75" x14ac:dyDescent="0.2">
      <c r="B2915" s="57"/>
      <c r="C2915" s="39" t="s">
        <v>349</v>
      </c>
      <c r="D2915" s="40">
        <v>18</v>
      </c>
      <c r="E2915" s="40"/>
      <c r="F2915" s="40"/>
      <c r="G2915" s="40"/>
      <c r="H2915" s="40">
        <f>+D2915</f>
        <v>18</v>
      </c>
      <c r="I2915" s="40"/>
      <c r="J2915" s="41" t="s">
        <v>13</v>
      </c>
    </row>
    <row r="2916" spans="2:10" s="1" customFormat="1" ht="12.75" x14ac:dyDescent="0.2">
      <c r="B2916" s="57" t="s">
        <v>16</v>
      </c>
      <c r="C2916" s="58" t="s">
        <v>224</v>
      </c>
      <c r="D2916" s="60"/>
      <c r="E2916" s="40"/>
      <c r="F2916" s="40"/>
      <c r="G2916" s="40"/>
      <c r="H2916" s="40"/>
      <c r="I2916" s="40"/>
      <c r="J2916" s="41"/>
    </row>
    <row r="2917" spans="2:10" s="1" customFormat="1" ht="12.75" x14ac:dyDescent="0.2">
      <c r="B2917" s="43" t="s">
        <v>17</v>
      </c>
      <c r="C2917" s="43" t="s">
        <v>343</v>
      </c>
      <c r="D2917" s="60"/>
      <c r="E2917" s="40"/>
      <c r="F2917" s="40"/>
      <c r="G2917" s="40"/>
      <c r="H2917" s="40"/>
      <c r="I2917" s="44">
        <f>SUM(H2918:H2919)</f>
        <v>0</v>
      </c>
      <c r="J2917" s="45" t="str">
        <f>+J2918</f>
        <v>ml</v>
      </c>
    </row>
    <row r="2918" spans="2:10" s="1" customFormat="1" ht="12.75" x14ac:dyDescent="0.2">
      <c r="B2918" s="57"/>
      <c r="C2918" s="39" t="s">
        <v>425</v>
      </c>
      <c r="D2918" s="40"/>
      <c r="E2918" s="40"/>
      <c r="F2918" s="40"/>
      <c r="G2918" s="40"/>
      <c r="H2918" s="40">
        <f>IF(AND(F2918=0,G2918=0),D2918*E2918,IF(AND(E2918=0,G2918=0),D2918*F2918,IF(AND(E2918=0,F2918=0),D2918*G2918,IF(AND(E2918=0),D2918*F2918*G2918,IF(AND(F2918=0),D2918*E2918*G2918,IF(AND(G2918=0),D2918*E2918*F2918,D2918*E2918*F2918*G2918))))))</f>
        <v>0</v>
      </c>
      <c r="I2918" s="40"/>
      <c r="J2918" s="41" t="str">
        <f>IF(AND(E2918=0,F2918&lt;&gt;0,G2918&lt;&gt;0),"m2",IF(AND(F2918=0,E2918&lt;&gt;0,G2918&lt;&gt;0),"m2",IF(AND(G2918=0,E2918&lt;&gt;0,F2918&lt;&gt;0),"m2",IF(AND(F2918=0,G2918=0),"ml",IF(AND(E2918=0,G2918=0),"ml",IF(AND(E2918=0,F2918=0),"ml",IF(AND(E2918&lt;&gt;0,F2918&lt;&gt;0,G2918&lt;&gt;0),"m3",0)))))))</f>
        <v>ml</v>
      </c>
    </row>
    <row r="2919" spans="2:10" s="1" customFormat="1" ht="12.75" x14ac:dyDescent="0.2">
      <c r="B2919" s="57"/>
      <c r="C2919" s="39" t="s">
        <v>425</v>
      </c>
      <c r="D2919" s="40"/>
      <c r="E2919" s="40"/>
      <c r="F2919" s="40"/>
      <c r="G2919" s="40"/>
      <c r="H2919" s="40">
        <f>IF(AND(F2919=0,G2919=0),D2919*E2919,IF(AND(E2919=0,G2919=0),D2919*F2919,IF(AND(E2919=0,F2919=0),D2919*G2919,IF(AND(E2919=0),D2919*F2919*G2919,IF(AND(F2919=0),D2919*E2919*G2919,IF(AND(G2919=0),D2919*E2919*F2919,D2919*E2919*F2919*G2919))))))</f>
        <v>0</v>
      </c>
      <c r="I2919" s="40"/>
      <c r="J2919" s="41"/>
    </row>
    <row r="2920" spans="2:10" s="1" customFormat="1" ht="12.75" x14ac:dyDescent="0.2">
      <c r="B2920" s="43" t="s">
        <v>240</v>
      </c>
      <c r="C2920" s="43" t="s">
        <v>237</v>
      </c>
      <c r="D2920" s="60"/>
      <c r="E2920" s="40"/>
      <c r="F2920" s="40"/>
      <c r="G2920" s="40"/>
      <c r="H2920" s="40"/>
      <c r="I2920" s="44">
        <f>SUM(H2921:H2923)</f>
        <v>0</v>
      </c>
      <c r="J2920" s="45" t="str">
        <f>+J2921</f>
        <v>ml</v>
      </c>
    </row>
    <row r="2921" spans="2:10" s="1" customFormat="1" ht="12.75" x14ac:dyDescent="0.2">
      <c r="B2921" s="57"/>
      <c r="C2921" s="39" t="s">
        <v>427</v>
      </c>
      <c r="D2921" s="40"/>
      <c r="E2921" s="40"/>
      <c r="F2921" s="40"/>
      <c r="G2921" s="40"/>
      <c r="H2921" s="40">
        <f>IF(AND(F2921=0,G2921=0),D2921*E2921,IF(AND(E2921=0,G2921=0),D2921*F2921,IF(AND(E2921=0,F2921=0),D2921*G2921,IF(AND(E2921=0),D2921*F2921*G2921,IF(AND(F2921=0),D2921*E2921*G2921,IF(AND(G2921=0),D2921*E2921*F2921,D2921*E2921*F2921*G2921))))))</f>
        <v>0</v>
      </c>
      <c r="I2921" s="40"/>
      <c r="J2921" s="41" t="str">
        <f>IF(AND(E2921=0,F2921&lt;&gt;0,G2921&lt;&gt;0),"m2",IF(AND(F2921=0,E2921&lt;&gt;0,G2921&lt;&gt;0),"m2",IF(AND(G2921=0,E2921&lt;&gt;0,F2921&lt;&gt;0),"m2",IF(AND(F2921=0,G2921=0),"ml",IF(AND(E2921=0,G2921=0),"ml",IF(AND(E2921=0,F2921=0),"ml",IF(AND(E2921&lt;&gt;0,F2921&lt;&gt;0,G2921&lt;&gt;0),"m3",0)))))))</f>
        <v>ml</v>
      </c>
    </row>
    <row r="2922" spans="2:10" s="1" customFormat="1" ht="12.75" x14ac:dyDescent="0.2">
      <c r="B2922" s="57"/>
      <c r="C2922" s="39" t="s">
        <v>428</v>
      </c>
      <c r="D2922" s="40"/>
      <c r="E2922" s="40"/>
      <c r="F2922" s="40"/>
      <c r="G2922" s="40"/>
      <c r="H2922" s="40">
        <f>IF(AND(F2922=0,G2922=0),D2922*E2922,IF(AND(E2922=0,G2922=0),D2922*F2922,IF(AND(E2922=0,F2922=0),D2922*G2922,IF(AND(E2922=0),D2922*F2922*G2922,IF(AND(F2922=0),D2922*E2922*G2922,IF(AND(G2922=0),D2922*E2922*F2922,D2922*E2922*F2922*G2922))))))</f>
        <v>0</v>
      </c>
      <c r="I2922" s="40"/>
      <c r="J2922" s="41" t="str">
        <f>IF(AND(E2922=0,F2922&lt;&gt;0,G2922&lt;&gt;0),"m2",IF(AND(F2922=0,E2922&lt;&gt;0,G2922&lt;&gt;0),"m2",IF(AND(G2922=0,E2922&lt;&gt;0,F2922&lt;&gt;0),"m2",IF(AND(F2922=0,G2922=0),"ml",IF(AND(E2922=0,G2922=0),"ml",IF(AND(E2922=0,F2922=0),"ml",IF(AND(E2922&lt;&gt;0,F2922&lt;&gt;0,G2922&lt;&gt;0),"m3",0)))))))</f>
        <v>ml</v>
      </c>
    </row>
    <row r="2923" spans="2:10" s="1" customFormat="1" ht="12.75" x14ac:dyDescent="0.2">
      <c r="B2923" s="57"/>
      <c r="C2923" s="39" t="s">
        <v>429</v>
      </c>
      <c r="D2923" s="40"/>
      <c r="E2923" s="40"/>
      <c r="F2923" s="40"/>
      <c r="G2923" s="40"/>
      <c r="H2923" s="40">
        <f>IF(AND(F2923=0,G2923=0),D2923*E2923,IF(AND(E2923=0,G2923=0),D2923*F2923,IF(AND(E2923=0,F2923=0),D2923*G2923,IF(AND(E2923=0),D2923*F2923*G2923,IF(AND(F2923=0),D2923*E2923*G2923,IF(AND(G2923=0),D2923*E2923*F2923,D2923*E2923*F2923*G2923))))))</f>
        <v>0</v>
      </c>
      <c r="I2923" s="40"/>
      <c r="J2923" s="41" t="str">
        <f>IF(AND(E2923=0,F2923&lt;&gt;0,G2923&lt;&gt;0),"m2",IF(AND(F2923=0,E2923&lt;&gt;0,G2923&lt;&gt;0),"m2",IF(AND(G2923=0,E2923&lt;&gt;0,F2923&lt;&gt;0),"m2",IF(AND(F2923=0,G2923=0),"ml",IF(AND(E2923=0,G2923=0),"ml",IF(AND(E2923=0,F2923=0),"ml",IF(AND(E2923&lt;&gt;0,F2923&lt;&gt;0,G2923&lt;&gt;0),"m3",0)))))))</f>
        <v>ml</v>
      </c>
    </row>
    <row r="2924" spans="2:10" s="1" customFormat="1" ht="12.75" x14ac:dyDescent="0.2">
      <c r="B2924" s="43" t="s">
        <v>241</v>
      </c>
      <c r="C2924" s="43" t="s">
        <v>239</v>
      </c>
      <c r="D2924" s="60"/>
      <c r="E2924" s="40"/>
      <c r="F2924" s="40"/>
      <c r="G2924" s="40"/>
      <c r="H2924" s="40"/>
      <c r="I2924" s="44">
        <f>SUM(H2925:H2925)</f>
        <v>0</v>
      </c>
      <c r="J2924" s="45" t="str">
        <f>+J2925</f>
        <v>ml</v>
      </c>
    </row>
    <row r="2925" spans="2:10" s="1" customFormat="1" ht="12.75" x14ac:dyDescent="0.2">
      <c r="B2925" s="57"/>
      <c r="C2925" s="39"/>
      <c r="D2925" s="60"/>
      <c r="E2925" s="40"/>
      <c r="F2925" s="40"/>
      <c r="G2925" s="40"/>
      <c r="H2925" s="40">
        <f>IF(AND(F2925=0,G2925=0),D2925*E2925,IF(AND(E2925=0,G2925=0),D2925*F2925,IF(AND(E2925=0,F2925=0),D2925*G2925,IF(AND(E2925=0),D2925*F2925*G2925,IF(AND(F2925=0),D2925*E2925*G2925,IF(AND(G2925=0),D2925*E2925*F2925,D2925*E2925*F2925*G2925))))))</f>
        <v>0</v>
      </c>
      <c r="I2925" s="40"/>
      <c r="J2925" s="41" t="str">
        <f>IF(AND(E2925=0,F2925&lt;&gt;0,G2925&lt;&gt;0),"m2",IF(AND(F2925=0,E2925&lt;&gt;0,G2925&lt;&gt;0),"m2",IF(AND(G2925=0,E2925&lt;&gt;0,F2925&lt;&gt;0),"m2",IF(AND(F2925=0,G2925=0),"ml",IF(AND(E2925=0,G2925=0),"ml",IF(AND(E2925=0,F2925=0),"ml",IF(AND(E2925&lt;&gt;0,F2925&lt;&gt;0,G2925&lt;&gt;0),"m3",0)))))))</f>
        <v>ml</v>
      </c>
    </row>
    <row r="2926" spans="2:10" s="1" customFormat="1" ht="12.75" x14ac:dyDescent="0.2">
      <c r="B2926" s="43" t="s">
        <v>243</v>
      </c>
      <c r="C2926" s="43" t="s">
        <v>242</v>
      </c>
      <c r="D2926" s="60"/>
      <c r="E2926" s="40"/>
      <c r="F2926" s="40"/>
      <c r="G2926" s="40"/>
      <c r="H2926" s="40"/>
      <c r="I2926" s="44">
        <f>SUM(H2927:H2927)</f>
        <v>0</v>
      </c>
      <c r="J2926" s="45" t="str">
        <f>+J2927</f>
        <v>ml</v>
      </c>
    </row>
    <row r="2927" spans="2:10" s="1" customFormat="1" ht="12.75" x14ac:dyDescent="0.2">
      <c r="B2927" s="57"/>
      <c r="C2927" s="39" t="s">
        <v>401</v>
      </c>
      <c r="D2927" s="40"/>
      <c r="E2927" s="40"/>
      <c r="F2927" s="40"/>
      <c r="G2927" s="40"/>
      <c r="H2927" s="40">
        <f>IF(AND(F2927=0,G2927=0),D2927*E2927,IF(AND(E2927=0,G2927=0),D2927*F2927,IF(AND(E2927=0,F2927=0),D2927*G2927,IF(AND(E2927=0),D2927*F2927*G2927,IF(AND(F2927=0),D2927*E2927*G2927,IF(AND(G2927=0),D2927*E2927*F2927,D2927*E2927*F2927*G2927))))))</f>
        <v>0</v>
      </c>
      <c r="I2927" s="40"/>
      <c r="J2927" s="41" t="str">
        <f>IF(AND(E2927=0,F2927&lt;&gt;0,G2927&lt;&gt;0),"m2",IF(AND(F2927=0,E2927&lt;&gt;0,G2927&lt;&gt;0),"m2",IF(AND(G2927=0,E2927&lt;&gt;0,F2927&lt;&gt;0),"m2",IF(AND(F2927=0,G2927=0),"ml",IF(AND(E2927=0,G2927=0),"ml",IF(AND(E2927=0,F2927=0),"ml",IF(AND(E2927&lt;&gt;0,F2927&lt;&gt;0,G2927&lt;&gt;0),"m3",0)))))))</f>
        <v>ml</v>
      </c>
    </row>
    <row r="2928" spans="2:10" s="1" customFormat="1" ht="12.75" x14ac:dyDescent="0.2">
      <c r="B2928" s="43" t="s">
        <v>244</v>
      </c>
      <c r="C2928" s="43" t="s">
        <v>245</v>
      </c>
      <c r="D2928" s="60"/>
      <c r="E2928" s="40"/>
      <c r="F2928" s="40"/>
      <c r="G2928" s="40"/>
      <c r="H2928" s="40"/>
      <c r="I2928" s="44">
        <f>SUM(H2929:H2931)</f>
        <v>0</v>
      </c>
      <c r="J2928" s="45" t="str">
        <f>+J2929</f>
        <v>ml</v>
      </c>
    </row>
    <row r="2929" spans="2:10" s="1" customFormat="1" ht="12.75" x14ac:dyDescent="0.2">
      <c r="B2929" s="57"/>
      <c r="C2929" s="39" t="s">
        <v>427</v>
      </c>
      <c r="D2929" s="40"/>
      <c r="E2929" s="40"/>
      <c r="F2929" s="40"/>
      <c r="G2929" s="40"/>
      <c r="H2929" s="40">
        <f>IF(AND(F2929=0,G2929=0),D2929*E2929,IF(AND(E2929=0,G2929=0),D2929*F2929,IF(AND(E2929=0,F2929=0),D2929*G2929,IF(AND(E2929=0),D2929*F2929*G2929,IF(AND(F2929=0),D2929*E2929*G2929,IF(AND(G2929=0),D2929*E2929*F2929,D2929*E2929*F2929*G2929))))))</f>
        <v>0</v>
      </c>
      <c r="I2929" s="40"/>
      <c r="J2929" s="41" t="str">
        <f>IF(AND(E2929=0,F2929&lt;&gt;0,G2929&lt;&gt;0),"m2",IF(AND(F2929=0,E2929&lt;&gt;0,G2929&lt;&gt;0),"m2",IF(AND(G2929=0,E2929&lt;&gt;0,F2929&lt;&gt;0),"m2",IF(AND(F2929=0,G2929=0),"ml",IF(AND(E2929=0,G2929=0),"ml",IF(AND(E2929=0,F2929=0),"ml",IF(AND(E2929&lt;&gt;0,F2929&lt;&gt;0,G2929&lt;&gt;0),"m3",0)))))))</f>
        <v>ml</v>
      </c>
    </row>
    <row r="2930" spans="2:10" s="1" customFormat="1" ht="12.75" x14ac:dyDescent="0.2">
      <c r="B2930" s="57"/>
      <c r="C2930" s="39" t="s">
        <v>428</v>
      </c>
      <c r="D2930" s="40"/>
      <c r="E2930" s="40"/>
      <c r="F2930" s="40"/>
      <c r="G2930" s="40"/>
      <c r="H2930" s="40">
        <f>IF(AND(F2930=0,G2930=0),D2930*E2930,IF(AND(E2930=0,G2930=0),D2930*F2930,IF(AND(E2930=0,F2930=0),D2930*G2930,IF(AND(E2930=0),D2930*F2930*G2930,IF(AND(F2930=0),D2930*E2930*G2930,IF(AND(G2930=0),D2930*E2930*F2930,D2930*E2930*F2930*G2930))))))</f>
        <v>0</v>
      </c>
      <c r="I2930" s="40"/>
      <c r="J2930" s="41" t="str">
        <f>IF(AND(E2930=0,F2930&lt;&gt;0,G2930&lt;&gt;0),"m2",IF(AND(F2930=0,E2930&lt;&gt;0,G2930&lt;&gt;0),"m2",IF(AND(G2930=0,E2930&lt;&gt;0,F2930&lt;&gt;0),"m2",IF(AND(F2930=0,G2930=0),"ml",IF(AND(E2930=0,G2930=0),"ml",IF(AND(E2930=0,F2930=0),"ml",IF(AND(E2930&lt;&gt;0,F2930&lt;&gt;0,G2930&lt;&gt;0),"m3",0)))))))</f>
        <v>ml</v>
      </c>
    </row>
    <row r="2931" spans="2:10" s="1" customFormat="1" ht="12.75" x14ac:dyDescent="0.2">
      <c r="B2931" s="57"/>
      <c r="C2931" s="39" t="s">
        <v>429</v>
      </c>
      <c r="D2931" s="40"/>
      <c r="E2931" s="40"/>
      <c r="F2931" s="40"/>
      <c r="G2931" s="40"/>
      <c r="H2931" s="40">
        <f>IF(AND(F2931=0,G2931=0),D2931*E2931,IF(AND(E2931=0,G2931=0),D2931*F2931,IF(AND(E2931=0,F2931=0),D2931*G2931,IF(AND(E2931=0),D2931*F2931*G2931,IF(AND(F2931=0),D2931*E2931*G2931,IF(AND(G2931=0),D2931*E2931*F2931,D2931*E2931*F2931*G2931))))))</f>
        <v>0</v>
      </c>
      <c r="I2931" s="40"/>
      <c r="J2931" s="41" t="str">
        <f>IF(AND(E2931=0,F2931&lt;&gt;0,G2931&lt;&gt;0),"m2",IF(AND(F2931=0,E2931&lt;&gt;0,G2931&lt;&gt;0),"m2",IF(AND(G2931=0,E2931&lt;&gt;0,F2931&lt;&gt;0),"m2",IF(AND(F2931=0,G2931=0),"ml",IF(AND(E2931=0,G2931=0),"ml",IF(AND(E2931=0,F2931=0),"ml",IF(AND(E2931&lt;&gt;0,F2931&lt;&gt;0,G2931&lt;&gt;0),"m3",0)))))))</f>
        <v>ml</v>
      </c>
    </row>
    <row r="2932" spans="2:10" s="1" customFormat="1" ht="12.75" x14ac:dyDescent="0.2">
      <c r="B2932" s="43" t="s">
        <v>248</v>
      </c>
      <c r="C2932" s="43" t="s">
        <v>246</v>
      </c>
      <c r="D2932" s="60"/>
      <c r="E2932" s="40"/>
      <c r="F2932" s="40"/>
      <c r="G2932" s="40"/>
      <c r="H2932" s="40"/>
      <c r="I2932" s="44">
        <f>SUM(H2933:H2933)</f>
        <v>5.2</v>
      </c>
      <c r="J2932" s="45" t="str">
        <f>+J2933</f>
        <v>ml</v>
      </c>
    </row>
    <row r="2933" spans="2:10" s="1" customFormat="1" ht="12.75" x14ac:dyDescent="0.2">
      <c r="B2933" s="57"/>
      <c r="C2933" s="46" t="s">
        <v>526</v>
      </c>
      <c r="D2933" s="60">
        <v>1</v>
      </c>
      <c r="E2933" s="40">
        <v>5.2</v>
      </c>
      <c r="F2933" s="40"/>
      <c r="G2933" s="40"/>
      <c r="H2933" s="40">
        <f>IF(AND(F2933=0,G2933=0),D2933*E2933,IF(AND(E2933=0,G2933=0),D2933*F2933,IF(AND(E2933=0,F2933=0),D2933*G2933,IF(AND(E2933=0),D2933*F2933*G2933,IF(AND(F2933=0),D2933*E2933*G2933,IF(AND(G2933=0),D2933*E2933*F2933,D2933*E2933*F2933*G2933))))))</f>
        <v>5.2</v>
      </c>
      <c r="I2933" s="40"/>
      <c r="J2933" s="41" t="str">
        <f>IF(AND(E2933=0,F2933&lt;&gt;0,G2933&lt;&gt;0),"m2",IF(AND(F2933=0,E2933&lt;&gt;0,G2933&lt;&gt;0),"m2",IF(AND(G2933=0,E2933&lt;&gt;0,F2933&lt;&gt;0),"m2",IF(AND(F2933=0,G2933=0),"ml",IF(AND(E2933=0,G2933=0),"ml",IF(AND(E2933=0,F2933=0),"ml",IF(AND(E2933&lt;&gt;0,F2933&lt;&gt;0,G2933&lt;&gt;0),"m3",0)))))))</f>
        <v>ml</v>
      </c>
    </row>
    <row r="2934" spans="2:10" s="1" customFormat="1" ht="12.75" x14ac:dyDescent="0.2">
      <c r="B2934" s="43" t="s">
        <v>249</v>
      </c>
      <c r="C2934" s="43" t="s">
        <v>247</v>
      </c>
      <c r="D2934" s="60"/>
      <c r="E2934" s="40"/>
      <c r="F2934" s="40"/>
      <c r="G2934" s="40"/>
      <c r="H2934" s="40"/>
      <c r="I2934" s="44">
        <f>SUM(H2935:H2935)</f>
        <v>0</v>
      </c>
      <c r="J2934" s="45" t="str">
        <f>+J2935</f>
        <v>ml</v>
      </c>
    </row>
    <row r="2935" spans="2:10" s="1" customFormat="1" ht="12.75" x14ac:dyDescent="0.2">
      <c r="B2935" s="57"/>
      <c r="C2935" s="39" t="s">
        <v>396</v>
      </c>
      <c r="D2935" s="40"/>
      <c r="E2935" s="40"/>
      <c r="F2935" s="40"/>
      <c r="G2935" s="40"/>
      <c r="H2935" s="40">
        <f>IF(AND(F2935=0,G2935=0),D2935*E2935,IF(AND(E2935=0,G2935=0),D2935*F2935,IF(AND(E2935=0,F2935=0),D2935*G2935,IF(AND(E2935=0),D2935*F2935*G2935,IF(AND(F2935=0),D2935*E2935*G2935,IF(AND(G2935=0),D2935*E2935*F2935,D2935*E2935*F2935*G2935))))))</f>
        <v>0</v>
      </c>
      <c r="I2935" s="40"/>
      <c r="J2935" s="41" t="str">
        <f>IF(AND(E2935=0,F2935&lt;&gt;0,G2935&lt;&gt;0),"m2",IF(AND(F2935=0,E2935&lt;&gt;0,G2935&lt;&gt;0),"m2",IF(AND(G2935=0,E2935&lt;&gt;0,F2935&lt;&gt;0),"m2",IF(AND(F2935=0,G2935=0),"ml",IF(AND(E2935=0,G2935=0),"ml",IF(AND(E2935=0,F2935=0),"ml",IF(AND(E2935&lt;&gt;0,F2935&lt;&gt;0,G2935&lt;&gt;0),"m3",0)))))))</f>
        <v>ml</v>
      </c>
    </row>
    <row r="2936" spans="2:10" s="1" customFormat="1" ht="12.75" x14ac:dyDescent="0.2">
      <c r="B2936" s="43" t="s">
        <v>256</v>
      </c>
      <c r="C2936" s="43" t="s">
        <v>226</v>
      </c>
      <c r="D2936" s="60"/>
      <c r="E2936" s="40"/>
      <c r="F2936" s="40"/>
      <c r="G2936" s="40"/>
      <c r="H2936" s="40"/>
      <c r="I2936" s="44">
        <f>SUM(H2937:H2938)</f>
        <v>0</v>
      </c>
      <c r="J2936" s="45" t="str">
        <f>+J2938</f>
        <v>ml</v>
      </c>
    </row>
    <row r="2937" spans="2:10" s="1" customFormat="1" ht="12.75" x14ac:dyDescent="0.2">
      <c r="B2937" s="43"/>
      <c r="C2937" s="39" t="s">
        <v>371</v>
      </c>
      <c r="D2937" s="40"/>
      <c r="E2937" s="40"/>
      <c r="F2937" s="40"/>
      <c r="G2937" s="40"/>
      <c r="H2937" s="40">
        <f>IF(AND(F2937=0,G2937=0),D2937*E2937,IF(AND(E2937=0,G2937=0),D2937*F2937,IF(AND(E2937=0,F2937=0),D2937*G2937,IF(AND(E2937=0),D2937*F2937*G2937,IF(AND(F2937=0),D2937*E2937*G2937,IF(AND(G2937=0),D2937*E2937*F2937,D2937*E2937*F2937*G2937))))))</f>
        <v>0</v>
      </c>
      <c r="I2937" s="40"/>
      <c r="J2937" s="41" t="str">
        <f>IF(AND(E2937=0,F2937&lt;&gt;0,G2937&lt;&gt;0),"m2",IF(AND(F2937=0,E2937&lt;&gt;0,G2937&lt;&gt;0),"m2",IF(AND(G2937=0,E2937&lt;&gt;0,F2937&lt;&gt;0),"m2",IF(AND(F2937=0,G2937=0),"ml",IF(AND(E2937=0,G2937=0),"ml",IF(AND(E2937=0,F2937=0),"ml",IF(AND(E2937&lt;&gt;0,F2937&lt;&gt;0,G2937&lt;&gt;0),"m3",0)))))))</f>
        <v>ml</v>
      </c>
    </row>
    <row r="2938" spans="2:10" s="1" customFormat="1" ht="12.75" x14ac:dyDescent="0.2">
      <c r="B2938" s="57"/>
      <c r="C2938" s="39" t="s">
        <v>371</v>
      </c>
      <c r="D2938" s="40"/>
      <c r="E2938" s="40"/>
      <c r="F2938" s="40"/>
      <c r="G2938" s="40"/>
      <c r="H2938" s="40">
        <f>IF(AND(F2938=0,G2938=0),D2938*E2938,IF(AND(E2938=0,G2938=0),D2938*F2938,IF(AND(E2938=0,F2938=0),D2938*G2938,IF(AND(E2938=0),D2938*F2938*G2938,IF(AND(F2938=0),D2938*E2938*G2938,IF(AND(G2938=0),D2938*E2938*F2938,D2938*E2938*F2938*G2938))))))</f>
        <v>0</v>
      </c>
      <c r="I2938" s="40"/>
      <c r="J2938" s="41" t="str">
        <f>IF(AND(E2938=0,F2938&lt;&gt;0,G2938&lt;&gt;0),"m2",IF(AND(F2938=0,E2938&lt;&gt;0,G2938&lt;&gt;0),"m2",IF(AND(G2938=0,E2938&lt;&gt;0,F2938&lt;&gt;0),"m2",IF(AND(F2938=0,G2938=0),"ml",IF(AND(E2938=0,G2938=0),"ml",IF(AND(E2938=0,F2938=0),"ml",IF(AND(E2938&lt;&gt;0,F2938&lt;&gt;0,G2938&lt;&gt;0),"m3",0)))))))</f>
        <v>ml</v>
      </c>
    </row>
    <row r="2939" spans="2:10" s="1" customFormat="1" ht="12.75" x14ac:dyDescent="0.2">
      <c r="B2939" s="57"/>
      <c r="C2939" s="39"/>
      <c r="D2939" s="60"/>
      <c r="E2939" s="40"/>
      <c r="F2939" s="40"/>
      <c r="G2939" s="40"/>
      <c r="H2939" s="40"/>
      <c r="I2939" s="40"/>
      <c r="J2939" s="41"/>
    </row>
    <row r="2940" spans="2:10" s="1" customFormat="1" ht="12.75" x14ac:dyDescent="0.2">
      <c r="B2940" s="43" t="s">
        <v>597</v>
      </c>
      <c r="C2940" s="43" t="s">
        <v>490</v>
      </c>
      <c r="D2940" s="60"/>
      <c r="E2940" s="40"/>
      <c r="F2940" s="40"/>
      <c r="G2940" s="40"/>
      <c r="H2940" s="40"/>
      <c r="I2940" s="44">
        <f>SUM(H2941:H2943)</f>
        <v>33.15</v>
      </c>
      <c r="J2940" s="45" t="s">
        <v>345</v>
      </c>
    </row>
    <row r="2941" spans="2:10" s="1" customFormat="1" ht="12.75" x14ac:dyDescent="0.2">
      <c r="B2941" s="57"/>
      <c r="C2941" s="39" t="s">
        <v>518</v>
      </c>
      <c r="D2941" s="40">
        <v>1</v>
      </c>
      <c r="E2941" s="40">
        <v>11.85</v>
      </c>
      <c r="F2941" s="40"/>
      <c r="G2941" s="40"/>
      <c r="H2941" s="40">
        <f>IF(AND(F2941=0,G2941=0),D2941*E2941,IF(AND(E2941=0,G2941=0),D2941*F2941,IF(AND(E2941=0,F2941=0),D2941*G2941,IF(AND(E2941=0),D2941*F2941*G2941,IF(AND(F2941=0),D2941*E2941*G2941,IF(AND(G2941=0),D2941*E2941*F2941,D2941*E2941*F2941*G2941))))))</f>
        <v>11.85</v>
      </c>
      <c r="I2941" s="40"/>
      <c r="J2941" s="41"/>
    </row>
    <row r="2942" spans="2:10" s="1" customFormat="1" ht="12.75" x14ac:dyDescent="0.2">
      <c r="B2942" s="57"/>
      <c r="C2942" s="39" t="s">
        <v>519</v>
      </c>
      <c r="D2942" s="60">
        <v>1</v>
      </c>
      <c r="E2942" s="40">
        <f>16.6+0.3</f>
        <v>16.900000000000002</v>
      </c>
      <c r="F2942" s="40"/>
      <c r="G2942" s="40"/>
      <c r="H2942" s="40">
        <f>IF(AND(F2942=0,G2942=0),D2942*E2942,IF(AND(E2942=0,G2942=0),D2942*F2942,IF(AND(E2942=0,F2942=0),D2942*G2942,IF(AND(E2942=0),D2942*F2942*G2942,IF(AND(F2942=0),D2942*E2942*G2942,IF(AND(G2942=0),D2942*E2942*F2942,D2942*E2942*F2942*G2942))))))</f>
        <v>16.900000000000002</v>
      </c>
      <c r="I2942" s="40"/>
      <c r="J2942" s="41"/>
    </row>
    <row r="2943" spans="2:10" s="1" customFormat="1" ht="12.75" x14ac:dyDescent="0.2">
      <c r="B2943" s="57"/>
      <c r="C2943" s="91" t="s">
        <v>520</v>
      </c>
      <c r="D2943" s="60">
        <v>1</v>
      </c>
      <c r="E2943" s="40">
        <v>4.4000000000000004</v>
      </c>
      <c r="F2943" s="40"/>
      <c r="G2943" s="40"/>
      <c r="H2943" s="40">
        <f>IF(AND(F2943=0,G2943=0),D2943*E2943,IF(AND(E2943=0,G2943=0),D2943*F2943,IF(AND(E2943=0,F2943=0),D2943*G2943,IF(AND(E2943=0),D2943*F2943*G2943,IF(AND(F2943=0),D2943*E2943*G2943,IF(AND(G2943=0),D2943*E2943*F2943,D2943*E2943*F2943*G2943))))))</f>
        <v>4.4000000000000004</v>
      </c>
      <c r="I2943" s="40"/>
      <c r="J2943" s="41"/>
    </row>
    <row r="2944" spans="2:10" s="1" customFormat="1" ht="12.75" x14ac:dyDescent="0.2">
      <c r="B2944" s="57"/>
      <c r="C2944" s="91"/>
      <c r="D2944" s="60"/>
      <c r="E2944" s="40"/>
      <c r="F2944" s="40"/>
      <c r="G2944" s="40"/>
      <c r="H2944" s="40"/>
      <c r="I2944" s="40"/>
      <c r="J2944" s="41"/>
    </row>
    <row r="2945" spans="2:10" s="1" customFormat="1" ht="12.75" x14ac:dyDescent="0.2">
      <c r="B2945" s="43" t="s">
        <v>257</v>
      </c>
      <c r="C2945" s="43" t="s">
        <v>228</v>
      </c>
      <c r="D2945" s="60"/>
      <c r="E2945" s="40"/>
      <c r="F2945" s="40"/>
      <c r="G2945" s="40"/>
      <c r="H2945" s="40"/>
      <c r="I2945" s="44">
        <f>SUM(H2946:H2946)</f>
        <v>0</v>
      </c>
      <c r="J2945" s="45" t="str">
        <f>+J2946</f>
        <v>ml</v>
      </c>
    </row>
    <row r="2946" spans="2:10" s="1" customFormat="1" ht="12.75" x14ac:dyDescent="0.2">
      <c r="B2946" s="57"/>
      <c r="C2946" s="39" t="s">
        <v>399</v>
      </c>
      <c r="D2946" s="40"/>
      <c r="E2946" s="40"/>
      <c r="F2946" s="40"/>
      <c r="G2946" s="40"/>
      <c r="H2946" s="40">
        <f>IF(AND(F2946=0,G2946=0),D2946*E2946,IF(AND(E2946=0,G2946=0),D2946*F2946,IF(AND(E2946=0,F2946=0),D2946*G2946,IF(AND(E2946=0),D2946*F2946*G2946,IF(AND(F2946=0),D2946*E2946*G2946,IF(AND(G2946=0),D2946*E2946*F2946,D2946*E2946*F2946*G2946))))))</f>
        <v>0</v>
      </c>
      <c r="I2946" s="40"/>
      <c r="J2946" s="41" t="str">
        <f>IF(AND(E2946=0,F2946&lt;&gt;0,G2946&lt;&gt;0),"m2",IF(AND(F2946=0,E2946&lt;&gt;0,G2946&lt;&gt;0),"m2",IF(AND(G2946=0,E2946&lt;&gt;0,F2946&lt;&gt;0),"m2",IF(AND(F2946=0,G2946=0),"ml",IF(AND(E2946=0,G2946=0),"ml",IF(AND(E2946=0,F2946=0),"ml",IF(AND(E2946&lt;&gt;0,F2946&lt;&gt;0,G2946&lt;&gt;0),"m3",0)))))))</f>
        <v>ml</v>
      </c>
    </row>
    <row r="2947" spans="2:10" s="1" customFormat="1" ht="12.75" x14ac:dyDescent="0.2">
      <c r="B2947" s="43" t="s">
        <v>258</v>
      </c>
      <c r="C2947" s="43" t="s">
        <v>250</v>
      </c>
      <c r="D2947" s="60"/>
      <c r="E2947" s="40"/>
      <c r="F2947" s="40"/>
      <c r="G2947" s="40"/>
      <c r="H2947" s="40"/>
      <c r="I2947" s="44">
        <f>SUM(H2948:H2948)</f>
        <v>15.9</v>
      </c>
      <c r="J2947" s="45" t="str">
        <f>+J2948</f>
        <v>ml</v>
      </c>
    </row>
    <row r="2948" spans="2:10" s="1" customFormat="1" ht="12.75" x14ac:dyDescent="0.2">
      <c r="B2948" s="57"/>
      <c r="C2948" s="39" t="s">
        <v>521</v>
      </c>
      <c r="D2948" s="40">
        <v>1</v>
      </c>
      <c r="E2948" s="40">
        <f>0.8+15.1</f>
        <v>15.9</v>
      </c>
      <c r="F2948" s="40"/>
      <c r="G2948" s="40"/>
      <c r="H2948" s="40">
        <f>IF(AND(F2948=0,G2948=0),D2948*E2948,IF(AND(E2948=0,G2948=0),D2948*F2948,IF(AND(E2948=0,F2948=0),D2948*G2948,IF(AND(E2948=0),D2948*F2948*G2948,IF(AND(F2948=0),D2948*E2948*G2948,IF(AND(G2948=0),D2948*E2948*F2948,D2948*E2948*F2948*G2948))))))</f>
        <v>15.9</v>
      </c>
      <c r="I2948" s="40"/>
      <c r="J2948" s="41" t="str">
        <f>IF(AND(E2948=0,F2948&lt;&gt;0,G2948&lt;&gt;0),"m2",IF(AND(F2948=0,E2948&lt;&gt;0,G2948&lt;&gt;0),"m2",IF(AND(G2948=0,E2948&lt;&gt;0,F2948&lt;&gt;0),"m2",IF(AND(F2948=0,G2948=0),"ml",IF(AND(E2948=0,G2948=0),"ml",IF(AND(E2948=0,F2948=0),"ml",IF(AND(E2948&lt;&gt;0,F2948&lt;&gt;0,G2948&lt;&gt;0),"m3",0)))))))</f>
        <v>ml</v>
      </c>
    </row>
    <row r="2949" spans="2:10" s="1" customFormat="1" ht="12.75" x14ac:dyDescent="0.2">
      <c r="B2949" s="57"/>
      <c r="C2949" s="39"/>
      <c r="D2949" s="60"/>
      <c r="E2949" s="40"/>
      <c r="F2949" s="40"/>
      <c r="G2949" s="40"/>
      <c r="H2949" s="40"/>
      <c r="I2949" s="40"/>
      <c r="J2949" s="41"/>
    </row>
    <row r="2950" spans="2:10" s="1" customFormat="1" ht="12.75" x14ac:dyDescent="0.2">
      <c r="B2950" s="43" t="s">
        <v>259</v>
      </c>
      <c r="C2950" s="43" t="s">
        <v>251</v>
      </c>
      <c r="D2950" s="60"/>
      <c r="E2950" s="40"/>
      <c r="F2950" s="40"/>
      <c r="G2950" s="40"/>
      <c r="H2950" s="40"/>
      <c r="I2950" s="44">
        <f>SUM(H2951:H2951)</f>
        <v>0</v>
      </c>
      <c r="J2950" s="45" t="str">
        <f>+J2951</f>
        <v>ml</v>
      </c>
    </row>
    <row r="2951" spans="2:10" s="1" customFormat="1" ht="12.75" x14ac:dyDescent="0.2">
      <c r="B2951" s="57"/>
      <c r="C2951" s="39" t="s">
        <v>389</v>
      </c>
      <c r="D2951" s="40"/>
      <c r="E2951" s="40"/>
      <c r="F2951" s="40"/>
      <c r="G2951" s="40"/>
      <c r="H2951" s="40">
        <f>IF(AND(F2951=0,G2951=0),D2951*E2951,IF(AND(E2951=0,G2951=0),D2951*F2951,IF(AND(E2951=0,F2951=0),D2951*G2951,IF(AND(E2951=0),D2951*F2951*G2951,IF(AND(F2951=0),D2951*E2951*G2951,IF(AND(G2951=0),D2951*E2951*F2951,D2951*E2951*F2951*G2951))))))</f>
        <v>0</v>
      </c>
      <c r="I2951" s="40"/>
      <c r="J2951" s="41" t="str">
        <f>IF(AND(E2951=0,F2951&lt;&gt;0,G2951&lt;&gt;0),"m2",IF(AND(F2951=0,E2951&lt;&gt;0,G2951&lt;&gt;0),"m2",IF(AND(G2951=0,E2951&lt;&gt;0,F2951&lt;&gt;0),"m2",IF(AND(F2951=0,G2951=0),"ml",IF(AND(E2951=0,G2951=0),"ml",IF(AND(E2951=0,F2951=0),"ml",IF(AND(E2951&lt;&gt;0,F2951&lt;&gt;0,G2951&lt;&gt;0),"m3",0)))))))</f>
        <v>ml</v>
      </c>
    </row>
    <row r="2952" spans="2:10" s="1" customFormat="1" ht="12.75" x14ac:dyDescent="0.2">
      <c r="B2952" s="43" t="s">
        <v>260</v>
      </c>
      <c r="C2952" s="43" t="s">
        <v>252</v>
      </c>
      <c r="D2952" s="60"/>
      <c r="E2952" s="40"/>
      <c r="F2952" s="40"/>
      <c r="G2952" s="40"/>
      <c r="H2952" s="40"/>
      <c r="I2952" s="44">
        <f>SUM(H2953:H2953)</f>
        <v>0</v>
      </c>
      <c r="J2952" s="45" t="str">
        <f>+J2953</f>
        <v>ml</v>
      </c>
    </row>
    <row r="2953" spans="2:10" s="1" customFormat="1" ht="12.75" x14ac:dyDescent="0.2">
      <c r="B2953" s="57"/>
      <c r="C2953" s="39" t="s">
        <v>397</v>
      </c>
      <c r="D2953" s="40"/>
      <c r="E2953" s="40"/>
      <c r="F2953" s="40"/>
      <c r="G2953" s="40"/>
      <c r="H2953" s="40">
        <f>IF(AND(F2953=0,G2953=0),D2953*E2953,IF(AND(E2953=0,G2953=0),D2953*F2953,IF(AND(E2953=0,F2953=0),D2953*G2953,IF(AND(E2953=0),D2953*F2953*G2953,IF(AND(F2953=0),D2953*E2953*G2953,IF(AND(G2953=0),D2953*E2953*F2953,D2953*E2953*F2953*G2953))))))</f>
        <v>0</v>
      </c>
      <c r="I2953" s="40"/>
      <c r="J2953" s="41" t="str">
        <f>IF(AND(E2953=0,F2953&lt;&gt;0,G2953&lt;&gt;0),"m2",IF(AND(F2953=0,E2953&lt;&gt;0,G2953&lt;&gt;0),"m2",IF(AND(G2953=0,E2953&lt;&gt;0,F2953&lt;&gt;0),"m2",IF(AND(F2953=0,G2953=0),"ml",IF(AND(E2953=0,G2953=0),"ml",IF(AND(E2953=0,F2953=0),"ml",IF(AND(E2953&lt;&gt;0,F2953&lt;&gt;0,G2953&lt;&gt;0),"m3",0)))))))</f>
        <v>ml</v>
      </c>
    </row>
    <row r="2954" spans="2:10" s="1" customFormat="1" ht="12.75" x14ac:dyDescent="0.2">
      <c r="B2954" s="43" t="s">
        <v>261</v>
      </c>
      <c r="C2954" s="43" t="s">
        <v>253</v>
      </c>
      <c r="D2954" s="60"/>
      <c r="E2954" s="40"/>
      <c r="F2954" s="40"/>
      <c r="G2954" s="40"/>
      <c r="H2954" s="40"/>
      <c r="I2954" s="44">
        <f>SUM(H2955:H2955)</f>
        <v>0</v>
      </c>
      <c r="J2954" s="45" t="str">
        <f>+J2955</f>
        <v>und</v>
      </c>
    </row>
    <row r="2955" spans="2:10" s="1" customFormat="1" ht="12.75" x14ac:dyDescent="0.2">
      <c r="B2955" s="43"/>
      <c r="C2955" s="39" t="s">
        <v>402</v>
      </c>
      <c r="D2955" s="40"/>
      <c r="E2955" s="40"/>
      <c r="F2955" s="40"/>
      <c r="G2955" s="40"/>
      <c r="H2955" s="40">
        <f>+D2955</f>
        <v>0</v>
      </c>
      <c r="I2955" s="40"/>
      <c r="J2955" s="41" t="s">
        <v>13</v>
      </c>
    </row>
    <row r="2956" spans="2:10" s="1" customFormat="1" ht="12.75" x14ac:dyDescent="0.2">
      <c r="B2956" s="43" t="s">
        <v>262</v>
      </c>
      <c r="C2956" s="43" t="s">
        <v>254</v>
      </c>
      <c r="D2956" s="60"/>
      <c r="E2956" s="40"/>
      <c r="F2956" s="40"/>
      <c r="G2956" s="40"/>
      <c r="H2956" s="40"/>
      <c r="I2956" s="44">
        <f>SUM(H2957:H2957)</f>
        <v>0</v>
      </c>
      <c r="J2956" s="45" t="str">
        <f>+J2957</f>
        <v>und</v>
      </c>
    </row>
    <row r="2957" spans="2:10" s="1" customFormat="1" ht="12.75" x14ac:dyDescent="0.2">
      <c r="B2957" s="57"/>
      <c r="C2957" s="39" t="s">
        <v>238</v>
      </c>
      <c r="D2957" s="40"/>
      <c r="E2957" s="40"/>
      <c r="F2957" s="40"/>
      <c r="G2957" s="40"/>
      <c r="H2957" s="40">
        <f>+D2957</f>
        <v>0</v>
      </c>
      <c r="I2957" s="40"/>
      <c r="J2957" s="41" t="s">
        <v>13</v>
      </c>
    </row>
    <row r="2958" spans="2:10" s="1" customFormat="1" ht="12.75" x14ac:dyDescent="0.2">
      <c r="B2958" s="43" t="s">
        <v>350</v>
      </c>
      <c r="C2958" s="43" t="s">
        <v>255</v>
      </c>
      <c r="D2958" s="60"/>
      <c r="E2958" s="40"/>
      <c r="F2958" s="40"/>
      <c r="G2958" s="40"/>
      <c r="H2958" s="40"/>
      <c r="I2958" s="44">
        <f>SUM(H2959:H2959)</f>
        <v>0</v>
      </c>
      <c r="J2958" s="45" t="str">
        <f>+J2959</f>
        <v>und</v>
      </c>
    </row>
    <row r="2959" spans="2:10" s="1" customFormat="1" ht="12.75" x14ac:dyDescent="0.2">
      <c r="B2959" s="57"/>
      <c r="C2959" s="39" t="s">
        <v>395</v>
      </c>
      <c r="D2959" s="40"/>
      <c r="E2959" s="40"/>
      <c r="F2959" s="40"/>
      <c r="G2959" s="40"/>
      <c r="H2959" s="40">
        <f>+D2959</f>
        <v>0</v>
      </c>
      <c r="I2959" s="40"/>
      <c r="J2959" s="41" t="s">
        <v>13</v>
      </c>
    </row>
    <row r="2960" spans="2:10" s="1" customFormat="1" ht="12.75" x14ac:dyDescent="0.2">
      <c r="B2960" s="57"/>
      <c r="C2960" s="39"/>
      <c r="D2960" s="60"/>
      <c r="E2960" s="40"/>
      <c r="F2960" s="40"/>
      <c r="G2960" s="40"/>
      <c r="H2960" s="40"/>
      <c r="I2960" s="40"/>
      <c r="J2960" s="41"/>
    </row>
    <row r="2961" spans="2:10" s="1" customFormat="1" ht="12.75" x14ac:dyDescent="0.2">
      <c r="B2961" s="93" t="s">
        <v>538</v>
      </c>
      <c r="C2961" s="92" t="s">
        <v>440</v>
      </c>
      <c r="D2961" s="23"/>
      <c r="E2961" s="23"/>
      <c r="F2961" s="40"/>
      <c r="G2961" s="40"/>
      <c r="I2961" s="44">
        <f>SUM(H2962:H2968)</f>
        <v>14.5</v>
      </c>
      <c r="J2961" s="45" t="s">
        <v>345</v>
      </c>
    </row>
    <row r="2962" spans="2:10" s="1" customFormat="1" ht="12.75" x14ac:dyDescent="0.2">
      <c r="B2962" s="57"/>
      <c r="C2962" s="46" t="s">
        <v>526</v>
      </c>
      <c r="D2962" s="60">
        <v>1</v>
      </c>
      <c r="E2962" s="40">
        <v>5.2</v>
      </c>
      <c r="F2962" s="40"/>
      <c r="G2962" s="40"/>
      <c r="H2962" s="40">
        <f>IF(AND(F2962=0,G2962=0),D2962*E2962,IF(AND(E2962=0,G2962=0),D2962*F2962,IF(AND(E2962=0,F2962=0),D2962*G2962,IF(AND(E2962=0),D2962*F2962*G2962,IF(AND(F2962=0),D2962*E2962*G2962,IF(AND(G2962=0),D2962*E2962*F2962,D2962*E2962*F2962*G2962))))))</f>
        <v>5.2</v>
      </c>
      <c r="I2962" s="40"/>
      <c r="J2962" s="41"/>
    </row>
    <row r="2963" spans="2:10" s="1" customFormat="1" ht="12.75" x14ac:dyDescent="0.2">
      <c r="B2963" s="57"/>
      <c r="C2963" s="92" t="s">
        <v>441</v>
      </c>
      <c r="F2963" s="40" t="s">
        <v>681</v>
      </c>
      <c r="G2963" s="40" t="s">
        <v>682</v>
      </c>
      <c r="I2963" s="40">
        <f>+SUM(G2964:G2965)</f>
        <v>5.6999999999999993</v>
      </c>
      <c r="J2963" s="41"/>
    </row>
    <row r="2964" spans="2:10" s="1" customFormat="1" ht="12.75" x14ac:dyDescent="0.2">
      <c r="B2964" s="57"/>
      <c r="C2964" s="39" t="s">
        <v>437</v>
      </c>
      <c r="D2964" s="1">
        <f>4+4+4</f>
        <v>12</v>
      </c>
      <c r="E2964" s="1">
        <v>1</v>
      </c>
      <c r="F2964" s="40">
        <v>0.25</v>
      </c>
      <c r="G2964" s="40">
        <f>+D2964*E2964*F2964</f>
        <v>3</v>
      </c>
      <c r="H2964" s="40"/>
      <c r="I2964" s="40"/>
      <c r="J2964" s="41"/>
    </row>
    <row r="2965" spans="2:10" s="1" customFormat="1" ht="12.75" x14ac:dyDescent="0.2">
      <c r="B2965" s="57"/>
      <c r="C2965" s="39" t="s">
        <v>438</v>
      </c>
      <c r="D2965" s="60">
        <v>6</v>
      </c>
      <c r="E2965" s="40">
        <f>0.6*2+0.6</f>
        <v>1.7999999999999998</v>
      </c>
      <c r="F2965" s="40">
        <v>0.25</v>
      </c>
      <c r="G2965" s="40">
        <f>+D2965*E2965*F2965</f>
        <v>2.6999999999999997</v>
      </c>
      <c r="H2965" s="40"/>
      <c r="I2965" s="40"/>
      <c r="J2965" s="41"/>
    </row>
    <row r="2966" spans="2:10" s="1" customFormat="1" ht="12.75" x14ac:dyDescent="0.2">
      <c r="B2966" s="57"/>
      <c r="C2966" s="39"/>
      <c r="D2966" s="23"/>
      <c r="E2966" s="24"/>
      <c r="F2966" s="40"/>
      <c r="G2966" s="40"/>
      <c r="H2966" s="40"/>
      <c r="I2966" s="40"/>
      <c r="J2966" s="41"/>
    </row>
    <row r="2967" spans="2:10" s="1" customFormat="1" ht="12.75" x14ac:dyDescent="0.2">
      <c r="B2967" s="57"/>
      <c r="C2967" s="46" t="s">
        <v>684</v>
      </c>
      <c r="D2967" s="8">
        <v>1</v>
      </c>
      <c r="E2967" s="86">
        <v>9.3000000000000007</v>
      </c>
      <c r="F2967" s="40"/>
      <c r="G2967" s="40"/>
      <c r="H2967" s="40">
        <f>IF(AND(F2967=0,G2967=0),D2967*E2967,IF(AND(E2967=0,G2967=0),D2967*F2967,IF(AND(E2967=0,F2967=0),D2967*G2967,IF(AND(E2967=0),D2967*F2967*G2967,IF(AND(F2967=0),D2967*E2967*G2967,IF(AND(G2967=0),D2967*E2967*F2967,D2967*E2967*F2967*G2967))))))</f>
        <v>9.3000000000000007</v>
      </c>
      <c r="I2967" s="40"/>
      <c r="J2967" s="41"/>
    </row>
    <row r="2968" spans="2:10" s="1" customFormat="1" ht="12.75" x14ac:dyDescent="0.2">
      <c r="B2968" s="57"/>
      <c r="C2968" s="92" t="s">
        <v>441</v>
      </c>
      <c r="D2968" s="87"/>
      <c r="E2968" s="88"/>
      <c r="F2968" s="40" t="s">
        <v>681</v>
      </c>
      <c r="G2968" s="40" t="s">
        <v>682</v>
      </c>
      <c r="I2968" s="40">
        <f>+SUM(G2969:G2970)</f>
        <v>5.2249999999999996</v>
      </c>
      <c r="J2968" s="41"/>
    </row>
    <row r="2969" spans="2:10" s="1" customFormat="1" ht="12.75" x14ac:dyDescent="0.2">
      <c r="B2969" s="57"/>
      <c r="C2969" s="39" t="s">
        <v>437</v>
      </c>
      <c r="D2969" s="1">
        <v>11</v>
      </c>
      <c r="E2969" s="1">
        <v>1</v>
      </c>
      <c r="F2969" s="40">
        <v>0.25</v>
      </c>
      <c r="G2969" s="40">
        <f>+D2969*E2969*F2969</f>
        <v>2.75</v>
      </c>
      <c r="H2969" s="40"/>
      <c r="I2969" s="40"/>
      <c r="J2969" s="41"/>
    </row>
    <row r="2970" spans="2:10" s="1" customFormat="1" ht="12.75" x14ac:dyDescent="0.2">
      <c r="B2970" s="57"/>
      <c r="C2970" s="39" t="s">
        <v>438</v>
      </c>
      <c r="D2970" s="60">
        <v>6</v>
      </c>
      <c r="E2970" s="40">
        <f>0.55+0.55*2</f>
        <v>1.6500000000000001</v>
      </c>
      <c r="F2970" s="40">
        <v>0.25</v>
      </c>
      <c r="G2970" s="40">
        <f>+D2970*E2970*F2970</f>
        <v>2.4750000000000001</v>
      </c>
      <c r="H2970" s="40"/>
      <c r="I2970" s="40"/>
      <c r="J2970" s="41"/>
    </row>
    <row r="2971" spans="2:10" s="1" customFormat="1" ht="12.75" x14ac:dyDescent="0.2"/>
    <row r="2972" spans="2:10" s="1" customFormat="1" ht="12.75" x14ac:dyDescent="0.2">
      <c r="B2972" s="93" t="s">
        <v>594</v>
      </c>
      <c r="C2972" s="93" t="s">
        <v>628</v>
      </c>
      <c r="D2972" s="60"/>
      <c r="E2972" s="40"/>
      <c r="F2972" s="40"/>
      <c r="G2972" s="40"/>
      <c r="H2972" s="40"/>
      <c r="I2972" s="44">
        <f>SUM(H2973)</f>
        <v>1.1000000000000001</v>
      </c>
      <c r="J2972" s="45" t="s">
        <v>345</v>
      </c>
    </row>
    <row r="2973" spans="2:10" s="1" customFormat="1" ht="12.75" x14ac:dyDescent="0.2">
      <c r="C2973" s="39" t="s">
        <v>450</v>
      </c>
      <c r="D2973" s="40">
        <v>1</v>
      </c>
      <c r="E2973" s="40">
        <v>1.1000000000000001</v>
      </c>
      <c r="F2973" s="40"/>
      <c r="G2973" s="40"/>
      <c r="H2973" s="40">
        <f>IF(AND(F2973=0,G2973=0),D2973*E2973,IF(AND(E2973=0,G2973=0),D2973*F2973,IF(AND(E2973=0,F2973=0),D2973*G2973,IF(AND(E2973=0),D2973*F2973*G2973,IF(AND(F2973=0),D2973*E2973*G2973,IF(AND(G2973=0),D2973*E2973*F2973,D2973*E2973*F2973*G2973))))))</f>
        <v>1.1000000000000001</v>
      </c>
    </row>
    <row r="2974" spans="2:10" s="1" customFormat="1" ht="12.75" x14ac:dyDescent="0.2">
      <c r="C2974" s="39"/>
      <c r="D2974" s="60"/>
      <c r="E2974" s="40"/>
      <c r="F2974" s="40"/>
      <c r="G2974" s="40"/>
      <c r="H2974" s="40"/>
      <c r="I2974" s="40"/>
      <c r="J2974" s="41"/>
    </row>
    <row r="2975" spans="2:10" s="1" customFormat="1" ht="12.75" x14ac:dyDescent="0.2">
      <c r="B2975" s="107" t="s">
        <v>701</v>
      </c>
      <c r="C2975" s="343" t="s">
        <v>716</v>
      </c>
      <c r="D2975" s="60"/>
      <c r="E2975" s="40"/>
      <c r="F2975" s="40"/>
      <c r="G2975" s="40"/>
      <c r="H2975" s="40"/>
      <c r="I2975" s="40">
        <f>+SUM(H2976)</f>
        <v>1</v>
      </c>
      <c r="J2975" s="41" t="s">
        <v>13</v>
      </c>
    </row>
    <row r="2976" spans="2:10" s="1" customFormat="1" ht="12.75" x14ac:dyDescent="0.2">
      <c r="C2976" s="39" t="s">
        <v>450</v>
      </c>
      <c r="D2976" s="40">
        <v>1</v>
      </c>
      <c r="E2976" s="40"/>
      <c r="F2976" s="40"/>
      <c r="G2976" s="40"/>
      <c r="H2976" s="40">
        <f>+D2976</f>
        <v>1</v>
      </c>
      <c r="I2976" s="40"/>
      <c r="J2976" s="41"/>
    </row>
    <row r="2977" spans="2:10" s="1" customFormat="1" ht="12.75" x14ac:dyDescent="0.2">
      <c r="C2977" s="39"/>
      <c r="D2977" s="60"/>
      <c r="E2977" s="40"/>
      <c r="F2977" s="40"/>
      <c r="G2977" s="40"/>
      <c r="H2977" s="40"/>
      <c r="I2977" s="40"/>
      <c r="J2977" s="41"/>
    </row>
    <row r="2978" spans="2:10" s="1" customFormat="1" ht="12.75" x14ac:dyDescent="0.2">
      <c r="B2978" s="57"/>
      <c r="C2978" s="39"/>
      <c r="D2978" s="60"/>
      <c r="E2978" s="40"/>
      <c r="F2978" s="40"/>
      <c r="G2978" s="40"/>
      <c r="H2978" s="40"/>
      <c r="I2978" s="40"/>
      <c r="J2978" s="41"/>
    </row>
    <row r="2979" spans="2:10" s="1" customFormat="1" ht="15.75" customHeight="1" x14ac:dyDescent="0.2">
      <c r="B2979" s="25" t="s">
        <v>23</v>
      </c>
      <c r="C2979" s="1" t="s">
        <v>622</v>
      </c>
      <c r="D2979" s="60"/>
      <c r="E2979" s="40"/>
      <c r="F2979" s="40"/>
      <c r="G2979" s="40"/>
      <c r="H2979" s="24"/>
      <c r="I2979" s="25">
        <f>+SUM(H2980:H2981)</f>
        <v>4.633</v>
      </c>
      <c r="J2979" s="26" t="s">
        <v>4</v>
      </c>
    </row>
    <row r="2980" spans="2:10" s="1" customFormat="1" ht="15.75" customHeight="1" x14ac:dyDescent="0.2">
      <c r="B2980" s="25"/>
      <c r="C2980" s="46" t="s">
        <v>526</v>
      </c>
      <c r="D2980" s="60">
        <v>1</v>
      </c>
      <c r="E2980" s="40">
        <v>5.2</v>
      </c>
      <c r="F2980" s="40">
        <v>0.5</v>
      </c>
      <c r="G2980" s="40">
        <f>0.43+0.1</f>
        <v>0.53</v>
      </c>
      <c r="H2980" s="40">
        <f>IF(AND(F2980=0,G2980=0),D2980*E2980,IF(AND(E2980=0,G2980=0),D2980*F2980,IF(AND(E2980=0,F2980=0),D2980*G2980,IF(AND(E2980=0),D2980*F2980*G2980,IF(AND(F2980=0),D2980*E2980*G2980,IF(AND(G2980=0),D2980*E2980*F2980,D2980*E2980*F2980*G2980))))))</f>
        <v>1.3780000000000001</v>
      </c>
      <c r="I2980" s="40"/>
      <c r="J2980" s="41"/>
    </row>
    <row r="2981" spans="2:10" s="1" customFormat="1" ht="12.75" x14ac:dyDescent="0.2">
      <c r="B2981" s="25"/>
      <c r="C2981" s="46" t="s">
        <v>684</v>
      </c>
      <c r="D2981" s="8">
        <v>1</v>
      </c>
      <c r="E2981" s="86">
        <v>9.3000000000000007</v>
      </c>
      <c r="F2981" s="40">
        <v>0.5</v>
      </c>
      <c r="G2981" s="40">
        <f>0.6+0.1</f>
        <v>0.7</v>
      </c>
      <c r="H2981" s="40">
        <f>IF(AND(F2981=0,G2981=0),D2981*E2981,IF(AND(E2981=0,G2981=0),D2981*F2981,IF(AND(E2981=0,F2981=0),D2981*G2981,IF(AND(E2981=0),D2981*F2981*G2981,IF(AND(F2981=0),D2981*E2981*G2981,IF(AND(G2981=0),D2981*E2981*F2981,D2981*E2981*F2981*G2981))))))</f>
        <v>3.2549999999999999</v>
      </c>
      <c r="I2981" s="40"/>
      <c r="J2981" s="41"/>
    </row>
    <row r="2982" spans="2:10" s="1" customFormat="1" ht="12.75" x14ac:dyDescent="0.2">
      <c r="B2982" s="25" t="s">
        <v>24</v>
      </c>
      <c r="C2982" s="1" t="s">
        <v>623</v>
      </c>
      <c r="D2982" s="60"/>
      <c r="E2982" s="40"/>
      <c r="F2982" s="40"/>
      <c r="G2982" s="40"/>
      <c r="H2982" s="24"/>
      <c r="I2982" s="25">
        <f>+SUM(H2983)</f>
        <v>1.0125000000000002</v>
      </c>
      <c r="J2982" s="26" t="s">
        <v>4</v>
      </c>
    </row>
    <row r="2983" spans="2:10" s="1" customFormat="1" ht="12.75" x14ac:dyDescent="0.2">
      <c r="B2983" s="57"/>
      <c r="C2983" s="39" t="s">
        <v>450</v>
      </c>
      <c r="D2983" s="40">
        <v>1</v>
      </c>
      <c r="E2983" s="40">
        <v>0.9</v>
      </c>
      <c r="F2983" s="40">
        <v>1.5</v>
      </c>
      <c r="G2983" s="40">
        <f>0.65+0.1</f>
        <v>0.75</v>
      </c>
      <c r="H2983" s="40">
        <f>IF(AND(F2983=0,G2983=0),D2983*E2983,IF(AND(E2983=0,G2983=0),D2983*F2983,IF(AND(E2983=0,F2983=0),D2983*G2983,IF(AND(E2983=0),D2983*F2983*G2983,IF(AND(F2983=0),D2983*E2983*G2983,IF(AND(G2983=0),D2983*E2983*F2983,D2983*E2983*F2983*G2983))))))</f>
        <v>1.0125000000000002</v>
      </c>
      <c r="I2983" s="40"/>
      <c r="J2983" s="41"/>
    </row>
    <row r="2984" spans="2:10" s="1" customFormat="1" ht="12.75" x14ac:dyDescent="0.2">
      <c r="C2984" s="39"/>
      <c r="D2984" s="60"/>
      <c r="E2984" s="40"/>
      <c r="F2984" s="40"/>
      <c r="G2984" s="40"/>
      <c r="H2984" s="40"/>
      <c r="I2984" s="40"/>
      <c r="J2984" s="41"/>
    </row>
    <row r="2985" spans="2:10" s="1" customFormat="1" ht="12.75" x14ac:dyDescent="0.2">
      <c r="B2985" s="46"/>
      <c r="C2985" s="59"/>
      <c r="D2985" s="60"/>
      <c r="E2985" s="40"/>
      <c r="F2985" s="40"/>
      <c r="G2985" s="40"/>
      <c r="H2985" s="40"/>
      <c r="I2985" s="40"/>
      <c r="J2985" s="41"/>
    </row>
    <row r="2986" spans="2:10" s="1" customFormat="1" ht="12.75" x14ac:dyDescent="0.2">
      <c r="B2986" s="107" t="s">
        <v>717</v>
      </c>
      <c r="C2986" s="343" t="s">
        <v>735</v>
      </c>
      <c r="D2986" s="60"/>
      <c r="E2986" s="40"/>
      <c r="F2986" s="40"/>
      <c r="G2986" s="40"/>
      <c r="H2986" s="40"/>
      <c r="I2986" s="40">
        <f>+SUM(H2987:H2988)</f>
        <v>4.4400000000000004</v>
      </c>
      <c r="J2986" s="41" t="s">
        <v>45</v>
      </c>
    </row>
    <row r="2987" spans="2:10" s="1" customFormat="1" ht="12.75" x14ac:dyDescent="0.2">
      <c r="B2987" s="107"/>
      <c r="C2987" s="39" t="s">
        <v>450</v>
      </c>
      <c r="D2987" s="40">
        <v>1</v>
      </c>
      <c r="E2987" s="40">
        <f>0.9*2+1.2*2</f>
        <v>4.2</v>
      </c>
      <c r="F2987" s="40"/>
      <c r="G2987" s="40">
        <f>0.65+0.15</f>
        <v>0.8</v>
      </c>
      <c r="H2987" s="40">
        <f t="shared" ref="H2987:H2988" si="204">IF(AND(F2987=0,G2987=0),D2987*E2987,IF(AND(E2987=0,G2987=0),D2987*F2987,IF(AND(E2987=0,F2987=0),D2987*G2987,IF(AND(E2987=0),D2987*F2987*G2987,IF(AND(F2987=0),D2987*E2987*G2987,IF(AND(G2987=0),D2987*E2987*F2987,D2987*E2987*F2987*G2987))))))</f>
        <v>3.3600000000000003</v>
      </c>
      <c r="I2987" s="40"/>
      <c r="J2987" s="41"/>
    </row>
    <row r="2988" spans="2:10" s="1" customFormat="1" ht="12.75" x14ac:dyDescent="0.2">
      <c r="B2988" s="107"/>
      <c r="C2988" s="59"/>
      <c r="D2988" s="60">
        <v>1</v>
      </c>
      <c r="E2988" s="40">
        <v>0.9</v>
      </c>
      <c r="F2988" s="40"/>
      <c r="G2988" s="40">
        <v>1.2</v>
      </c>
      <c r="H2988" s="40">
        <f t="shared" si="204"/>
        <v>1.08</v>
      </c>
      <c r="I2988" s="40"/>
      <c r="J2988" s="41"/>
    </row>
    <row r="2989" spans="2:10" s="1" customFormat="1" ht="12.75" x14ac:dyDescent="0.2">
      <c r="B2989" s="107" t="s">
        <v>734</v>
      </c>
      <c r="C2989" s="343" t="s">
        <v>736</v>
      </c>
      <c r="D2989" s="60"/>
      <c r="E2989" s="40"/>
      <c r="F2989" s="40"/>
      <c r="G2989" s="40"/>
      <c r="H2989" s="40"/>
      <c r="I2989" s="40">
        <f>+SUM(H2990:H2993)</f>
        <v>25.782000000000004</v>
      </c>
      <c r="J2989" s="41" t="s">
        <v>45</v>
      </c>
    </row>
    <row r="2990" spans="2:10" s="1" customFormat="1" ht="12.75" x14ac:dyDescent="0.2">
      <c r="B2990" s="46"/>
      <c r="C2990" s="46" t="s">
        <v>526</v>
      </c>
      <c r="D2990" s="60">
        <v>2</v>
      </c>
      <c r="E2990" s="40">
        <v>5.2</v>
      </c>
      <c r="F2990" s="40"/>
      <c r="G2990" s="40">
        <f>0.43+0.2</f>
        <v>0.63</v>
      </c>
      <c r="H2990" s="40">
        <f t="shared" ref="H2990:H2993" si="205">IF(AND(F2990=0,G2990=0),D2990*E2990,IF(AND(E2990=0,G2990=0),D2990*F2990,IF(AND(E2990=0,F2990=0),D2990*G2990,IF(AND(E2990=0),D2990*F2990*G2990,IF(AND(F2990=0),D2990*E2990*G2990,IF(AND(G2990=0),D2990*E2990*F2990,D2990*E2990*F2990*G2990))))))</f>
        <v>6.5520000000000005</v>
      </c>
      <c r="I2990" s="40"/>
      <c r="J2990" s="41"/>
    </row>
    <row r="2991" spans="2:10" s="1" customFormat="1" ht="12.75" x14ac:dyDescent="0.2">
      <c r="B2991" s="46"/>
      <c r="C2991" s="46"/>
      <c r="D2991" s="23">
        <v>1</v>
      </c>
      <c r="E2991" s="40">
        <v>5.2</v>
      </c>
      <c r="F2991" s="40"/>
      <c r="G2991" s="40">
        <v>0.3</v>
      </c>
      <c r="H2991" s="40">
        <f t="shared" si="205"/>
        <v>1.56</v>
      </c>
      <c r="I2991" s="40"/>
      <c r="J2991" s="41"/>
    </row>
    <row r="2992" spans="2:10" s="1" customFormat="1" ht="12.75" x14ac:dyDescent="0.2">
      <c r="B2992" s="46"/>
      <c r="C2992" s="39" t="s">
        <v>684</v>
      </c>
      <c r="D2992" s="8">
        <v>2</v>
      </c>
      <c r="E2992" s="86">
        <v>9.3000000000000007</v>
      </c>
      <c r="F2992" s="40"/>
      <c r="G2992" s="40">
        <f>0.6+0.2</f>
        <v>0.8</v>
      </c>
      <c r="H2992" s="40">
        <f t="shared" si="205"/>
        <v>14.880000000000003</v>
      </c>
      <c r="I2992" s="40"/>
      <c r="J2992" s="41"/>
    </row>
    <row r="2993" spans="2:10" s="1" customFormat="1" ht="12.75" x14ac:dyDescent="0.2">
      <c r="B2993" s="46"/>
      <c r="C2993" s="46"/>
      <c r="D2993" s="8">
        <v>1</v>
      </c>
      <c r="E2993" s="86">
        <v>9.3000000000000007</v>
      </c>
      <c r="F2993" s="40"/>
      <c r="G2993" s="40">
        <v>0.3</v>
      </c>
      <c r="H2993" s="40">
        <f t="shared" si="205"/>
        <v>2.79</v>
      </c>
      <c r="I2993" s="40"/>
      <c r="J2993" s="41"/>
    </row>
    <row r="2994" spans="2:10" s="1" customFormat="1" ht="12.75" x14ac:dyDescent="0.2">
      <c r="B2994" s="46"/>
      <c r="C2994" s="59"/>
      <c r="D2994" s="60"/>
      <c r="E2994" s="40"/>
      <c r="F2994" s="40"/>
      <c r="G2994" s="40"/>
      <c r="H2994" s="40"/>
      <c r="I2994" s="40"/>
      <c r="J2994" s="41"/>
    </row>
    <row r="2995" spans="2:10" s="1" customFormat="1" ht="12.75" x14ac:dyDescent="0.2">
      <c r="B2995" s="57"/>
      <c r="C2995" s="39"/>
      <c r="D2995" s="60"/>
      <c r="E2995" s="40"/>
      <c r="F2995" s="40"/>
      <c r="G2995" s="40"/>
      <c r="H2995" s="40"/>
      <c r="I2995" s="40"/>
      <c r="J2995" s="41"/>
    </row>
    <row r="2996" spans="2:10" s="1" customFormat="1" ht="12.75" x14ac:dyDescent="0.2">
      <c r="B2996" s="57" t="s">
        <v>18</v>
      </c>
      <c r="C2996" s="58" t="s">
        <v>223</v>
      </c>
      <c r="D2996" s="60"/>
      <c r="E2996" s="40"/>
      <c r="F2996" s="40"/>
      <c r="G2996" s="40"/>
      <c r="H2996" s="40"/>
      <c r="I2996" s="40"/>
      <c r="J2996" s="41"/>
    </row>
    <row r="2997" spans="2:10" s="1" customFormat="1" ht="12.75" x14ac:dyDescent="0.2">
      <c r="B2997" s="43" t="s">
        <v>19</v>
      </c>
      <c r="C2997" s="43" t="s">
        <v>265</v>
      </c>
      <c r="D2997" s="60"/>
      <c r="E2997" s="40"/>
      <c r="F2997" s="40"/>
      <c r="G2997" s="40"/>
      <c r="H2997" s="40"/>
      <c r="I2997" s="44">
        <f>SUM(H2998:H2999)</f>
        <v>0</v>
      </c>
      <c r="J2997" s="45" t="str">
        <f>+J2998</f>
        <v>und</v>
      </c>
    </row>
    <row r="2998" spans="2:10" s="1" customFormat="1" ht="12.75" x14ac:dyDescent="0.2">
      <c r="B2998" s="46"/>
      <c r="C2998" s="39" t="s">
        <v>361</v>
      </c>
      <c r="D2998" s="40"/>
      <c r="E2998" s="40"/>
      <c r="F2998" s="40"/>
      <c r="G2998" s="40"/>
      <c r="H2998" s="40">
        <f>+D2998</f>
        <v>0</v>
      </c>
      <c r="I2998" s="40"/>
      <c r="J2998" s="41" t="s">
        <v>13</v>
      </c>
    </row>
    <row r="2999" spans="2:10" s="1" customFormat="1" ht="12.75" x14ac:dyDescent="0.2">
      <c r="B2999" s="46"/>
      <c r="C2999" s="39" t="s">
        <v>231</v>
      </c>
      <c r="D2999" s="40"/>
      <c r="E2999" s="40"/>
      <c r="F2999" s="40"/>
      <c r="G2999" s="40"/>
      <c r="H2999" s="40">
        <f>+D2999</f>
        <v>0</v>
      </c>
      <c r="I2999" s="40"/>
      <c r="J2999" s="41" t="s">
        <v>13</v>
      </c>
    </row>
    <row r="3000" spans="2:10" s="1" customFormat="1" ht="12.75" x14ac:dyDescent="0.2">
      <c r="B3000" s="43" t="s">
        <v>20</v>
      </c>
      <c r="C3000" s="43" t="s">
        <v>272</v>
      </c>
      <c r="D3000" s="60"/>
      <c r="E3000" s="40"/>
      <c r="F3000" s="40"/>
      <c r="G3000" s="40"/>
      <c r="H3000" s="40"/>
      <c r="I3000" s="44">
        <f>SUM(H3001:H3006)</f>
        <v>0</v>
      </c>
      <c r="J3000" s="45" t="str">
        <f>+J3001</f>
        <v>und</v>
      </c>
    </row>
    <row r="3001" spans="2:10" s="1" customFormat="1" ht="12.75" x14ac:dyDescent="0.2">
      <c r="B3001" s="46"/>
      <c r="C3001" s="77" t="s">
        <v>71</v>
      </c>
      <c r="D3001" s="40"/>
      <c r="E3001" s="40"/>
      <c r="F3001" s="40"/>
      <c r="G3001" s="40"/>
      <c r="H3001" s="40"/>
      <c r="I3001" s="40"/>
      <c r="J3001" s="41" t="s">
        <v>13</v>
      </c>
    </row>
    <row r="3002" spans="2:10" s="1" customFormat="1" ht="12.75" x14ac:dyDescent="0.2">
      <c r="B3002" s="46"/>
      <c r="C3002" s="39" t="s">
        <v>349</v>
      </c>
      <c r="D3002" s="40"/>
      <c r="E3002" s="40"/>
      <c r="F3002" s="40"/>
      <c r="G3002" s="40"/>
      <c r="H3002" s="40">
        <f>+D3002</f>
        <v>0</v>
      </c>
      <c r="I3002" s="40"/>
      <c r="J3002" s="41" t="s">
        <v>13</v>
      </c>
    </row>
    <row r="3003" spans="2:10" s="1" customFormat="1" ht="12.75" x14ac:dyDescent="0.2">
      <c r="B3003" s="46"/>
      <c r="C3003" s="77" t="s">
        <v>72</v>
      </c>
      <c r="D3003" s="40"/>
      <c r="E3003" s="40"/>
      <c r="F3003" s="40"/>
      <c r="G3003" s="40"/>
      <c r="H3003" s="40"/>
      <c r="I3003" s="40"/>
      <c r="J3003" s="41" t="s">
        <v>13</v>
      </c>
    </row>
    <row r="3004" spans="2:10" s="1" customFormat="1" ht="12.75" x14ac:dyDescent="0.2">
      <c r="B3004" s="46"/>
      <c r="C3004" s="39" t="s">
        <v>349</v>
      </c>
      <c r="D3004" s="40"/>
      <c r="E3004" s="40"/>
      <c r="F3004" s="40"/>
      <c r="G3004" s="40"/>
      <c r="H3004" s="40">
        <f>+D3004</f>
        <v>0</v>
      </c>
      <c r="I3004" s="40"/>
      <c r="J3004" s="41" t="s">
        <v>13</v>
      </c>
    </row>
    <row r="3005" spans="2:10" s="1" customFormat="1" ht="12.75" x14ac:dyDescent="0.2">
      <c r="B3005" s="46"/>
      <c r="C3005" s="77" t="s">
        <v>73</v>
      </c>
      <c r="D3005" s="40"/>
      <c r="E3005" s="40"/>
      <c r="F3005" s="40"/>
      <c r="G3005" s="40"/>
      <c r="H3005" s="40"/>
      <c r="I3005" s="40"/>
      <c r="J3005" s="41" t="s">
        <v>13</v>
      </c>
    </row>
    <row r="3006" spans="2:10" s="1" customFormat="1" ht="12.75" x14ac:dyDescent="0.2">
      <c r="B3006" s="46"/>
      <c r="C3006" s="39" t="s">
        <v>349</v>
      </c>
      <c r="D3006" s="40"/>
      <c r="E3006" s="40"/>
      <c r="F3006" s="40"/>
      <c r="G3006" s="40"/>
      <c r="H3006" s="40">
        <f>+D3006</f>
        <v>0</v>
      </c>
      <c r="I3006" s="40"/>
      <c r="J3006" s="41" t="s">
        <v>13</v>
      </c>
    </row>
    <row r="3007" spans="2:10" s="1" customFormat="1" ht="12.75" x14ac:dyDescent="0.2">
      <c r="B3007" s="43" t="s">
        <v>21</v>
      </c>
      <c r="C3007" s="43" t="s">
        <v>266</v>
      </c>
      <c r="D3007" s="60"/>
      <c r="E3007" s="40"/>
      <c r="F3007" s="40"/>
      <c r="G3007" s="40"/>
      <c r="H3007" s="40"/>
      <c r="I3007" s="44">
        <f>SUM(H3008:H3010)</f>
        <v>648</v>
      </c>
      <c r="J3007" s="45" t="str">
        <f>+J3008</f>
        <v>und</v>
      </c>
    </row>
    <row r="3008" spans="2:10" s="1" customFormat="1" ht="12.75" x14ac:dyDescent="0.2">
      <c r="B3008" s="43"/>
      <c r="C3008" s="39" t="s">
        <v>71</v>
      </c>
      <c r="D3008" s="113">
        <v>36</v>
      </c>
      <c r="E3008" s="113">
        <v>6</v>
      </c>
      <c r="F3008" s="40"/>
      <c r="G3008" s="40"/>
      <c r="H3008" s="40">
        <f>IF(AND(F3008=0,G3008=0),D3008*E3008,IF(AND(E3008=0,G3008=0),D3008*F3008,IF(AND(E3008=0,F3008=0),D3008*G3008,IF(AND(E3008=0),D3008*F3008*G3008,IF(AND(F3008=0),D3008*E3008*G3008,IF(AND(G3008=0),D3008*E3008*F3008,D3008*E3008*F3008*G3008))))))</f>
        <v>216</v>
      </c>
      <c r="I3008" s="40"/>
      <c r="J3008" s="41" t="s">
        <v>13</v>
      </c>
    </row>
    <row r="3009" spans="2:10" s="1" customFormat="1" ht="12.75" x14ac:dyDescent="0.2">
      <c r="B3009" s="43"/>
      <c r="C3009" s="39" t="s">
        <v>72</v>
      </c>
      <c r="D3009" s="113">
        <v>36</v>
      </c>
      <c r="E3009" s="113">
        <v>6</v>
      </c>
      <c r="F3009" s="40"/>
      <c r="G3009" s="40"/>
      <c r="H3009" s="40">
        <f>IF(AND(F3009=0,G3009=0),D3009*E3009,IF(AND(E3009=0,G3009=0),D3009*F3009,IF(AND(E3009=0,F3009=0),D3009*G3009,IF(AND(E3009=0),D3009*F3009*G3009,IF(AND(F3009=0),D3009*E3009*G3009,IF(AND(G3009=0),D3009*E3009*F3009,D3009*E3009*F3009*G3009))))))</f>
        <v>216</v>
      </c>
      <c r="I3009" s="40"/>
      <c r="J3009" s="41" t="s">
        <v>13</v>
      </c>
    </row>
    <row r="3010" spans="2:10" s="1" customFormat="1" ht="12.75" x14ac:dyDescent="0.2">
      <c r="B3010" s="43"/>
      <c r="C3010" s="39" t="s">
        <v>73</v>
      </c>
      <c r="D3010" s="113">
        <v>36</v>
      </c>
      <c r="E3010" s="113">
        <v>6</v>
      </c>
      <c r="F3010" s="40"/>
      <c r="G3010" s="40"/>
      <c r="H3010" s="40">
        <f>IF(AND(F3010=0,G3010=0),D3010*E3010,IF(AND(E3010=0,G3010=0),D3010*F3010,IF(AND(E3010=0,F3010=0),D3010*G3010,IF(AND(E3010=0),D3010*F3010*G3010,IF(AND(F3010=0),D3010*E3010*G3010,IF(AND(G3010=0),D3010*E3010*F3010,D3010*E3010*F3010*G3010))))))</f>
        <v>216</v>
      </c>
      <c r="I3010" s="40"/>
      <c r="J3010" s="41" t="s">
        <v>13</v>
      </c>
    </row>
    <row r="3011" spans="2:10" s="1" customFormat="1" ht="12.75" x14ac:dyDescent="0.2">
      <c r="B3011" s="43" t="s">
        <v>273</v>
      </c>
      <c r="C3011" s="43" t="s">
        <v>354</v>
      </c>
      <c r="D3011" s="60"/>
      <c r="E3011" s="40"/>
      <c r="F3011" s="40"/>
      <c r="G3011" s="40"/>
      <c r="H3011" s="40"/>
      <c r="I3011" s="44">
        <f>SUM(H3012:H3012)</f>
        <v>0</v>
      </c>
      <c r="J3011" s="45" t="str">
        <f>+J3012</f>
        <v>und</v>
      </c>
    </row>
    <row r="3012" spans="2:10" s="1" customFormat="1" ht="12.75" x14ac:dyDescent="0.2">
      <c r="B3012" s="43"/>
      <c r="C3012" s="39" t="s">
        <v>375</v>
      </c>
      <c r="D3012" s="40"/>
      <c r="E3012" s="40"/>
      <c r="F3012" s="40"/>
      <c r="G3012" s="40"/>
      <c r="H3012" s="40">
        <f>IF(AND(F3012=0,G3012=0),D3012*E3012,IF(AND(E3012=0,G3012=0),D3012*F3012,IF(AND(E3012=0,F3012=0),D3012*G3012,IF(AND(E3012=0),D3012*F3012*G3012,IF(AND(F3012=0),D3012*E3012*G3012,IF(AND(G3012=0),D3012*E3012*F3012,D3012*E3012*F3012*G3012))))))</f>
        <v>0</v>
      </c>
      <c r="I3012" s="40"/>
      <c r="J3012" s="41" t="s">
        <v>13</v>
      </c>
    </row>
    <row r="3013" spans="2:10" s="1" customFormat="1" ht="12.75" x14ac:dyDescent="0.2">
      <c r="B3013" s="43" t="s">
        <v>274</v>
      </c>
      <c r="C3013" s="43" t="s">
        <v>357</v>
      </c>
      <c r="D3013" s="60"/>
      <c r="E3013" s="40"/>
      <c r="F3013" s="40"/>
      <c r="G3013" s="40"/>
      <c r="H3013" s="40"/>
      <c r="I3013" s="44">
        <f>SUM(H3014:H3014)</f>
        <v>18</v>
      </c>
      <c r="J3013" s="45" t="str">
        <f>+J3014</f>
        <v>und</v>
      </c>
    </row>
    <row r="3014" spans="2:10" s="1" customFormat="1" ht="12.75" x14ac:dyDescent="0.2">
      <c r="B3014" s="43"/>
      <c r="C3014" s="39" t="s">
        <v>375</v>
      </c>
      <c r="D3014" s="40">
        <v>18</v>
      </c>
      <c r="E3014" s="40"/>
      <c r="F3014" s="40"/>
      <c r="G3014" s="40"/>
      <c r="H3014" s="40">
        <f t="shared" ref="H3014" si="206">+D3014</f>
        <v>18</v>
      </c>
      <c r="I3014" s="40"/>
      <c r="J3014" s="41" t="s">
        <v>13</v>
      </c>
    </row>
    <row r="3015" spans="2:10" s="1" customFormat="1" ht="12.75" x14ac:dyDescent="0.2">
      <c r="B3015" s="43" t="s">
        <v>355</v>
      </c>
      <c r="C3015" s="43" t="s">
        <v>263</v>
      </c>
      <c r="D3015" s="60"/>
      <c r="E3015" s="40"/>
      <c r="F3015" s="40"/>
      <c r="G3015" s="40"/>
      <c r="H3015" s="40"/>
      <c r="I3015" s="44">
        <f>SUM(H3016:H3016)</f>
        <v>0</v>
      </c>
      <c r="J3015" s="45" t="str">
        <f>+J3016</f>
        <v>und</v>
      </c>
    </row>
    <row r="3016" spans="2:10" s="1" customFormat="1" ht="12.75" x14ac:dyDescent="0.2">
      <c r="B3016" s="46"/>
      <c r="C3016" s="39" t="s">
        <v>420</v>
      </c>
      <c r="D3016" s="40"/>
      <c r="E3016" s="40"/>
      <c r="F3016" s="40"/>
      <c r="G3016" s="40"/>
      <c r="H3016" s="40">
        <f>+D3016</f>
        <v>0</v>
      </c>
      <c r="I3016" s="40"/>
      <c r="J3016" s="41" t="s">
        <v>13</v>
      </c>
    </row>
    <row r="3017" spans="2:10" s="1" customFormat="1" ht="12.75" x14ac:dyDescent="0.2">
      <c r="B3017" s="43" t="s">
        <v>356</v>
      </c>
      <c r="C3017" s="43" t="s">
        <v>264</v>
      </c>
      <c r="D3017" s="60"/>
      <c r="E3017" s="40"/>
      <c r="F3017" s="40"/>
      <c r="G3017" s="40"/>
      <c r="H3017" s="40"/>
      <c r="I3017" s="44">
        <f>SUM(H3018:H3018)</f>
        <v>0</v>
      </c>
      <c r="J3017" s="45" t="str">
        <f>+J3018</f>
        <v>und</v>
      </c>
    </row>
    <row r="3018" spans="2:10" s="1" customFormat="1" ht="12.75" x14ac:dyDescent="0.2">
      <c r="B3018" s="46"/>
      <c r="C3018" s="39" t="s">
        <v>420</v>
      </c>
      <c r="D3018" s="40"/>
      <c r="E3018" s="40"/>
      <c r="F3018" s="40"/>
      <c r="G3018" s="40"/>
      <c r="H3018" s="40">
        <f>+D3018</f>
        <v>0</v>
      </c>
      <c r="I3018" s="40"/>
      <c r="J3018" s="41" t="s">
        <v>13</v>
      </c>
    </row>
    <row r="3019" spans="2:10" s="1" customFormat="1" ht="12.75" x14ac:dyDescent="0.2">
      <c r="B3019" s="46"/>
      <c r="C3019" s="91"/>
      <c r="D3019" s="60"/>
      <c r="E3019" s="40"/>
      <c r="F3019" s="40"/>
      <c r="G3019" s="40"/>
      <c r="H3019" s="40"/>
      <c r="I3019" s="40"/>
      <c r="J3019" s="41"/>
    </row>
    <row r="3020" spans="2:10" s="1" customFormat="1" ht="12.75" x14ac:dyDescent="0.2">
      <c r="B3020" s="43" t="s">
        <v>600</v>
      </c>
      <c r="C3020" s="43" t="s">
        <v>497</v>
      </c>
      <c r="D3020" s="60"/>
      <c r="E3020" s="40"/>
      <c r="F3020" s="40"/>
      <c r="G3020" s="40"/>
      <c r="H3020" s="40"/>
      <c r="I3020" s="44">
        <f>SUM(H3021)</f>
        <v>2</v>
      </c>
      <c r="J3020" s="45" t="s">
        <v>13</v>
      </c>
    </row>
    <row r="3021" spans="2:10" s="1" customFormat="1" ht="12.75" x14ac:dyDescent="0.2">
      <c r="B3021" s="43"/>
      <c r="C3021" s="349" t="s">
        <v>671</v>
      </c>
      <c r="D3021" s="60">
        <v>2</v>
      </c>
      <c r="E3021" s="40"/>
      <c r="F3021" s="40"/>
      <c r="G3021" s="40"/>
      <c r="H3021" s="40">
        <f>+D3021</f>
        <v>2</v>
      </c>
      <c r="I3021" s="44"/>
      <c r="J3021" s="45"/>
    </row>
    <row r="3022" spans="2:10" s="1" customFormat="1" ht="12.75" x14ac:dyDescent="0.2">
      <c r="B3022" s="46"/>
      <c r="C3022" s="91"/>
      <c r="D3022" s="60"/>
      <c r="E3022" s="40"/>
      <c r="F3022" s="40"/>
      <c r="G3022" s="40"/>
      <c r="H3022" s="40"/>
      <c r="I3022" s="40"/>
      <c r="J3022" s="41"/>
    </row>
    <row r="3023" spans="2:10" s="1" customFormat="1" ht="12.75" x14ac:dyDescent="0.2">
      <c r="B3023" s="46"/>
      <c r="C3023" s="91"/>
      <c r="D3023" s="60"/>
      <c r="E3023" s="40"/>
      <c r="F3023" s="40"/>
      <c r="G3023" s="40"/>
      <c r="H3023" s="40"/>
      <c r="I3023" s="40"/>
      <c r="J3023" s="41"/>
    </row>
    <row r="3024" spans="2:10" s="1" customFormat="1" ht="12.75" x14ac:dyDescent="0.2">
      <c r="B3024" s="43" t="s">
        <v>602</v>
      </c>
      <c r="C3024" s="43" t="s">
        <v>505</v>
      </c>
      <c r="D3024" s="60"/>
      <c r="E3024" s="40"/>
      <c r="F3024" s="40"/>
      <c r="G3024" s="40"/>
      <c r="H3024" s="40"/>
      <c r="I3024" s="44">
        <f>SUM(H3025)</f>
        <v>0</v>
      </c>
      <c r="J3024" s="45" t="str">
        <f>+J3025</f>
        <v>und</v>
      </c>
    </row>
    <row r="3025" spans="2:10" s="1" customFormat="1" ht="12.75" x14ac:dyDescent="0.2">
      <c r="B3025" s="46"/>
      <c r="C3025" s="39" t="s">
        <v>555</v>
      </c>
      <c r="D3025" s="60">
        <v>0</v>
      </c>
      <c r="E3025" s="40"/>
      <c r="F3025" s="40"/>
      <c r="G3025" s="40"/>
      <c r="H3025" s="40">
        <f>+D3025</f>
        <v>0</v>
      </c>
      <c r="I3025" s="40"/>
      <c r="J3025" s="41" t="s">
        <v>13</v>
      </c>
    </row>
    <row r="3026" spans="2:10" s="1" customFormat="1" ht="12.75" x14ac:dyDescent="0.2">
      <c r="B3026" s="46"/>
      <c r="C3026" s="91"/>
      <c r="D3026" s="60"/>
      <c r="E3026" s="40"/>
      <c r="F3026" s="40"/>
      <c r="G3026" s="40"/>
      <c r="H3026" s="40"/>
      <c r="I3026" s="40"/>
      <c r="J3026" s="41"/>
    </row>
    <row r="3027" spans="2:10" s="1" customFormat="1" ht="12.75" x14ac:dyDescent="0.2">
      <c r="B3027" s="43" t="s">
        <v>607</v>
      </c>
      <c r="C3027" s="43" t="s">
        <v>517</v>
      </c>
      <c r="D3027" s="60"/>
      <c r="E3027" s="40"/>
      <c r="F3027" s="40"/>
      <c r="G3027" s="40"/>
      <c r="H3027" s="40"/>
      <c r="I3027" s="44">
        <f>SUM(H3028:H3030)</f>
        <v>18</v>
      </c>
      <c r="J3027" s="45" t="str">
        <f>+J3028</f>
        <v>und</v>
      </c>
    </row>
    <row r="3028" spans="2:10" s="1" customFormat="1" ht="12.75" x14ac:dyDescent="0.2">
      <c r="B3028" s="46"/>
      <c r="C3028" s="91" t="s">
        <v>520</v>
      </c>
      <c r="D3028" s="60">
        <v>1</v>
      </c>
      <c r="E3028" s="40"/>
      <c r="F3028" s="40"/>
      <c r="G3028" s="40"/>
      <c r="H3028" s="40">
        <f>+D3028</f>
        <v>1</v>
      </c>
      <c r="I3028" s="40"/>
      <c r="J3028" s="41" t="s">
        <v>13</v>
      </c>
    </row>
    <row r="3029" spans="2:10" s="1" customFormat="1" ht="12.75" x14ac:dyDescent="0.2">
      <c r="B3029" s="46"/>
      <c r="C3029" s="91" t="s">
        <v>675</v>
      </c>
      <c r="D3029" s="60">
        <v>11</v>
      </c>
      <c r="E3029" s="40"/>
      <c r="F3029" s="40"/>
      <c r="G3029" s="40"/>
      <c r="H3029" s="40">
        <f>+D3029</f>
        <v>11</v>
      </c>
      <c r="I3029" s="40"/>
      <c r="J3029" s="41"/>
    </row>
    <row r="3030" spans="2:10" s="1" customFormat="1" ht="12.75" x14ac:dyDescent="0.2">
      <c r="B3030" s="46"/>
      <c r="C3030" s="91" t="s">
        <v>674</v>
      </c>
      <c r="D3030" s="60">
        <v>6</v>
      </c>
      <c r="E3030" s="40"/>
      <c r="F3030" s="40"/>
      <c r="G3030" s="40"/>
      <c r="H3030" s="40">
        <f>+D3030</f>
        <v>6</v>
      </c>
      <c r="I3030" s="40"/>
      <c r="J3030" s="41"/>
    </row>
    <row r="3031" spans="2:10" s="1" customFormat="1" ht="12.75" x14ac:dyDescent="0.2">
      <c r="B3031" s="43"/>
      <c r="C3031" s="43"/>
      <c r="D3031" s="60"/>
      <c r="E3031" s="40"/>
      <c r="F3031" s="40"/>
      <c r="G3031" s="40"/>
      <c r="H3031" s="40"/>
      <c r="I3031" s="40"/>
      <c r="J3031" s="41"/>
    </row>
    <row r="3032" spans="2:10" s="1" customFormat="1" ht="12.75" x14ac:dyDescent="0.2">
      <c r="B3032" s="43" t="s">
        <v>611</v>
      </c>
      <c r="C3032" s="43" t="s">
        <v>556</v>
      </c>
      <c r="D3032" s="60"/>
      <c r="E3032" s="40"/>
      <c r="F3032" s="40"/>
      <c r="G3032" s="40"/>
      <c r="H3032" s="40"/>
      <c r="I3032" s="44">
        <f>SUM(H3033)</f>
        <v>1</v>
      </c>
      <c r="J3032" s="45" t="str">
        <f>+J3033</f>
        <v>und</v>
      </c>
    </row>
    <row r="3033" spans="2:10" s="1" customFormat="1" ht="12.75" x14ac:dyDescent="0.2">
      <c r="B3033" s="46"/>
      <c r="C3033" s="39" t="s">
        <v>518</v>
      </c>
      <c r="D3033" s="60">
        <v>1</v>
      </c>
      <c r="E3033" s="40"/>
      <c r="F3033" s="40"/>
      <c r="G3033" s="40"/>
      <c r="H3033" s="40">
        <f>+D3033</f>
        <v>1</v>
      </c>
      <c r="I3033" s="40"/>
      <c r="J3033" s="41" t="s">
        <v>13</v>
      </c>
    </row>
    <row r="3034" spans="2:10" s="1" customFormat="1" ht="12.75" x14ac:dyDescent="0.2">
      <c r="B3034" s="46"/>
      <c r="C3034" s="59"/>
      <c r="D3034" s="60"/>
      <c r="E3034" s="40"/>
      <c r="F3034" s="40"/>
      <c r="G3034" s="40"/>
      <c r="H3034" s="40"/>
      <c r="I3034" s="40"/>
      <c r="J3034" s="41"/>
    </row>
    <row r="3035" spans="2:10" s="1" customFormat="1" ht="12.75" x14ac:dyDescent="0.2">
      <c r="B3035" s="93" t="s">
        <v>669</v>
      </c>
      <c r="C3035" s="93" t="s">
        <v>670</v>
      </c>
      <c r="D3035" s="60"/>
      <c r="E3035" s="40"/>
      <c r="F3035" s="40"/>
      <c r="G3035" s="40"/>
      <c r="H3035" s="40"/>
      <c r="I3035" s="44">
        <f>SUM(H3036:H3039)</f>
        <v>57</v>
      </c>
      <c r="J3035" s="41" t="s">
        <v>13</v>
      </c>
    </row>
    <row r="3036" spans="2:10" s="1" customFormat="1" ht="12.75" x14ac:dyDescent="0.2">
      <c r="B3036" s="46"/>
      <c r="C3036" s="91" t="s">
        <v>665</v>
      </c>
      <c r="D3036" s="60">
        <v>2</v>
      </c>
      <c r="E3036" s="40">
        <v>12</v>
      </c>
      <c r="F3036" s="40"/>
      <c r="G3036" s="40"/>
      <c r="H3036" s="40">
        <f>IF(AND(F3036=0,G3036=0),D3036*E3036,IF(AND(E3036=0,G3036=0),D3036*F3036,IF(AND(E3036=0,F3036=0),D3036*G3036,IF(AND(E3036=0),D3036*F3036*G3036,IF(AND(F3036=0),D3036*E3036*G3036,IF(AND(G3036=0),D3036*E3036*F3036,D3036*E3036*F3036*G3036))))))</f>
        <v>24</v>
      </c>
    </row>
    <row r="3037" spans="2:10" s="1" customFormat="1" ht="12.75" x14ac:dyDescent="0.2">
      <c r="B3037" s="46"/>
      <c r="C3037" s="91" t="s">
        <v>667</v>
      </c>
      <c r="D3037" s="60">
        <v>1</v>
      </c>
      <c r="E3037" s="40">
        <v>19</v>
      </c>
      <c r="F3037" s="40"/>
      <c r="G3037" s="40"/>
      <c r="H3037" s="40">
        <f t="shared" ref="H3037:H3039" si="207">IF(AND(F3037=0,G3037=0),D3037*E3037,IF(AND(E3037=0,G3037=0),D3037*F3037,IF(AND(E3037=0,F3037=0),D3037*G3037,IF(AND(E3037=0),D3037*F3037*G3037,IF(AND(F3037=0),D3037*E3037*G3037,IF(AND(G3037=0),D3037*E3037*F3037,D3037*E3037*F3037*G3037))))))</f>
        <v>19</v>
      </c>
      <c r="I3037" s="40"/>
      <c r="J3037" s="41"/>
    </row>
    <row r="3038" spans="2:10" s="1" customFormat="1" ht="12.75" x14ac:dyDescent="0.2">
      <c r="B3038" s="46"/>
      <c r="C3038" s="91" t="s">
        <v>666</v>
      </c>
      <c r="D3038" s="60">
        <v>1</v>
      </c>
      <c r="E3038" s="40">
        <v>6</v>
      </c>
      <c r="F3038" s="40"/>
      <c r="G3038" s="40"/>
      <c r="H3038" s="40">
        <f t="shared" si="207"/>
        <v>6</v>
      </c>
      <c r="I3038" s="40"/>
      <c r="J3038" s="41"/>
    </row>
    <row r="3039" spans="2:10" s="1" customFormat="1" ht="12.75" x14ac:dyDescent="0.2">
      <c r="B3039" s="46"/>
      <c r="C3039" s="91" t="s">
        <v>668</v>
      </c>
      <c r="D3039" s="60">
        <v>1</v>
      </c>
      <c r="E3039" s="40">
        <v>8</v>
      </c>
      <c r="F3039" s="40"/>
      <c r="G3039" s="40"/>
      <c r="H3039" s="40">
        <f t="shared" si="207"/>
        <v>8</v>
      </c>
      <c r="I3039" s="40"/>
      <c r="J3039" s="41"/>
    </row>
    <row r="3040" spans="2:10" s="1" customFormat="1" ht="12.75" x14ac:dyDescent="0.2">
      <c r="B3040" s="46"/>
      <c r="C3040" s="59"/>
      <c r="D3040" s="60"/>
      <c r="E3040" s="40"/>
      <c r="F3040" s="40"/>
      <c r="G3040" s="40"/>
      <c r="H3040" s="40"/>
      <c r="I3040" s="40"/>
      <c r="J3040" s="41"/>
    </row>
    <row r="3041" spans="2:10" s="1" customFormat="1" ht="12.75" x14ac:dyDescent="0.2">
      <c r="B3041" s="46"/>
      <c r="C3041" s="59"/>
      <c r="D3041" s="60"/>
      <c r="E3041" s="40"/>
      <c r="F3041" s="40"/>
      <c r="G3041" s="40"/>
      <c r="H3041" s="40"/>
      <c r="I3041" s="40"/>
      <c r="J3041" s="41"/>
    </row>
    <row r="3042" spans="2:10" s="1" customFormat="1" ht="12.75" x14ac:dyDescent="0.2">
      <c r="B3042" s="73" t="s">
        <v>14</v>
      </c>
      <c r="C3042" s="73" t="s">
        <v>615</v>
      </c>
      <c r="D3042" s="60"/>
      <c r="E3042" s="40"/>
      <c r="F3042" s="40"/>
      <c r="G3042" s="40"/>
      <c r="H3042" s="40"/>
      <c r="I3042" s="40"/>
      <c r="J3042" s="41"/>
    </row>
    <row r="3043" spans="2:10" s="1" customFormat="1" ht="12.75" x14ac:dyDescent="0.2">
      <c r="B3043" s="25" t="s">
        <v>766</v>
      </c>
      <c r="C3043" s="28" t="s">
        <v>616</v>
      </c>
      <c r="D3043" s="60"/>
      <c r="E3043" s="40"/>
      <c r="F3043" s="40"/>
      <c r="G3043" s="40"/>
      <c r="H3043" s="40"/>
      <c r="I3043" s="40">
        <f>+SUM(H3044:H3053)</f>
        <v>35.626640000000002</v>
      </c>
      <c r="J3043" s="41" t="s">
        <v>45</v>
      </c>
    </row>
    <row r="3044" spans="2:10" s="1" customFormat="1" ht="12.75" x14ac:dyDescent="0.2">
      <c r="B3044" s="46"/>
      <c r="C3044" s="46" t="s">
        <v>526</v>
      </c>
      <c r="D3044" s="60">
        <v>1</v>
      </c>
      <c r="E3044" s="40">
        <v>5.2</v>
      </c>
      <c r="F3044" s="40">
        <v>0.5</v>
      </c>
      <c r="G3044" s="40"/>
      <c r="H3044" s="40">
        <f t="shared" ref="H3044:H3053" si="208">IF(AND(F3044=0,G3044=0),D3044*E3044,IF(AND(E3044=0,G3044=0),D3044*F3044,IF(AND(E3044=0,F3044=0),D3044*G3044,IF(AND(E3044=0),D3044*F3044*G3044,IF(AND(F3044=0),D3044*E3044*G3044,IF(AND(G3044=0),D3044*E3044*F3044,D3044*E3044*F3044*G3044))))))</f>
        <v>2.6</v>
      </c>
      <c r="I3044" s="40"/>
      <c r="J3044" s="41"/>
    </row>
    <row r="3045" spans="2:10" s="1" customFormat="1" ht="12.75" x14ac:dyDescent="0.2">
      <c r="B3045" s="46"/>
      <c r="C3045" s="46" t="s">
        <v>684</v>
      </c>
      <c r="D3045" s="8">
        <v>1</v>
      </c>
      <c r="E3045" s="86">
        <v>9.3000000000000007</v>
      </c>
      <c r="F3045" s="40">
        <v>0.5</v>
      </c>
      <c r="G3045" s="40"/>
      <c r="H3045" s="40">
        <f t="shared" si="208"/>
        <v>4.6500000000000004</v>
      </c>
      <c r="I3045" s="40"/>
      <c r="J3045" s="41"/>
    </row>
    <row r="3046" spans="2:10" s="1" customFormat="1" ht="12.75" x14ac:dyDescent="0.2">
      <c r="B3046" s="46"/>
      <c r="C3046" s="39" t="s">
        <v>450</v>
      </c>
      <c r="D3046" s="40">
        <v>1</v>
      </c>
      <c r="E3046" s="40">
        <v>0.9</v>
      </c>
      <c r="F3046" s="40">
        <v>1.5</v>
      </c>
      <c r="G3046" s="40"/>
      <c r="H3046" s="40">
        <f t="shared" si="208"/>
        <v>1.35</v>
      </c>
      <c r="I3046" s="40"/>
      <c r="J3046" s="41"/>
    </row>
    <row r="3047" spans="2:10" s="1" customFormat="1" ht="12.75" x14ac:dyDescent="0.2">
      <c r="B3047" s="46"/>
      <c r="C3047" s="43" t="s">
        <v>490</v>
      </c>
      <c r="D3047" s="60"/>
      <c r="E3047" s="40"/>
      <c r="F3047" s="40"/>
      <c r="G3047" s="40"/>
      <c r="H3047" s="40"/>
      <c r="I3047" s="40"/>
      <c r="J3047" s="41"/>
    </row>
    <row r="3048" spans="2:10" s="1" customFormat="1" ht="12.75" x14ac:dyDescent="0.2">
      <c r="B3048" s="46"/>
      <c r="C3048" s="39" t="s">
        <v>518</v>
      </c>
      <c r="D3048" s="40">
        <v>1</v>
      </c>
      <c r="E3048" s="40">
        <v>11.85</v>
      </c>
      <c r="F3048" s="40">
        <f>4*0.0254+0.4</f>
        <v>0.50160000000000005</v>
      </c>
      <c r="G3048" s="40"/>
      <c r="H3048" s="40">
        <f t="shared" si="208"/>
        <v>5.9439600000000006</v>
      </c>
      <c r="I3048" s="40"/>
      <c r="J3048" s="41"/>
    </row>
    <row r="3049" spans="2:10" s="1" customFormat="1" ht="12.75" x14ac:dyDescent="0.2">
      <c r="B3049" s="46"/>
      <c r="C3049" s="39" t="s">
        <v>519</v>
      </c>
      <c r="D3049" s="60">
        <v>1</v>
      </c>
      <c r="E3049" s="40">
        <f>16.6+0.3</f>
        <v>16.900000000000002</v>
      </c>
      <c r="F3049" s="40">
        <f t="shared" ref="F3049:F3050" si="209">4*0.0254+0.4</f>
        <v>0.50160000000000005</v>
      </c>
      <c r="G3049" s="40"/>
      <c r="H3049" s="40">
        <f t="shared" si="208"/>
        <v>8.4770400000000024</v>
      </c>
      <c r="I3049" s="40"/>
      <c r="J3049" s="41"/>
    </row>
    <row r="3050" spans="2:10" s="1" customFormat="1" ht="12.75" x14ac:dyDescent="0.2">
      <c r="B3050" s="46"/>
      <c r="C3050" s="91" t="s">
        <v>520</v>
      </c>
      <c r="D3050" s="60">
        <v>1</v>
      </c>
      <c r="E3050" s="40">
        <v>4.4000000000000004</v>
      </c>
      <c r="F3050" s="40">
        <f t="shared" si="209"/>
        <v>0.50160000000000005</v>
      </c>
      <c r="G3050" s="40"/>
      <c r="H3050" s="40">
        <f t="shared" si="208"/>
        <v>2.2070400000000006</v>
      </c>
      <c r="I3050" s="40"/>
      <c r="J3050" s="41"/>
    </row>
    <row r="3051" spans="2:10" s="1" customFormat="1" ht="12.75" x14ac:dyDescent="0.2">
      <c r="B3051" s="46"/>
      <c r="C3051" s="91"/>
      <c r="D3051" s="60"/>
      <c r="E3051" s="40"/>
      <c r="F3051" s="40"/>
      <c r="G3051" s="40"/>
      <c r="H3051" s="40"/>
      <c r="I3051" s="40"/>
      <c r="J3051" s="41"/>
    </row>
    <row r="3052" spans="2:10" s="1" customFormat="1" ht="12.75" x14ac:dyDescent="0.2">
      <c r="B3052" s="46"/>
      <c r="C3052" s="43" t="s">
        <v>250</v>
      </c>
      <c r="D3052" s="60"/>
      <c r="E3052" s="40"/>
      <c r="F3052" s="40"/>
      <c r="G3052" s="40"/>
      <c r="H3052" s="40"/>
      <c r="I3052" s="40"/>
      <c r="J3052" s="41"/>
    </row>
    <row r="3053" spans="2:10" s="1" customFormat="1" ht="12.75" x14ac:dyDescent="0.2">
      <c r="B3053" s="46"/>
      <c r="C3053" s="39" t="s">
        <v>521</v>
      </c>
      <c r="D3053" s="40">
        <v>1</v>
      </c>
      <c r="E3053" s="40">
        <f>0.8+15.1</f>
        <v>15.9</v>
      </c>
      <c r="F3053" s="40">
        <f>10*0.0254+0.4</f>
        <v>0.65400000000000003</v>
      </c>
      <c r="G3053" s="40"/>
      <c r="H3053" s="40">
        <f t="shared" si="208"/>
        <v>10.3986</v>
      </c>
      <c r="I3053" s="40"/>
      <c r="J3053" s="41"/>
    </row>
    <row r="3054" spans="2:10" s="1" customFormat="1" ht="12.75" x14ac:dyDescent="0.2">
      <c r="B3054" s="46"/>
      <c r="C3054" s="59"/>
      <c r="D3054" s="60"/>
      <c r="E3054" s="40"/>
      <c r="F3054" s="40"/>
      <c r="G3054" s="40"/>
      <c r="H3054" s="40"/>
      <c r="I3054" s="40"/>
      <c r="J3054" s="41"/>
    </row>
    <row r="3055" spans="2:10" s="1" customFormat="1" ht="12.75" x14ac:dyDescent="0.2">
      <c r="B3055" s="46"/>
      <c r="C3055" s="59"/>
      <c r="D3055" s="60"/>
      <c r="E3055" s="40"/>
      <c r="F3055" s="40"/>
      <c r="G3055" s="40"/>
      <c r="H3055" s="40"/>
      <c r="I3055" s="40"/>
      <c r="J3055" s="41"/>
    </row>
    <row r="3056" spans="2:10" x14ac:dyDescent="0.25">
      <c r="B3056" s="73" t="s">
        <v>22</v>
      </c>
      <c r="C3056" s="73" t="s">
        <v>614</v>
      </c>
      <c r="D3056" s="23"/>
      <c r="E3056" s="23"/>
      <c r="F3056" s="23"/>
      <c r="G3056" s="23"/>
      <c r="H3056" s="24"/>
      <c r="I3056" s="25"/>
      <c r="J3056" s="26"/>
    </row>
    <row r="3057" spans="2:10" s="1" customFormat="1" ht="15.75" customHeight="1" x14ac:dyDescent="0.2">
      <c r="B3057" s="25" t="s">
        <v>23</v>
      </c>
      <c r="C3057" s="1" t="s">
        <v>622</v>
      </c>
      <c r="D3057" s="60"/>
      <c r="E3057" s="40"/>
      <c r="F3057" s="40"/>
      <c r="G3057" s="40"/>
      <c r="H3057" s="24"/>
      <c r="I3057" s="25">
        <f>+SUM(H3058:H3059)</f>
        <v>5.7204999999999995</v>
      </c>
      <c r="J3057" s="26" t="s">
        <v>4</v>
      </c>
    </row>
    <row r="3058" spans="2:10" s="1" customFormat="1" ht="15.75" customHeight="1" x14ac:dyDescent="0.2">
      <c r="B3058" s="25"/>
      <c r="C3058" s="46" t="s">
        <v>526</v>
      </c>
      <c r="D3058" s="60">
        <v>1</v>
      </c>
      <c r="E3058" s="40">
        <v>5.2</v>
      </c>
      <c r="F3058" s="40">
        <v>0.5</v>
      </c>
      <c r="G3058" s="40">
        <f>0.43+0.25</f>
        <v>0.67999999999999994</v>
      </c>
      <c r="H3058" s="40">
        <f>IF(AND(F3058=0,G3058=0),D3058*E3058,IF(AND(E3058=0,G3058=0),D3058*F3058,IF(AND(E3058=0,F3058=0),D3058*G3058,IF(AND(E3058=0),D3058*F3058*G3058,IF(AND(F3058=0),D3058*E3058*G3058,IF(AND(G3058=0),D3058*E3058*F3058,D3058*E3058*F3058*G3058))))))</f>
        <v>1.7679999999999998</v>
      </c>
      <c r="I3058" s="40"/>
      <c r="J3058" s="41"/>
    </row>
    <row r="3059" spans="2:10" s="1" customFormat="1" ht="12.75" x14ac:dyDescent="0.2">
      <c r="B3059" s="25"/>
      <c r="C3059" s="46" t="s">
        <v>684</v>
      </c>
      <c r="D3059" s="8">
        <v>1</v>
      </c>
      <c r="E3059" s="86">
        <v>9.3000000000000007</v>
      </c>
      <c r="F3059" s="40">
        <v>0.5</v>
      </c>
      <c r="G3059" s="40">
        <f>0.6+0.25</f>
        <v>0.85</v>
      </c>
      <c r="H3059" s="40">
        <f>IF(AND(F3059=0,G3059=0),D3059*E3059,IF(AND(E3059=0,G3059=0),D3059*F3059,IF(AND(E3059=0,F3059=0),D3059*G3059,IF(AND(E3059=0),D3059*F3059*G3059,IF(AND(F3059=0),D3059*E3059*G3059,IF(AND(G3059=0),D3059*E3059*F3059,D3059*E3059*F3059*G3059))))))</f>
        <v>3.9525000000000001</v>
      </c>
      <c r="I3059" s="40"/>
      <c r="J3059" s="41"/>
    </row>
    <row r="3060" spans="2:10" s="1" customFormat="1" ht="12.75" x14ac:dyDescent="0.2">
      <c r="B3060" s="25"/>
      <c r="C3060" s="65"/>
      <c r="D3060" s="8"/>
      <c r="E3060" s="86"/>
      <c r="F3060" s="40"/>
      <c r="G3060" s="40"/>
      <c r="H3060" s="24"/>
      <c r="I3060" s="25"/>
      <c r="J3060" s="26"/>
    </row>
    <row r="3061" spans="2:10" s="1" customFormat="1" ht="12.75" x14ac:dyDescent="0.2">
      <c r="B3061" s="25" t="s">
        <v>24</v>
      </c>
      <c r="C3061" s="1" t="s">
        <v>623</v>
      </c>
      <c r="D3061" s="60"/>
      <c r="E3061" s="40"/>
      <c r="F3061" s="40"/>
      <c r="G3061" s="40"/>
      <c r="H3061" s="24"/>
      <c r="I3061" s="25">
        <f>+SUM(H3062)</f>
        <v>1.2150000000000001</v>
      </c>
      <c r="J3061" s="26" t="s">
        <v>4</v>
      </c>
    </row>
    <row r="3062" spans="2:10" s="1" customFormat="1" ht="12.75" x14ac:dyDescent="0.2">
      <c r="B3062" s="57"/>
      <c r="C3062" s="39" t="s">
        <v>450</v>
      </c>
      <c r="D3062" s="40">
        <v>1</v>
      </c>
      <c r="E3062" s="40">
        <v>0.9</v>
      </c>
      <c r="F3062" s="40">
        <v>1.5</v>
      </c>
      <c r="G3062" s="40">
        <f>0.65+0.25</f>
        <v>0.9</v>
      </c>
      <c r="H3062" s="40">
        <f>IF(AND(F3062=0,G3062=0),D3062*E3062,IF(AND(E3062=0,G3062=0),D3062*F3062,IF(AND(E3062=0,F3062=0),D3062*G3062,IF(AND(E3062=0),D3062*F3062*G3062,IF(AND(F3062=0),D3062*E3062*G3062,IF(AND(G3062=0),D3062*E3062*F3062,D3062*E3062*F3062*G3062))))))</f>
        <v>1.2150000000000001</v>
      </c>
      <c r="I3062" s="40"/>
      <c r="J3062" s="41"/>
    </row>
    <row r="3063" spans="2:10" s="1" customFormat="1" ht="12.75" x14ac:dyDescent="0.2">
      <c r="B3063" s="46"/>
      <c r="C3063" s="59"/>
      <c r="D3063" s="60"/>
      <c r="E3063" s="40"/>
      <c r="F3063" s="40"/>
      <c r="G3063" s="40"/>
      <c r="H3063" s="40"/>
      <c r="I3063" s="40"/>
      <c r="J3063" s="41"/>
    </row>
    <row r="3064" spans="2:10" s="1" customFormat="1" ht="12.75" x14ac:dyDescent="0.2">
      <c r="B3064" s="46"/>
      <c r="C3064" s="59"/>
      <c r="D3064" s="60"/>
      <c r="E3064" s="40"/>
      <c r="F3064" s="40"/>
      <c r="G3064" s="40"/>
      <c r="H3064" s="40"/>
      <c r="I3064" s="40"/>
      <c r="J3064" s="41"/>
    </row>
    <row r="3065" spans="2:10" x14ac:dyDescent="0.25">
      <c r="B3065" s="107" t="s">
        <v>777</v>
      </c>
      <c r="C3065" s="370" t="s">
        <v>779</v>
      </c>
      <c r="D3065" s="23"/>
      <c r="E3065" s="23"/>
      <c r="F3065" s="23"/>
      <c r="G3065" s="23"/>
      <c r="I3065" s="24">
        <f>+SUM(H3066:H3068)</f>
        <v>8.6000000000000014</v>
      </c>
      <c r="J3065" s="26" t="s">
        <v>45</v>
      </c>
    </row>
    <row r="3066" spans="2:10" x14ac:dyDescent="0.25">
      <c r="B3066" s="107"/>
      <c r="C3066" s="39" t="s">
        <v>450</v>
      </c>
      <c r="D3066" s="40">
        <v>1</v>
      </c>
      <c r="E3066" s="40">
        <v>0.9</v>
      </c>
      <c r="F3066" s="40">
        <v>1.5</v>
      </c>
      <c r="G3066" s="40"/>
      <c r="H3066" s="40">
        <f>IF(AND(F3066=0,G3066=0),D3066*E3066,IF(AND(E3066=0,G3066=0),D3066*F3066,IF(AND(E3066=0,F3066=0),D3066*G3066,IF(AND(E3066=0),D3066*F3066*G3066,IF(AND(F3066=0),D3066*E3066*G3066,IF(AND(G3066=0),D3066*E3066*F3066,D3066*E3066*F3066*G3066))))))</f>
        <v>1.35</v>
      </c>
      <c r="I3066" s="25"/>
      <c r="J3066" s="26"/>
    </row>
    <row r="3067" spans="2:10" s="1" customFormat="1" ht="15.75" customHeight="1" x14ac:dyDescent="0.2">
      <c r="B3067" s="25"/>
      <c r="C3067" s="46" t="s">
        <v>526</v>
      </c>
      <c r="D3067" s="60">
        <v>1</v>
      </c>
      <c r="E3067" s="40">
        <v>5.2</v>
      </c>
      <c r="F3067" s="40">
        <v>0.5</v>
      </c>
      <c r="G3067" s="40"/>
      <c r="H3067" s="40">
        <f>IF(AND(F3067=0,G3067=0),D3067*E3067,IF(AND(E3067=0,G3067=0),D3067*F3067,IF(AND(E3067=0,F3067=0),D3067*G3067,IF(AND(E3067=0),D3067*F3067*G3067,IF(AND(F3067=0),D3067*E3067*G3067,IF(AND(G3067=0),D3067*E3067*F3067,D3067*E3067*F3067*G3067))))))</f>
        <v>2.6</v>
      </c>
      <c r="I3067" s="40"/>
      <c r="J3067" s="41"/>
    </row>
    <row r="3068" spans="2:10" s="1" customFormat="1" ht="12.75" x14ac:dyDescent="0.2">
      <c r="B3068" s="25"/>
      <c r="C3068" s="46" t="s">
        <v>684</v>
      </c>
      <c r="D3068" s="8">
        <v>1</v>
      </c>
      <c r="E3068" s="86">
        <v>9.3000000000000007</v>
      </c>
      <c r="F3068" s="40">
        <v>0.5</v>
      </c>
      <c r="G3068" s="40"/>
      <c r="H3068" s="40">
        <f>IF(AND(F3068=0,G3068=0),D3068*E3068,IF(AND(E3068=0,G3068=0),D3068*F3068,IF(AND(E3068=0,F3068=0),D3068*G3068,IF(AND(E3068=0),D3068*F3068*G3068,IF(AND(F3068=0),D3068*E3068*G3068,IF(AND(G3068=0),D3068*E3068*F3068,D3068*E3068*F3068*G3068))))))</f>
        <v>4.6500000000000004</v>
      </c>
      <c r="I3068" s="40"/>
      <c r="J3068" s="41"/>
    </row>
    <row r="3069" spans="2:10" x14ac:dyDescent="0.25">
      <c r="B3069" s="107"/>
      <c r="C3069" s="59"/>
      <c r="D3069" s="60"/>
      <c r="E3069" s="40"/>
      <c r="F3069" s="40"/>
      <c r="G3069" s="40"/>
      <c r="H3069" s="40"/>
      <c r="I3069" s="25"/>
      <c r="J3069" s="26"/>
    </row>
    <row r="3070" spans="2:10" s="1" customFormat="1" ht="12.75" x14ac:dyDescent="0.2">
      <c r="B3070" s="107" t="s">
        <v>778</v>
      </c>
      <c r="C3070" s="370" t="s">
        <v>776</v>
      </c>
      <c r="D3070" s="60"/>
      <c r="E3070" s="40"/>
      <c r="F3070" s="40"/>
      <c r="G3070" s="40"/>
      <c r="H3070" s="40"/>
      <c r="I3070" s="40">
        <f>+SUM(H3072:H3074)-H3076+H3078-H3080</f>
        <v>17.027097461321667</v>
      </c>
      <c r="J3070" s="41" t="s">
        <v>4</v>
      </c>
    </row>
    <row r="3071" spans="2:10" s="1" customFormat="1" ht="12.75" x14ac:dyDescent="0.2">
      <c r="B3071" s="46"/>
      <c r="C3071" s="43" t="s">
        <v>490</v>
      </c>
      <c r="D3071" s="60"/>
      <c r="E3071" s="40"/>
      <c r="F3071" s="40"/>
      <c r="G3071" s="40"/>
      <c r="H3071" s="40"/>
      <c r="I3071" s="40"/>
      <c r="J3071" s="41"/>
    </row>
    <row r="3072" spans="2:10" s="1" customFormat="1" ht="12.75" x14ac:dyDescent="0.2">
      <c r="B3072" s="46"/>
      <c r="C3072" s="39" t="s">
        <v>518</v>
      </c>
      <c r="D3072" s="40">
        <v>1</v>
      </c>
      <c r="E3072" s="40">
        <v>11.85</v>
      </c>
      <c r="F3072" s="40">
        <f>4*0.0254+0.4</f>
        <v>0.50160000000000005</v>
      </c>
      <c r="G3072" s="40">
        <v>0.65</v>
      </c>
      <c r="H3072" s="40">
        <f>IF(AND(F3072=0,G3072=0),D3072*E3072,IF(AND(E3072=0,G3072=0),D3072*F3072,IF(AND(E3072=0,F3072=0),D3072*G3072,IF(AND(E3072=0),D3072*F3072*G3072,IF(AND(F3072=0),D3072*E3072*G3072,IF(AND(G3072=0),D3072*E3072*F3072,D3072*E3072*F3072*G3072))))))</f>
        <v>3.8635740000000003</v>
      </c>
      <c r="I3072" s="40"/>
      <c r="J3072" s="41"/>
    </row>
    <row r="3073" spans="2:10" s="1" customFormat="1" ht="12.75" x14ac:dyDescent="0.2">
      <c r="B3073" s="46"/>
      <c r="C3073" s="39" t="s">
        <v>519</v>
      </c>
      <c r="D3073" s="60">
        <v>1</v>
      </c>
      <c r="E3073" s="40">
        <f>16.6+0.3</f>
        <v>16.900000000000002</v>
      </c>
      <c r="F3073" s="40">
        <f t="shared" ref="F3073:F3074" si="210">4*0.0254+0.4</f>
        <v>0.50160000000000005</v>
      </c>
      <c r="G3073" s="40">
        <v>0.7</v>
      </c>
      <c r="H3073" s="40">
        <f t="shared" ref="H3073:H3074" si="211">IF(AND(F3073=0,G3073=0),D3073*E3073,IF(AND(E3073=0,G3073=0),D3073*F3073,IF(AND(E3073=0,F3073=0),D3073*G3073,IF(AND(E3073=0),D3073*F3073*G3073,IF(AND(F3073=0),D3073*E3073*G3073,IF(AND(G3073=0),D3073*E3073*F3073,D3073*E3073*F3073*G3073))))))</f>
        <v>5.9339280000000016</v>
      </c>
      <c r="I3073" s="40"/>
      <c r="J3073" s="41"/>
    </row>
    <row r="3074" spans="2:10" s="1" customFormat="1" ht="12.75" x14ac:dyDescent="0.2">
      <c r="B3074" s="46"/>
      <c r="C3074" s="91" t="s">
        <v>520</v>
      </c>
      <c r="D3074" s="60">
        <v>1</v>
      </c>
      <c r="E3074" s="40">
        <v>4.4000000000000004</v>
      </c>
      <c r="F3074" s="40">
        <f t="shared" si="210"/>
        <v>0.50160000000000005</v>
      </c>
      <c r="G3074" s="40">
        <v>0.7</v>
      </c>
      <c r="H3074" s="40">
        <f t="shared" si="211"/>
        <v>1.5449280000000003</v>
      </c>
      <c r="I3074" s="40"/>
      <c r="J3074" s="41"/>
    </row>
    <row r="3075" spans="2:10" s="1" customFormat="1" ht="12.75" x14ac:dyDescent="0.2">
      <c r="B3075" s="46"/>
      <c r="F3075" s="40" t="s">
        <v>786</v>
      </c>
      <c r="G3075" s="40">
        <v>4</v>
      </c>
      <c r="I3075" s="40"/>
      <c r="J3075" s="41"/>
    </row>
    <row r="3076" spans="2:10" s="1" customFormat="1" ht="12.75" x14ac:dyDescent="0.2">
      <c r="B3076" s="46"/>
      <c r="C3076" s="39" t="s">
        <v>784</v>
      </c>
      <c r="D3076" s="60">
        <v>1</v>
      </c>
      <c r="E3076" s="40">
        <f>+SUM(E3072:E3074)</f>
        <v>33.15</v>
      </c>
      <c r="F3076" s="40" t="s">
        <v>785</v>
      </c>
      <c r="G3076" s="40">
        <f>+PI()*((G3075*0.0254)^2)/4</f>
        <v>8.107319665559963E-3</v>
      </c>
      <c r="H3076" s="40">
        <f>+E3076*G3076</f>
        <v>0.26875764691331278</v>
      </c>
      <c r="I3076" s="40"/>
      <c r="J3076" s="41"/>
    </row>
    <row r="3077" spans="2:10" s="1" customFormat="1" ht="12.75" x14ac:dyDescent="0.2">
      <c r="B3077" s="46"/>
      <c r="C3077" s="43" t="s">
        <v>250</v>
      </c>
      <c r="D3077" s="60"/>
      <c r="E3077" s="40"/>
      <c r="F3077" s="40"/>
      <c r="G3077" s="40"/>
      <c r="H3077" s="40"/>
      <c r="I3077" s="40"/>
      <c r="J3077" s="41"/>
    </row>
    <row r="3078" spans="2:10" s="1" customFormat="1" ht="12.75" x14ac:dyDescent="0.2">
      <c r="B3078" s="46"/>
      <c r="C3078" s="39" t="s">
        <v>521</v>
      </c>
      <c r="D3078" s="40">
        <v>1</v>
      </c>
      <c r="E3078" s="40">
        <f>0.8+15.1</f>
        <v>15.9</v>
      </c>
      <c r="F3078" s="40">
        <f>10*0.0254+0.4</f>
        <v>0.65400000000000003</v>
      </c>
      <c r="G3078" s="40">
        <v>0.65</v>
      </c>
      <c r="H3078" s="40">
        <f t="shared" ref="H3078" si="212">IF(AND(F3078=0,G3078=0),D3078*E3078,IF(AND(E3078=0,G3078=0),D3078*F3078,IF(AND(E3078=0,F3078=0),D3078*G3078,IF(AND(E3078=0),D3078*F3078*G3078,IF(AND(F3078=0),D3078*E3078*G3078,IF(AND(G3078=0),D3078*E3078*F3078,D3078*E3078*F3078*G3078))))))</f>
        <v>6.7590900000000005</v>
      </c>
      <c r="I3078" s="40"/>
      <c r="J3078" s="41"/>
    </row>
    <row r="3079" spans="2:10" s="1" customFormat="1" ht="12.75" x14ac:dyDescent="0.2">
      <c r="B3079" s="46"/>
      <c r="F3079" s="40" t="s">
        <v>786</v>
      </c>
      <c r="G3079" s="40">
        <v>10</v>
      </c>
      <c r="I3079" s="40"/>
      <c r="J3079" s="41"/>
    </row>
    <row r="3080" spans="2:10" s="1" customFormat="1" ht="12.75" x14ac:dyDescent="0.2">
      <c r="B3080" s="46"/>
      <c r="C3080" s="39" t="s">
        <v>784</v>
      </c>
      <c r="D3080" s="60">
        <v>1</v>
      </c>
      <c r="E3080" s="40">
        <f>+E3078</f>
        <v>15.9</v>
      </c>
      <c r="F3080" s="40" t="s">
        <v>785</v>
      </c>
      <c r="G3080" s="40">
        <f>+PI()*((G3079*0.0254)^2)/4</f>
        <v>5.0670747909749778E-2</v>
      </c>
      <c r="H3080" s="40">
        <f>+E3080*G3080</f>
        <v>0.80566489176502143</v>
      </c>
      <c r="I3080" s="40"/>
      <c r="J3080" s="41"/>
    </row>
    <row r="3082" spans="2:10" s="1" customFormat="1" ht="12.75" x14ac:dyDescent="0.2">
      <c r="B3082" s="25" t="s">
        <v>631</v>
      </c>
      <c r="C3082" s="28" t="s">
        <v>719</v>
      </c>
      <c r="D3082" s="60"/>
      <c r="E3082" s="40"/>
      <c r="F3082" s="40"/>
      <c r="G3082" s="40"/>
      <c r="H3082" s="40"/>
      <c r="I3082" s="40">
        <f>+SUM(H3083:H3084)</f>
        <v>25.782000000000004</v>
      </c>
      <c r="J3082" s="41" t="s">
        <v>45</v>
      </c>
    </row>
    <row r="3083" spans="2:10" s="1" customFormat="1" ht="12.75" x14ac:dyDescent="0.2">
      <c r="B3083" s="46"/>
      <c r="C3083" s="46" t="s">
        <v>526</v>
      </c>
      <c r="D3083" s="60">
        <v>1</v>
      </c>
      <c r="E3083" s="40">
        <v>5.2</v>
      </c>
      <c r="F3083" s="40">
        <v>0.5</v>
      </c>
      <c r="G3083" s="40">
        <f>0.43+0.1</f>
        <v>0.53</v>
      </c>
      <c r="H3083" s="40">
        <f>+(F3083+G3083*2)*E3083</f>
        <v>8.1120000000000001</v>
      </c>
      <c r="I3083" s="40"/>
      <c r="J3083" s="41"/>
    </row>
    <row r="3084" spans="2:10" s="1" customFormat="1" ht="12.75" x14ac:dyDescent="0.2">
      <c r="B3084" s="46"/>
      <c r="C3084" s="46" t="s">
        <v>684</v>
      </c>
      <c r="D3084" s="8">
        <v>1</v>
      </c>
      <c r="E3084" s="86">
        <v>9.3000000000000007</v>
      </c>
      <c r="F3084" s="40">
        <v>0.5</v>
      </c>
      <c r="G3084" s="40">
        <f>0.6+0.1</f>
        <v>0.7</v>
      </c>
      <c r="H3084" s="40">
        <f>+(F3084+G3084*2)*E3084</f>
        <v>17.670000000000002</v>
      </c>
      <c r="I3084" s="40"/>
      <c r="J3084" s="41"/>
    </row>
    <row r="3085" spans="2:10" s="1" customFormat="1" ht="12.75" x14ac:dyDescent="0.2">
      <c r="B3085" s="46"/>
      <c r="C3085" s="59"/>
      <c r="D3085" s="60"/>
      <c r="E3085" s="40"/>
      <c r="F3085" s="40"/>
      <c r="G3085" s="40"/>
      <c r="H3085" s="40"/>
      <c r="I3085" s="40"/>
      <c r="J3085" s="41"/>
    </row>
    <row r="3086" spans="2:10" s="1" customFormat="1" ht="12.75" x14ac:dyDescent="0.2">
      <c r="B3086" s="25" t="s">
        <v>709</v>
      </c>
      <c r="C3086" s="28" t="s">
        <v>718</v>
      </c>
      <c r="D3086" s="60"/>
      <c r="E3086" s="40"/>
      <c r="F3086" s="40"/>
      <c r="G3086" s="40"/>
      <c r="H3086" s="40"/>
      <c r="I3086" s="40">
        <f>+SUM(H3088:H3093)</f>
        <v>92.921640000000011</v>
      </c>
      <c r="J3086" s="41" t="s">
        <v>45</v>
      </c>
    </row>
    <row r="3087" spans="2:10" s="1" customFormat="1" ht="12.75" x14ac:dyDescent="0.2">
      <c r="B3087" s="46"/>
      <c r="C3087" s="43" t="s">
        <v>490</v>
      </c>
      <c r="D3087" s="60"/>
      <c r="E3087" s="40"/>
      <c r="F3087" s="40"/>
      <c r="G3087" s="40"/>
      <c r="H3087" s="40"/>
      <c r="I3087" s="40"/>
      <c r="J3087" s="41"/>
    </row>
    <row r="3088" spans="2:10" s="1" customFormat="1" ht="12.75" x14ac:dyDescent="0.2">
      <c r="B3088" s="46"/>
      <c r="C3088" s="39" t="s">
        <v>518</v>
      </c>
      <c r="D3088" s="40">
        <v>1</v>
      </c>
      <c r="E3088" s="40">
        <v>11.85</v>
      </c>
      <c r="F3088" s="40">
        <f>4*0.0254+0.4</f>
        <v>0.50160000000000005</v>
      </c>
      <c r="G3088" s="40">
        <v>0.65</v>
      </c>
      <c r="H3088" s="40">
        <f>+(F3088+G3088*2)*E3088</f>
        <v>21.348960000000002</v>
      </c>
      <c r="I3088" s="40"/>
      <c r="J3088" s="41"/>
    </row>
    <row r="3089" spans="2:10" s="1" customFormat="1" ht="12.75" x14ac:dyDescent="0.2">
      <c r="B3089" s="46"/>
      <c r="C3089" s="39" t="s">
        <v>519</v>
      </c>
      <c r="D3089" s="60">
        <v>1</v>
      </c>
      <c r="E3089" s="40">
        <f>16.6+0.3</f>
        <v>16.900000000000002</v>
      </c>
      <c r="F3089" s="40">
        <f t="shared" ref="F3089:F3090" si="213">4*0.0254+0.4</f>
        <v>0.50160000000000005</v>
      </c>
      <c r="G3089" s="40">
        <v>0.7</v>
      </c>
      <c r="H3089" s="40">
        <f t="shared" ref="H3089:H3090" si="214">+(F3089+G3089*2)*E3089</f>
        <v>32.137040000000006</v>
      </c>
      <c r="I3089" s="40"/>
      <c r="J3089" s="41"/>
    </row>
    <row r="3090" spans="2:10" s="1" customFormat="1" ht="12.75" x14ac:dyDescent="0.2">
      <c r="B3090" s="46"/>
      <c r="C3090" s="91" t="s">
        <v>520</v>
      </c>
      <c r="D3090" s="60">
        <v>1</v>
      </c>
      <c r="E3090" s="40">
        <v>4.4000000000000004</v>
      </c>
      <c r="F3090" s="40">
        <f t="shared" si="213"/>
        <v>0.50160000000000005</v>
      </c>
      <c r="G3090" s="40">
        <v>0.7</v>
      </c>
      <c r="H3090" s="40">
        <f t="shared" si="214"/>
        <v>8.3670400000000011</v>
      </c>
      <c r="I3090" s="40"/>
      <c r="J3090" s="41"/>
    </row>
    <row r="3091" spans="2:10" s="1" customFormat="1" ht="12.75" x14ac:dyDescent="0.2">
      <c r="B3091" s="46"/>
      <c r="C3091" s="91"/>
      <c r="D3091" s="60"/>
      <c r="E3091" s="40"/>
      <c r="F3091" s="40"/>
      <c r="G3091" s="40"/>
      <c r="H3091" s="40"/>
      <c r="I3091" s="40"/>
      <c r="J3091" s="41"/>
    </row>
    <row r="3092" spans="2:10" s="1" customFormat="1" ht="12.75" x14ac:dyDescent="0.2">
      <c r="B3092" s="46"/>
      <c r="C3092" s="43" t="s">
        <v>250</v>
      </c>
      <c r="D3092" s="60"/>
      <c r="E3092" s="40"/>
      <c r="F3092" s="40"/>
      <c r="G3092" s="40"/>
      <c r="H3092" s="40"/>
      <c r="I3092" s="40"/>
      <c r="J3092" s="41"/>
    </row>
    <row r="3093" spans="2:10" s="1" customFormat="1" ht="12.75" x14ac:dyDescent="0.2">
      <c r="B3093" s="46"/>
      <c r="C3093" s="39" t="s">
        <v>521</v>
      </c>
      <c r="D3093" s="40">
        <v>1</v>
      </c>
      <c r="E3093" s="40">
        <f>0.8+15.1</f>
        <v>15.9</v>
      </c>
      <c r="F3093" s="40">
        <f>10*0.0254+0.4</f>
        <v>0.65400000000000003</v>
      </c>
      <c r="G3093" s="40">
        <v>0.65</v>
      </c>
      <c r="H3093" s="40">
        <f>+(F3093+G3093*2)*E3093</f>
        <v>31.068600000000004</v>
      </c>
      <c r="I3093" s="40"/>
      <c r="J3093" s="41"/>
    </row>
    <row r="3094" spans="2:10" s="1" customFormat="1" ht="12.75" x14ac:dyDescent="0.2">
      <c r="B3094" s="46"/>
      <c r="C3094" s="59"/>
      <c r="D3094" s="60"/>
      <c r="E3094" s="40"/>
      <c r="F3094" s="40"/>
      <c r="G3094" s="40"/>
      <c r="H3094" s="40"/>
      <c r="I3094" s="40"/>
      <c r="J3094" s="41"/>
    </row>
    <row r="3095" spans="2:10" s="1" customFormat="1" ht="12.75" x14ac:dyDescent="0.2">
      <c r="B3095" s="46"/>
      <c r="C3095" s="59"/>
      <c r="D3095" s="60"/>
      <c r="E3095" s="40"/>
      <c r="F3095" s="40"/>
      <c r="G3095" s="40"/>
      <c r="H3095" s="40"/>
      <c r="I3095" s="40"/>
      <c r="J3095" s="41"/>
    </row>
    <row r="3096" spans="2:10" s="1" customFormat="1" ht="12.75" x14ac:dyDescent="0.2">
      <c r="B3096" s="107" t="s">
        <v>632</v>
      </c>
      <c r="C3096" s="343" t="s">
        <v>794</v>
      </c>
      <c r="D3096" s="60"/>
      <c r="E3096" s="40"/>
      <c r="F3096" s="40" t="s">
        <v>795</v>
      </c>
      <c r="G3096" s="40"/>
      <c r="H3096" s="40"/>
      <c r="I3096" s="40">
        <f>+SUM(H3097:H3111)</f>
        <v>1424.2395094991364</v>
      </c>
      <c r="J3096" s="41" t="s">
        <v>12</v>
      </c>
    </row>
    <row r="3097" spans="2:10" s="1" customFormat="1" ht="12.75" x14ac:dyDescent="0.2">
      <c r="B3097" s="380"/>
      <c r="C3097" s="43" t="s">
        <v>269</v>
      </c>
      <c r="D3097" s="60"/>
      <c r="E3097" s="40"/>
      <c r="F3097" s="40"/>
      <c r="G3097" s="40"/>
      <c r="H3097" s="40">
        <f>IF(AND(F3097=0,G3097=0),D3097*E3097,IF(AND(E3097=0,G3097=0),D3097*F3097,IF(AND(E3097=0,F3097=0),D3097*G3097,IF(AND(E3097=0),D3097*F3097*G3097,IF(AND(F3097=0),D3097*E3097*G3097,IF(AND(G3097=0),D3097*E3097*F3097,D3097*E3097*F3097*G3097))))))</f>
        <v>0</v>
      </c>
      <c r="I3097" s="40"/>
      <c r="J3097" s="41"/>
    </row>
    <row r="3098" spans="2:10" s="1" customFormat="1" ht="12.75" x14ac:dyDescent="0.2">
      <c r="B3098" s="380"/>
      <c r="C3098" s="77" t="s">
        <v>71</v>
      </c>
      <c r="D3098" s="40"/>
      <c r="E3098" s="40"/>
      <c r="F3098" s="40"/>
      <c r="G3098" s="40"/>
      <c r="H3098" s="40"/>
      <c r="I3098" s="40"/>
      <c r="J3098" s="41"/>
    </row>
    <row r="3099" spans="2:10" s="1" customFormat="1" ht="12.75" x14ac:dyDescent="0.2">
      <c r="B3099" s="380"/>
      <c r="C3099" s="39" t="s">
        <v>349</v>
      </c>
      <c r="D3099" s="40">
        <v>36</v>
      </c>
      <c r="E3099" s="40">
        <v>3.25</v>
      </c>
      <c r="F3099" s="40">
        <f>13.58/5</f>
        <v>2.7160000000000002</v>
      </c>
      <c r="G3099" s="40"/>
      <c r="H3099" s="40">
        <f t="shared" ref="H3099:H3108" si="215">IF(AND(F3099=0,G3099=0),D3099*E3099,IF(AND(E3099=0,G3099=0),D3099*F3099,IF(AND(E3099=0,F3099=0),D3099*G3099,IF(AND(E3099=0),D3099*F3099*G3099,IF(AND(F3099=0),D3099*E3099*G3099,IF(AND(G3099=0),D3099*E3099*F3099,D3099*E3099*F3099*G3099))))))</f>
        <v>317.77200000000005</v>
      </c>
      <c r="I3099" s="40"/>
      <c r="J3099" s="41"/>
    </row>
    <row r="3100" spans="2:10" s="1" customFormat="1" ht="12.75" x14ac:dyDescent="0.2">
      <c r="B3100" s="380"/>
      <c r="C3100" s="39" t="s">
        <v>369</v>
      </c>
      <c r="D3100" s="40">
        <v>36</v>
      </c>
      <c r="E3100" s="40">
        <v>3</v>
      </c>
      <c r="F3100" s="40">
        <f>13.58/5</f>
        <v>2.7160000000000002</v>
      </c>
      <c r="G3100" s="40"/>
      <c r="H3100" s="40">
        <f t="shared" si="215"/>
        <v>293.32800000000003</v>
      </c>
      <c r="I3100" s="40"/>
      <c r="J3100" s="41"/>
    </row>
    <row r="3101" spans="2:10" s="1" customFormat="1" ht="12.75" x14ac:dyDescent="0.2">
      <c r="B3101" s="380"/>
      <c r="C3101" s="77" t="s">
        <v>72</v>
      </c>
      <c r="D3101" s="40"/>
      <c r="E3101" s="40"/>
      <c r="F3101" s="40"/>
      <c r="G3101" s="40"/>
      <c r="H3101" s="40"/>
      <c r="I3101" s="40"/>
      <c r="J3101" s="41"/>
    </row>
    <row r="3102" spans="2:10" s="1" customFormat="1" ht="12.75" x14ac:dyDescent="0.2">
      <c r="B3102" s="380"/>
      <c r="C3102" s="39" t="s">
        <v>349</v>
      </c>
      <c r="D3102" s="40">
        <v>36</v>
      </c>
      <c r="E3102" s="40">
        <v>3.25</v>
      </c>
      <c r="F3102" s="40">
        <f>13.58/5</f>
        <v>2.7160000000000002</v>
      </c>
      <c r="G3102" s="40"/>
      <c r="H3102" s="40">
        <f t="shared" si="215"/>
        <v>317.77200000000005</v>
      </c>
      <c r="I3102" s="40"/>
      <c r="J3102" s="41"/>
    </row>
    <row r="3103" spans="2:10" s="1" customFormat="1" ht="12.75" x14ac:dyDescent="0.2">
      <c r="B3103" s="380"/>
      <c r="C3103" s="77" t="s">
        <v>73</v>
      </c>
      <c r="D3103" s="40"/>
      <c r="E3103" s="40"/>
      <c r="F3103" s="40"/>
      <c r="G3103" s="40"/>
      <c r="H3103" s="40"/>
      <c r="I3103" s="40"/>
      <c r="J3103" s="41"/>
    </row>
    <row r="3104" spans="2:10" s="1" customFormat="1" ht="12.75" x14ac:dyDescent="0.2">
      <c r="B3104" s="380"/>
      <c r="C3104" s="39" t="s">
        <v>349</v>
      </c>
      <c r="D3104" s="40">
        <v>36</v>
      </c>
      <c r="E3104" s="40">
        <v>3.25</v>
      </c>
      <c r="F3104" s="40">
        <f>13.58/5</f>
        <v>2.7160000000000002</v>
      </c>
      <c r="G3104" s="40"/>
      <c r="H3104" s="40">
        <f t="shared" si="215"/>
        <v>317.77200000000005</v>
      </c>
      <c r="I3104" s="40"/>
      <c r="J3104" s="41"/>
    </row>
    <row r="3105" spans="2:10" s="1" customFormat="1" ht="12.75" x14ac:dyDescent="0.2">
      <c r="B3105" s="380"/>
      <c r="C3105" s="43" t="s">
        <v>490</v>
      </c>
      <c r="D3105" s="60"/>
      <c r="E3105" s="40"/>
      <c r="F3105" s="40"/>
      <c r="G3105" s="40"/>
      <c r="H3105" s="40"/>
      <c r="I3105" s="40"/>
      <c r="J3105" s="41"/>
    </row>
    <row r="3106" spans="2:10" s="1" customFormat="1" ht="12.75" x14ac:dyDescent="0.2">
      <c r="B3106" s="380"/>
      <c r="C3106" s="39" t="s">
        <v>518</v>
      </c>
      <c r="D3106" s="40">
        <v>1</v>
      </c>
      <c r="E3106" s="40">
        <v>11.85</v>
      </c>
      <c r="F3106" s="40">
        <f>10.1/5.85</f>
        <v>1.7264957264957266</v>
      </c>
      <c r="G3106" s="40"/>
      <c r="H3106" s="40">
        <f t="shared" si="215"/>
        <v>20.458974358974359</v>
      </c>
      <c r="I3106" s="40"/>
      <c r="J3106" s="41"/>
    </row>
    <row r="3107" spans="2:10" s="1" customFormat="1" ht="12.75" x14ac:dyDescent="0.2">
      <c r="B3107" s="380"/>
      <c r="C3107" s="39" t="s">
        <v>519</v>
      </c>
      <c r="D3107" s="60">
        <v>1</v>
      </c>
      <c r="E3107" s="40">
        <f>16.6+0.3</f>
        <v>16.900000000000002</v>
      </c>
      <c r="F3107" s="40">
        <f t="shared" ref="F3107:F3108" si="216">10.1/5.85</f>
        <v>1.7264957264957266</v>
      </c>
      <c r="G3107" s="40"/>
      <c r="H3107" s="40">
        <f t="shared" si="215"/>
        <v>29.177777777777784</v>
      </c>
      <c r="I3107" s="40"/>
      <c r="J3107" s="41"/>
    </row>
    <row r="3108" spans="2:10" s="1" customFormat="1" ht="12.75" x14ac:dyDescent="0.2">
      <c r="B3108" s="380"/>
      <c r="C3108" s="91" t="s">
        <v>520</v>
      </c>
      <c r="D3108" s="60">
        <v>1</v>
      </c>
      <c r="E3108" s="40">
        <v>4.4000000000000004</v>
      </c>
      <c r="F3108" s="40">
        <f t="shared" si="216"/>
        <v>1.7264957264957266</v>
      </c>
      <c r="G3108" s="40"/>
      <c r="H3108" s="40">
        <f t="shared" si="215"/>
        <v>7.5965811965811971</v>
      </c>
      <c r="I3108" s="40"/>
      <c r="J3108" s="41"/>
    </row>
    <row r="3109" spans="2:10" s="1" customFormat="1" ht="12.75" x14ac:dyDescent="0.2">
      <c r="B3109" s="380"/>
      <c r="C3109" s="91"/>
      <c r="D3109" s="60"/>
      <c r="E3109" s="40"/>
      <c r="F3109" s="40"/>
      <c r="G3109" s="40"/>
      <c r="H3109" s="40"/>
      <c r="I3109" s="40"/>
      <c r="J3109" s="41"/>
    </row>
    <row r="3110" spans="2:10" s="1" customFormat="1" ht="12.75" x14ac:dyDescent="0.2">
      <c r="B3110" s="380"/>
      <c r="C3110" s="43" t="s">
        <v>250</v>
      </c>
      <c r="D3110" s="60"/>
      <c r="E3110" s="40"/>
      <c r="F3110" s="40"/>
      <c r="G3110" s="40"/>
      <c r="H3110" s="40"/>
      <c r="I3110" s="40"/>
      <c r="J3110" s="41"/>
    </row>
    <row r="3111" spans="2:10" s="1" customFormat="1" ht="12.75" x14ac:dyDescent="0.2">
      <c r="B3111" s="380"/>
      <c r="C3111" s="39" t="s">
        <v>521</v>
      </c>
      <c r="D3111" s="40">
        <v>1</v>
      </c>
      <c r="E3111" s="40">
        <f>0.8+15.1</f>
        <v>15.9</v>
      </c>
      <c r="F3111" s="40">
        <f>43.83/5.79</f>
        <v>7.5699481865284968</v>
      </c>
      <c r="G3111" s="40"/>
      <c r="H3111" s="40">
        <f t="shared" ref="H3111" si="217">IF(AND(F3111=0,G3111=0),D3111*E3111,IF(AND(E3111=0,G3111=0),D3111*F3111,IF(AND(E3111=0,F3111=0),D3111*G3111,IF(AND(E3111=0),D3111*F3111*G3111,IF(AND(F3111=0),D3111*E3111*G3111,IF(AND(G3111=0),D3111*E3111*F3111,D3111*E3111*F3111*G3111))))))</f>
        <v>120.36217616580311</v>
      </c>
      <c r="I3111" s="40"/>
      <c r="J3111" s="41"/>
    </row>
    <row r="3112" spans="2:10" s="1" customFormat="1" ht="12.75" x14ac:dyDescent="0.2">
      <c r="B3112" s="380"/>
      <c r="C3112" s="366"/>
      <c r="D3112" s="60"/>
      <c r="E3112" s="40"/>
      <c r="F3112" s="40"/>
      <c r="G3112" s="40"/>
      <c r="H3112" s="40"/>
      <c r="I3112" s="40"/>
      <c r="J3112" s="41"/>
    </row>
    <row r="3113" spans="2:10" s="1" customFormat="1" ht="28.5" customHeight="1" x14ac:dyDescent="0.2">
      <c r="B3113" s="25" t="s">
        <v>633</v>
      </c>
      <c r="C3113" s="28" t="s">
        <v>625</v>
      </c>
      <c r="D3113" s="60"/>
      <c r="E3113" s="40"/>
      <c r="F3113" s="40"/>
      <c r="G3113" s="40"/>
      <c r="H3113" s="40"/>
      <c r="I3113" s="40">
        <f>+SUM(H3114:H3119)</f>
        <v>4.0578000000000003</v>
      </c>
      <c r="J3113" s="41" t="s">
        <v>4</v>
      </c>
    </row>
    <row r="3114" spans="2:10" s="1" customFormat="1" ht="28.5" customHeight="1" x14ac:dyDescent="0.2">
      <c r="B3114" s="46"/>
      <c r="C3114" s="46" t="s">
        <v>526</v>
      </c>
      <c r="D3114" s="60">
        <v>2</v>
      </c>
      <c r="E3114" s="40">
        <v>5.2</v>
      </c>
      <c r="F3114" s="40">
        <v>0.15</v>
      </c>
      <c r="G3114" s="40">
        <f>+G3058-0.25</f>
        <v>0.42999999999999994</v>
      </c>
      <c r="H3114" s="40">
        <f t="shared" ref="H3114:H3119" si="218">IF(AND(F3114=0,G3114=0),D3114*E3114,IF(AND(E3114=0,G3114=0),D3114*F3114,IF(AND(E3114=0,F3114=0),D3114*G3114,IF(AND(E3114=0),D3114*F3114*G3114,IF(AND(F3114=0),D3114*E3114*G3114,IF(AND(G3114=0),D3114*E3114*F3114,D3114*E3114*F3114*G3114))))))</f>
        <v>0.67079999999999995</v>
      </c>
      <c r="I3114" s="40"/>
      <c r="J3114" s="41"/>
    </row>
    <row r="3115" spans="2:10" s="1" customFormat="1" ht="28.5" customHeight="1" x14ac:dyDescent="0.2">
      <c r="B3115" s="46"/>
      <c r="C3115" s="46"/>
      <c r="D3115" s="23">
        <v>1</v>
      </c>
      <c r="E3115" s="40">
        <v>5.2</v>
      </c>
      <c r="F3115" s="40">
        <v>0.5</v>
      </c>
      <c r="G3115" s="40">
        <v>0.15</v>
      </c>
      <c r="H3115" s="40">
        <f t="shared" si="218"/>
        <v>0.39</v>
      </c>
      <c r="I3115" s="40"/>
      <c r="J3115" s="41"/>
    </row>
    <row r="3116" spans="2:10" s="1" customFormat="1" ht="28.5" customHeight="1" x14ac:dyDescent="0.2">
      <c r="B3116" s="46"/>
      <c r="C3116" s="39" t="s">
        <v>684</v>
      </c>
      <c r="D3116" s="8">
        <v>2</v>
      </c>
      <c r="E3116" s="86">
        <v>9.3000000000000007</v>
      </c>
      <c r="F3116" s="40">
        <v>0.15</v>
      </c>
      <c r="G3116" s="40">
        <f>+G3059-0.15</f>
        <v>0.7</v>
      </c>
      <c r="H3116" s="40">
        <f t="shared" si="218"/>
        <v>1.9529999999999998</v>
      </c>
      <c r="I3116" s="40"/>
      <c r="J3116" s="41"/>
    </row>
    <row r="3117" spans="2:10" s="1" customFormat="1" ht="28.5" customHeight="1" x14ac:dyDescent="0.2">
      <c r="B3117" s="46"/>
      <c r="C3117" s="46"/>
      <c r="D3117" s="8">
        <v>1</v>
      </c>
      <c r="E3117" s="86">
        <v>9.3000000000000007</v>
      </c>
      <c r="F3117" s="40">
        <v>0.5</v>
      </c>
      <c r="G3117" s="40">
        <v>0.15</v>
      </c>
      <c r="H3117" s="40">
        <f t="shared" si="218"/>
        <v>0.69750000000000001</v>
      </c>
      <c r="I3117" s="40"/>
      <c r="J3117" s="41"/>
    </row>
    <row r="3118" spans="2:10" s="1" customFormat="1" ht="12.75" x14ac:dyDescent="0.2">
      <c r="B3118" s="46"/>
      <c r="C3118" s="39" t="s">
        <v>450</v>
      </c>
      <c r="D3118" s="40">
        <v>2</v>
      </c>
      <c r="E3118" s="40">
        <v>1.5</v>
      </c>
      <c r="F3118" s="40">
        <v>0.15</v>
      </c>
      <c r="G3118" s="40">
        <v>0.65</v>
      </c>
      <c r="H3118" s="40">
        <f t="shared" si="218"/>
        <v>0.29249999999999998</v>
      </c>
      <c r="I3118" s="40"/>
      <c r="J3118" s="41"/>
    </row>
    <row r="3119" spans="2:10" s="1" customFormat="1" ht="12.75" x14ac:dyDescent="0.2">
      <c r="B3119" s="46"/>
      <c r="C3119" s="59"/>
      <c r="D3119" s="60">
        <v>2</v>
      </c>
      <c r="E3119" s="40">
        <v>1.2</v>
      </c>
      <c r="F3119" s="40">
        <v>0.15</v>
      </c>
      <c r="G3119" s="40">
        <v>0.15</v>
      </c>
      <c r="H3119" s="40">
        <f t="shared" si="218"/>
        <v>5.3999999999999999E-2</v>
      </c>
      <c r="I3119" s="40"/>
      <c r="J3119" s="41"/>
    </row>
    <row r="3120" spans="2:10" s="1" customFormat="1" ht="12.75" x14ac:dyDescent="0.2">
      <c r="B3120" s="46"/>
      <c r="C3120" s="59"/>
      <c r="D3120" s="60"/>
      <c r="E3120" s="40"/>
      <c r="F3120" s="40"/>
      <c r="G3120" s="40"/>
      <c r="H3120" s="40"/>
      <c r="I3120" s="40"/>
      <c r="J3120" s="41"/>
    </row>
    <row r="3121" spans="2:10" s="1" customFormat="1" ht="12.75" x14ac:dyDescent="0.2">
      <c r="B3121" s="46"/>
      <c r="C3121" s="59"/>
      <c r="D3121" s="60"/>
      <c r="E3121" s="40"/>
      <c r="F3121" s="40"/>
      <c r="G3121" s="40"/>
      <c r="H3121" s="40"/>
      <c r="I3121" s="40"/>
      <c r="J3121" s="41"/>
    </row>
    <row r="3122" spans="2:10" s="1" customFormat="1" ht="12.75" x14ac:dyDescent="0.2">
      <c r="B3122" s="107" t="s">
        <v>790</v>
      </c>
      <c r="C3122" s="343" t="s">
        <v>789</v>
      </c>
      <c r="D3122" s="60" t="s">
        <v>791</v>
      </c>
      <c r="E3122" s="40"/>
      <c r="F3122" s="40"/>
      <c r="G3122" s="40"/>
      <c r="H3122" s="40"/>
      <c r="I3122" s="40">
        <f>+SUM(H3123:H3131)</f>
        <v>9.8109869504066634</v>
      </c>
      <c r="J3122" s="41" t="s">
        <v>4</v>
      </c>
    </row>
    <row r="3123" spans="2:10" s="1" customFormat="1" ht="12.75" x14ac:dyDescent="0.2">
      <c r="B3123" s="107"/>
      <c r="C3123" s="46" t="s">
        <v>526</v>
      </c>
      <c r="D3123" s="60">
        <v>1.25</v>
      </c>
      <c r="E3123" s="40">
        <v>5.2</v>
      </c>
      <c r="F3123" s="40">
        <v>0.5</v>
      </c>
      <c r="G3123" s="40">
        <f>0.43+0.25</f>
        <v>0.67999999999999994</v>
      </c>
      <c r="H3123" s="40">
        <f>IF(AND(F3123=0,G3123=0),D3123*E3123,IF(AND(E3123=0,G3123=0),D3123*F3123,IF(AND(E3123=0,F3123=0),D3123*G3123,IF(AND(E3123=0),D3123*F3123*G3123,IF(AND(F3123=0),D3123*E3123*G3123,IF(AND(G3123=0),D3123*E3123*F3123,D3123*E3123*F3123*G3123))))))</f>
        <v>2.21</v>
      </c>
      <c r="I3123" s="40"/>
      <c r="J3123" s="41"/>
    </row>
    <row r="3124" spans="2:10" s="1" customFormat="1" ht="12.75" x14ac:dyDescent="0.2">
      <c r="B3124" s="107"/>
      <c r="C3124" s="46" t="s">
        <v>684</v>
      </c>
      <c r="D3124" s="60">
        <v>1.25</v>
      </c>
      <c r="E3124" s="86">
        <v>9.3000000000000007</v>
      </c>
      <c r="F3124" s="40">
        <v>0.5</v>
      </c>
      <c r="G3124" s="40">
        <f>0.6+0.25</f>
        <v>0.85</v>
      </c>
      <c r="H3124" s="40">
        <f>IF(AND(F3124=0,G3124=0),D3124*E3124,IF(AND(E3124=0,G3124=0),D3124*F3124,IF(AND(E3124=0,F3124=0),D3124*G3124,IF(AND(E3124=0),D3124*F3124*G3124,IF(AND(F3124=0),D3124*E3124*G3124,IF(AND(G3124=0),D3124*E3124*F3124,D3124*E3124*F3124*G3124))))))</f>
        <v>4.9406249999999998</v>
      </c>
      <c r="I3124" s="40"/>
      <c r="J3124" s="41"/>
    </row>
    <row r="3125" spans="2:10" s="1" customFormat="1" ht="12.75" x14ac:dyDescent="0.2">
      <c r="B3125" s="107"/>
      <c r="C3125" s="39" t="s">
        <v>450</v>
      </c>
      <c r="D3125" s="60">
        <v>1.25</v>
      </c>
      <c r="E3125" s="40">
        <v>0.9</v>
      </c>
      <c r="F3125" s="40">
        <v>1.5</v>
      </c>
      <c r="G3125" s="40">
        <f>0.65+0.25</f>
        <v>0.9</v>
      </c>
      <c r="H3125" s="40">
        <f>IF(AND(F3125=0,G3125=0),D3125*E3125,IF(AND(E3125=0,G3125=0),D3125*F3125,IF(AND(E3125=0,F3125=0),D3125*G3125,IF(AND(E3125=0),D3125*F3125*G3125,IF(AND(F3125=0),D3125*E3125*G3125,IF(AND(G3125=0),D3125*E3125*F3125,D3125*E3125*F3125*G3125))))))</f>
        <v>1.51875</v>
      </c>
      <c r="I3125" s="40"/>
      <c r="J3125" s="41"/>
    </row>
    <row r="3126" spans="2:10" s="1" customFormat="1" ht="12.75" x14ac:dyDescent="0.2">
      <c r="B3126" s="46"/>
      <c r="C3126" s="43" t="s">
        <v>490</v>
      </c>
      <c r="D3126" s="60"/>
      <c r="E3126" s="40"/>
      <c r="F3126" s="40"/>
      <c r="G3126" s="40"/>
      <c r="H3126" s="40"/>
      <c r="I3126" s="40"/>
      <c r="J3126" s="41"/>
    </row>
    <row r="3127" spans="2:10" s="1" customFormat="1" ht="12.75" x14ac:dyDescent="0.2">
      <c r="B3127" s="46"/>
      <c r="F3127" s="40" t="s">
        <v>786</v>
      </c>
      <c r="G3127" s="40">
        <v>4</v>
      </c>
      <c r="I3127" s="40"/>
      <c r="J3127" s="41"/>
    </row>
    <row r="3128" spans="2:10" s="1" customFormat="1" ht="12.75" x14ac:dyDescent="0.2">
      <c r="B3128" s="46"/>
      <c r="C3128" s="39" t="s">
        <v>784</v>
      </c>
      <c r="D3128" s="60">
        <v>1.25</v>
      </c>
      <c r="E3128" s="40">
        <f>+E3076</f>
        <v>33.15</v>
      </c>
      <c r="F3128" s="40" t="s">
        <v>785</v>
      </c>
      <c r="G3128" s="40">
        <f>+PI()*((G3127*0.0254)^2)/4</f>
        <v>8.107319665559963E-3</v>
      </c>
      <c r="H3128" s="40">
        <f>+D3128*E3128*G3128</f>
        <v>0.33594705864164098</v>
      </c>
      <c r="I3128" s="40"/>
      <c r="J3128" s="41"/>
    </row>
    <row r="3129" spans="2:10" s="1" customFormat="1" ht="12.75" x14ac:dyDescent="0.2">
      <c r="B3129" s="46"/>
      <c r="C3129" s="43" t="s">
        <v>250</v>
      </c>
      <c r="D3129" s="60"/>
      <c r="E3129" s="40"/>
      <c r="F3129" s="40"/>
      <c r="G3129" s="40"/>
      <c r="H3129" s="40"/>
      <c r="I3129" s="40"/>
      <c r="J3129" s="41"/>
    </row>
    <row r="3130" spans="2:10" s="1" customFormat="1" ht="12.75" x14ac:dyDescent="0.2">
      <c r="B3130" s="46"/>
      <c r="C3130" s="39" t="s">
        <v>521</v>
      </c>
      <c r="F3130" s="40" t="s">
        <v>786</v>
      </c>
      <c r="G3130" s="40">
        <v>10</v>
      </c>
      <c r="I3130" s="40"/>
      <c r="J3130" s="41"/>
    </row>
    <row r="3131" spans="2:10" s="1" customFormat="1" ht="12.75" x14ac:dyDescent="0.2">
      <c r="B3131" s="46"/>
      <c r="C3131" s="39" t="s">
        <v>784</v>
      </c>
      <c r="D3131" s="60">
        <v>1</v>
      </c>
      <c r="E3131" s="40">
        <f>+E3080</f>
        <v>15.9</v>
      </c>
      <c r="F3131" s="40" t="s">
        <v>785</v>
      </c>
      <c r="G3131" s="40">
        <f>+PI()*((G3130*0.0254)^2)/4</f>
        <v>5.0670747909749778E-2</v>
      </c>
      <c r="H3131" s="40">
        <f>+D3131*E3131*G3131</f>
        <v>0.80566489176502143</v>
      </c>
      <c r="I3131" s="40"/>
      <c r="J3131" s="41"/>
    </row>
    <row r="3133" spans="2:10" s="1" customFormat="1" ht="12.75" x14ac:dyDescent="0.2">
      <c r="B3133" s="107" t="s">
        <v>634</v>
      </c>
      <c r="C3133" s="343" t="s">
        <v>624</v>
      </c>
      <c r="D3133" s="60"/>
      <c r="E3133" s="40"/>
      <c r="F3133" s="40"/>
      <c r="G3133" s="40"/>
      <c r="H3133" s="40"/>
      <c r="I3133" s="40">
        <f>+I3122</f>
        <v>9.8109869504066634</v>
      </c>
      <c r="J3133" s="41" t="s">
        <v>4</v>
      </c>
    </row>
  </sheetData>
  <mergeCells count="32">
    <mergeCell ref="C1:H1"/>
    <mergeCell ref="C2:H2"/>
    <mergeCell ref="C3:H3"/>
    <mergeCell ref="C4:H4"/>
    <mergeCell ref="B6:J6"/>
    <mergeCell ref="B8:J8"/>
    <mergeCell ref="B136:J136"/>
    <mergeCell ref="B137:J137"/>
    <mergeCell ref="B139:J139"/>
    <mergeCell ref="H140:I140"/>
    <mergeCell ref="C366:H366"/>
    <mergeCell ref="C367:H367"/>
    <mergeCell ref="B10:J10"/>
    <mergeCell ref="H11:I11"/>
    <mergeCell ref="C131:H131"/>
    <mergeCell ref="C132:H132"/>
    <mergeCell ref="C133:H133"/>
    <mergeCell ref="C134:H134"/>
    <mergeCell ref="C368:H368"/>
    <mergeCell ref="C369:H369"/>
    <mergeCell ref="C569:H569"/>
    <mergeCell ref="C570:H570"/>
    <mergeCell ref="C571:H571"/>
    <mergeCell ref="C1157:H1157"/>
    <mergeCell ref="C1158:H1158"/>
    <mergeCell ref="C572:H572"/>
    <mergeCell ref="C1156:H1156"/>
    <mergeCell ref="C773:H773"/>
    <mergeCell ref="C774:H774"/>
    <mergeCell ref="C775:H775"/>
    <mergeCell ref="C776:H776"/>
    <mergeCell ref="C1155:H1155"/>
  </mergeCells>
  <phoneticPr fontId="18" type="noConversion"/>
  <pageMargins left="0.70866141732283472" right="0.70866141732283472" top="0.74803149606299213" bottom="0.74803149606299213" header="0.31496062992125984" footer="0.31496062992125984"/>
  <pageSetup paperSize="9" scale="53" fitToWidth="0" fitToHeight="0" orientation="portrait" r:id="rId1"/>
  <rowBreaks count="1" manualBreakCount="1">
    <brk id="129" min="2" max="9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 tint="0.39997558519241921"/>
  </sheetPr>
  <dimension ref="B1:J2529"/>
  <sheetViews>
    <sheetView workbookViewId="0"/>
    <sheetView workbookViewId="1"/>
  </sheetViews>
  <sheetFormatPr baseColWidth="10" defaultRowHeight="15" x14ac:dyDescent="0.25"/>
  <cols>
    <col min="1" max="1" width="2.140625" customWidth="1"/>
    <col min="2" max="2" width="13.140625" style="1" customWidth="1"/>
    <col min="3" max="3" width="48.7109375" style="1" customWidth="1"/>
    <col min="4" max="6" width="11.42578125" style="1"/>
    <col min="7" max="7" width="12.42578125" style="1" customWidth="1"/>
    <col min="8" max="8" width="11.42578125" style="1"/>
    <col min="9" max="9" width="10.28515625" style="1" customWidth="1"/>
    <col min="10" max="10" width="8.85546875" style="1" customWidth="1"/>
  </cols>
  <sheetData>
    <row r="1" spans="2:10" x14ac:dyDescent="0.25">
      <c r="C1" s="499" t="s">
        <v>37</v>
      </c>
      <c r="D1" s="499"/>
      <c r="E1" s="499"/>
      <c r="F1" s="499"/>
      <c r="G1" s="499"/>
      <c r="H1" s="499"/>
    </row>
    <row r="2" spans="2:10" x14ac:dyDescent="0.25">
      <c r="C2" s="499" t="s">
        <v>38</v>
      </c>
      <c r="D2" s="499"/>
      <c r="E2" s="499"/>
      <c r="F2" s="499"/>
      <c r="G2" s="499"/>
      <c r="H2" s="499"/>
    </row>
    <row r="3" spans="2:10" x14ac:dyDescent="0.25">
      <c r="C3" s="499" t="s">
        <v>39</v>
      </c>
      <c r="D3" s="499"/>
      <c r="E3" s="499"/>
      <c r="F3" s="499"/>
      <c r="G3" s="499"/>
      <c r="H3" s="499"/>
    </row>
    <row r="4" spans="2:10" x14ac:dyDescent="0.25">
      <c r="C4" s="500" t="s">
        <v>40</v>
      </c>
      <c r="D4" s="500"/>
      <c r="E4" s="500"/>
      <c r="F4" s="500"/>
      <c r="G4" s="500"/>
      <c r="H4" s="500"/>
    </row>
    <row r="5" spans="2:10" x14ac:dyDescent="0.25">
      <c r="C5" s="53"/>
      <c r="D5" s="53"/>
      <c r="E5" s="53"/>
      <c r="F5" s="53"/>
      <c r="G5" s="53"/>
      <c r="H5" s="53"/>
    </row>
    <row r="6" spans="2:10" x14ac:dyDescent="0.25">
      <c r="B6" s="538" t="s">
        <v>28</v>
      </c>
      <c r="C6" s="539"/>
      <c r="D6" s="539"/>
      <c r="E6" s="539"/>
      <c r="F6" s="539"/>
      <c r="G6" s="539"/>
      <c r="H6" s="539"/>
      <c r="I6" s="539"/>
      <c r="J6" s="540"/>
    </row>
    <row r="8" spans="2:10" x14ac:dyDescent="0.25">
      <c r="B8" s="541" t="s">
        <v>275</v>
      </c>
      <c r="C8" s="541"/>
      <c r="D8" s="541"/>
      <c r="E8" s="541"/>
      <c r="F8" s="541"/>
      <c r="G8" s="541"/>
      <c r="H8" s="541"/>
      <c r="I8" s="541"/>
      <c r="J8" s="541"/>
    </row>
    <row r="9" spans="2:10" ht="15.75" thickBot="1" x14ac:dyDescent="0.3">
      <c r="B9" s="54"/>
      <c r="C9" s="54"/>
      <c r="D9" s="54"/>
      <c r="E9" s="54"/>
      <c r="F9" s="54"/>
      <c r="G9" s="54"/>
      <c r="H9" s="54"/>
      <c r="I9" s="54"/>
      <c r="J9" s="54"/>
    </row>
    <row r="10" spans="2:10" ht="31.5" customHeight="1" x14ac:dyDescent="0.25">
      <c r="B10" s="494" t="s">
        <v>27</v>
      </c>
      <c r="C10" s="495"/>
      <c r="D10" s="495"/>
      <c r="E10" s="495"/>
      <c r="F10" s="495"/>
      <c r="G10" s="495"/>
      <c r="H10" s="495"/>
      <c r="I10" s="495"/>
      <c r="J10" s="496"/>
    </row>
    <row r="11" spans="2:10" x14ac:dyDescent="0.25">
      <c r="B11" s="2" t="s">
        <v>35</v>
      </c>
      <c r="C11" s="3" t="s">
        <v>36</v>
      </c>
      <c r="D11" s="3"/>
      <c r="E11" s="4"/>
      <c r="F11" s="5"/>
      <c r="G11" s="6" t="s">
        <v>8</v>
      </c>
      <c r="H11" s="497">
        <v>42887</v>
      </c>
      <c r="I11" s="497"/>
      <c r="J11" s="7"/>
    </row>
    <row r="12" spans="2:10" x14ac:dyDescent="0.25">
      <c r="B12" s="2" t="s">
        <v>33</v>
      </c>
      <c r="C12" s="3" t="s">
        <v>29</v>
      </c>
      <c r="D12" s="8"/>
      <c r="E12" s="8"/>
      <c r="F12" s="3"/>
      <c r="G12" s="9" t="s">
        <v>32</v>
      </c>
      <c r="H12" s="4" t="s">
        <v>29</v>
      </c>
      <c r="I12" s="10"/>
      <c r="J12" s="11"/>
    </row>
    <row r="13" spans="2:10" x14ac:dyDescent="0.25">
      <c r="B13" s="2" t="s">
        <v>34</v>
      </c>
      <c r="C13" s="3" t="s">
        <v>29</v>
      </c>
      <c r="D13" s="8"/>
      <c r="E13" s="8"/>
      <c r="F13" s="3"/>
      <c r="G13" s="9" t="s">
        <v>30</v>
      </c>
      <c r="H13" s="4" t="s">
        <v>31</v>
      </c>
      <c r="I13" s="10"/>
      <c r="J13" s="11"/>
    </row>
    <row r="14" spans="2:10" ht="15.75" thickBot="1" x14ac:dyDescent="0.3">
      <c r="B14" s="12" t="s">
        <v>43</v>
      </c>
      <c r="C14" s="13" t="s">
        <v>44</v>
      </c>
      <c r="D14" s="14"/>
      <c r="E14" s="14"/>
      <c r="F14" s="13"/>
      <c r="G14" s="15" t="s">
        <v>41</v>
      </c>
      <c r="H14" s="16" t="s">
        <v>42</v>
      </c>
      <c r="I14" s="17"/>
      <c r="J14" s="18"/>
    </row>
    <row r="15" spans="2:10" x14ac:dyDescent="0.25">
      <c r="B15" s="19"/>
      <c r="C15" s="3"/>
      <c r="D15" s="8"/>
      <c r="E15" s="8"/>
      <c r="F15" s="3"/>
      <c r="G15" s="9"/>
      <c r="H15" s="4"/>
      <c r="I15" s="10"/>
      <c r="J15" s="20"/>
    </row>
    <row r="16" spans="2:10" x14ac:dyDescent="0.25">
      <c r="B16" s="47" t="s">
        <v>5</v>
      </c>
      <c r="C16" s="48" t="s">
        <v>0</v>
      </c>
      <c r="D16" s="49"/>
      <c r="E16" s="49"/>
      <c r="F16" s="49"/>
      <c r="G16" s="49"/>
      <c r="H16" s="50"/>
      <c r="I16" s="51" t="s">
        <v>6</v>
      </c>
      <c r="J16" s="51" t="s">
        <v>7</v>
      </c>
    </row>
    <row r="17" spans="2:10" x14ac:dyDescent="0.25">
      <c r="B17" s="71">
        <f>+B72</f>
        <v>4.03</v>
      </c>
      <c r="C17" s="72" t="str">
        <f t="shared" ref="C17:C50" si="0">LOOKUP(B17,$B$72:$B$2529,$C$72:$C$2529)</f>
        <v>SISTEMA DE DRENAJE PLUVIAL</v>
      </c>
      <c r="D17" s="23"/>
      <c r="E17" s="23"/>
      <c r="F17" s="23"/>
      <c r="G17" s="23"/>
      <c r="H17" s="24"/>
      <c r="I17" s="25"/>
      <c r="J17" s="26"/>
    </row>
    <row r="18" spans="2:10" x14ac:dyDescent="0.25">
      <c r="B18" s="73" t="str">
        <f>+B73</f>
        <v>04.03.01</v>
      </c>
      <c r="C18" s="74" t="str">
        <f t="shared" si="0"/>
        <v>RED DE RAMALES DE COLECTORES</v>
      </c>
      <c r="D18" s="23"/>
      <c r="E18" s="23"/>
      <c r="F18" s="23"/>
      <c r="G18" s="23"/>
      <c r="H18" s="24"/>
      <c r="I18" s="25"/>
      <c r="J18" s="26"/>
    </row>
    <row r="19" spans="2:10" x14ac:dyDescent="0.25">
      <c r="B19" s="25" t="str">
        <f>+B74</f>
        <v>04.03.01.01</v>
      </c>
      <c r="C19" s="28" t="str">
        <f t="shared" si="0"/>
        <v>CANALETA  METALICA DE EVACUACION DE AGUAS PLUVIALES</v>
      </c>
      <c r="D19" s="23"/>
      <c r="E19" s="23"/>
      <c r="F19" s="23"/>
      <c r="G19" s="23"/>
      <c r="H19" s="24"/>
      <c r="I19" s="25">
        <f t="shared" ref="I19:I26" ca="1" si="1">SUMIF($B$72:$J$2529,B19,$I$72:$I$2529)</f>
        <v>28.099999999999998</v>
      </c>
      <c r="J19" s="26" t="str">
        <f t="shared" ref="J19:J26" si="2">VLOOKUP(B19,$B$72:$J$2529,9)</f>
        <v>ml</v>
      </c>
    </row>
    <row r="20" spans="2:10" x14ac:dyDescent="0.25">
      <c r="B20" s="25" t="str">
        <f>+B77</f>
        <v>04.03.01.02</v>
      </c>
      <c r="C20" s="28" t="str">
        <f t="shared" si="0"/>
        <v>CANAL DE CONCRETO EN TECHO A=25cm, H=10 cm, E=5cm</v>
      </c>
      <c r="D20" s="23"/>
      <c r="E20" s="23"/>
      <c r="F20" s="23"/>
      <c r="G20" s="23"/>
      <c r="H20" s="24"/>
      <c r="I20" s="25">
        <f t="shared" ca="1" si="1"/>
        <v>416.9</v>
      </c>
      <c r="J20" s="26" t="str">
        <f t="shared" si="2"/>
        <v>ml</v>
      </c>
    </row>
    <row r="21" spans="2:10" x14ac:dyDescent="0.25">
      <c r="B21" s="25" t="str">
        <f>+B79</f>
        <v>04.03.01.03</v>
      </c>
      <c r="C21" s="28" t="str">
        <f t="shared" si="0"/>
        <v>CANAL DE CONCRETO DRAMIX EN TECHO 30X30CM, E=10cm</v>
      </c>
      <c r="D21" s="23"/>
      <c r="E21" s="23"/>
      <c r="F21" s="23"/>
      <c r="G21" s="23"/>
      <c r="H21" s="24"/>
      <c r="I21" s="25">
        <f t="shared" ca="1" si="1"/>
        <v>103.6</v>
      </c>
      <c r="J21" s="26" t="str">
        <f t="shared" si="2"/>
        <v>ml</v>
      </c>
    </row>
    <row r="22" spans="2:10" x14ac:dyDescent="0.25">
      <c r="B22" s="25" t="str">
        <f>+B81</f>
        <v>04.03.01.04</v>
      </c>
      <c r="C22" s="28" t="str">
        <f t="shared" si="0"/>
        <v>MONTANTE DE TUB. PVC SAP C-10 Ø 3" EMBEBIDA EN TABIQUERIA</v>
      </c>
      <c r="D22" s="23"/>
      <c r="E22" s="23"/>
      <c r="F22" s="23"/>
      <c r="G22" s="23"/>
      <c r="H22" s="24"/>
      <c r="I22" s="25">
        <f t="shared" ca="1" si="1"/>
        <v>440</v>
      </c>
      <c r="J22" s="26" t="str">
        <f t="shared" si="2"/>
        <v>ml</v>
      </c>
    </row>
    <row r="23" spans="2:10" x14ac:dyDescent="0.25">
      <c r="B23" s="25" t="str">
        <f>+B85</f>
        <v>04.03.01.05</v>
      </c>
      <c r="C23" s="28" t="str">
        <f t="shared" si="0"/>
        <v>MONTANTE DE TUB. PVC SAP C-10 Ø 3" ADOSADA</v>
      </c>
      <c r="D23" s="23"/>
      <c r="E23" s="23"/>
      <c r="F23" s="23"/>
      <c r="G23" s="23"/>
      <c r="H23" s="24"/>
      <c r="I23" s="25">
        <f t="shared" ca="1" si="1"/>
        <v>118</v>
      </c>
      <c r="J23" s="26" t="str">
        <f t="shared" si="2"/>
        <v>ml</v>
      </c>
    </row>
    <row r="24" spans="2:10" x14ac:dyDescent="0.25">
      <c r="B24" s="25" t="str">
        <f>+B91</f>
        <v>04.03.01.06</v>
      </c>
      <c r="C24" s="28" t="str">
        <f t="shared" si="0"/>
        <v>MONTANTE DE TUB. PVC SAP C-10 Ø 4" ADOSADA</v>
      </c>
      <c r="D24" s="23"/>
      <c r="E24" s="23"/>
      <c r="F24" s="23"/>
      <c r="G24" s="23"/>
      <c r="H24" s="24"/>
      <c r="I24" s="25">
        <f t="shared" ca="1" si="1"/>
        <v>204</v>
      </c>
      <c r="J24" s="26" t="str">
        <f t="shared" si="2"/>
        <v>ml</v>
      </c>
    </row>
    <row r="25" spans="2:10" x14ac:dyDescent="0.25">
      <c r="B25" s="25" t="str">
        <f>+B95</f>
        <v>04.03.01.07</v>
      </c>
      <c r="C25" s="28" t="str">
        <f t="shared" si="0"/>
        <v>COLUMNETAS DE CONCRETO F´C=175 KG/CM2 PARA  BAJANTES</v>
      </c>
      <c r="D25" s="23"/>
      <c r="E25" s="23"/>
      <c r="F25" s="23"/>
      <c r="G25" s="23"/>
      <c r="H25" s="24"/>
      <c r="I25" s="25">
        <f t="shared" ca="1" si="1"/>
        <v>21</v>
      </c>
      <c r="J25" s="26" t="str">
        <f t="shared" si="2"/>
        <v>und</v>
      </c>
    </row>
    <row r="26" spans="2:10" x14ac:dyDescent="0.25">
      <c r="B26" s="25" t="str">
        <f>+B97</f>
        <v>04.03.01.08</v>
      </c>
      <c r="C26" s="28" t="str">
        <f t="shared" si="0"/>
        <v>DADO DE CONCRETO F´C=175 KG/CM2 PARA  BAJANTES</v>
      </c>
      <c r="D26" s="23"/>
      <c r="E26" s="23"/>
      <c r="F26" s="23"/>
      <c r="G26" s="23"/>
      <c r="H26" s="24"/>
      <c r="I26" s="25">
        <f t="shared" ca="1" si="1"/>
        <v>57</v>
      </c>
      <c r="J26" s="26" t="str">
        <f t="shared" si="2"/>
        <v>und</v>
      </c>
    </row>
    <row r="27" spans="2:10" x14ac:dyDescent="0.25">
      <c r="B27" s="73" t="str">
        <f>+B99</f>
        <v>04.03.02</v>
      </c>
      <c r="C27" s="74" t="str">
        <f t="shared" si="0"/>
        <v xml:space="preserve">RED DE RECOLECCION </v>
      </c>
      <c r="D27" s="23"/>
      <c r="E27" s="23"/>
      <c r="F27" s="23"/>
      <c r="G27" s="23"/>
      <c r="H27" s="24"/>
      <c r="I27" s="25"/>
      <c r="J27" s="26"/>
    </row>
    <row r="28" spans="2:10" x14ac:dyDescent="0.25">
      <c r="B28" s="25" t="str">
        <f>+B100</f>
        <v>04.03.02.01</v>
      </c>
      <c r="C28" s="28" t="str">
        <f t="shared" si="0"/>
        <v>CANAL RANURADO MODULAR</v>
      </c>
      <c r="D28" s="23"/>
      <c r="E28" s="23"/>
      <c r="F28" s="23"/>
      <c r="G28" s="23"/>
      <c r="H28" s="24"/>
      <c r="I28" s="25">
        <f t="shared" ref="I28:I42" ca="1" si="3">SUMIF($B$72:$J$2529,B28,$I$72:$I$2529)</f>
        <v>91.5</v>
      </c>
      <c r="J28" s="26" t="str">
        <f t="shared" ref="J28:J42" si="4">VLOOKUP(B28,$B$72:$J$2529,9)</f>
        <v>ml</v>
      </c>
    </row>
    <row r="29" spans="2:10" x14ac:dyDescent="0.25">
      <c r="B29" s="25" t="str">
        <f>+B102</f>
        <v>04.03.02.02</v>
      </c>
      <c r="C29" s="28" t="str">
        <f t="shared" si="0"/>
        <v>CANAL DE CONCRETO EN PISO A=20 CM H=VARIABLE, E=10cm</v>
      </c>
      <c r="D29" s="23"/>
      <c r="E29" s="23"/>
      <c r="F29" s="23"/>
      <c r="G29" s="23"/>
      <c r="H29" s="24"/>
      <c r="I29" s="25">
        <f t="shared" ca="1" si="3"/>
        <v>178.6</v>
      </c>
      <c r="J29" s="26" t="str">
        <f t="shared" si="4"/>
        <v>ml</v>
      </c>
    </row>
    <row r="30" spans="2:10" x14ac:dyDescent="0.25">
      <c r="B30" s="25" t="str">
        <f>+B105</f>
        <v>04.03.02.03</v>
      </c>
      <c r="C30" s="28" t="str">
        <f t="shared" si="0"/>
        <v>CANAL DE CONCRETO EN PISO A=30 CM H=VARIABLE, E=10cm</v>
      </c>
      <c r="D30" s="23"/>
      <c r="E30" s="23"/>
      <c r="F30" s="23"/>
      <c r="G30" s="23"/>
      <c r="H30" s="24"/>
      <c r="I30" s="25">
        <f t="shared" ca="1" si="3"/>
        <v>23.4</v>
      </c>
      <c r="J30" s="26" t="str">
        <f t="shared" si="4"/>
        <v>ml</v>
      </c>
    </row>
    <row r="31" spans="2:10" x14ac:dyDescent="0.25">
      <c r="B31" s="25" t="str">
        <f>+B107</f>
        <v>04.03.02.04</v>
      </c>
      <c r="C31" s="28" t="str">
        <f t="shared" si="0"/>
        <v>CANAL DE CONCRETO EN PISO A=50 CM H=VARIABLE, E=15cm</v>
      </c>
      <c r="D31" s="23"/>
      <c r="E31" s="23"/>
      <c r="F31" s="23"/>
      <c r="G31" s="23"/>
      <c r="H31" s="24"/>
      <c r="I31" s="25">
        <f t="shared" ca="1" si="3"/>
        <v>7.55</v>
      </c>
      <c r="J31" s="26" t="str">
        <f t="shared" si="4"/>
        <v>ml</v>
      </c>
    </row>
    <row r="32" spans="2:10" x14ac:dyDescent="0.25">
      <c r="B32" s="25" t="str">
        <f>+B109</f>
        <v>04.03.02.05</v>
      </c>
      <c r="C32" s="28" t="str">
        <f t="shared" si="0"/>
        <v>REJILLA METALICA TIPO I A=30cm</v>
      </c>
      <c r="D32" s="23"/>
      <c r="E32" s="23"/>
      <c r="F32" s="23"/>
      <c r="G32" s="23"/>
      <c r="H32" s="24"/>
      <c r="I32" s="25">
        <f t="shared" ca="1" si="3"/>
        <v>158</v>
      </c>
      <c r="J32" s="26" t="str">
        <f t="shared" si="4"/>
        <v>ml</v>
      </c>
    </row>
    <row r="33" spans="2:10" x14ac:dyDescent="0.25">
      <c r="B33" s="25" t="str">
        <f>+B111</f>
        <v>04.03.02.06</v>
      </c>
      <c r="C33" s="28" t="str">
        <f t="shared" si="0"/>
        <v>REJILLA METALICA TIPO II A=40cm</v>
      </c>
      <c r="D33" s="23"/>
      <c r="E33" s="23"/>
      <c r="F33" s="23"/>
      <c r="G33" s="23"/>
      <c r="H33" s="24"/>
      <c r="I33" s="25">
        <f t="shared" ca="1" si="3"/>
        <v>23.4</v>
      </c>
      <c r="J33" s="26" t="str">
        <f t="shared" si="4"/>
        <v>ml</v>
      </c>
    </row>
    <row r="34" spans="2:10" x14ac:dyDescent="0.25">
      <c r="B34" s="25" t="str">
        <f>+B113</f>
        <v>04.03.02.07</v>
      </c>
      <c r="C34" s="28" t="str">
        <f t="shared" si="0"/>
        <v>REJILLA METALICA TIPO III A=70cm</v>
      </c>
      <c r="D34" s="23"/>
      <c r="E34" s="23"/>
      <c r="F34" s="23"/>
      <c r="G34" s="23"/>
      <c r="H34" s="24"/>
      <c r="I34" s="25">
        <f t="shared" ca="1" si="3"/>
        <v>7.55</v>
      </c>
      <c r="J34" s="26" t="str">
        <f t="shared" si="4"/>
        <v>ml</v>
      </c>
    </row>
    <row r="35" spans="2:10" x14ac:dyDescent="0.25">
      <c r="B35" s="25" t="str">
        <f>+B115</f>
        <v>04.03.02.08</v>
      </c>
      <c r="C35" s="28" t="str">
        <f t="shared" si="0"/>
        <v>TAPA DE CONCRETO 70x50x5cm f'c=175kg/cm2</v>
      </c>
      <c r="D35" s="23"/>
      <c r="E35" s="23"/>
      <c r="F35" s="23"/>
      <c r="G35" s="23"/>
      <c r="H35" s="24"/>
      <c r="I35" s="25">
        <f t="shared" ca="1" si="3"/>
        <v>20.6</v>
      </c>
      <c r="J35" s="26" t="str">
        <f t="shared" si="4"/>
        <v>ml</v>
      </c>
    </row>
    <row r="36" spans="2:10" x14ac:dyDescent="0.25">
      <c r="B36" s="25" t="str">
        <f>+B118</f>
        <v>04.03.02.09</v>
      </c>
      <c r="C36" s="28" t="str">
        <f t="shared" si="0"/>
        <v>RED RECOLECTORA TUBERÍA PVC UF Ø DE 8"</v>
      </c>
      <c r="D36" s="23"/>
      <c r="E36" s="23"/>
      <c r="F36" s="23"/>
      <c r="G36" s="23"/>
      <c r="H36" s="24"/>
      <c r="I36" s="25">
        <f t="shared" ca="1" si="3"/>
        <v>53.150000000000006</v>
      </c>
      <c r="J36" s="26" t="str">
        <f t="shared" si="4"/>
        <v>ml</v>
      </c>
    </row>
    <row r="37" spans="2:10" x14ac:dyDescent="0.25">
      <c r="B37" s="25" t="str">
        <f>+B120</f>
        <v>04.03.02.10</v>
      </c>
      <c r="C37" s="28" t="str">
        <f t="shared" si="0"/>
        <v>RED RECOLECTORA TUBERÍA PVC UF Ø DE 10"</v>
      </c>
      <c r="D37" s="23"/>
      <c r="E37" s="23"/>
      <c r="F37" s="23"/>
      <c r="G37" s="23"/>
      <c r="H37" s="24"/>
      <c r="I37" s="25">
        <f t="shared" ca="1" si="3"/>
        <v>92.149999999999991</v>
      </c>
      <c r="J37" s="26" t="str">
        <f t="shared" si="4"/>
        <v>ml</v>
      </c>
    </row>
    <row r="38" spans="2:10" x14ac:dyDescent="0.25">
      <c r="B38" s="25" t="str">
        <f>+B122</f>
        <v>04.03.02.11</v>
      </c>
      <c r="C38" s="28" t="str">
        <f t="shared" si="0"/>
        <v>RED RECOLECTORA TUBERÍA PVC UF Ø DE 12"</v>
      </c>
      <c r="D38" s="23"/>
      <c r="E38" s="23"/>
      <c r="F38" s="23"/>
      <c r="G38" s="23"/>
      <c r="H38" s="24"/>
      <c r="I38" s="25">
        <f t="shared" ca="1" si="3"/>
        <v>14.5</v>
      </c>
      <c r="J38" s="26" t="str">
        <f t="shared" si="4"/>
        <v>ml</v>
      </c>
    </row>
    <row r="39" spans="2:10" x14ac:dyDescent="0.25">
      <c r="B39" s="25" t="str">
        <f>+B124</f>
        <v>04.03.02.12</v>
      </c>
      <c r="C39" s="28" t="str">
        <f t="shared" si="0"/>
        <v>RED RECOLECTORA TUBERÍA PVC UF Ø DE 14"</v>
      </c>
      <c r="D39" s="23"/>
      <c r="E39" s="23"/>
      <c r="F39" s="23"/>
      <c r="G39" s="23"/>
      <c r="H39" s="24"/>
      <c r="I39" s="25">
        <f t="shared" ca="1" si="3"/>
        <v>126.99000000000001</v>
      </c>
      <c r="J39" s="26" t="str">
        <f t="shared" si="4"/>
        <v>ml</v>
      </c>
    </row>
    <row r="40" spans="2:10" x14ac:dyDescent="0.25">
      <c r="B40" s="25" t="str">
        <f>+B126</f>
        <v>04.03.02.13</v>
      </c>
      <c r="C40" s="28" t="str">
        <f t="shared" si="0"/>
        <v>CAJAS DE INSPECCIÓN TIPO I A=1.00M L=1.00M H=VARIABLE</v>
      </c>
      <c r="D40" s="23"/>
      <c r="E40" s="23"/>
      <c r="F40" s="23"/>
      <c r="G40" s="23"/>
      <c r="H40" s="24"/>
      <c r="I40" s="25">
        <f t="shared" ca="1" si="3"/>
        <v>9</v>
      </c>
      <c r="J40" s="26" t="str">
        <f t="shared" si="4"/>
        <v>und</v>
      </c>
    </row>
    <row r="41" spans="2:10" x14ac:dyDescent="0.25">
      <c r="B41" s="25" t="str">
        <f>+B129</f>
        <v>04.03.02.14</v>
      </c>
      <c r="C41" s="28" t="str">
        <f t="shared" si="0"/>
        <v>CAJAS DE INSPECCIÓN TIPO II A=0.60M L=1.00M H=VARIABLE</v>
      </c>
      <c r="D41" s="23"/>
      <c r="E41" s="23"/>
      <c r="F41" s="23"/>
      <c r="G41" s="23"/>
      <c r="H41" s="24"/>
      <c r="I41" s="25">
        <f t="shared" ca="1" si="3"/>
        <v>10</v>
      </c>
      <c r="J41" s="26" t="str">
        <f t="shared" si="4"/>
        <v>und</v>
      </c>
    </row>
    <row r="42" spans="2:10" x14ac:dyDescent="0.25">
      <c r="B42" s="25" t="str">
        <f>+B131</f>
        <v>04.03.02.15</v>
      </c>
      <c r="C42" s="28" t="str">
        <f t="shared" si="0"/>
        <v>CAJAS DE INSPECCIÓN TIPO III A=1.45M L=4.50M H=VARIABLE</v>
      </c>
      <c r="D42" s="23"/>
      <c r="E42" s="23"/>
      <c r="F42" s="23"/>
      <c r="G42" s="23"/>
      <c r="H42" s="24"/>
      <c r="I42" s="25">
        <f t="shared" ca="1" si="3"/>
        <v>1</v>
      </c>
      <c r="J42" s="26" t="str">
        <f t="shared" si="4"/>
        <v>und</v>
      </c>
    </row>
    <row r="43" spans="2:10" x14ac:dyDescent="0.25">
      <c r="B43" s="73" t="str">
        <f>+B133</f>
        <v>04.03.03</v>
      </c>
      <c r="C43" s="74" t="str">
        <f t="shared" si="0"/>
        <v>ACCESORIOS</v>
      </c>
      <c r="D43" s="23"/>
      <c r="E43" s="23"/>
      <c r="F43" s="23"/>
      <c r="G43" s="23"/>
      <c r="H43" s="24"/>
      <c r="I43" s="25"/>
      <c r="J43" s="26"/>
    </row>
    <row r="44" spans="2:10" x14ac:dyDescent="0.25">
      <c r="B44" s="25" t="str">
        <f>+B134</f>
        <v>04.03.03.01</v>
      </c>
      <c r="C44" s="28" t="str">
        <f t="shared" si="0"/>
        <v>SUMIDEROS SIFONICO INOXIDABLE 200X200 CON DIAMETRO DE SALIDA DE 3"</v>
      </c>
      <c r="D44" s="23"/>
      <c r="E44" s="23"/>
      <c r="F44" s="23"/>
      <c r="G44" s="23"/>
      <c r="H44" s="24"/>
      <c r="I44" s="25">
        <f t="shared" ref="I44:I50" ca="1" si="5">SUMIF($B$72:$J$2529,B44,$I$72:$I$2529)</f>
        <v>47</v>
      </c>
      <c r="J44" s="26" t="str">
        <f t="shared" ref="J44:J50" si="6">VLOOKUP(B44,$B$72:$J$2529,9)</f>
        <v>und</v>
      </c>
    </row>
    <row r="45" spans="2:10" x14ac:dyDescent="0.25">
      <c r="B45" s="25" t="str">
        <f>+B137</f>
        <v>04.03.03.02</v>
      </c>
      <c r="C45" s="28" t="str">
        <f t="shared" si="0"/>
        <v>ABRAZADERA DE FIJACION DE MONTANTE TUBO DE 3"</v>
      </c>
      <c r="D45" s="23"/>
      <c r="E45" s="23"/>
      <c r="F45" s="23"/>
      <c r="G45" s="23"/>
      <c r="H45" s="24"/>
      <c r="I45" s="25">
        <f t="shared" ca="1" si="5"/>
        <v>54</v>
      </c>
      <c r="J45" s="26" t="str">
        <f t="shared" si="6"/>
        <v>und</v>
      </c>
    </row>
    <row r="46" spans="2:10" x14ac:dyDescent="0.25">
      <c r="B46" s="25" t="str">
        <f>+B142</f>
        <v>04.03.03.03</v>
      </c>
      <c r="C46" s="28" t="str">
        <f t="shared" si="0"/>
        <v>ABRAZADERA DE FIJACION DE MONTANTE TUBO DE 4"</v>
      </c>
      <c r="D46" s="29"/>
      <c r="E46" s="29"/>
      <c r="F46" s="29"/>
      <c r="G46" s="29"/>
      <c r="H46" s="30"/>
      <c r="I46" s="25">
        <f t="shared" ca="1" si="5"/>
        <v>160</v>
      </c>
      <c r="J46" s="26" t="str">
        <f t="shared" si="6"/>
        <v>und</v>
      </c>
    </row>
    <row r="47" spans="2:10" x14ac:dyDescent="0.25">
      <c r="B47" s="25" t="str">
        <f>+B146</f>
        <v>04.03.03.04</v>
      </c>
      <c r="C47" s="28" t="str">
        <f t="shared" si="0"/>
        <v>SOPORTE METALICO DE CANALETAS DE 15 cm</v>
      </c>
      <c r="D47" s="29"/>
      <c r="E47" s="29"/>
      <c r="F47" s="29"/>
      <c r="G47" s="29"/>
      <c r="H47" s="30"/>
      <c r="I47" s="25">
        <f t="shared" ca="1" si="5"/>
        <v>35</v>
      </c>
      <c r="J47" s="26" t="str">
        <f t="shared" si="6"/>
        <v>und</v>
      </c>
    </row>
    <row r="48" spans="2:10" x14ac:dyDescent="0.25">
      <c r="B48" s="25" t="str">
        <f>+B148</f>
        <v>04.03.03.05</v>
      </c>
      <c r="C48" s="28" t="str">
        <f t="shared" si="0"/>
        <v>EMBUDO DE CONEXIÓN DE CANALETA Y MONTANTE</v>
      </c>
      <c r="D48" s="29"/>
      <c r="E48" s="29"/>
      <c r="F48" s="29"/>
      <c r="G48" s="29"/>
      <c r="H48" s="30"/>
      <c r="I48" s="25">
        <f t="shared" ca="1" si="5"/>
        <v>10</v>
      </c>
      <c r="J48" s="26" t="str">
        <f t="shared" si="6"/>
        <v>und</v>
      </c>
    </row>
    <row r="49" spans="2:10" x14ac:dyDescent="0.25">
      <c r="B49" s="25" t="str">
        <f>+B150</f>
        <v>04.03.03.06</v>
      </c>
      <c r="C49" s="28" t="str">
        <f t="shared" si="0"/>
        <v>CONEXIONES A LA RED RECOLECTORA TUBERÍA PVC UF Ø DE 8"</v>
      </c>
      <c r="D49" s="29"/>
      <c r="E49" s="29"/>
      <c r="F49" s="29"/>
      <c r="G49" s="29"/>
      <c r="H49" s="30"/>
      <c r="I49" s="25">
        <f t="shared" ca="1" si="5"/>
        <v>9</v>
      </c>
      <c r="J49" s="26" t="str">
        <f t="shared" si="6"/>
        <v>und</v>
      </c>
    </row>
    <row r="50" spans="2:10" x14ac:dyDescent="0.25">
      <c r="B50" s="32" t="str">
        <f>+B152</f>
        <v>04.03.03.07</v>
      </c>
      <c r="C50" s="33" t="str">
        <f t="shared" si="0"/>
        <v>CONEXIONES A LA RED RECOLECTORA TUBERÍA PVC UF Ø DE 10"</v>
      </c>
      <c r="D50" s="34"/>
      <c r="E50" s="34"/>
      <c r="F50" s="34"/>
      <c r="G50" s="34"/>
      <c r="H50" s="35"/>
      <c r="I50" s="32">
        <f t="shared" ca="1" si="5"/>
        <v>4</v>
      </c>
      <c r="J50" s="36" t="str">
        <f t="shared" si="6"/>
        <v>und</v>
      </c>
    </row>
    <row r="51" spans="2:10" x14ac:dyDescent="0.25">
      <c r="B51" s="23"/>
      <c r="C51" s="65"/>
      <c r="D51" s="23"/>
      <c r="E51" s="23"/>
      <c r="F51" s="23"/>
      <c r="G51" s="23"/>
      <c r="H51" s="23"/>
      <c r="I51" s="23"/>
      <c r="J51" s="67"/>
    </row>
    <row r="52" spans="2:10" x14ac:dyDescent="0.25">
      <c r="B52" s="23"/>
      <c r="C52" s="65"/>
      <c r="D52" s="23"/>
      <c r="E52" s="23"/>
      <c r="F52" s="23"/>
      <c r="G52" s="23"/>
      <c r="H52" s="23"/>
      <c r="I52" s="23"/>
      <c r="J52" s="67"/>
    </row>
    <row r="53" spans="2:10" x14ac:dyDescent="0.25">
      <c r="B53" s="23"/>
      <c r="C53" s="65"/>
      <c r="D53" s="23"/>
      <c r="E53" s="23"/>
      <c r="F53" s="23"/>
      <c r="G53" s="23"/>
      <c r="H53" s="23"/>
      <c r="I53" s="23"/>
      <c r="J53" s="67"/>
    </row>
    <row r="54" spans="2:10" x14ac:dyDescent="0.25">
      <c r="B54" s="23"/>
      <c r="C54" s="65"/>
      <c r="D54" s="23"/>
      <c r="E54" s="23"/>
      <c r="F54" s="23"/>
      <c r="G54" s="23"/>
      <c r="H54" s="23"/>
      <c r="I54" s="23"/>
      <c r="J54" s="67"/>
    </row>
    <row r="55" spans="2:10" s="1" customFormat="1" ht="12.75" x14ac:dyDescent="0.2">
      <c r="B55" s="37"/>
      <c r="C55" s="38"/>
      <c r="D55" s="38"/>
      <c r="E55" s="38"/>
      <c r="F55" s="38"/>
      <c r="G55" s="38"/>
      <c r="H55" s="38"/>
      <c r="I55" s="38"/>
      <c r="J55" s="38"/>
    </row>
    <row r="56" spans="2:10" s="1" customFormat="1" ht="12.75" x14ac:dyDescent="0.2">
      <c r="B56" s="37"/>
      <c r="C56" s="38"/>
      <c r="D56" s="38"/>
      <c r="E56" s="38"/>
      <c r="F56" s="38"/>
      <c r="G56" s="38"/>
      <c r="H56" s="38"/>
      <c r="I56" s="38"/>
      <c r="J56" s="38"/>
    </row>
    <row r="57" spans="2:10" s="1" customFormat="1" ht="12.75" x14ac:dyDescent="0.2">
      <c r="C57" s="499" t="s">
        <v>37</v>
      </c>
      <c r="D57" s="499"/>
      <c r="E57" s="499"/>
      <c r="F57" s="499"/>
      <c r="G57" s="499"/>
      <c r="H57" s="499"/>
    </row>
    <row r="58" spans="2:10" s="1" customFormat="1" ht="12.75" x14ac:dyDescent="0.2">
      <c r="C58" s="499" t="s">
        <v>38</v>
      </c>
      <c r="D58" s="499"/>
      <c r="E58" s="499"/>
      <c r="F58" s="499"/>
      <c r="G58" s="499"/>
      <c r="H58" s="499"/>
    </row>
    <row r="59" spans="2:10" s="1" customFormat="1" ht="12.75" x14ac:dyDescent="0.2">
      <c r="C59" s="499" t="s">
        <v>39</v>
      </c>
      <c r="D59" s="499"/>
      <c r="E59" s="499"/>
      <c r="F59" s="499"/>
      <c r="G59" s="499"/>
      <c r="H59" s="499"/>
    </row>
    <row r="60" spans="2:10" s="1" customFormat="1" ht="12.75" x14ac:dyDescent="0.2">
      <c r="C60" s="500" t="s">
        <v>40</v>
      </c>
      <c r="D60" s="500"/>
      <c r="E60" s="500"/>
      <c r="F60" s="500"/>
      <c r="G60" s="500"/>
      <c r="H60" s="500"/>
    </row>
    <row r="61" spans="2:10" s="1" customFormat="1" ht="12.75" x14ac:dyDescent="0.2">
      <c r="C61" s="53"/>
      <c r="D61" s="53"/>
      <c r="E61" s="53"/>
      <c r="F61" s="53"/>
      <c r="G61" s="53"/>
      <c r="H61" s="53"/>
    </row>
    <row r="62" spans="2:10" s="1" customFormat="1" ht="15.75" x14ac:dyDescent="0.2">
      <c r="B62" s="501" t="s">
        <v>65</v>
      </c>
      <c r="C62" s="502"/>
      <c r="D62" s="502"/>
      <c r="E62" s="502"/>
      <c r="F62" s="502"/>
      <c r="G62" s="502"/>
      <c r="H62" s="502"/>
      <c r="I62" s="502"/>
      <c r="J62" s="503"/>
    </row>
    <row r="63" spans="2:10" s="1" customFormat="1" ht="20.25" x14ac:dyDescent="0.2">
      <c r="B63" s="543" t="s">
        <v>179</v>
      </c>
      <c r="C63" s="544"/>
      <c r="D63" s="544"/>
      <c r="E63" s="544"/>
      <c r="F63" s="544"/>
      <c r="G63" s="544"/>
      <c r="H63" s="544"/>
      <c r="I63" s="544"/>
      <c r="J63" s="545"/>
    </row>
    <row r="64" spans="2:10" s="1" customFormat="1" ht="13.5" thickBot="1" x14ac:dyDescent="0.25">
      <c r="B64" s="54"/>
      <c r="C64" s="54"/>
      <c r="D64" s="54"/>
      <c r="E64" s="54"/>
      <c r="F64" s="54"/>
      <c r="G64" s="54"/>
      <c r="H64" s="54"/>
      <c r="I64" s="54"/>
      <c r="J64" s="54"/>
    </row>
    <row r="65" spans="2:10" s="1" customFormat="1" ht="24.75" customHeight="1" x14ac:dyDescent="0.2">
      <c r="B65" s="494" t="s">
        <v>27</v>
      </c>
      <c r="C65" s="495"/>
      <c r="D65" s="495"/>
      <c r="E65" s="495"/>
      <c r="F65" s="495"/>
      <c r="G65" s="495"/>
      <c r="H65" s="495"/>
      <c r="I65" s="495"/>
      <c r="J65" s="496"/>
    </row>
    <row r="66" spans="2:10" s="1" customFormat="1" ht="12.75" x14ac:dyDescent="0.2">
      <c r="B66" s="2" t="s">
        <v>35</v>
      </c>
      <c r="C66" s="3" t="s">
        <v>36</v>
      </c>
      <c r="D66" s="3"/>
      <c r="E66" s="4"/>
      <c r="F66" s="5"/>
      <c r="G66" s="6" t="s">
        <v>8</v>
      </c>
      <c r="H66" s="497">
        <v>42879</v>
      </c>
      <c r="I66" s="497"/>
      <c r="J66" s="7"/>
    </row>
    <row r="67" spans="2:10" s="1" customFormat="1" ht="12.75" x14ac:dyDescent="0.2">
      <c r="B67" s="2" t="s">
        <v>33</v>
      </c>
      <c r="C67" s="3" t="s">
        <v>29</v>
      </c>
      <c r="D67" s="8"/>
      <c r="E67" s="8"/>
      <c r="F67" s="3"/>
      <c r="G67" s="9" t="s">
        <v>32</v>
      </c>
      <c r="H67" s="4" t="s">
        <v>29</v>
      </c>
      <c r="I67" s="10"/>
      <c r="J67" s="11"/>
    </row>
    <row r="68" spans="2:10" s="1" customFormat="1" ht="12.75" x14ac:dyDescent="0.2">
      <c r="B68" s="2" t="s">
        <v>34</v>
      </c>
      <c r="C68" s="3" t="s">
        <v>29</v>
      </c>
      <c r="D68" s="8"/>
      <c r="E68" s="8"/>
      <c r="F68" s="3"/>
      <c r="G68" s="9" t="s">
        <v>30</v>
      </c>
      <c r="H68" s="4" t="s">
        <v>31</v>
      </c>
      <c r="I68" s="10"/>
      <c r="J68" s="11"/>
    </row>
    <row r="69" spans="2:10" s="1" customFormat="1" ht="13.5" thickBot="1" x14ac:dyDescent="0.25">
      <c r="B69" s="12" t="s">
        <v>43</v>
      </c>
      <c r="C69" s="13" t="s">
        <v>44</v>
      </c>
      <c r="D69" s="14"/>
      <c r="E69" s="14"/>
      <c r="F69" s="13"/>
      <c r="G69" s="15" t="s">
        <v>41</v>
      </c>
      <c r="H69" s="16" t="s">
        <v>42</v>
      </c>
      <c r="I69" s="17"/>
      <c r="J69" s="18"/>
    </row>
    <row r="70" spans="2:10" s="1" customFormat="1" ht="12.75" x14ac:dyDescent="0.2">
      <c r="B70" s="54"/>
      <c r="C70" s="54"/>
      <c r="D70" s="54"/>
      <c r="E70" s="54"/>
      <c r="F70" s="54"/>
      <c r="G70" s="54"/>
      <c r="H70" s="54"/>
      <c r="I70" s="54"/>
      <c r="J70" s="54"/>
    </row>
    <row r="71" spans="2:10" s="1" customFormat="1" ht="12.75" x14ac:dyDescent="0.2">
      <c r="B71" s="21" t="s">
        <v>5</v>
      </c>
      <c r="C71" s="22" t="s">
        <v>0</v>
      </c>
      <c r="D71" s="22" t="s">
        <v>9</v>
      </c>
      <c r="E71" s="22" t="s">
        <v>10</v>
      </c>
      <c r="F71" s="22" t="s">
        <v>1</v>
      </c>
      <c r="G71" s="22" t="s">
        <v>2</v>
      </c>
      <c r="H71" s="22" t="s">
        <v>11</v>
      </c>
      <c r="I71" s="22" t="s">
        <v>6</v>
      </c>
      <c r="J71" s="22" t="s">
        <v>7</v>
      </c>
    </row>
    <row r="72" spans="2:10" s="1" customFormat="1" ht="12.75" x14ac:dyDescent="0.2">
      <c r="B72" s="55">
        <v>4.03</v>
      </c>
      <c r="C72" s="56" t="s">
        <v>222</v>
      </c>
      <c r="D72" s="60"/>
      <c r="E72" s="40"/>
      <c r="F72" s="40"/>
      <c r="G72" s="40"/>
      <c r="H72" s="40"/>
      <c r="I72" s="40"/>
      <c r="J72" s="41"/>
    </row>
    <row r="73" spans="2:10" s="1" customFormat="1" ht="12.75" x14ac:dyDescent="0.2">
      <c r="B73" s="57" t="s">
        <v>14</v>
      </c>
      <c r="C73" s="58" t="s">
        <v>225</v>
      </c>
      <c r="D73" s="60"/>
      <c r="E73" s="40"/>
      <c r="F73" s="40"/>
      <c r="G73" s="40"/>
      <c r="H73" s="40"/>
      <c r="I73" s="40"/>
      <c r="J73" s="41"/>
    </row>
    <row r="74" spans="2:10" s="1" customFormat="1" ht="12.75" x14ac:dyDescent="0.2">
      <c r="B74" s="43" t="s">
        <v>15</v>
      </c>
      <c r="C74" s="43" t="s">
        <v>359</v>
      </c>
      <c r="D74" s="60"/>
      <c r="E74" s="40"/>
      <c r="F74" s="40"/>
      <c r="G74" s="40"/>
      <c r="H74" s="40"/>
      <c r="I74" s="44">
        <f>SUM(H75:H75)</f>
        <v>5.6999999999999993</v>
      </c>
      <c r="J74" s="45" t="str">
        <f>+J75</f>
        <v>ml</v>
      </c>
    </row>
    <row r="75" spans="2:10" s="1" customFormat="1" ht="12.75" x14ac:dyDescent="0.2">
      <c r="B75" s="43"/>
      <c r="C75" s="39" t="s">
        <v>368</v>
      </c>
      <c r="D75" s="40">
        <v>3</v>
      </c>
      <c r="E75" s="40">
        <v>1.9</v>
      </c>
      <c r="F75" s="40"/>
      <c r="G75" s="40"/>
      <c r="H75" s="40">
        <f>IF(AND(F75=0,G75=0),D75*E75,IF(AND(E75=0,G75=0),D75*F75,IF(AND(E75=0,F75=0),D75*G75,IF(AND(E75=0),D75*F75*G75,IF(AND(F75=0),D75*E75*G75,IF(AND(G75=0),D75*E75*F75,D75*E75*F75*G75))))))</f>
        <v>5.6999999999999993</v>
      </c>
      <c r="I75" s="40"/>
      <c r="J75" s="41" t="str">
        <f>IF(AND(E75=0,F75&lt;&gt;0,G75&lt;&gt;0),"m2",IF(AND(F75=0,E75&lt;&gt;0,G75&lt;&gt;0),"m2",IF(AND(G75=0,E75&lt;&gt;0,F75&lt;&gt;0),"m2",IF(AND(F75=0,G75=0),"ml",IF(AND(E75=0,G75=0),"ml",IF(AND(E75=0,F75=0),"ml",IF(AND(E75&lt;&gt;0,F75&lt;&gt;0,G75&lt;&gt;0),"m3",0)))))))</f>
        <v>ml</v>
      </c>
    </row>
    <row r="76" spans="2:10" s="1" customFormat="1" ht="12.75" x14ac:dyDescent="0.2">
      <c r="B76" s="43"/>
      <c r="C76" s="39"/>
      <c r="D76" s="60"/>
      <c r="E76" s="40"/>
      <c r="F76" s="40"/>
      <c r="G76" s="40"/>
      <c r="H76" s="40"/>
      <c r="I76" s="40"/>
      <c r="J76" s="41"/>
    </row>
    <row r="77" spans="2:10" s="1" customFormat="1" ht="12.75" x14ac:dyDescent="0.2">
      <c r="B77" s="43" t="s">
        <v>232</v>
      </c>
      <c r="C77" s="43" t="s">
        <v>235</v>
      </c>
      <c r="D77" s="60"/>
      <c r="E77" s="40"/>
      <c r="F77" s="40"/>
      <c r="G77" s="40"/>
      <c r="H77" s="40"/>
      <c r="I77" s="44">
        <f>SUM(H78:H78)</f>
        <v>27.5</v>
      </c>
      <c r="J77" s="45" t="str">
        <f>+J78</f>
        <v>ml</v>
      </c>
    </row>
    <row r="78" spans="2:10" s="1" customFormat="1" ht="12.75" x14ac:dyDescent="0.2">
      <c r="B78" s="57"/>
      <c r="C78" s="39" t="s">
        <v>231</v>
      </c>
      <c r="D78" s="40">
        <v>1</v>
      </c>
      <c r="E78" s="40">
        <v>27.5</v>
      </c>
      <c r="F78" s="40"/>
      <c r="G78" s="40"/>
      <c r="H78" s="40">
        <f>IF(AND(F78=0,G78=0),D78*E78,IF(AND(E78=0,G78=0),D78*F78,IF(AND(E78=0,F78=0),D78*G78,IF(AND(E78=0),D78*F78*G78,IF(AND(F78=0),D78*E78*G78,IF(AND(G78=0),D78*E78*F78,D78*E78*F78*G78))))))</f>
        <v>27.5</v>
      </c>
      <c r="I78" s="40"/>
      <c r="J78" s="41" t="str">
        <f>IF(AND(E78=0,F78&lt;&gt;0,G78&lt;&gt;0),"m2",IF(AND(F78=0,E78&lt;&gt;0,G78&lt;&gt;0),"m2",IF(AND(G78=0,E78&lt;&gt;0,F78&lt;&gt;0),"m2",IF(AND(F78=0,G78=0),"ml",IF(AND(E78=0,G78=0),"ml",IF(AND(E78=0,F78=0),"ml",IF(AND(E78&lt;&gt;0,F78&lt;&gt;0,G78&lt;&gt;0),"m3",0)))))))</f>
        <v>ml</v>
      </c>
    </row>
    <row r="79" spans="2:10" s="1" customFormat="1" ht="12.75" x14ac:dyDescent="0.2">
      <c r="B79" s="43" t="s">
        <v>233</v>
      </c>
      <c r="C79" s="43" t="s">
        <v>236</v>
      </c>
      <c r="D79" s="60"/>
      <c r="E79" s="40"/>
      <c r="F79" s="40"/>
      <c r="G79" s="40"/>
      <c r="H79" s="40"/>
      <c r="I79" s="44">
        <f>SUM(H80:H80)</f>
        <v>0</v>
      </c>
      <c r="J79" s="45" t="str">
        <f>+J80</f>
        <v>ml</v>
      </c>
    </row>
    <row r="80" spans="2:10" s="1" customFormat="1" ht="12.75" x14ac:dyDescent="0.2">
      <c r="B80" s="57"/>
      <c r="C80" s="39" t="s">
        <v>231</v>
      </c>
      <c r="D80" s="40"/>
      <c r="E80" s="40"/>
      <c r="F80" s="40"/>
      <c r="G80" s="40"/>
      <c r="H80" s="40">
        <f>IF(AND(F80=0,G80=0),D80*E80,IF(AND(E80=0,G80=0),D80*F80,IF(AND(E80=0,F80=0),D80*G80,IF(AND(E80=0),D80*F80*G80,IF(AND(F80=0),D80*E80*G80,IF(AND(G80=0),D80*E80*F80,D80*E80*F80*G80))))))</f>
        <v>0</v>
      </c>
      <c r="I80" s="40"/>
      <c r="J80" s="41" t="str">
        <f>IF(AND(E80=0,F80&lt;&gt;0,G80&lt;&gt;0),"m2",IF(AND(F80=0,E80&lt;&gt;0,G80&lt;&gt;0),"m2",IF(AND(G80=0,E80&lt;&gt;0,F80&lt;&gt;0),"m2",IF(AND(F80=0,G80=0),"ml",IF(AND(E80=0,G80=0),"ml",IF(AND(E80=0,F80=0),"ml",IF(AND(E80&lt;&gt;0,F80&lt;&gt;0,G80&lt;&gt;0),"m3",0)))))))</f>
        <v>ml</v>
      </c>
    </row>
    <row r="81" spans="2:10" s="1" customFormat="1" ht="12.75" x14ac:dyDescent="0.2">
      <c r="B81" s="43" t="s">
        <v>234</v>
      </c>
      <c r="C81" s="43" t="s">
        <v>267</v>
      </c>
      <c r="D81" s="60"/>
      <c r="E81" s="40"/>
      <c r="F81" s="40"/>
      <c r="G81" s="40"/>
      <c r="H81" s="40"/>
      <c r="I81" s="44">
        <f>SUM(H83:H84)</f>
        <v>0</v>
      </c>
      <c r="J81" s="45" t="str">
        <f>+J83</f>
        <v>ml</v>
      </c>
    </row>
    <row r="82" spans="2:10" s="1" customFormat="1" ht="12.75" x14ac:dyDescent="0.2">
      <c r="B82" s="43"/>
      <c r="C82" s="39" t="s">
        <v>71</v>
      </c>
      <c r="D82" s="60"/>
      <c r="E82" s="40"/>
      <c r="F82" s="40"/>
      <c r="G82" s="40"/>
      <c r="H82" s="40"/>
      <c r="I82" s="44"/>
      <c r="J82" s="45"/>
    </row>
    <row r="83" spans="2:10" s="1" customFormat="1" ht="12.75" x14ac:dyDescent="0.2">
      <c r="B83" s="43"/>
      <c r="C83" s="39" t="s">
        <v>349</v>
      </c>
      <c r="D83" s="40"/>
      <c r="E83" s="40"/>
      <c r="F83" s="40"/>
      <c r="G83" s="40"/>
      <c r="H83" s="40">
        <f>IF(AND(F83=0,G83=0),D83*E83,IF(AND(E83=0,G83=0),D83*F83,IF(AND(E83=0,F83=0),D83*G83,IF(AND(E83=0),D83*F83*G83,IF(AND(F83=0),D83*E83*G83,IF(AND(G83=0),D83*E83*F83,D83*E83*F83*G83))))))</f>
        <v>0</v>
      </c>
      <c r="I83" s="40"/>
      <c r="J83" s="41" t="str">
        <f>IF(AND(E83=0,F83&lt;&gt;0,G83&lt;&gt;0),"m2",IF(AND(F83=0,E83&lt;&gt;0,G83&lt;&gt;0),"m2",IF(AND(G83=0,E83&lt;&gt;0,F83&lt;&gt;0),"m2",IF(AND(F83=0,G83=0),"ml",IF(AND(E83=0,G83=0),"ml",IF(AND(E83=0,F83=0),"ml",IF(AND(E83&lt;&gt;0,F83&lt;&gt;0,G83&lt;&gt;0),"m3",0)))))))</f>
        <v>ml</v>
      </c>
    </row>
    <row r="84" spans="2:10" s="1" customFormat="1" ht="12.75" x14ac:dyDescent="0.2">
      <c r="B84" s="43"/>
      <c r="C84" s="39" t="s">
        <v>369</v>
      </c>
      <c r="D84" s="40"/>
      <c r="E84" s="40"/>
      <c r="F84" s="40"/>
      <c r="G84" s="40"/>
      <c r="H84" s="40">
        <f>IF(AND(F84=0,G84=0),D84*E84,IF(AND(E84=0,G84=0),D84*F84,IF(AND(E84=0,F84=0),D84*G84,IF(AND(E84=0),D84*F84*G84,IF(AND(F84=0),D84*E84*G84,IF(AND(G84=0),D84*E84*F84,D84*E84*F84*G84))))))</f>
        <v>0</v>
      </c>
      <c r="I84" s="40"/>
      <c r="J84" s="41" t="str">
        <f>IF(AND(E84=0,F84&lt;&gt;0,G84&lt;&gt;0),"m2",IF(AND(F84=0,E84&lt;&gt;0,G84&lt;&gt;0),"m2",IF(AND(G84=0,E84&lt;&gt;0,F84&lt;&gt;0),"m2",IF(AND(F84=0,G84=0),"ml",IF(AND(E84=0,G84=0),"ml",IF(AND(E84=0,F84=0),"ml",IF(AND(E84&lt;&gt;0,F84&lt;&gt;0,G84&lt;&gt;0),"m3",0)))))))</f>
        <v>ml</v>
      </c>
    </row>
    <row r="85" spans="2:10" s="1" customFormat="1" ht="12.75" x14ac:dyDescent="0.2">
      <c r="B85" s="43" t="s">
        <v>268</v>
      </c>
      <c r="C85" s="43" t="s">
        <v>347</v>
      </c>
      <c r="D85" s="60"/>
      <c r="E85" s="40"/>
      <c r="F85" s="40"/>
      <c r="G85" s="40"/>
      <c r="H85" s="40"/>
      <c r="I85" s="44">
        <f>SUM(H86:H90)</f>
        <v>33.75</v>
      </c>
      <c r="J85" s="45" t="str">
        <f>+J86</f>
        <v>ml</v>
      </c>
    </row>
    <row r="86" spans="2:10" s="1" customFormat="1" ht="12.75" x14ac:dyDescent="0.2">
      <c r="B86" s="57"/>
      <c r="C86" s="39" t="s">
        <v>71</v>
      </c>
      <c r="D86" s="40"/>
      <c r="E86" s="40"/>
      <c r="F86" s="40"/>
      <c r="G86" s="40"/>
      <c r="H86" s="40">
        <f>IF(AND(F86=0,G86=0),D86*E86,IF(AND(E86=0,G86=0),D86*F86,IF(AND(E86=0,F86=0),D86*G86,IF(AND(E86=0),D86*F86*G86,IF(AND(F86=0),D86*E86*G86,IF(AND(G86=0),D86*E86*F86,D86*E86*F86*G86))))))</f>
        <v>0</v>
      </c>
      <c r="I86" s="40"/>
      <c r="J86" s="41" t="str">
        <f>IF(AND(E86=0,F86&lt;&gt;0,G86&lt;&gt;0),"m2",IF(AND(F86=0,E86&lt;&gt;0,G86&lt;&gt;0),"m2",IF(AND(G86=0,E86&lt;&gt;0,F86&lt;&gt;0),"m2",IF(AND(F86=0,G86=0),"ml",IF(AND(E86=0,G86=0),"ml",IF(AND(E86=0,F86=0),"ml",IF(AND(E86&lt;&gt;0,F86&lt;&gt;0,G86&lt;&gt;0),"m3",0)))))))</f>
        <v>ml</v>
      </c>
    </row>
    <row r="87" spans="2:10" s="1" customFormat="1" ht="12.75" x14ac:dyDescent="0.2">
      <c r="B87" s="57"/>
      <c r="C87" s="39" t="s">
        <v>349</v>
      </c>
      <c r="D87" s="40">
        <v>3</v>
      </c>
      <c r="E87" s="40">
        <v>3.25</v>
      </c>
      <c r="F87" s="40"/>
      <c r="G87" s="40"/>
      <c r="H87" s="40">
        <f>IF(AND(F87=0,G87=0),D87*E87,IF(AND(E87=0,G87=0),D87*F87,IF(AND(E87=0,F87=0),D87*G87,IF(AND(E87=0),D87*F87*G87,IF(AND(F87=0),D87*E87*G87,IF(AND(G87=0),D87*E87*F87,D87*E87*F87*G87))))))</f>
        <v>9.75</v>
      </c>
      <c r="I87" s="40"/>
      <c r="J87" s="41" t="str">
        <f>IF(AND(E87=0,F87&lt;&gt;0,G87&lt;&gt;0),"m2",IF(AND(F87=0,E87&lt;&gt;0,G87&lt;&gt;0),"m2",IF(AND(G87=0,E87&lt;&gt;0,F87&lt;&gt;0),"m2",IF(AND(F87=0,G87=0),"ml",IF(AND(E87=0,G87=0),"ml",IF(AND(E87=0,F87=0),"ml",IF(AND(E87&lt;&gt;0,F87&lt;&gt;0,G87&lt;&gt;0),"m3",0)))))))</f>
        <v>ml</v>
      </c>
    </row>
    <row r="88" spans="2:10" s="1" customFormat="1" ht="12.75" x14ac:dyDescent="0.2">
      <c r="B88" s="57"/>
      <c r="C88" s="39" t="s">
        <v>369</v>
      </c>
      <c r="D88" s="40">
        <v>3</v>
      </c>
      <c r="E88" s="40">
        <v>8</v>
      </c>
      <c r="F88" s="40"/>
      <c r="G88" s="40"/>
      <c r="H88" s="40">
        <f>IF(AND(F88=0,G88=0),D88*E88,IF(AND(E88=0,G88=0),D88*F88,IF(AND(E88=0,F88=0),D88*G88,IF(AND(E88=0),D88*F88*G88,IF(AND(F88=0),D88*E88*G88,IF(AND(G88=0),D88*E88*F88,D88*E88*F88*G88))))))</f>
        <v>24</v>
      </c>
      <c r="I88" s="40"/>
      <c r="J88" s="41" t="str">
        <f>IF(AND(E88=0,F88&lt;&gt;0,G88&lt;&gt;0),"m2",IF(AND(F88=0,E88&lt;&gt;0,G88&lt;&gt;0),"m2",IF(AND(G88=0,E88&lt;&gt;0,F88&lt;&gt;0),"m2",IF(AND(F88=0,G88=0),"ml",IF(AND(E88=0,G88=0),"ml",IF(AND(E88=0,F88=0),"ml",IF(AND(E88&lt;&gt;0,F88&lt;&gt;0,G88&lt;&gt;0),"m3",0)))))))</f>
        <v>ml</v>
      </c>
    </row>
    <row r="89" spans="2:10" s="1" customFormat="1" ht="12.75" x14ac:dyDescent="0.2">
      <c r="B89" s="57"/>
      <c r="C89" s="39" t="s">
        <v>72</v>
      </c>
      <c r="D89" s="40"/>
      <c r="E89" s="40"/>
      <c r="F89" s="40"/>
      <c r="G89" s="40"/>
      <c r="H89" s="40">
        <f>IF(AND(F89=0,G89=0),D89*E89,IF(AND(E89=0,G89=0),D89*F89,IF(AND(E89=0,F89=0),D89*G89,IF(AND(E89=0),D89*F89*G89,IF(AND(F89=0),D89*E89*G89,IF(AND(G89=0),D89*E89*F89,D89*E89*F89*G89))))))</f>
        <v>0</v>
      </c>
      <c r="I89" s="40"/>
      <c r="J89" s="41" t="str">
        <f>IF(AND(E89=0,F89&lt;&gt;0,G89&lt;&gt;0),"m2",IF(AND(F89=0,E89&lt;&gt;0,G89&lt;&gt;0),"m2",IF(AND(G89=0,E89&lt;&gt;0,F89&lt;&gt;0),"m2",IF(AND(F89=0,G89=0),"ml",IF(AND(E89=0,G89=0),"ml",IF(AND(E89=0,F89=0),"ml",IF(AND(E89&lt;&gt;0,F89&lt;&gt;0,G89&lt;&gt;0),"m3",0)))))))</f>
        <v>ml</v>
      </c>
    </row>
    <row r="90" spans="2:10" s="1" customFormat="1" ht="12.75" x14ac:dyDescent="0.2">
      <c r="B90" s="57"/>
      <c r="C90" s="39" t="s">
        <v>73</v>
      </c>
      <c r="D90" s="40"/>
      <c r="E90" s="40"/>
      <c r="F90" s="40"/>
      <c r="G90" s="40"/>
      <c r="H90" s="40">
        <f>IF(AND(F90=0,G90=0),D90*E90,IF(AND(E90=0,G90=0),D90*F90,IF(AND(E90=0,F90=0),D90*G90,IF(AND(E90=0),D90*F90*G90,IF(AND(F90=0),D90*E90*G90,IF(AND(G90=0),D90*E90*F90,D90*E90*F90*G90))))))</f>
        <v>0</v>
      </c>
      <c r="I90" s="40"/>
      <c r="J90" s="41" t="str">
        <f>IF(AND(E90=0,F90&lt;&gt;0,G90&lt;&gt;0),"m2",IF(AND(F90=0,E90&lt;&gt;0,G90&lt;&gt;0),"m2",IF(AND(G90=0,E90&lt;&gt;0,F90&lt;&gt;0),"m2",IF(AND(F90=0,G90=0),"ml",IF(AND(E90=0,G90=0),"ml",IF(AND(E90=0,F90=0),"ml",IF(AND(E90&lt;&gt;0,F90&lt;&gt;0,G90&lt;&gt;0),"m3",0)))))))</f>
        <v>ml</v>
      </c>
    </row>
    <row r="91" spans="2:10" s="1" customFormat="1" ht="12.75" x14ac:dyDescent="0.2">
      <c r="B91" s="43" t="s">
        <v>270</v>
      </c>
      <c r="C91" s="43" t="s">
        <v>269</v>
      </c>
      <c r="D91" s="60"/>
      <c r="E91" s="40"/>
      <c r="F91" s="40"/>
      <c r="G91" s="40"/>
      <c r="H91" s="40"/>
      <c r="I91" s="44">
        <f>SUM(H92:H94)</f>
        <v>0</v>
      </c>
      <c r="J91" s="45" t="str">
        <f>+J92</f>
        <v>ml</v>
      </c>
    </row>
    <row r="92" spans="2:10" s="1" customFormat="1" ht="12.75" x14ac:dyDescent="0.2">
      <c r="B92" s="57"/>
      <c r="C92" s="39" t="s">
        <v>71</v>
      </c>
      <c r="D92" s="40"/>
      <c r="E92" s="40"/>
      <c r="F92" s="40"/>
      <c r="G92" s="40"/>
      <c r="H92" s="40">
        <f>IF(AND(F92=0,G92=0),D92*E92,IF(AND(E92=0,G92=0),D92*F92,IF(AND(E92=0,F92=0),D92*G92,IF(AND(E92=0),D92*F92*G92,IF(AND(F92=0),D92*E92*G92,IF(AND(G92=0),D92*E92*F92,D92*E92*F92*G92))))))</f>
        <v>0</v>
      </c>
      <c r="I92" s="40"/>
      <c r="J92" s="41" t="str">
        <f>IF(AND(E92=0,F92&lt;&gt;0,G92&lt;&gt;0),"m2",IF(AND(F92=0,E92&lt;&gt;0,G92&lt;&gt;0),"m2",IF(AND(G92=0,E92&lt;&gt;0,F92&lt;&gt;0),"m2",IF(AND(F92=0,G92=0),"ml",IF(AND(E92=0,G92=0),"ml",IF(AND(E92=0,F92=0),"ml",IF(AND(E92&lt;&gt;0,F92&lt;&gt;0,G92&lt;&gt;0),"m3",0)))))))</f>
        <v>ml</v>
      </c>
    </row>
    <row r="93" spans="2:10" s="1" customFormat="1" ht="12.75" x14ac:dyDescent="0.2">
      <c r="B93" s="57"/>
      <c r="C93" s="39" t="s">
        <v>72</v>
      </c>
      <c r="D93" s="40"/>
      <c r="E93" s="40"/>
      <c r="F93" s="40"/>
      <c r="G93" s="40"/>
      <c r="H93" s="40">
        <f>IF(AND(F93=0,G93=0),D93*E93,IF(AND(E93=0,G93=0),D93*F93,IF(AND(E93=0,F93=0),D93*G93,IF(AND(E93=0),D93*F93*G93,IF(AND(F93=0),D93*E93*G93,IF(AND(G93=0),D93*E93*F93,D93*E93*F93*G93))))))</f>
        <v>0</v>
      </c>
      <c r="I93" s="40"/>
      <c r="J93" s="41" t="str">
        <f>IF(AND(E93=0,F93&lt;&gt;0,G93&lt;&gt;0),"m2",IF(AND(F93=0,E93&lt;&gt;0,G93&lt;&gt;0),"m2",IF(AND(G93=0,E93&lt;&gt;0,F93&lt;&gt;0),"m2",IF(AND(F93=0,G93=0),"ml",IF(AND(E93=0,G93=0),"ml",IF(AND(E93=0,F93=0),"ml",IF(AND(E93&lt;&gt;0,F93&lt;&gt;0,G93&lt;&gt;0),"m3",0)))))))</f>
        <v>ml</v>
      </c>
    </row>
    <row r="94" spans="2:10" s="1" customFormat="1" ht="12.75" x14ac:dyDescent="0.2">
      <c r="B94" s="57"/>
      <c r="C94" s="39" t="s">
        <v>73</v>
      </c>
      <c r="D94" s="40"/>
      <c r="E94" s="40"/>
      <c r="F94" s="40"/>
      <c r="G94" s="40"/>
      <c r="H94" s="40">
        <f>IF(AND(F94=0,G94=0),D94*E94,IF(AND(E94=0,G94=0),D94*F94,IF(AND(E94=0,F94=0),D94*G94,IF(AND(E94=0),D94*F94*G94,IF(AND(F94=0),D94*E94*G94,IF(AND(G94=0),D94*E94*F94,D94*E94*F94*G94))))))</f>
        <v>0</v>
      </c>
      <c r="I94" s="40"/>
      <c r="J94" s="41" t="str">
        <f>IF(AND(E94=0,F94&lt;&gt;0,G94&lt;&gt;0),"m2",IF(AND(F94=0,E94&lt;&gt;0,G94&lt;&gt;0),"m2",IF(AND(G94=0,E94&lt;&gt;0,F94&lt;&gt;0),"m2",IF(AND(F94=0,G94=0),"ml",IF(AND(E94=0,G94=0),"ml",IF(AND(E94=0,F94=0),"ml",IF(AND(E94&lt;&gt;0,F94&lt;&gt;0,G94&lt;&gt;0),"m3",0)))))))</f>
        <v>ml</v>
      </c>
    </row>
    <row r="95" spans="2:10" s="1" customFormat="1" ht="12.75" x14ac:dyDescent="0.2">
      <c r="B95" s="43" t="s">
        <v>342</v>
      </c>
      <c r="C95" s="43" t="s">
        <v>271</v>
      </c>
      <c r="D95" s="60"/>
      <c r="E95" s="40"/>
      <c r="F95" s="40"/>
      <c r="G95" s="40"/>
      <c r="H95" s="40"/>
      <c r="I95" s="44">
        <f>SUM(H96:H96)</f>
        <v>0</v>
      </c>
      <c r="J95" s="45" t="str">
        <f>+J96</f>
        <v>und</v>
      </c>
    </row>
    <row r="96" spans="2:10" s="1" customFormat="1" ht="12.75" x14ac:dyDescent="0.2">
      <c r="B96" s="57"/>
      <c r="C96" s="39" t="s">
        <v>370</v>
      </c>
      <c r="D96" s="40"/>
      <c r="E96" s="40"/>
      <c r="F96" s="40"/>
      <c r="G96" s="40"/>
      <c r="H96" s="40">
        <f>+D96</f>
        <v>0</v>
      </c>
      <c r="I96" s="40"/>
      <c r="J96" s="41" t="s">
        <v>13</v>
      </c>
    </row>
    <row r="97" spans="2:10" s="1" customFormat="1" ht="12.75" x14ac:dyDescent="0.2">
      <c r="B97" s="43" t="s">
        <v>346</v>
      </c>
      <c r="C97" s="43" t="s">
        <v>348</v>
      </c>
      <c r="D97" s="60"/>
      <c r="E97" s="40"/>
      <c r="F97" s="40"/>
      <c r="G97" s="40"/>
      <c r="H97" s="40"/>
      <c r="I97" s="44">
        <f>SUM(H98:H98)</f>
        <v>3</v>
      </c>
      <c r="J97" s="45" t="str">
        <f>+J98</f>
        <v>und</v>
      </c>
    </row>
    <row r="98" spans="2:10" s="1" customFormat="1" ht="12.75" x14ac:dyDescent="0.2">
      <c r="B98" s="57"/>
      <c r="C98" s="39" t="s">
        <v>349</v>
      </c>
      <c r="D98" s="40">
        <v>3</v>
      </c>
      <c r="E98" s="40"/>
      <c r="F98" s="40"/>
      <c r="G98" s="40"/>
      <c r="H98" s="40">
        <f>+D98</f>
        <v>3</v>
      </c>
      <c r="I98" s="40"/>
      <c r="J98" s="41" t="s">
        <v>13</v>
      </c>
    </row>
    <row r="99" spans="2:10" s="1" customFormat="1" ht="12.75" x14ac:dyDescent="0.2">
      <c r="B99" s="57" t="s">
        <v>16</v>
      </c>
      <c r="C99" s="58" t="s">
        <v>224</v>
      </c>
      <c r="D99" s="60"/>
      <c r="E99" s="40"/>
      <c r="F99" s="40"/>
      <c r="G99" s="40"/>
      <c r="H99" s="40"/>
      <c r="I99" s="40"/>
      <c r="J99" s="41"/>
    </row>
    <row r="100" spans="2:10" s="1" customFormat="1" ht="12.75" x14ac:dyDescent="0.2">
      <c r="B100" s="43" t="s">
        <v>17</v>
      </c>
      <c r="C100" s="43" t="s">
        <v>343</v>
      </c>
      <c r="D100" s="60"/>
      <c r="E100" s="40"/>
      <c r="F100" s="40"/>
      <c r="G100" s="40"/>
      <c r="H100" s="40"/>
      <c r="I100" s="44">
        <f>SUM(H101:H101)</f>
        <v>0</v>
      </c>
      <c r="J100" s="45" t="str">
        <f>+J101</f>
        <v>ml</v>
      </c>
    </row>
    <row r="101" spans="2:10" s="1" customFormat="1" ht="12.75" x14ac:dyDescent="0.2">
      <c r="B101" s="57"/>
      <c r="C101" s="39" t="s">
        <v>344</v>
      </c>
      <c r="D101" s="40"/>
      <c r="E101" s="40"/>
      <c r="F101" s="40"/>
      <c r="G101" s="40"/>
      <c r="H101" s="40">
        <f>IF(AND(F101=0,G101=0),D101*E101,IF(AND(E101=0,G101=0),D101*F101,IF(AND(E101=0,F101=0),D101*G101,IF(AND(E101=0),D101*F101*G101,IF(AND(F101=0),D101*E101*G101,IF(AND(G101=0),D101*E101*F101,D101*E101*F101*G101))))))</f>
        <v>0</v>
      </c>
      <c r="I101" s="40"/>
      <c r="J101" s="41" t="str">
        <f>IF(AND(E101=0,F101&lt;&gt;0,G101&lt;&gt;0),"m2",IF(AND(F101=0,E101&lt;&gt;0,G101&lt;&gt;0),"m2",IF(AND(G101=0,E101&lt;&gt;0,F101&lt;&gt;0),"m2",IF(AND(F101=0,G101=0),"ml",IF(AND(E101=0,G101=0),"ml",IF(AND(E101=0,F101=0),"ml",IF(AND(E101&lt;&gt;0,F101&lt;&gt;0,G101&lt;&gt;0),"m3",0)))))))</f>
        <v>ml</v>
      </c>
    </row>
    <row r="102" spans="2:10" s="1" customFormat="1" ht="12.75" x14ac:dyDescent="0.2">
      <c r="B102" s="43" t="s">
        <v>240</v>
      </c>
      <c r="C102" s="43" t="s">
        <v>237</v>
      </c>
      <c r="D102" s="60"/>
      <c r="E102" s="40"/>
      <c r="F102" s="40"/>
      <c r="G102" s="40"/>
      <c r="H102" s="40"/>
      <c r="I102" s="44">
        <f>SUM(H103:H104)</f>
        <v>12.9</v>
      </c>
      <c r="J102" s="45" t="str">
        <f>+J103</f>
        <v>ml</v>
      </c>
    </row>
    <row r="103" spans="2:10" s="1" customFormat="1" ht="12.75" x14ac:dyDescent="0.2">
      <c r="B103" s="57"/>
      <c r="C103" s="39" t="s">
        <v>371</v>
      </c>
      <c r="D103" s="40">
        <v>1</v>
      </c>
      <c r="E103" s="40">
        <v>8.3000000000000007</v>
      </c>
      <c r="F103" s="40"/>
      <c r="G103" s="40"/>
      <c r="H103" s="40">
        <f>IF(AND(F103=0,G103=0),D103*E103,IF(AND(E103=0,G103=0),D103*F103,IF(AND(E103=0,F103=0),D103*G103,IF(AND(E103=0),D103*F103*G103,IF(AND(F103=0),D103*E103*G103,IF(AND(G103=0),D103*E103*F103,D103*E103*F103*G103))))))</f>
        <v>8.3000000000000007</v>
      </c>
      <c r="I103" s="40"/>
      <c r="J103" s="41" t="str">
        <f>IF(AND(E103=0,F103&lt;&gt;0,G103&lt;&gt;0),"m2",IF(AND(F103=0,E103&lt;&gt;0,G103&lt;&gt;0),"m2",IF(AND(G103=0,E103&lt;&gt;0,F103&lt;&gt;0),"m2",IF(AND(F103=0,G103=0),"ml",IF(AND(E103=0,G103=0),"ml",IF(AND(E103=0,F103=0),"ml",IF(AND(E103&lt;&gt;0,F103&lt;&gt;0,G103&lt;&gt;0),"m3",0)))))))</f>
        <v>ml</v>
      </c>
    </row>
    <row r="104" spans="2:10" s="1" customFormat="1" ht="12.75" x14ac:dyDescent="0.2">
      <c r="B104" s="57"/>
      <c r="C104" s="39" t="s">
        <v>371</v>
      </c>
      <c r="D104" s="40">
        <v>1</v>
      </c>
      <c r="E104" s="40">
        <v>4.5999999999999996</v>
      </c>
      <c r="F104" s="40"/>
      <c r="G104" s="40"/>
      <c r="H104" s="40">
        <f>IF(AND(F104=0,G104=0),D104*E104,IF(AND(E104=0,G104=0),D104*F104,IF(AND(E104=0,F104=0),D104*G104,IF(AND(E104=0),D104*F104*G104,IF(AND(F104=0),D104*E104*G104,IF(AND(G104=0),D104*E104*F104,D104*E104*F104*G104))))))</f>
        <v>4.5999999999999996</v>
      </c>
      <c r="I104" s="40"/>
      <c r="J104" s="41" t="str">
        <f>IF(AND(E104=0,F104&lt;&gt;0,G104&lt;&gt;0),"m2",IF(AND(F104=0,E104&lt;&gt;0,G104&lt;&gt;0),"m2",IF(AND(G104=0,E104&lt;&gt;0,F104&lt;&gt;0),"m2",IF(AND(F104=0,G104=0),"ml",IF(AND(E104=0,G104=0),"ml",IF(AND(E104=0,F104=0),"ml",IF(AND(E104&lt;&gt;0,F104&lt;&gt;0,G104&lt;&gt;0),"m3",0)))))))</f>
        <v>ml</v>
      </c>
    </row>
    <row r="105" spans="2:10" s="1" customFormat="1" ht="12.75" x14ac:dyDescent="0.2">
      <c r="B105" s="43" t="s">
        <v>241</v>
      </c>
      <c r="C105" s="43" t="s">
        <v>239</v>
      </c>
      <c r="D105" s="60"/>
      <c r="E105" s="40"/>
      <c r="F105" s="40"/>
      <c r="G105" s="40"/>
      <c r="H105" s="40"/>
      <c r="I105" s="44">
        <f>SUM(H106:H106)</f>
        <v>0</v>
      </c>
      <c r="J105" s="45" t="str">
        <f>+J106</f>
        <v>ml</v>
      </c>
    </row>
    <row r="106" spans="2:10" s="1" customFormat="1" ht="12.75" x14ac:dyDescent="0.2">
      <c r="B106" s="57"/>
      <c r="C106" s="39" t="s">
        <v>238</v>
      </c>
      <c r="D106" s="40"/>
      <c r="E106" s="40"/>
      <c r="F106" s="40"/>
      <c r="G106" s="40"/>
      <c r="H106" s="40">
        <f>IF(AND(F106=0,G106=0),D106*E106,IF(AND(E106=0,G106=0),D106*F106,IF(AND(E106=0,F106=0),D106*G106,IF(AND(E106=0),D106*F106*G106,IF(AND(F106=0),D106*E106*G106,IF(AND(G106=0),D106*E106*F106,D106*E106*F106*G106))))))</f>
        <v>0</v>
      </c>
      <c r="I106" s="40"/>
      <c r="J106" s="41" t="str">
        <f>IF(AND(E106=0,F106&lt;&gt;0,G106&lt;&gt;0),"m2",IF(AND(F106=0,E106&lt;&gt;0,G106&lt;&gt;0),"m2",IF(AND(G106=0,E106&lt;&gt;0,F106&lt;&gt;0),"m2",IF(AND(F106=0,G106=0),"ml",IF(AND(E106=0,G106=0),"ml",IF(AND(E106=0,F106=0),"ml",IF(AND(E106&lt;&gt;0,F106&lt;&gt;0,G106&lt;&gt;0),"m3",0)))))))</f>
        <v>ml</v>
      </c>
    </row>
    <row r="107" spans="2:10" s="1" customFormat="1" ht="12.75" x14ac:dyDescent="0.2">
      <c r="B107" s="43" t="s">
        <v>243</v>
      </c>
      <c r="C107" s="43" t="s">
        <v>242</v>
      </c>
      <c r="D107" s="60"/>
      <c r="E107" s="40"/>
      <c r="F107" s="40"/>
      <c r="G107" s="40"/>
      <c r="H107" s="40"/>
      <c r="I107" s="44">
        <f>SUM(H108:H108)</f>
        <v>0</v>
      </c>
      <c r="J107" s="45" t="str">
        <f>+J108</f>
        <v>ml</v>
      </c>
    </row>
    <row r="108" spans="2:10" s="1" customFormat="1" ht="12.75" x14ac:dyDescent="0.2">
      <c r="B108" s="57"/>
      <c r="C108" s="39" t="s">
        <v>238</v>
      </c>
      <c r="D108" s="40"/>
      <c r="E108" s="40"/>
      <c r="F108" s="40"/>
      <c r="G108" s="40"/>
      <c r="H108" s="40">
        <f>IF(AND(F108=0,G108=0),D108*E108,IF(AND(E108=0,G108=0),D108*F108,IF(AND(E108=0,F108=0),D108*G108,IF(AND(E108=0),D108*F108*G108,IF(AND(F108=0),D108*E108*G108,IF(AND(G108=0),D108*E108*F108,D108*E108*F108*G108))))))</f>
        <v>0</v>
      </c>
      <c r="I108" s="40"/>
      <c r="J108" s="41" t="str">
        <f>IF(AND(E108=0,F108&lt;&gt;0,G108&lt;&gt;0),"m2",IF(AND(F108=0,E108&lt;&gt;0,G108&lt;&gt;0),"m2",IF(AND(G108=0,E108&lt;&gt;0,F108&lt;&gt;0),"m2",IF(AND(F108=0,G108=0),"ml",IF(AND(E108=0,G108=0),"ml",IF(AND(E108=0,F108=0),"ml",IF(AND(E108&lt;&gt;0,F108&lt;&gt;0,G108&lt;&gt;0),"m3",0)))))))</f>
        <v>ml</v>
      </c>
    </row>
    <row r="109" spans="2:10" s="1" customFormat="1" ht="12.75" x14ac:dyDescent="0.2">
      <c r="B109" s="43" t="s">
        <v>244</v>
      </c>
      <c r="C109" s="43" t="s">
        <v>245</v>
      </c>
      <c r="D109" s="60"/>
      <c r="E109" s="40"/>
      <c r="F109" s="40"/>
      <c r="G109" s="40"/>
      <c r="H109" s="40"/>
      <c r="I109" s="44">
        <f>SUM(H110:H110)</f>
        <v>0</v>
      </c>
      <c r="J109" s="45" t="str">
        <f>+J110</f>
        <v>ml</v>
      </c>
    </row>
    <row r="110" spans="2:10" s="1" customFormat="1" ht="12.75" x14ac:dyDescent="0.2">
      <c r="B110" s="57"/>
      <c r="C110" s="39" t="s">
        <v>238</v>
      </c>
      <c r="D110" s="40"/>
      <c r="E110" s="40"/>
      <c r="F110" s="40"/>
      <c r="G110" s="40"/>
      <c r="H110" s="40">
        <f>IF(AND(F110=0,G110=0),D110*E110,IF(AND(E110=0,G110=0),D110*F110,IF(AND(E110=0,F110=0),D110*G110,IF(AND(E110=0),D110*F110*G110,IF(AND(F110=0),D110*E110*G110,IF(AND(G110=0),D110*E110*F110,D110*E110*F110*G110))))))</f>
        <v>0</v>
      </c>
      <c r="I110" s="40"/>
      <c r="J110" s="41" t="str">
        <f>IF(AND(E110=0,F110&lt;&gt;0,G110&lt;&gt;0),"m2",IF(AND(F110=0,E110&lt;&gt;0,G110&lt;&gt;0),"m2",IF(AND(G110=0,E110&lt;&gt;0,F110&lt;&gt;0),"m2",IF(AND(F110=0,G110=0),"ml",IF(AND(E110=0,G110=0),"ml",IF(AND(E110=0,F110=0),"ml",IF(AND(E110&lt;&gt;0,F110&lt;&gt;0,G110&lt;&gt;0),"m3",0)))))))</f>
        <v>ml</v>
      </c>
    </row>
    <row r="111" spans="2:10" s="1" customFormat="1" ht="12.75" x14ac:dyDescent="0.2">
      <c r="B111" s="43" t="s">
        <v>248</v>
      </c>
      <c r="C111" s="43" t="s">
        <v>246</v>
      </c>
      <c r="D111" s="60"/>
      <c r="E111" s="40"/>
      <c r="F111" s="40"/>
      <c r="G111" s="40"/>
      <c r="H111" s="40"/>
      <c r="I111" s="44">
        <f>SUM(H112:H112)</f>
        <v>0</v>
      </c>
      <c r="J111" s="45" t="str">
        <f>+J112</f>
        <v>ml</v>
      </c>
    </row>
    <row r="112" spans="2:10" s="1" customFormat="1" ht="12.75" x14ac:dyDescent="0.2">
      <c r="B112" s="57"/>
      <c r="C112" s="39" t="s">
        <v>238</v>
      </c>
      <c r="D112" s="40"/>
      <c r="E112" s="40"/>
      <c r="F112" s="40"/>
      <c r="G112" s="40"/>
      <c r="H112" s="40">
        <f>IF(AND(F112=0,G112=0),D112*E112,IF(AND(E112=0,G112=0),D112*F112,IF(AND(E112=0,F112=0),D112*G112,IF(AND(E112=0),D112*F112*G112,IF(AND(F112=0),D112*E112*G112,IF(AND(G112=0),D112*E112*F112,D112*E112*F112*G112))))))</f>
        <v>0</v>
      </c>
      <c r="I112" s="40"/>
      <c r="J112" s="41" t="str">
        <f>IF(AND(E112=0,F112&lt;&gt;0,G112&lt;&gt;0),"m2",IF(AND(F112=0,E112&lt;&gt;0,G112&lt;&gt;0),"m2",IF(AND(G112=0,E112&lt;&gt;0,F112&lt;&gt;0),"m2",IF(AND(F112=0,G112=0),"ml",IF(AND(E112=0,G112=0),"ml",IF(AND(E112=0,F112=0),"ml",IF(AND(E112&lt;&gt;0,F112&lt;&gt;0,G112&lt;&gt;0),"m3",0)))))))</f>
        <v>ml</v>
      </c>
    </row>
    <row r="113" spans="2:10" s="1" customFormat="1" ht="12.75" x14ac:dyDescent="0.2">
      <c r="B113" s="43" t="s">
        <v>249</v>
      </c>
      <c r="C113" s="43" t="s">
        <v>247</v>
      </c>
      <c r="D113" s="60"/>
      <c r="E113" s="40"/>
      <c r="F113" s="40"/>
      <c r="G113" s="40"/>
      <c r="H113" s="40"/>
      <c r="I113" s="44">
        <f>SUM(H114:H114)</f>
        <v>0</v>
      </c>
      <c r="J113" s="45" t="str">
        <f>+J114</f>
        <v>ml</v>
      </c>
    </row>
    <row r="114" spans="2:10" s="1" customFormat="1" ht="12.75" x14ac:dyDescent="0.2">
      <c r="B114" s="57"/>
      <c r="C114" s="39" t="s">
        <v>238</v>
      </c>
      <c r="D114" s="40"/>
      <c r="E114" s="40"/>
      <c r="F114" s="40"/>
      <c r="G114" s="40"/>
      <c r="H114" s="40">
        <f>IF(AND(F114=0,G114=0),D114*E114,IF(AND(E114=0,G114=0),D114*F114,IF(AND(E114=0,F114=0),D114*G114,IF(AND(E114=0),D114*F114*G114,IF(AND(F114=0),D114*E114*G114,IF(AND(G114=0),D114*E114*F114,D114*E114*F114*G114))))))</f>
        <v>0</v>
      </c>
      <c r="I114" s="40"/>
      <c r="J114" s="41" t="str">
        <f>IF(AND(E114=0,F114&lt;&gt;0,G114&lt;&gt;0),"m2",IF(AND(F114=0,E114&lt;&gt;0,G114&lt;&gt;0),"m2",IF(AND(G114=0,E114&lt;&gt;0,F114&lt;&gt;0),"m2",IF(AND(F114=0,G114=0),"ml",IF(AND(E114=0,G114=0),"ml",IF(AND(E114=0,F114=0),"ml",IF(AND(E114&lt;&gt;0,F114&lt;&gt;0,G114&lt;&gt;0),"m3",0)))))))</f>
        <v>ml</v>
      </c>
    </row>
    <row r="115" spans="2:10" s="1" customFormat="1" ht="12.75" x14ac:dyDescent="0.2">
      <c r="B115" s="43" t="s">
        <v>256</v>
      </c>
      <c r="C115" s="43" t="s">
        <v>226</v>
      </c>
      <c r="D115" s="60"/>
      <c r="E115" s="40"/>
      <c r="F115" s="40"/>
      <c r="G115" s="40"/>
      <c r="H115" s="40"/>
      <c r="I115" s="44">
        <f>SUM(H116:H117)</f>
        <v>12.9</v>
      </c>
      <c r="J115" s="45" t="str">
        <f>+J117</f>
        <v>ml</v>
      </c>
    </row>
    <row r="116" spans="2:10" s="1" customFormat="1" ht="12.75" x14ac:dyDescent="0.2">
      <c r="B116" s="43"/>
      <c r="C116" s="39" t="s">
        <v>371</v>
      </c>
      <c r="D116" s="40">
        <v>1</v>
      </c>
      <c r="E116" s="40">
        <v>8.3000000000000007</v>
      </c>
      <c r="F116" s="40"/>
      <c r="G116" s="40"/>
      <c r="H116" s="40">
        <f>IF(AND(F116=0,G116=0),D116*E116,IF(AND(E116=0,G116=0),D116*F116,IF(AND(E116=0,F116=0),D116*G116,IF(AND(E116=0),D116*F116*G116,IF(AND(F116=0),D116*E116*G116,IF(AND(G116=0),D116*E116*F116,D116*E116*F116*G116))))))</f>
        <v>8.3000000000000007</v>
      </c>
      <c r="I116" s="40"/>
      <c r="J116" s="41" t="str">
        <f>IF(AND(E116=0,F116&lt;&gt;0,G116&lt;&gt;0),"m2",IF(AND(F116=0,E116&lt;&gt;0,G116&lt;&gt;0),"m2",IF(AND(G116=0,E116&lt;&gt;0,F116&lt;&gt;0),"m2",IF(AND(F116=0,G116=0),"ml",IF(AND(E116=0,G116=0),"ml",IF(AND(E116=0,F116=0),"ml",IF(AND(E116&lt;&gt;0,F116&lt;&gt;0,G116&lt;&gt;0),"m3",0)))))))</f>
        <v>ml</v>
      </c>
    </row>
    <row r="117" spans="2:10" s="1" customFormat="1" ht="12.75" x14ac:dyDescent="0.2">
      <c r="B117" s="57"/>
      <c r="C117" s="39" t="s">
        <v>371</v>
      </c>
      <c r="D117" s="40">
        <v>1</v>
      </c>
      <c r="E117" s="40">
        <v>4.5999999999999996</v>
      </c>
      <c r="F117" s="40"/>
      <c r="G117" s="40"/>
      <c r="H117" s="40">
        <f>IF(AND(F117=0,G117=0),D117*E117,IF(AND(E117=0,G117=0),D117*F117,IF(AND(E117=0,F117=0),D117*G117,IF(AND(E117=0),D117*F117*G117,IF(AND(F117=0),D117*E117*G117,IF(AND(G117=0),D117*E117*F117,D117*E117*F117*G117))))))</f>
        <v>4.5999999999999996</v>
      </c>
      <c r="I117" s="40"/>
      <c r="J117" s="41" t="str">
        <f>IF(AND(E117=0,F117&lt;&gt;0,G117&lt;&gt;0),"m2",IF(AND(F117=0,E117&lt;&gt;0,G117&lt;&gt;0),"m2",IF(AND(G117=0,E117&lt;&gt;0,F117&lt;&gt;0),"m2",IF(AND(F117=0,G117=0),"ml",IF(AND(E117=0,G117=0),"ml",IF(AND(E117=0,F117=0),"ml",IF(AND(E117&lt;&gt;0,F117&lt;&gt;0,G117&lt;&gt;0),"m3",0)))))))</f>
        <v>ml</v>
      </c>
    </row>
    <row r="118" spans="2:10" s="1" customFormat="1" ht="12.75" x14ac:dyDescent="0.2">
      <c r="B118" s="43" t="s">
        <v>257</v>
      </c>
      <c r="C118" s="43" t="s">
        <v>228</v>
      </c>
      <c r="D118" s="60"/>
      <c r="E118" s="40"/>
      <c r="F118" s="40"/>
      <c r="G118" s="40"/>
      <c r="H118" s="40"/>
      <c r="I118" s="44">
        <f>SUM(H119:H119)</f>
        <v>0</v>
      </c>
      <c r="J118" s="45" t="str">
        <f>+J119</f>
        <v>ml</v>
      </c>
    </row>
    <row r="119" spans="2:10" s="1" customFormat="1" ht="12.75" x14ac:dyDescent="0.2">
      <c r="B119" s="57"/>
      <c r="C119" s="39" t="s">
        <v>238</v>
      </c>
      <c r="D119" s="40"/>
      <c r="E119" s="40"/>
      <c r="F119" s="40"/>
      <c r="G119" s="40"/>
      <c r="H119" s="40">
        <f>IF(AND(F119=0,G119=0),D119*E119,IF(AND(E119=0,G119=0),D119*F119,IF(AND(E119=0,F119=0),D119*G119,IF(AND(E119=0),D119*F119*G119,IF(AND(F119=0),D119*E119*G119,IF(AND(G119=0),D119*E119*F119,D119*E119*F119*G119))))))</f>
        <v>0</v>
      </c>
      <c r="I119" s="40"/>
      <c r="J119" s="41" t="str">
        <f>IF(AND(E119=0,F119&lt;&gt;0,G119&lt;&gt;0),"m2",IF(AND(F119=0,E119&lt;&gt;0,G119&lt;&gt;0),"m2",IF(AND(G119=0,E119&lt;&gt;0,F119&lt;&gt;0),"m2",IF(AND(F119=0,G119=0),"ml",IF(AND(E119=0,G119=0),"ml",IF(AND(E119=0,F119=0),"ml",IF(AND(E119&lt;&gt;0,F119&lt;&gt;0,G119&lt;&gt;0),"m3",0)))))))</f>
        <v>ml</v>
      </c>
    </row>
    <row r="120" spans="2:10" s="1" customFormat="1" ht="12.75" x14ac:dyDescent="0.2">
      <c r="B120" s="43" t="s">
        <v>258</v>
      </c>
      <c r="C120" s="43" t="s">
        <v>250</v>
      </c>
      <c r="D120" s="60"/>
      <c r="E120" s="40"/>
      <c r="F120" s="40"/>
      <c r="G120" s="40"/>
      <c r="H120" s="40"/>
      <c r="I120" s="44">
        <f>SUM(H121:H121)</f>
        <v>30.2</v>
      </c>
      <c r="J120" s="45" t="str">
        <f>+J121</f>
        <v>ml</v>
      </c>
    </row>
    <row r="121" spans="2:10" s="1" customFormat="1" ht="12.75" x14ac:dyDescent="0.2">
      <c r="B121" s="57"/>
      <c r="C121" s="39" t="s">
        <v>372</v>
      </c>
      <c r="D121" s="40">
        <v>1</v>
      </c>
      <c r="E121" s="40">
        <v>30.2</v>
      </c>
      <c r="F121" s="40"/>
      <c r="G121" s="40"/>
      <c r="H121" s="40">
        <f>IF(AND(F121=0,G121=0),D121*E121,IF(AND(E121=0,G121=0),D121*F121,IF(AND(E121=0,F121=0),D121*G121,IF(AND(E121=0),D121*F121*G121,IF(AND(F121=0),D121*E121*G121,IF(AND(G121=0),D121*E121*F121,D121*E121*F121*G121))))))</f>
        <v>30.2</v>
      </c>
      <c r="I121" s="40"/>
      <c r="J121" s="41" t="str">
        <f>IF(AND(E121=0,F121&lt;&gt;0,G121&lt;&gt;0),"m2",IF(AND(F121=0,E121&lt;&gt;0,G121&lt;&gt;0),"m2",IF(AND(G121=0,E121&lt;&gt;0,F121&lt;&gt;0),"m2",IF(AND(F121=0,G121=0),"ml",IF(AND(E121=0,G121=0),"ml",IF(AND(E121=0,F121=0),"ml",IF(AND(E121&lt;&gt;0,F121&lt;&gt;0,G121&lt;&gt;0),"m3",0)))))))</f>
        <v>ml</v>
      </c>
    </row>
    <row r="122" spans="2:10" s="1" customFormat="1" ht="12.75" x14ac:dyDescent="0.2">
      <c r="B122" s="43" t="s">
        <v>259</v>
      </c>
      <c r="C122" s="43" t="s">
        <v>251</v>
      </c>
      <c r="D122" s="60"/>
      <c r="E122" s="40"/>
      <c r="F122" s="40"/>
      <c r="G122" s="40"/>
      <c r="H122" s="40"/>
      <c r="I122" s="44">
        <f>SUM(H123:H123)</f>
        <v>0</v>
      </c>
      <c r="J122" s="45" t="str">
        <f>+J123</f>
        <v>ml</v>
      </c>
    </row>
    <row r="123" spans="2:10" s="1" customFormat="1" ht="12.75" x14ac:dyDescent="0.2">
      <c r="B123" s="57"/>
      <c r="C123" s="39" t="s">
        <v>238</v>
      </c>
      <c r="D123" s="40"/>
      <c r="E123" s="40"/>
      <c r="F123" s="40"/>
      <c r="G123" s="40"/>
      <c r="H123" s="40">
        <f>IF(AND(F123=0,G123=0),D123*E123,IF(AND(E123=0,G123=0),D123*F123,IF(AND(E123=0,F123=0),D123*G123,IF(AND(E123=0),D123*F123*G123,IF(AND(F123=0),D123*E123*G123,IF(AND(G123=0),D123*E123*F123,D123*E123*F123*G123))))))</f>
        <v>0</v>
      </c>
      <c r="I123" s="40"/>
      <c r="J123" s="41" t="str">
        <f>IF(AND(E123=0,F123&lt;&gt;0,G123&lt;&gt;0),"m2",IF(AND(F123=0,E123&lt;&gt;0,G123&lt;&gt;0),"m2",IF(AND(G123=0,E123&lt;&gt;0,F123&lt;&gt;0),"m2",IF(AND(F123=0,G123=0),"ml",IF(AND(E123=0,G123=0),"ml",IF(AND(E123=0,F123=0),"ml",IF(AND(E123&lt;&gt;0,F123&lt;&gt;0,G123&lt;&gt;0),"m3",0)))))))</f>
        <v>ml</v>
      </c>
    </row>
    <row r="124" spans="2:10" s="1" customFormat="1" ht="12.75" x14ac:dyDescent="0.2">
      <c r="B124" s="43" t="s">
        <v>260</v>
      </c>
      <c r="C124" s="43" t="s">
        <v>252</v>
      </c>
      <c r="D124" s="60"/>
      <c r="E124" s="40"/>
      <c r="F124" s="40"/>
      <c r="G124" s="40"/>
      <c r="H124" s="40"/>
      <c r="I124" s="44">
        <f>SUM(H125:H125)</f>
        <v>0</v>
      </c>
      <c r="J124" s="45" t="str">
        <f>+J125</f>
        <v>ml</v>
      </c>
    </row>
    <row r="125" spans="2:10" s="1" customFormat="1" ht="12.75" x14ac:dyDescent="0.2">
      <c r="B125" s="57"/>
      <c r="C125" s="39" t="s">
        <v>238</v>
      </c>
      <c r="D125" s="40"/>
      <c r="E125" s="40"/>
      <c r="F125" s="40"/>
      <c r="G125" s="40"/>
      <c r="H125" s="40">
        <f>IF(AND(F125=0,G125=0),D125*E125,IF(AND(E125=0,G125=0),D125*F125,IF(AND(E125=0,F125=0),D125*G125,IF(AND(E125=0),D125*F125*G125,IF(AND(F125=0),D125*E125*G125,IF(AND(G125=0),D125*E125*F125,D125*E125*F125*G125))))))</f>
        <v>0</v>
      </c>
      <c r="I125" s="40"/>
      <c r="J125" s="41" t="str">
        <f>IF(AND(E125=0,F125&lt;&gt;0,G125&lt;&gt;0),"m2",IF(AND(F125=0,E125&lt;&gt;0,G125&lt;&gt;0),"m2",IF(AND(G125=0,E125&lt;&gt;0,F125&lt;&gt;0),"m2",IF(AND(F125=0,G125=0),"ml",IF(AND(E125=0,G125=0),"ml",IF(AND(E125=0,F125=0),"ml",IF(AND(E125&lt;&gt;0,F125&lt;&gt;0,G125&lt;&gt;0),"m3",0)))))))</f>
        <v>ml</v>
      </c>
    </row>
    <row r="126" spans="2:10" s="1" customFormat="1" ht="12.75" x14ac:dyDescent="0.2">
      <c r="B126" s="43" t="s">
        <v>261</v>
      </c>
      <c r="C126" s="43" t="s">
        <v>253</v>
      </c>
      <c r="D126" s="60"/>
      <c r="E126" s="40"/>
      <c r="F126" s="40"/>
      <c r="G126" s="40"/>
      <c r="H126" s="40"/>
      <c r="I126" s="44">
        <f>SUM(H127:H128)</f>
        <v>2</v>
      </c>
      <c r="J126" s="45" t="str">
        <f>+J128</f>
        <v>und</v>
      </c>
    </row>
    <row r="127" spans="2:10" s="1" customFormat="1" ht="12.75" x14ac:dyDescent="0.2">
      <c r="B127" s="43"/>
      <c r="C127" s="39" t="s">
        <v>373</v>
      </c>
      <c r="D127" s="40">
        <v>1</v>
      </c>
      <c r="E127" s="40"/>
      <c r="F127" s="40"/>
      <c r="G127" s="40"/>
      <c r="H127" s="40">
        <f t="shared" ref="H127:H128" si="7">+D127</f>
        <v>1</v>
      </c>
      <c r="I127" s="40"/>
      <c r="J127" s="41" t="s">
        <v>13</v>
      </c>
    </row>
    <row r="128" spans="2:10" s="1" customFormat="1" ht="12.75" x14ac:dyDescent="0.2">
      <c r="B128" s="57"/>
      <c r="C128" s="39" t="s">
        <v>374</v>
      </c>
      <c r="D128" s="40">
        <v>1</v>
      </c>
      <c r="E128" s="40"/>
      <c r="F128" s="40"/>
      <c r="G128" s="40"/>
      <c r="H128" s="40">
        <f t="shared" si="7"/>
        <v>1</v>
      </c>
      <c r="I128" s="40"/>
      <c r="J128" s="41" t="s">
        <v>13</v>
      </c>
    </row>
    <row r="129" spans="2:10" s="1" customFormat="1" ht="12.75" x14ac:dyDescent="0.2">
      <c r="B129" s="43" t="s">
        <v>262</v>
      </c>
      <c r="C129" s="43" t="s">
        <v>254</v>
      </c>
      <c r="D129" s="60"/>
      <c r="E129" s="40"/>
      <c r="F129" s="40"/>
      <c r="G129" s="40"/>
      <c r="H129" s="40"/>
      <c r="I129" s="44">
        <f>SUM(H130:H130)</f>
        <v>0</v>
      </c>
      <c r="J129" s="45" t="str">
        <f>+J130</f>
        <v>und</v>
      </c>
    </row>
    <row r="130" spans="2:10" s="1" customFormat="1" ht="12.75" x14ac:dyDescent="0.2">
      <c r="B130" s="57"/>
      <c r="C130" s="39" t="s">
        <v>238</v>
      </c>
      <c r="D130" s="40"/>
      <c r="E130" s="40"/>
      <c r="F130" s="40"/>
      <c r="G130" s="40"/>
      <c r="H130" s="40">
        <f>+D130</f>
        <v>0</v>
      </c>
      <c r="I130" s="40"/>
      <c r="J130" s="41" t="s">
        <v>13</v>
      </c>
    </row>
    <row r="131" spans="2:10" s="1" customFormat="1" ht="12.75" x14ac:dyDescent="0.2">
      <c r="B131" s="43" t="s">
        <v>350</v>
      </c>
      <c r="C131" s="43" t="s">
        <v>255</v>
      </c>
      <c r="D131" s="60"/>
      <c r="E131" s="40"/>
      <c r="F131" s="40"/>
      <c r="G131" s="40"/>
      <c r="H131" s="40"/>
      <c r="I131" s="44">
        <f>SUM(H132:H132)</f>
        <v>0</v>
      </c>
      <c r="J131" s="45" t="str">
        <f>+J132</f>
        <v>und</v>
      </c>
    </row>
    <row r="132" spans="2:10" s="1" customFormat="1" ht="12.75" x14ac:dyDescent="0.2">
      <c r="B132" s="57"/>
      <c r="C132" s="39" t="s">
        <v>377</v>
      </c>
      <c r="D132" s="40"/>
      <c r="E132" s="40"/>
      <c r="F132" s="40"/>
      <c r="G132" s="40"/>
      <c r="H132" s="40">
        <f>+D132</f>
        <v>0</v>
      </c>
      <c r="I132" s="40"/>
      <c r="J132" s="41" t="s">
        <v>13</v>
      </c>
    </row>
    <row r="133" spans="2:10" s="1" customFormat="1" ht="12.75" x14ac:dyDescent="0.2">
      <c r="B133" s="57" t="s">
        <v>18</v>
      </c>
      <c r="C133" s="58" t="s">
        <v>223</v>
      </c>
      <c r="D133" s="60"/>
      <c r="E133" s="40"/>
      <c r="F133" s="40"/>
      <c r="G133" s="40"/>
      <c r="H133" s="40"/>
      <c r="I133" s="40"/>
      <c r="J133" s="41"/>
    </row>
    <row r="134" spans="2:10" s="1" customFormat="1" ht="12.75" x14ac:dyDescent="0.2">
      <c r="B134" s="43" t="s">
        <v>19</v>
      </c>
      <c r="C134" s="43" t="s">
        <v>265</v>
      </c>
      <c r="D134" s="60"/>
      <c r="E134" s="40"/>
      <c r="F134" s="40"/>
      <c r="G134" s="40"/>
      <c r="H134" s="40"/>
      <c r="I134" s="44">
        <f>SUM(H135:H136)</f>
        <v>5</v>
      </c>
      <c r="J134" s="45" t="str">
        <f>+J135</f>
        <v>und</v>
      </c>
    </row>
    <row r="135" spans="2:10" s="1" customFormat="1" ht="12.75" x14ac:dyDescent="0.2">
      <c r="B135" s="46"/>
      <c r="C135" s="39" t="s">
        <v>361</v>
      </c>
      <c r="D135" s="40">
        <v>2</v>
      </c>
      <c r="E135" s="40"/>
      <c r="F135" s="40"/>
      <c r="G135" s="40"/>
      <c r="H135" s="40">
        <f>+D135</f>
        <v>2</v>
      </c>
      <c r="I135" s="40"/>
      <c r="J135" s="41" t="s">
        <v>13</v>
      </c>
    </row>
    <row r="136" spans="2:10" s="1" customFormat="1" ht="12.75" x14ac:dyDescent="0.2">
      <c r="B136" s="46"/>
      <c r="C136" s="39" t="s">
        <v>231</v>
      </c>
      <c r="D136" s="40">
        <v>3</v>
      </c>
      <c r="E136" s="40"/>
      <c r="F136" s="40"/>
      <c r="G136" s="40"/>
      <c r="H136" s="40">
        <f>+D136</f>
        <v>3</v>
      </c>
      <c r="I136" s="40"/>
      <c r="J136" s="41" t="s">
        <v>13</v>
      </c>
    </row>
    <row r="137" spans="2:10" s="1" customFormat="1" ht="12.75" x14ac:dyDescent="0.2">
      <c r="B137" s="43" t="s">
        <v>20</v>
      </c>
      <c r="C137" s="43" t="s">
        <v>272</v>
      </c>
      <c r="D137" s="60"/>
      <c r="E137" s="40"/>
      <c r="F137" s="40"/>
      <c r="G137" s="40"/>
      <c r="H137" s="40"/>
      <c r="I137" s="44">
        <f>SUM(H138:H141)</f>
        <v>9</v>
      </c>
      <c r="J137" s="45" t="str">
        <f>+J138</f>
        <v>und</v>
      </c>
    </row>
    <row r="138" spans="2:10" s="1" customFormat="1" ht="12.75" x14ac:dyDescent="0.2">
      <c r="B138" s="46"/>
      <c r="C138" s="39" t="s">
        <v>71</v>
      </c>
      <c r="D138" s="40"/>
      <c r="E138" s="40"/>
      <c r="F138" s="40"/>
      <c r="G138" s="40"/>
      <c r="H138" s="40"/>
      <c r="I138" s="40"/>
      <c r="J138" s="41" t="s">
        <v>13</v>
      </c>
    </row>
    <row r="139" spans="2:10" s="1" customFormat="1" ht="12.75" x14ac:dyDescent="0.2">
      <c r="B139" s="46"/>
      <c r="C139" s="39" t="s">
        <v>349</v>
      </c>
      <c r="D139" s="40">
        <v>3</v>
      </c>
      <c r="E139" s="40">
        <v>3</v>
      </c>
      <c r="F139" s="40"/>
      <c r="G139" s="40"/>
      <c r="H139" s="40">
        <f>IF(AND(F139=0,G139=0),D139*E139,IF(AND(E139=0,G139=0),D139*F139,IF(AND(E139=0,F139=0),D139*G139,IF(AND(E139=0),D139*F139*G139,IF(AND(F139=0),D139*E139*G139,IF(AND(G139=0),D139*E139*F139,D139*E139*F139*G139))))))</f>
        <v>9</v>
      </c>
      <c r="I139" s="40"/>
      <c r="J139" s="41" t="s">
        <v>13</v>
      </c>
    </row>
    <row r="140" spans="2:10" s="1" customFormat="1" ht="12.75" x14ac:dyDescent="0.2">
      <c r="B140" s="46"/>
      <c r="C140" s="39" t="s">
        <v>72</v>
      </c>
      <c r="D140" s="40"/>
      <c r="E140" s="40"/>
      <c r="F140" s="40"/>
      <c r="G140" s="40"/>
      <c r="H140" s="40">
        <f>+D140</f>
        <v>0</v>
      </c>
      <c r="I140" s="40"/>
      <c r="J140" s="41" t="s">
        <v>13</v>
      </c>
    </row>
    <row r="141" spans="2:10" s="1" customFormat="1" ht="12.75" x14ac:dyDescent="0.2">
      <c r="B141" s="46"/>
      <c r="C141" s="39" t="s">
        <v>73</v>
      </c>
      <c r="D141" s="40"/>
      <c r="E141" s="40"/>
      <c r="F141" s="40"/>
      <c r="G141" s="40"/>
      <c r="H141" s="40">
        <f>+D141</f>
        <v>0</v>
      </c>
      <c r="I141" s="40"/>
      <c r="J141" s="41" t="s">
        <v>13</v>
      </c>
    </row>
    <row r="142" spans="2:10" s="1" customFormat="1" ht="12.75" x14ac:dyDescent="0.2">
      <c r="B142" s="43" t="s">
        <v>21</v>
      </c>
      <c r="C142" s="43" t="s">
        <v>266</v>
      </c>
      <c r="D142" s="60"/>
      <c r="E142" s="40"/>
      <c r="F142" s="40"/>
      <c r="G142" s="40"/>
      <c r="H142" s="40"/>
      <c r="I142" s="44">
        <f>SUM(H143:H145)</f>
        <v>0</v>
      </c>
      <c r="J142" s="45" t="str">
        <f>+J143</f>
        <v>und</v>
      </c>
    </row>
    <row r="143" spans="2:10" s="1" customFormat="1" ht="12.75" x14ac:dyDescent="0.2">
      <c r="B143" s="43"/>
      <c r="C143" s="39" t="s">
        <v>71</v>
      </c>
      <c r="D143" s="40"/>
      <c r="E143" s="40"/>
      <c r="F143" s="40"/>
      <c r="G143" s="40"/>
      <c r="H143" s="40">
        <f>IF(AND(F143=0,G143=0),D143*E143,IF(AND(E143=0,G143=0),D143*F143,IF(AND(E143=0,F143=0),D143*G143,IF(AND(E143=0),D143*F143*G143,IF(AND(F143=0),D143*E143*G143,IF(AND(G143=0),D143*E143*F143,D143*E143*F143*G143))))))</f>
        <v>0</v>
      </c>
      <c r="I143" s="40"/>
      <c r="J143" s="41" t="s">
        <v>13</v>
      </c>
    </row>
    <row r="144" spans="2:10" s="1" customFormat="1" ht="12.75" x14ac:dyDescent="0.2">
      <c r="B144" s="43"/>
      <c r="C144" s="39" t="s">
        <v>72</v>
      </c>
      <c r="D144" s="40"/>
      <c r="E144" s="40"/>
      <c r="F144" s="40"/>
      <c r="G144" s="40"/>
      <c r="H144" s="40">
        <f>+D144</f>
        <v>0</v>
      </c>
      <c r="I144" s="40"/>
      <c r="J144" s="41" t="s">
        <v>13</v>
      </c>
    </row>
    <row r="145" spans="2:10" s="1" customFormat="1" ht="12.75" x14ac:dyDescent="0.2">
      <c r="B145" s="43"/>
      <c r="C145" s="39" t="s">
        <v>73</v>
      </c>
      <c r="D145" s="40"/>
      <c r="E145" s="40"/>
      <c r="F145" s="40"/>
      <c r="G145" s="40"/>
      <c r="H145" s="40">
        <f>+D145</f>
        <v>0</v>
      </c>
      <c r="I145" s="40"/>
      <c r="J145" s="41" t="s">
        <v>13</v>
      </c>
    </row>
    <row r="146" spans="2:10" s="1" customFormat="1" ht="12.75" x14ac:dyDescent="0.2">
      <c r="B146" s="43" t="s">
        <v>273</v>
      </c>
      <c r="C146" s="43" t="s">
        <v>354</v>
      </c>
      <c r="D146" s="60"/>
      <c r="E146" s="40"/>
      <c r="F146" s="40"/>
      <c r="G146" s="40"/>
      <c r="H146" s="40"/>
      <c r="I146" s="44">
        <f>SUM(H147:H147)</f>
        <v>9</v>
      </c>
      <c r="J146" s="45" t="str">
        <f>+J147</f>
        <v>und</v>
      </c>
    </row>
    <row r="147" spans="2:10" s="1" customFormat="1" ht="12.75" x14ac:dyDescent="0.2">
      <c r="B147" s="43"/>
      <c r="C147" s="39" t="s">
        <v>375</v>
      </c>
      <c r="D147" s="40">
        <v>3</v>
      </c>
      <c r="E147" s="40">
        <v>3</v>
      </c>
      <c r="F147" s="40"/>
      <c r="G147" s="40"/>
      <c r="H147" s="40">
        <f>IF(AND(F147=0,G147=0),D147*E147,IF(AND(E147=0,G147=0),D147*F147,IF(AND(E147=0,F147=0),D147*G147,IF(AND(E147=0),D147*F147*G147,IF(AND(F147=0),D147*E147*G147,IF(AND(G147=0),D147*E147*F147,D147*E147*F147*G147))))))</f>
        <v>9</v>
      </c>
      <c r="I147" s="40"/>
      <c r="J147" s="41" t="s">
        <v>13</v>
      </c>
    </row>
    <row r="148" spans="2:10" s="1" customFormat="1" ht="12.75" x14ac:dyDescent="0.2">
      <c r="B148" s="43" t="s">
        <v>274</v>
      </c>
      <c r="C148" s="43" t="s">
        <v>357</v>
      </c>
      <c r="D148" s="60"/>
      <c r="E148" s="40"/>
      <c r="F148" s="40"/>
      <c r="G148" s="40"/>
      <c r="H148" s="40"/>
      <c r="I148" s="44">
        <f>SUM(H149:H149)</f>
        <v>3</v>
      </c>
      <c r="J148" s="45" t="str">
        <f>+J149</f>
        <v>und</v>
      </c>
    </row>
    <row r="149" spans="2:10" s="1" customFormat="1" ht="12.75" x14ac:dyDescent="0.2">
      <c r="B149" s="43"/>
      <c r="C149" s="39" t="s">
        <v>375</v>
      </c>
      <c r="D149" s="40">
        <v>3</v>
      </c>
      <c r="E149" s="40">
        <v>1</v>
      </c>
      <c r="F149" s="40"/>
      <c r="G149" s="40"/>
      <c r="H149" s="40">
        <f>IF(AND(F149=0,G149=0),D149*E149,IF(AND(E149=0,G149=0),D149*F149,IF(AND(E149=0,F149=0),D149*G149,IF(AND(E149=0),D149*F149*G149,IF(AND(F149=0),D149*E149*G149,IF(AND(G149=0),D149*E149*F149,D149*E149*F149*G149))))))</f>
        <v>3</v>
      </c>
      <c r="I149" s="40"/>
      <c r="J149" s="41" t="s">
        <v>13</v>
      </c>
    </row>
    <row r="150" spans="2:10" s="1" customFormat="1" ht="12.75" x14ac:dyDescent="0.2">
      <c r="B150" s="43" t="s">
        <v>355</v>
      </c>
      <c r="C150" s="43" t="s">
        <v>263</v>
      </c>
      <c r="D150" s="60"/>
      <c r="E150" s="40"/>
      <c r="F150" s="40"/>
      <c r="G150" s="40"/>
      <c r="H150" s="40"/>
      <c r="I150" s="44">
        <f>SUM(H151:H151)</f>
        <v>0</v>
      </c>
      <c r="J150" s="45" t="str">
        <f>+J151</f>
        <v>und</v>
      </c>
    </row>
    <row r="151" spans="2:10" s="1" customFormat="1" ht="12.75" x14ac:dyDescent="0.2">
      <c r="B151" s="46"/>
      <c r="C151" s="39" t="s">
        <v>71</v>
      </c>
      <c r="D151" s="40"/>
      <c r="E151" s="40"/>
      <c r="F151" s="40"/>
      <c r="G151" s="40"/>
      <c r="H151" s="40">
        <f>+D151</f>
        <v>0</v>
      </c>
      <c r="I151" s="40"/>
      <c r="J151" s="41" t="s">
        <v>13</v>
      </c>
    </row>
    <row r="152" spans="2:10" s="1" customFormat="1" ht="12.75" x14ac:dyDescent="0.2">
      <c r="B152" s="43" t="s">
        <v>356</v>
      </c>
      <c r="C152" s="43" t="s">
        <v>264</v>
      </c>
      <c r="D152" s="60"/>
      <c r="E152" s="40"/>
      <c r="F152" s="40"/>
      <c r="G152" s="40"/>
      <c r="H152" s="40"/>
      <c r="I152" s="44">
        <f>SUM(H153:H153)</f>
        <v>3</v>
      </c>
      <c r="J152" s="45" t="str">
        <f>+J153</f>
        <v>und</v>
      </c>
    </row>
    <row r="153" spans="2:10" s="1" customFormat="1" ht="12.75" x14ac:dyDescent="0.2">
      <c r="B153" s="46"/>
      <c r="C153" s="39" t="s">
        <v>376</v>
      </c>
      <c r="D153" s="40">
        <v>3</v>
      </c>
      <c r="E153" s="40"/>
      <c r="F153" s="40"/>
      <c r="G153" s="40"/>
      <c r="H153" s="40">
        <f>+D153</f>
        <v>3</v>
      </c>
      <c r="I153" s="40"/>
      <c r="J153" s="41" t="s">
        <v>13</v>
      </c>
    </row>
    <row r="154" spans="2:10" s="1" customFormat="1" ht="12.75" x14ac:dyDescent="0.2">
      <c r="B154" s="46"/>
      <c r="C154" s="59"/>
      <c r="D154" s="60"/>
      <c r="E154" s="40"/>
      <c r="F154" s="40"/>
      <c r="G154" s="40"/>
      <c r="H154" s="40"/>
      <c r="I154" s="40"/>
      <c r="J154" s="41"/>
    </row>
    <row r="155" spans="2:10" s="1" customFormat="1" ht="12.75" x14ac:dyDescent="0.2">
      <c r="B155" s="46"/>
      <c r="C155" s="59"/>
      <c r="D155" s="60"/>
      <c r="E155" s="40"/>
      <c r="F155" s="40"/>
      <c r="G155" s="40"/>
      <c r="H155" s="40"/>
      <c r="I155" s="40"/>
      <c r="J155" s="41"/>
    </row>
    <row r="156" spans="2:10" s="1" customFormat="1" ht="12.75" x14ac:dyDescent="0.2">
      <c r="B156" s="46"/>
      <c r="C156" s="59"/>
      <c r="D156" s="60"/>
      <c r="E156" s="40"/>
      <c r="F156" s="40"/>
      <c r="G156" s="40"/>
      <c r="H156" s="40"/>
      <c r="I156" s="40"/>
      <c r="J156" s="41"/>
    </row>
    <row r="157" spans="2:10" s="1" customFormat="1" ht="12.75" x14ac:dyDescent="0.2">
      <c r="B157" s="46"/>
      <c r="C157" s="59"/>
      <c r="D157" s="60"/>
      <c r="E157" s="40"/>
      <c r="F157" s="40"/>
      <c r="G157" s="40"/>
      <c r="H157" s="40"/>
      <c r="I157" s="40"/>
      <c r="J157" s="41"/>
    </row>
    <row r="158" spans="2:10" s="1" customFormat="1" ht="12.75" x14ac:dyDescent="0.2">
      <c r="B158" s="46"/>
      <c r="C158" s="59"/>
      <c r="D158" s="60"/>
      <c r="E158" s="40"/>
      <c r="F158" s="40"/>
      <c r="G158" s="40"/>
      <c r="H158" s="40"/>
      <c r="I158" s="40"/>
      <c r="J158" s="41"/>
    </row>
    <row r="159" spans="2:10" s="1" customFormat="1" ht="12.75" x14ac:dyDescent="0.2">
      <c r="B159" s="46"/>
      <c r="C159" s="59"/>
      <c r="D159" s="60"/>
      <c r="E159" s="40"/>
      <c r="F159" s="40"/>
      <c r="G159" s="40"/>
      <c r="H159" s="40"/>
      <c r="I159" s="40"/>
      <c r="J159" s="41"/>
    </row>
    <row r="160" spans="2:10" s="1" customFormat="1" ht="12.75" x14ac:dyDescent="0.2">
      <c r="B160" s="46"/>
      <c r="C160" s="59"/>
      <c r="D160" s="60"/>
      <c r="E160" s="40"/>
      <c r="F160" s="40"/>
      <c r="G160" s="40"/>
      <c r="H160" s="40"/>
      <c r="I160" s="40"/>
      <c r="J160" s="41"/>
    </row>
    <row r="161" spans="2:10" s="1" customFormat="1" ht="12.75" x14ac:dyDescent="0.2">
      <c r="B161" s="46"/>
      <c r="C161" s="59"/>
      <c r="D161" s="60"/>
      <c r="E161" s="40"/>
      <c r="F161" s="40"/>
      <c r="G161" s="40"/>
      <c r="H161" s="40"/>
      <c r="I161" s="40"/>
      <c r="J161" s="41"/>
    </row>
    <row r="162" spans="2:10" s="1" customFormat="1" ht="12.75" x14ac:dyDescent="0.2">
      <c r="B162" s="46"/>
      <c r="C162" s="59"/>
      <c r="D162" s="60"/>
      <c r="E162" s="40"/>
      <c r="F162" s="40"/>
      <c r="G162" s="40"/>
      <c r="H162" s="40"/>
      <c r="I162" s="40"/>
      <c r="J162" s="41"/>
    </row>
    <row r="163" spans="2:10" s="1" customFormat="1" ht="12.75" x14ac:dyDescent="0.2">
      <c r="B163" s="46"/>
      <c r="C163" s="59"/>
      <c r="D163" s="60"/>
      <c r="E163" s="40"/>
      <c r="F163" s="40"/>
      <c r="G163" s="40"/>
      <c r="H163" s="40"/>
      <c r="I163" s="40"/>
      <c r="J163" s="41"/>
    </row>
    <row r="164" spans="2:10" s="1" customFormat="1" ht="12.75" x14ac:dyDescent="0.2">
      <c r="B164" s="46"/>
      <c r="C164" s="59"/>
      <c r="D164" s="60"/>
      <c r="E164" s="40"/>
      <c r="F164" s="40"/>
      <c r="G164" s="40"/>
      <c r="H164" s="40"/>
      <c r="I164" s="40"/>
      <c r="J164" s="41"/>
    </row>
    <row r="165" spans="2:10" s="1" customFormat="1" ht="12.75" x14ac:dyDescent="0.2">
      <c r="B165" s="46"/>
      <c r="C165" s="59"/>
      <c r="D165" s="60"/>
      <c r="E165" s="40"/>
      <c r="F165" s="40"/>
      <c r="G165" s="40"/>
      <c r="H165" s="40"/>
      <c r="I165" s="40"/>
      <c r="J165" s="41"/>
    </row>
    <row r="166" spans="2:10" s="1" customFormat="1" ht="12.75" x14ac:dyDescent="0.2">
      <c r="B166" s="46"/>
      <c r="C166" s="59"/>
      <c r="D166" s="60"/>
      <c r="E166" s="40"/>
      <c r="F166" s="40"/>
      <c r="G166" s="40"/>
      <c r="H166" s="40"/>
      <c r="I166" s="40"/>
      <c r="J166" s="41"/>
    </row>
    <row r="167" spans="2:10" s="1" customFormat="1" ht="12.75" x14ac:dyDescent="0.2">
      <c r="B167" s="46"/>
      <c r="C167" s="59"/>
      <c r="D167" s="60"/>
      <c r="E167" s="40"/>
      <c r="F167" s="40"/>
      <c r="G167" s="40"/>
      <c r="H167" s="40"/>
      <c r="I167" s="40"/>
      <c r="J167" s="41"/>
    </row>
    <row r="168" spans="2:10" s="1" customFormat="1" ht="12.75" x14ac:dyDescent="0.2">
      <c r="B168" s="46"/>
      <c r="C168" s="59"/>
      <c r="D168" s="60"/>
      <c r="E168" s="40"/>
      <c r="F168" s="40"/>
      <c r="G168" s="40"/>
      <c r="H168" s="40"/>
      <c r="I168" s="40"/>
      <c r="J168" s="41"/>
    </row>
    <row r="169" spans="2:10" s="1" customFormat="1" ht="12.75" x14ac:dyDescent="0.2">
      <c r="B169" s="46"/>
      <c r="C169" s="59"/>
      <c r="D169" s="60"/>
      <c r="E169" s="40"/>
      <c r="F169" s="40"/>
      <c r="G169" s="40"/>
      <c r="H169" s="40"/>
      <c r="I169" s="40"/>
      <c r="J169" s="41"/>
    </row>
    <row r="170" spans="2:10" s="1" customFormat="1" ht="12.75" x14ac:dyDescent="0.2">
      <c r="B170" s="46"/>
      <c r="C170" s="59"/>
      <c r="D170" s="60"/>
      <c r="E170" s="40"/>
      <c r="F170" s="40"/>
      <c r="G170" s="40"/>
      <c r="H170" s="40"/>
      <c r="I170" s="40"/>
      <c r="J170" s="41"/>
    </row>
    <row r="171" spans="2:10" s="1" customFormat="1" ht="12.75" x14ac:dyDescent="0.2">
      <c r="B171" s="46"/>
      <c r="C171" s="59"/>
      <c r="D171" s="60"/>
      <c r="E171" s="40"/>
      <c r="F171" s="40"/>
      <c r="G171" s="40"/>
      <c r="H171" s="40"/>
      <c r="I171" s="40"/>
      <c r="J171" s="41"/>
    </row>
    <row r="172" spans="2:10" s="1" customFormat="1" ht="12.75" x14ac:dyDescent="0.2">
      <c r="B172" s="46"/>
      <c r="C172" s="59"/>
      <c r="D172" s="60"/>
      <c r="E172" s="40"/>
      <c r="F172" s="40"/>
      <c r="G172" s="40"/>
      <c r="H172" s="40"/>
      <c r="I172" s="40"/>
      <c r="J172" s="41"/>
    </row>
    <row r="173" spans="2:10" s="1" customFormat="1" ht="12.75" x14ac:dyDescent="0.2">
      <c r="B173" s="46"/>
      <c r="C173" s="59"/>
      <c r="D173" s="60"/>
      <c r="E173" s="40"/>
      <c r="F173" s="40"/>
      <c r="G173" s="40"/>
      <c r="H173" s="40"/>
      <c r="I173" s="40"/>
      <c r="J173" s="41"/>
    </row>
    <row r="174" spans="2:10" s="1" customFormat="1" ht="12.75" x14ac:dyDescent="0.2">
      <c r="B174" s="46"/>
      <c r="C174" s="59"/>
      <c r="D174" s="60"/>
      <c r="E174" s="40"/>
      <c r="F174" s="40"/>
      <c r="G174" s="40"/>
      <c r="H174" s="40"/>
      <c r="I174" s="40"/>
      <c r="J174" s="41"/>
    </row>
    <row r="175" spans="2:10" s="1" customFormat="1" ht="12.75" x14ac:dyDescent="0.2">
      <c r="B175" s="46"/>
      <c r="C175" s="59"/>
      <c r="D175" s="60"/>
      <c r="E175" s="40"/>
      <c r="F175" s="40"/>
      <c r="G175" s="40"/>
      <c r="H175" s="40"/>
      <c r="I175" s="40"/>
      <c r="J175" s="41"/>
    </row>
    <row r="176" spans="2:10" s="1" customFormat="1" ht="12.75" x14ac:dyDescent="0.2">
      <c r="B176" s="46"/>
      <c r="C176" s="59"/>
      <c r="D176" s="60"/>
      <c r="E176" s="40"/>
      <c r="F176" s="40"/>
      <c r="G176" s="40"/>
      <c r="H176" s="40"/>
      <c r="I176" s="40"/>
      <c r="J176" s="41"/>
    </row>
    <row r="177" spans="2:10" s="1" customFormat="1" ht="12.75" x14ac:dyDescent="0.2">
      <c r="B177" s="46"/>
      <c r="C177" s="59"/>
      <c r="D177" s="60"/>
      <c r="E177" s="40"/>
      <c r="F177" s="40"/>
      <c r="G177" s="40"/>
      <c r="H177" s="40"/>
      <c r="I177" s="40"/>
      <c r="J177" s="41"/>
    </row>
    <row r="178" spans="2:10" s="1" customFormat="1" ht="12.75" x14ac:dyDescent="0.2">
      <c r="B178" s="46"/>
      <c r="C178" s="59"/>
      <c r="D178" s="60"/>
      <c r="E178" s="40"/>
      <c r="F178" s="40"/>
      <c r="G178" s="40"/>
      <c r="H178" s="40"/>
      <c r="I178" s="40"/>
      <c r="J178" s="41"/>
    </row>
    <row r="179" spans="2:10" s="1" customFormat="1" ht="12.75" x14ac:dyDescent="0.2">
      <c r="B179" s="46"/>
      <c r="C179" s="59"/>
      <c r="D179" s="60"/>
      <c r="E179" s="40"/>
      <c r="F179" s="40"/>
      <c r="G179" s="40"/>
      <c r="H179" s="40"/>
      <c r="I179" s="40"/>
      <c r="J179" s="41"/>
    </row>
    <row r="180" spans="2:10" s="1" customFormat="1" ht="12.75" x14ac:dyDescent="0.2">
      <c r="B180" s="46"/>
      <c r="C180" s="59"/>
      <c r="D180" s="60"/>
      <c r="E180" s="40"/>
      <c r="F180" s="40"/>
      <c r="G180" s="40"/>
      <c r="H180" s="40"/>
      <c r="I180" s="40"/>
      <c r="J180" s="41"/>
    </row>
    <row r="181" spans="2:10" s="1" customFormat="1" ht="12.75" x14ac:dyDescent="0.2">
      <c r="B181" s="46"/>
      <c r="C181" s="59"/>
      <c r="D181" s="60"/>
      <c r="E181" s="40"/>
      <c r="F181" s="40"/>
      <c r="G181" s="40"/>
      <c r="H181" s="40"/>
      <c r="I181" s="40"/>
      <c r="J181" s="41"/>
    </row>
    <row r="182" spans="2:10" s="1" customFormat="1" ht="12.75" x14ac:dyDescent="0.2">
      <c r="B182" s="46"/>
      <c r="C182" s="59"/>
      <c r="D182" s="60"/>
      <c r="E182" s="40"/>
      <c r="F182" s="40"/>
      <c r="G182" s="40"/>
      <c r="H182" s="40"/>
      <c r="I182" s="40"/>
      <c r="J182" s="41"/>
    </row>
    <row r="183" spans="2:10" s="1" customFormat="1" ht="12.75" x14ac:dyDescent="0.2">
      <c r="B183" s="46"/>
      <c r="C183" s="59"/>
      <c r="D183" s="60"/>
      <c r="E183" s="40"/>
      <c r="F183" s="40"/>
      <c r="G183" s="40"/>
      <c r="H183" s="40"/>
      <c r="I183" s="40"/>
      <c r="J183" s="41"/>
    </row>
    <row r="184" spans="2:10" s="1" customFormat="1" ht="12.75" x14ac:dyDescent="0.2">
      <c r="B184" s="46"/>
      <c r="C184" s="59"/>
      <c r="D184" s="60"/>
      <c r="E184" s="40"/>
      <c r="F184" s="40"/>
      <c r="G184" s="40"/>
      <c r="H184" s="40"/>
      <c r="I184" s="40"/>
      <c r="J184" s="41"/>
    </row>
    <row r="185" spans="2:10" s="1" customFormat="1" ht="12.75" x14ac:dyDescent="0.2">
      <c r="B185" s="46"/>
      <c r="C185" s="59"/>
      <c r="D185" s="60"/>
      <c r="E185" s="40"/>
      <c r="F185" s="40"/>
      <c r="G185" s="40"/>
      <c r="H185" s="40"/>
      <c r="I185" s="40"/>
      <c r="J185" s="41"/>
    </row>
    <row r="186" spans="2:10" s="1" customFormat="1" ht="12.75" x14ac:dyDescent="0.2">
      <c r="B186" s="46"/>
      <c r="C186" s="59"/>
      <c r="D186" s="60"/>
      <c r="E186" s="40"/>
      <c r="F186" s="40"/>
      <c r="G186" s="40"/>
      <c r="H186" s="40"/>
      <c r="I186" s="40"/>
      <c r="J186" s="41"/>
    </row>
    <row r="187" spans="2:10" s="1" customFormat="1" ht="12.75" x14ac:dyDescent="0.2">
      <c r="B187" s="46"/>
      <c r="C187" s="59"/>
      <c r="D187" s="60"/>
      <c r="E187" s="40"/>
      <c r="F187" s="40"/>
      <c r="G187" s="40"/>
      <c r="H187" s="40"/>
      <c r="I187" s="40"/>
      <c r="J187" s="41"/>
    </row>
    <row r="188" spans="2:10" s="1" customFormat="1" ht="12.75" x14ac:dyDescent="0.2">
      <c r="B188" s="46"/>
      <c r="C188" s="59"/>
      <c r="D188" s="60"/>
      <c r="E188" s="40"/>
      <c r="F188" s="40"/>
      <c r="G188" s="40"/>
      <c r="H188" s="40"/>
      <c r="I188" s="40"/>
      <c r="J188" s="41"/>
    </row>
    <row r="189" spans="2:10" s="1" customFormat="1" ht="12.75" x14ac:dyDescent="0.2">
      <c r="B189" s="46"/>
      <c r="C189" s="59"/>
      <c r="D189" s="60"/>
      <c r="E189" s="40"/>
      <c r="F189" s="40"/>
      <c r="G189" s="40"/>
      <c r="H189" s="40"/>
      <c r="I189" s="40"/>
      <c r="J189" s="41"/>
    </row>
    <row r="190" spans="2:10" s="1" customFormat="1" ht="12.75" x14ac:dyDescent="0.2">
      <c r="B190" s="46"/>
      <c r="C190" s="59"/>
      <c r="D190" s="60"/>
      <c r="E190" s="40"/>
      <c r="F190" s="40"/>
      <c r="G190" s="40"/>
      <c r="H190" s="40"/>
      <c r="I190" s="40"/>
      <c r="J190" s="41"/>
    </row>
    <row r="191" spans="2:10" s="1" customFormat="1" ht="12.75" x14ac:dyDescent="0.2">
      <c r="B191" s="46"/>
      <c r="C191" s="59"/>
      <c r="D191" s="60"/>
      <c r="E191" s="40"/>
      <c r="F191" s="40"/>
      <c r="G191" s="40"/>
      <c r="H191" s="40"/>
      <c r="I191" s="40"/>
      <c r="J191" s="41"/>
    </row>
    <row r="192" spans="2:10" s="1" customFormat="1" ht="12.75" x14ac:dyDescent="0.2">
      <c r="B192" s="46"/>
      <c r="C192" s="59"/>
      <c r="D192" s="60"/>
      <c r="E192" s="40"/>
      <c r="F192" s="40"/>
      <c r="G192" s="40"/>
      <c r="H192" s="40"/>
      <c r="I192" s="40"/>
      <c r="J192" s="41"/>
    </row>
    <row r="193" spans="2:10" s="1" customFormat="1" ht="12.75" x14ac:dyDescent="0.2">
      <c r="B193" s="46"/>
      <c r="C193" s="59"/>
      <c r="D193" s="60"/>
      <c r="E193" s="40"/>
      <c r="F193" s="40"/>
      <c r="G193" s="40"/>
      <c r="H193" s="40"/>
      <c r="I193" s="40"/>
      <c r="J193" s="41"/>
    </row>
    <row r="194" spans="2:10" s="1" customFormat="1" ht="12.75" x14ac:dyDescent="0.2">
      <c r="B194" s="46"/>
      <c r="C194" s="59"/>
      <c r="D194" s="60"/>
      <c r="E194" s="40"/>
      <c r="F194" s="40"/>
      <c r="G194" s="40"/>
      <c r="H194" s="40"/>
      <c r="I194" s="40"/>
      <c r="J194" s="41"/>
    </row>
    <row r="195" spans="2:10" s="1" customFormat="1" ht="12.75" x14ac:dyDescent="0.2">
      <c r="B195" s="46"/>
      <c r="C195" s="59"/>
      <c r="D195" s="60"/>
      <c r="E195" s="40"/>
      <c r="F195" s="40"/>
      <c r="G195" s="40"/>
      <c r="H195" s="40"/>
      <c r="I195" s="40"/>
      <c r="J195" s="41"/>
    </row>
    <row r="196" spans="2:10" s="1" customFormat="1" ht="12.75" x14ac:dyDescent="0.2">
      <c r="B196" s="46"/>
      <c r="C196" s="59"/>
      <c r="D196" s="60"/>
      <c r="E196" s="40"/>
      <c r="F196" s="40"/>
      <c r="G196" s="40"/>
      <c r="H196" s="40"/>
      <c r="I196" s="40"/>
      <c r="J196" s="41"/>
    </row>
    <row r="197" spans="2:10" s="1" customFormat="1" ht="12.75" x14ac:dyDescent="0.2">
      <c r="B197" s="46"/>
      <c r="C197" s="59"/>
      <c r="D197" s="60"/>
      <c r="E197" s="40"/>
      <c r="F197" s="40"/>
      <c r="G197" s="40"/>
      <c r="H197" s="40"/>
      <c r="I197" s="40"/>
      <c r="J197" s="41"/>
    </row>
    <row r="198" spans="2:10" s="1" customFormat="1" ht="12.75" x14ac:dyDescent="0.2">
      <c r="B198" s="46"/>
      <c r="C198" s="59"/>
      <c r="D198" s="60"/>
      <c r="E198" s="40"/>
      <c r="F198" s="40"/>
      <c r="G198" s="40"/>
      <c r="H198" s="40"/>
      <c r="I198" s="40"/>
      <c r="J198" s="41"/>
    </row>
    <row r="199" spans="2:10" s="1" customFormat="1" ht="12.75" x14ac:dyDescent="0.2">
      <c r="B199" s="46"/>
      <c r="C199" s="59"/>
      <c r="D199" s="60"/>
      <c r="E199" s="40"/>
      <c r="F199" s="40"/>
      <c r="G199" s="40"/>
      <c r="H199" s="40"/>
      <c r="I199" s="40"/>
      <c r="J199" s="41"/>
    </row>
    <row r="200" spans="2:10" s="1" customFormat="1" ht="12.75" x14ac:dyDescent="0.2">
      <c r="B200" s="46"/>
      <c r="C200" s="59"/>
      <c r="D200" s="60"/>
      <c r="E200" s="40"/>
      <c r="F200" s="40"/>
      <c r="G200" s="40"/>
      <c r="H200" s="40"/>
      <c r="I200" s="40"/>
      <c r="J200" s="41"/>
    </row>
    <row r="201" spans="2:10" s="1" customFormat="1" ht="12.75" x14ac:dyDescent="0.2">
      <c r="B201" s="46"/>
      <c r="C201" s="59"/>
      <c r="D201" s="60"/>
      <c r="E201" s="40"/>
      <c r="F201" s="40"/>
      <c r="G201" s="40"/>
      <c r="H201" s="40"/>
      <c r="I201" s="40"/>
      <c r="J201" s="41"/>
    </row>
    <row r="202" spans="2:10" s="1" customFormat="1" ht="12.75" x14ac:dyDescent="0.2">
      <c r="B202" s="46"/>
      <c r="C202" s="59"/>
      <c r="D202" s="60"/>
      <c r="E202" s="40"/>
      <c r="F202" s="40"/>
      <c r="G202" s="40"/>
      <c r="H202" s="40"/>
      <c r="I202" s="40"/>
      <c r="J202" s="41"/>
    </row>
    <row r="203" spans="2:10" s="1" customFormat="1" ht="12.75" x14ac:dyDescent="0.2">
      <c r="B203" s="46"/>
      <c r="C203" s="59"/>
      <c r="D203" s="60"/>
      <c r="E203" s="40"/>
      <c r="F203" s="40"/>
      <c r="G203" s="40"/>
      <c r="H203" s="40"/>
      <c r="I203" s="40"/>
      <c r="J203" s="41"/>
    </row>
    <row r="204" spans="2:10" s="1" customFormat="1" ht="12.75" x14ac:dyDescent="0.2">
      <c r="B204" s="46"/>
      <c r="C204" s="59"/>
      <c r="D204" s="60"/>
      <c r="E204" s="40"/>
      <c r="F204" s="40"/>
      <c r="G204" s="40"/>
      <c r="H204" s="40"/>
      <c r="I204" s="40"/>
      <c r="J204" s="41"/>
    </row>
    <row r="205" spans="2:10" s="1" customFormat="1" ht="12.75" x14ac:dyDescent="0.2">
      <c r="B205" s="46"/>
      <c r="C205" s="59"/>
      <c r="D205" s="60"/>
      <c r="E205" s="40"/>
      <c r="F205" s="40"/>
      <c r="G205" s="40"/>
      <c r="H205" s="40"/>
      <c r="I205" s="40"/>
      <c r="J205" s="41"/>
    </row>
    <row r="206" spans="2:10" s="1" customFormat="1" ht="12.75" x14ac:dyDescent="0.2">
      <c r="B206" s="46"/>
      <c r="C206" s="59"/>
      <c r="D206" s="60"/>
      <c r="E206" s="40"/>
      <c r="F206" s="40"/>
      <c r="G206" s="40"/>
      <c r="H206" s="40"/>
      <c r="I206" s="40"/>
      <c r="J206" s="41"/>
    </row>
    <row r="207" spans="2:10" s="1" customFormat="1" ht="12.75" x14ac:dyDescent="0.2">
      <c r="B207" s="46"/>
      <c r="C207" s="59"/>
      <c r="D207" s="60"/>
      <c r="E207" s="40"/>
      <c r="F207" s="40"/>
      <c r="G207" s="40"/>
      <c r="H207" s="40"/>
      <c r="I207" s="40"/>
      <c r="J207" s="41"/>
    </row>
    <row r="208" spans="2:10" s="1" customFormat="1" ht="12.75" x14ac:dyDescent="0.2">
      <c r="B208" s="46"/>
      <c r="C208" s="59"/>
      <c r="D208" s="60"/>
      <c r="E208" s="40"/>
      <c r="F208" s="40"/>
      <c r="G208" s="40"/>
      <c r="H208" s="40"/>
      <c r="I208" s="40"/>
      <c r="J208" s="41"/>
    </row>
    <row r="209" spans="2:10" s="1" customFormat="1" ht="12.75" x14ac:dyDescent="0.2">
      <c r="B209" s="46"/>
      <c r="C209" s="59"/>
      <c r="D209" s="60"/>
      <c r="E209" s="40"/>
      <c r="F209" s="40"/>
      <c r="G209" s="40"/>
      <c r="H209" s="40"/>
      <c r="I209" s="40"/>
      <c r="J209" s="41"/>
    </row>
    <row r="210" spans="2:10" s="1" customFormat="1" ht="12.75" x14ac:dyDescent="0.2">
      <c r="B210" s="46"/>
      <c r="C210" s="59"/>
      <c r="D210" s="60"/>
      <c r="E210" s="40"/>
      <c r="F210" s="40"/>
      <c r="G210" s="40"/>
      <c r="H210" s="40"/>
      <c r="I210" s="40"/>
      <c r="J210" s="41"/>
    </row>
    <row r="211" spans="2:10" s="1" customFormat="1" ht="12.75" x14ac:dyDescent="0.2">
      <c r="B211" s="46"/>
      <c r="C211" s="59"/>
      <c r="D211" s="60"/>
      <c r="E211" s="40"/>
      <c r="F211" s="40"/>
      <c r="G211" s="40"/>
      <c r="H211" s="40"/>
      <c r="I211" s="40"/>
      <c r="J211" s="41"/>
    </row>
    <row r="212" spans="2:10" s="1" customFormat="1" ht="12.75" x14ac:dyDescent="0.2">
      <c r="B212" s="46"/>
      <c r="C212" s="59"/>
      <c r="D212" s="60"/>
      <c r="E212" s="40"/>
      <c r="F212" s="40"/>
      <c r="G212" s="40"/>
      <c r="H212" s="40"/>
      <c r="I212" s="40"/>
      <c r="J212" s="41"/>
    </row>
    <row r="213" spans="2:10" s="1" customFormat="1" ht="12.75" x14ac:dyDescent="0.2">
      <c r="B213" s="46"/>
      <c r="C213" s="59"/>
      <c r="D213" s="60"/>
      <c r="E213" s="40"/>
      <c r="F213" s="40"/>
      <c r="G213" s="40"/>
      <c r="H213" s="40"/>
      <c r="I213" s="40"/>
      <c r="J213" s="41"/>
    </row>
    <row r="214" spans="2:10" s="1" customFormat="1" ht="12.75" x14ac:dyDescent="0.2">
      <c r="B214" s="46"/>
      <c r="C214" s="59"/>
      <c r="D214" s="60"/>
      <c r="E214" s="40"/>
      <c r="F214" s="40"/>
      <c r="G214" s="40"/>
      <c r="H214" s="40"/>
      <c r="I214" s="40"/>
      <c r="J214" s="41"/>
    </row>
    <row r="215" spans="2:10" s="1" customFormat="1" ht="12.75" x14ac:dyDescent="0.2">
      <c r="B215" s="46"/>
      <c r="C215" s="59"/>
      <c r="D215" s="60"/>
      <c r="E215" s="40"/>
      <c r="F215" s="40"/>
      <c r="G215" s="40"/>
      <c r="H215" s="40"/>
      <c r="I215" s="40"/>
      <c r="J215" s="41"/>
    </row>
    <row r="216" spans="2:10" s="1" customFormat="1" ht="12.75" x14ac:dyDescent="0.2">
      <c r="B216" s="46"/>
      <c r="C216" s="59"/>
      <c r="D216" s="60"/>
      <c r="E216" s="40"/>
      <c r="F216" s="40"/>
      <c r="G216" s="40"/>
      <c r="H216" s="40"/>
      <c r="I216" s="40"/>
      <c r="J216" s="41"/>
    </row>
    <row r="217" spans="2:10" s="1" customFormat="1" ht="12.75" x14ac:dyDescent="0.2">
      <c r="B217" s="46"/>
      <c r="C217" s="59"/>
      <c r="D217" s="60"/>
      <c r="E217" s="40"/>
      <c r="F217" s="40"/>
      <c r="G217" s="40"/>
      <c r="H217" s="40"/>
      <c r="I217" s="40"/>
      <c r="J217" s="41"/>
    </row>
    <row r="218" spans="2:10" s="1" customFormat="1" ht="12.75" x14ac:dyDescent="0.2">
      <c r="B218" s="46"/>
      <c r="C218" s="59"/>
      <c r="D218" s="60"/>
      <c r="E218" s="40"/>
      <c r="F218" s="40"/>
      <c r="G218" s="40"/>
      <c r="H218" s="40"/>
      <c r="I218" s="40"/>
      <c r="J218" s="41"/>
    </row>
    <row r="219" spans="2:10" s="1" customFormat="1" ht="12.75" x14ac:dyDescent="0.2">
      <c r="B219" s="46"/>
      <c r="C219" s="59"/>
      <c r="D219" s="60"/>
      <c r="E219" s="40"/>
      <c r="F219" s="40"/>
      <c r="G219" s="40"/>
      <c r="H219" s="40"/>
      <c r="I219" s="40"/>
      <c r="J219" s="41"/>
    </row>
    <row r="220" spans="2:10" s="1" customFormat="1" ht="12.75" x14ac:dyDescent="0.2">
      <c r="B220" s="46"/>
      <c r="C220" s="59"/>
      <c r="D220" s="60"/>
      <c r="E220" s="40"/>
      <c r="F220" s="40"/>
      <c r="G220" s="40"/>
      <c r="H220" s="40"/>
      <c r="I220" s="40"/>
      <c r="J220" s="41"/>
    </row>
    <row r="221" spans="2:10" s="1" customFormat="1" ht="12.75" x14ac:dyDescent="0.2">
      <c r="B221" s="46"/>
      <c r="C221" s="59"/>
      <c r="D221" s="60"/>
      <c r="E221" s="40"/>
      <c r="F221" s="40"/>
      <c r="G221" s="40"/>
      <c r="H221" s="40"/>
      <c r="I221" s="40"/>
      <c r="J221" s="41"/>
    </row>
    <row r="222" spans="2:10" s="1" customFormat="1" ht="12.75" x14ac:dyDescent="0.2">
      <c r="B222" s="46"/>
      <c r="C222" s="59"/>
      <c r="D222" s="60"/>
      <c r="E222" s="40"/>
      <c r="F222" s="40"/>
      <c r="G222" s="40"/>
      <c r="H222" s="40"/>
      <c r="I222" s="40"/>
      <c r="J222" s="41"/>
    </row>
    <row r="223" spans="2:10" s="1" customFormat="1" ht="12.75" x14ac:dyDescent="0.2">
      <c r="B223" s="46"/>
      <c r="C223" s="59"/>
      <c r="D223" s="60"/>
      <c r="E223" s="40"/>
      <c r="F223" s="40"/>
      <c r="G223" s="40"/>
      <c r="H223" s="40"/>
      <c r="I223" s="40"/>
      <c r="J223" s="41"/>
    </row>
    <row r="224" spans="2:10" s="1" customFormat="1" ht="12.75" x14ac:dyDescent="0.2">
      <c r="B224" s="46"/>
      <c r="C224" s="59"/>
      <c r="D224" s="60"/>
      <c r="E224" s="40"/>
      <c r="F224" s="40"/>
      <c r="G224" s="40"/>
      <c r="H224" s="40"/>
      <c r="I224" s="40"/>
      <c r="J224" s="41"/>
    </row>
    <row r="225" spans="2:10" s="1" customFormat="1" ht="12.75" x14ac:dyDescent="0.2">
      <c r="B225" s="46"/>
      <c r="C225" s="59"/>
      <c r="D225" s="60"/>
      <c r="E225" s="40"/>
      <c r="F225" s="40"/>
      <c r="G225" s="40"/>
      <c r="H225" s="40"/>
      <c r="I225" s="40"/>
      <c r="J225" s="41"/>
    </row>
    <row r="226" spans="2:10" s="1" customFormat="1" ht="12.75" x14ac:dyDescent="0.2">
      <c r="B226" s="46"/>
      <c r="C226" s="59"/>
      <c r="D226" s="60"/>
      <c r="E226" s="40"/>
      <c r="F226" s="40"/>
      <c r="G226" s="40"/>
      <c r="H226" s="40"/>
      <c r="I226" s="40"/>
      <c r="J226" s="41"/>
    </row>
    <row r="227" spans="2:10" s="1" customFormat="1" ht="12.75" x14ac:dyDescent="0.2">
      <c r="B227" s="46"/>
      <c r="C227" s="59"/>
      <c r="D227" s="60"/>
      <c r="E227" s="40"/>
      <c r="F227" s="40"/>
      <c r="G227" s="40"/>
      <c r="H227" s="40"/>
      <c r="I227" s="40"/>
      <c r="J227" s="41"/>
    </row>
    <row r="228" spans="2:10" s="1" customFormat="1" ht="12.75" x14ac:dyDescent="0.2">
      <c r="B228" s="46"/>
      <c r="C228" s="59"/>
      <c r="D228" s="60"/>
      <c r="E228" s="40"/>
      <c r="F228" s="40"/>
      <c r="G228" s="40"/>
      <c r="H228" s="40"/>
      <c r="I228" s="40"/>
      <c r="J228" s="41"/>
    </row>
    <row r="229" spans="2:10" s="1" customFormat="1" ht="12.75" x14ac:dyDescent="0.2">
      <c r="B229" s="46"/>
      <c r="C229" s="59"/>
      <c r="D229" s="60"/>
      <c r="E229" s="40"/>
      <c r="F229" s="40"/>
      <c r="G229" s="40"/>
      <c r="H229" s="40"/>
      <c r="I229" s="40"/>
      <c r="J229" s="41"/>
    </row>
    <row r="230" spans="2:10" s="1" customFormat="1" ht="12.75" x14ac:dyDescent="0.2">
      <c r="B230" s="46"/>
      <c r="C230" s="59"/>
      <c r="D230" s="60"/>
      <c r="E230" s="40"/>
      <c r="F230" s="40"/>
      <c r="G230" s="40"/>
      <c r="H230" s="40"/>
      <c r="I230" s="40"/>
      <c r="J230" s="41"/>
    </row>
    <row r="231" spans="2:10" s="1" customFormat="1" ht="12.75" x14ac:dyDescent="0.2">
      <c r="B231" s="46"/>
      <c r="C231" s="59"/>
      <c r="D231" s="60"/>
      <c r="E231" s="40"/>
      <c r="F231" s="40"/>
      <c r="G231" s="40"/>
      <c r="H231" s="40"/>
      <c r="I231" s="40"/>
      <c r="J231" s="41"/>
    </row>
    <row r="232" spans="2:10" s="1" customFormat="1" ht="12.75" x14ac:dyDescent="0.2">
      <c r="B232" s="46"/>
      <c r="C232" s="59"/>
      <c r="D232" s="60"/>
      <c r="E232" s="40"/>
      <c r="F232" s="40"/>
      <c r="G232" s="40"/>
      <c r="H232" s="40"/>
      <c r="I232" s="40"/>
      <c r="J232" s="41"/>
    </row>
    <row r="233" spans="2:10" s="1" customFormat="1" ht="12.75" x14ac:dyDescent="0.2">
      <c r="B233" s="46"/>
      <c r="C233" s="59"/>
      <c r="D233" s="60"/>
      <c r="E233" s="40"/>
      <c r="F233" s="40"/>
      <c r="G233" s="40"/>
      <c r="H233" s="40"/>
      <c r="I233" s="40"/>
      <c r="J233" s="41"/>
    </row>
    <row r="234" spans="2:10" s="1" customFormat="1" ht="12.75" x14ac:dyDescent="0.2">
      <c r="B234" s="46"/>
      <c r="C234" s="59"/>
      <c r="D234" s="60"/>
      <c r="E234" s="40"/>
      <c r="F234" s="40"/>
      <c r="G234" s="40"/>
      <c r="H234" s="40"/>
      <c r="I234" s="40"/>
      <c r="J234" s="41"/>
    </row>
    <row r="235" spans="2:10" s="1" customFormat="1" ht="12.75" x14ac:dyDescent="0.2">
      <c r="B235" s="46"/>
      <c r="C235" s="59"/>
      <c r="D235" s="60"/>
      <c r="E235" s="40"/>
      <c r="F235" s="40"/>
      <c r="G235" s="40"/>
      <c r="H235" s="40"/>
      <c r="I235" s="40"/>
      <c r="J235" s="41"/>
    </row>
    <row r="236" spans="2:10" s="1" customFormat="1" ht="12.75" x14ac:dyDescent="0.2">
      <c r="B236" s="46"/>
      <c r="C236" s="59"/>
      <c r="D236" s="60"/>
      <c r="E236" s="40"/>
      <c r="F236" s="40"/>
      <c r="G236" s="40"/>
      <c r="H236" s="40"/>
      <c r="I236" s="40"/>
      <c r="J236" s="41"/>
    </row>
    <row r="237" spans="2:10" s="1" customFormat="1" ht="12.75" x14ac:dyDescent="0.2">
      <c r="B237" s="46"/>
      <c r="C237" s="59"/>
      <c r="D237" s="60"/>
      <c r="E237" s="40"/>
      <c r="F237" s="40"/>
      <c r="G237" s="40"/>
      <c r="H237" s="40"/>
      <c r="I237" s="40"/>
      <c r="J237" s="41"/>
    </row>
    <row r="238" spans="2:10" s="1" customFormat="1" ht="12.75" x14ac:dyDescent="0.2">
      <c r="B238" s="46"/>
      <c r="C238" s="59"/>
      <c r="D238" s="60"/>
      <c r="E238" s="40"/>
      <c r="F238" s="40"/>
      <c r="G238" s="40"/>
      <c r="H238" s="40"/>
      <c r="I238" s="40"/>
      <c r="J238" s="41"/>
    </row>
    <row r="239" spans="2:10" s="1" customFormat="1" ht="12.75" x14ac:dyDescent="0.2">
      <c r="B239" s="46"/>
      <c r="C239" s="59"/>
      <c r="D239" s="60"/>
      <c r="E239" s="40"/>
      <c r="F239" s="40"/>
      <c r="G239" s="40"/>
      <c r="H239" s="40"/>
      <c r="I239" s="40"/>
      <c r="J239" s="41"/>
    </row>
    <row r="240" spans="2:10" s="1" customFormat="1" ht="12.75" x14ac:dyDescent="0.2">
      <c r="B240" s="46"/>
      <c r="C240" s="59"/>
      <c r="D240" s="60"/>
      <c r="E240" s="40"/>
      <c r="F240" s="40"/>
      <c r="G240" s="40"/>
      <c r="H240" s="40"/>
      <c r="I240" s="40"/>
      <c r="J240" s="41"/>
    </row>
    <row r="241" spans="2:10" s="1" customFormat="1" ht="12.75" x14ac:dyDescent="0.2">
      <c r="B241" s="46"/>
      <c r="C241" s="59"/>
      <c r="D241" s="60"/>
      <c r="E241" s="40"/>
      <c r="F241" s="40"/>
      <c r="G241" s="40"/>
      <c r="H241" s="40"/>
      <c r="I241" s="40"/>
      <c r="J241" s="41"/>
    </row>
    <row r="242" spans="2:10" s="1" customFormat="1" ht="12.75" x14ac:dyDescent="0.2">
      <c r="B242" s="46"/>
      <c r="C242" s="59"/>
      <c r="D242" s="60"/>
      <c r="E242" s="40"/>
      <c r="F242" s="40"/>
      <c r="G242" s="40"/>
      <c r="H242" s="40"/>
      <c r="I242" s="40"/>
      <c r="J242" s="41"/>
    </row>
    <row r="243" spans="2:10" s="1" customFormat="1" ht="12.75" x14ac:dyDescent="0.2">
      <c r="B243" s="46"/>
      <c r="C243" s="59"/>
      <c r="D243" s="60"/>
      <c r="E243" s="40"/>
      <c r="F243" s="40"/>
      <c r="G243" s="40"/>
      <c r="H243" s="40"/>
      <c r="I243" s="40"/>
      <c r="J243" s="41"/>
    </row>
    <row r="244" spans="2:10" s="1" customFormat="1" ht="12.75" x14ac:dyDescent="0.2">
      <c r="B244" s="46"/>
      <c r="C244" s="59"/>
      <c r="D244" s="60"/>
      <c r="E244" s="40"/>
      <c r="F244" s="40"/>
      <c r="G244" s="40"/>
      <c r="H244" s="40"/>
      <c r="I244" s="40"/>
      <c r="J244" s="41"/>
    </row>
    <row r="245" spans="2:10" s="1" customFormat="1" ht="12.75" x14ac:dyDescent="0.2">
      <c r="B245" s="46"/>
      <c r="C245" s="59"/>
      <c r="D245" s="60"/>
      <c r="E245" s="40"/>
      <c r="F245" s="40"/>
      <c r="G245" s="40"/>
      <c r="H245" s="40"/>
      <c r="I245" s="40"/>
      <c r="J245" s="41"/>
    </row>
    <row r="246" spans="2:10" s="1" customFormat="1" ht="12.75" x14ac:dyDescent="0.2">
      <c r="B246" s="46"/>
      <c r="C246" s="59"/>
      <c r="D246" s="60"/>
      <c r="E246" s="40"/>
      <c r="F246" s="40"/>
      <c r="G246" s="40"/>
      <c r="H246" s="40"/>
      <c r="I246" s="40"/>
      <c r="J246" s="41"/>
    </row>
    <row r="247" spans="2:10" s="1" customFormat="1" ht="12.75" x14ac:dyDescent="0.2">
      <c r="B247" s="37"/>
      <c r="C247" s="38"/>
      <c r="D247" s="38"/>
      <c r="E247" s="38"/>
      <c r="F247" s="38"/>
      <c r="G247" s="38"/>
      <c r="H247" s="38"/>
      <c r="I247" s="38"/>
      <c r="J247" s="38"/>
    </row>
    <row r="248" spans="2:10" s="1" customFormat="1" ht="12.75" x14ac:dyDescent="0.2">
      <c r="C248" s="499" t="s">
        <v>37</v>
      </c>
      <c r="D248" s="499"/>
      <c r="E248" s="499"/>
      <c r="F248" s="499"/>
      <c r="G248" s="499"/>
      <c r="H248" s="499"/>
    </row>
    <row r="249" spans="2:10" s="1" customFormat="1" ht="12.75" x14ac:dyDescent="0.2">
      <c r="C249" s="499" t="s">
        <v>38</v>
      </c>
      <c r="D249" s="499"/>
      <c r="E249" s="499"/>
      <c r="F249" s="499"/>
      <c r="G249" s="499"/>
      <c r="H249" s="499"/>
    </row>
    <row r="250" spans="2:10" s="1" customFormat="1" ht="12.75" x14ac:dyDescent="0.2">
      <c r="C250" s="499" t="s">
        <v>39</v>
      </c>
      <c r="D250" s="499"/>
      <c r="E250" s="499"/>
      <c r="F250" s="499"/>
      <c r="G250" s="499"/>
      <c r="H250" s="499"/>
    </row>
    <row r="251" spans="2:10" s="1" customFormat="1" ht="12.75" x14ac:dyDescent="0.2">
      <c r="C251" s="500" t="s">
        <v>40</v>
      </c>
      <c r="D251" s="500"/>
      <c r="E251" s="500"/>
      <c r="F251" s="500"/>
      <c r="G251" s="500"/>
      <c r="H251" s="500"/>
    </row>
    <row r="252" spans="2:10" s="1" customFormat="1" ht="12.75" x14ac:dyDescent="0.2">
      <c r="C252" s="78"/>
      <c r="D252" s="78"/>
      <c r="E252" s="78"/>
      <c r="F252" s="78"/>
      <c r="G252" s="78"/>
      <c r="H252" s="78"/>
    </row>
    <row r="253" spans="2:10" s="1" customFormat="1" ht="15.75" x14ac:dyDescent="0.2">
      <c r="B253" s="501" t="s">
        <v>65</v>
      </c>
      <c r="C253" s="502"/>
      <c r="D253" s="502"/>
      <c r="E253" s="502"/>
      <c r="F253" s="502"/>
      <c r="G253" s="502"/>
      <c r="H253" s="502"/>
      <c r="I253" s="502"/>
      <c r="J253" s="503"/>
    </row>
    <row r="254" spans="2:10" s="1" customFormat="1" ht="20.25" x14ac:dyDescent="0.2">
      <c r="B254" s="543" t="s">
        <v>360</v>
      </c>
      <c r="C254" s="544"/>
      <c r="D254" s="544"/>
      <c r="E254" s="544"/>
      <c r="F254" s="544"/>
      <c r="G254" s="544"/>
      <c r="H254" s="544"/>
      <c r="I254" s="544"/>
      <c r="J254" s="545"/>
    </row>
    <row r="255" spans="2:10" s="1" customFormat="1" ht="13.5" thickBot="1" x14ac:dyDescent="0.25">
      <c r="B255" s="79"/>
      <c r="C255" s="79"/>
      <c r="D255" s="79"/>
      <c r="E255" s="79"/>
      <c r="F255" s="79"/>
      <c r="G255" s="79"/>
      <c r="H255" s="79"/>
      <c r="I255" s="79"/>
      <c r="J255" s="79"/>
    </row>
    <row r="256" spans="2:10" s="1" customFormat="1" ht="27" customHeight="1" x14ac:dyDescent="0.2">
      <c r="B256" s="494" t="s">
        <v>27</v>
      </c>
      <c r="C256" s="495"/>
      <c r="D256" s="495"/>
      <c r="E256" s="495"/>
      <c r="F256" s="495"/>
      <c r="G256" s="495"/>
      <c r="H256" s="495"/>
      <c r="I256" s="495"/>
      <c r="J256" s="496"/>
    </row>
    <row r="257" spans="2:10" s="1" customFormat="1" ht="12.75" x14ac:dyDescent="0.2">
      <c r="B257" s="2" t="s">
        <v>35</v>
      </c>
      <c r="C257" s="3" t="s">
        <v>36</v>
      </c>
      <c r="D257" s="3"/>
      <c r="E257" s="4"/>
      <c r="F257" s="5"/>
      <c r="G257" s="6" t="s">
        <v>8</v>
      </c>
      <c r="H257" s="497">
        <v>42879</v>
      </c>
      <c r="I257" s="497"/>
      <c r="J257" s="7"/>
    </row>
    <row r="258" spans="2:10" s="1" customFormat="1" ht="12.75" x14ac:dyDescent="0.2">
      <c r="B258" s="2" t="s">
        <v>33</v>
      </c>
      <c r="C258" s="3" t="s">
        <v>29</v>
      </c>
      <c r="D258" s="8"/>
      <c r="E258" s="8"/>
      <c r="F258" s="3"/>
      <c r="G258" s="9" t="s">
        <v>32</v>
      </c>
      <c r="H258" s="4" t="s">
        <v>29</v>
      </c>
      <c r="I258" s="10"/>
      <c r="J258" s="11"/>
    </row>
    <row r="259" spans="2:10" s="1" customFormat="1" ht="12.75" x14ac:dyDescent="0.2">
      <c r="B259" s="2" t="s">
        <v>34</v>
      </c>
      <c r="C259" s="3" t="s">
        <v>29</v>
      </c>
      <c r="D259" s="8"/>
      <c r="E259" s="8"/>
      <c r="F259" s="3"/>
      <c r="G259" s="9" t="s">
        <v>30</v>
      </c>
      <c r="H259" s="4" t="s">
        <v>31</v>
      </c>
      <c r="I259" s="10"/>
      <c r="J259" s="11"/>
    </row>
    <row r="260" spans="2:10" s="1" customFormat="1" ht="13.5" thickBot="1" x14ac:dyDescent="0.25">
      <c r="B260" s="12" t="s">
        <v>43</v>
      </c>
      <c r="C260" s="13" t="s">
        <v>44</v>
      </c>
      <c r="D260" s="14"/>
      <c r="E260" s="14"/>
      <c r="F260" s="13"/>
      <c r="G260" s="15" t="s">
        <v>41</v>
      </c>
      <c r="H260" s="16" t="s">
        <v>42</v>
      </c>
      <c r="I260" s="17"/>
      <c r="J260" s="18"/>
    </row>
    <row r="261" spans="2:10" s="1" customFormat="1" ht="12.75" x14ac:dyDescent="0.2">
      <c r="B261" s="79"/>
      <c r="C261" s="79"/>
      <c r="D261" s="79"/>
      <c r="E261" s="79"/>
      <c r="F261" s="79"/>
      <c r="G261" s="79"/>
      <c r="H261" s="79"/>
      <c r="I261" s="79"/>
      <c r="J261" s="79"/>
    </row>
    <row r="262" spans="2:10" s="1" customFormat="1" ht="12.75" x14ac:dyDescent="0.2">
      <c r="B262" s="21" t="s">
        <v>5</v>
      </c>
      <c r="C262" s="22" t="s">
        <v>0</v>
      </c>
      <c r="D262" s="22" t="s">
        <v>9</v>
      </c>
      <c r="E262" s="22" t="s">
        <v>10</v>
      </c>
      <c r="F262" s="22" t="s">
        <v>1</v>
      </c>
      <c r="G262" s="22" t="s">
        <v>2</v>
      </c>
      <c r="H262" s="22" t="s">
        <v>11</v>
      </c>
      <c r="I262" s="22" t="s">
        <v>6</v>
      </c>
      <c r="J262" s="22" t="s">
        <v>7</v>
      </c>
    </row>
    <row r="263" spans="2:10" s="1" customFormat="1" ht="12.75" x14ac:dyDescent="0.2">
      <c r="B263" s="55">
        <v>4.03</v>
      </c>
      <c r="C263" s="56" t="s">
        <v>222</v>
      </c>
      <c r="D263" s="60"/>
      <c r="E263" s="40"/>
      <c r="F263" s="40"/>
      <c r="G263" s="40"/>
      <c r="H263" s="40"/>
      <c r="I263" s="40"/>
      <c r="J263" s="41"/>
    </row>
    <row r="264" spans="2:10" s="1" customFormat="1" ht="12.75" x14ac:dyDescent="0.2">
      <c r="B264" s="57" t="s">
        <v>14</v>
      </c>
      <c r="C264" s="58" t="s">
        <v>225</v>
      </c>
      <c r="D264" s="60"/>
      <c r="E264" s="40"/>
      <c r="F264" s="40"/>
      <c r="G264" s="40"/>
      <c r="H264" s="40"/>
      <c r="I264" s="40"/>
      <c r="J264" s="41"/>
    </row>
    <row r="265" spans="2:10" s="1" customFormat="1" ht="12.75" x14ac:dyDescent="0.2">
      <c r="B265" s="43" t="s">
        <v>15</v>
      </c>
      <c r="C265" s="43" t="s">
        <v>359</v>
      </c>
      <c r="D265" s="60"/>
      <c r="E265" s="40"/>
      <c r="F265" s="40"/>
      <c r="G265" s="40"/>
      <c r="H265" s="40"/>
      <c r="I265" s="44">
        <f>SUM(H266:H266)</f>
        <v>0</v>
      </c>
      <c r="J265" s="45" t="str">
        <f>+J266</f>
        <v>ml</v>
      </c>
    </row>
    <row r="266" spans="2:10" s="1" customFormat="1" ht="12.75" x14ac:dyDescent="0.2">
      <c r="B266" s="43"/>
      <c r="C266" s="39" t="s">
        <v>368</v>
      </c>
      <c r="D266" s="40"/>
      <c r="E266" s="40"/>
      <c r="F266" s="40"/>
      <c r="G266" s="40"/>
      <c r="H266" s="40">
        <f>IF(AND(F266=0,G266=0),D266*E266,IF(AND(E266=0,G266=0),D266*F266,IF(AND(E266=0,F266=0),D266*G266,IF(AND(E266=0),D266*F266*G266,IF(AND(F266=0),D266*E266*G266,IF(AND(G266=0),D266*E266*F266,D266*E266*F266*G266))))))</f>
        <v>0</v>
      </c>
      <c r="I266" s="40"/>
      <c r="J266" s="41" t="str">
        <f>IF(AND(E266=0,F266&lt;&gt;0,G266&lt;&gt;0),"m2",IF(AND(F266=0,E266&lt;&gt;0,G266&lt;&gt;0),"m2",IF(AND(G266=0,E266&lt;&gt;0,F266&lt;&gt;0),"m2",IF(AND(F266=0,G266=0),"ml",IF(AND(E266=0,G266=0),"ml",IF(AND(E266=0,F266=0),"ml",IF(AND(E266&lt;&gt;0,F266&lt;&gt;0,G266&lt;&gt;0),"m3",0)))))))</f>
        <v>ml</v>
      </c>
    </row>
    <row r="267" spans="2:10" s="1" customFormat="1" ht="12.75" x14ac:dyDescent="0.2">
      <c r="B267" s="43"/>
      <c r="C267" s="39"/>
      <c r="D267" s="60"/>
      <c r="E267" s="40"/>
      <c r="F267" s="40"/>
      <c r="G267" s="40"/>
      <c r="H267" s="40"/>
      <c r="I267" s="40"/>
      <c r="J267" s="41"/>
    </row>
    <row r="268" spans="2:10" s="1" customFormat="1" ht="12.75" x14ac:dyDescent="0.2">
      <c r="B268" s="43" t="s">
        <v>232</v>
      </c>
      <c r="C268" s="43" t="s">
        <v>235</v>
      </c>
      <c r="D268" s="60"/>
      <c r="E268" s="40"/>
      <c r="F268" s="40"/>
      <c r="G268" s="40"/>
      <c r="H268" s="40"/>
      <c r="I268" s="44">
        <f>SUM(H269:H269)</f>
        <v>79.8</v>
      </c>
      <c r="J268" s="45" t="str">
        <f>+J269</f>
        <v>ml</v>
      </c>
    </row>
    <row r="269" spans="2:10" s="1" customFormat="1" ht="12.75" x14ac:dyDescent="0.2">
      <c r="B269" s="57"/>
      <c r="C269" s="39" t="s">
        <v>378</v>
      </c>
      <c r="D269" s="40">
        <v>7</v>
      </c>
      <c r="E269" s="40">
        <v>11.4</v>
      </c>
      <c r="F269" s="40"/>
      <c r="G269" s="40"/>
      <c r="H269" s="40">
        <f>IF(AND(F269=0,G269=0),D269*E269,IF(AND(E269=0,G269=0),D269*F269,IF(AND(E269=0,F269=0),D269*G269,IF(AND(E269=0),D269*F269*G269,IF(AND(F269=0),D269*E269*G269,IF(AND(G269=0),D269*E269*F269,D269*E269*F269*G269))))))</f>
        <v>79.8</v>
      </c>
      <c r="I269" s="40"/>
      <c r="J269" s="41" t="str">
        <f>IF(AND(E269=0,F269&lt;&gt;0,G269&lt;&gt;0),"m2",IF(AND(F269=0,E269&lt;&gt;0,G269&lt;&gt;0),"m2",IF(AND(G269=0,E269&lt;&gt;0,F269&lt;&gt;0),"m2",IF(AND(F269=0,G269=0),"ml",IF(AND(E269=0,G269=0),"ml",IF(AND(E269=0,F269=0),"ml",IF(AND(E269&lt;&gt;0,F269&lt;&gt;0,G269&lt;&gt;0),"m3",0)))))))</f>
        <v>ml</v>
      </c>
    </row>
    <row r="270" spans="2:10" s="1" customFormat="1" ht="12.75" x14ac:dyDescent="0.2">
      <c r="B270" s="57"/>
      <c r="C270" s="39" t="s">
        <v>379</v>
      </c>
      <c r="D270" s="40">
        <v>1</v>
      </c>
      <c r="E270" s="40">
        <v>28.8</v>
      </c>
      <c r="F270" s="40"/>
      <c r="G270" s="40"/>
      <c r="H270" s="40">
        <f>IF(AND(F270=0,G270=0),D270*E270,IF(AND(E270=0,G270=0),D270*F270,IF(AND(E270=0,F270=0),D270*G270,IF(AND(E270=0),D270*F270*G270,IF(AND(F270=0),D270*E270*G270,IF(AND(G270=0),D270*E270*F270,D270*E270*F270*G270))))))</f>
        <v>28.8</v>
      </c>
      <c r="I270" s="40"/>
      <c r="J270" s="41" t="str">
        <f>IF(AND(E270=0,F270&lt;&gt;0,G270&lt;&gt;0),"m2",IF(AND(F270=0,E270&lt;&gt;0,G270&lt;&gt;0),"m2",IF(AND(G270=0,E270&lt;&gt;0,F270&lt;&gt;0),"m2",IF(AND(F270=0,G270=0),"ml",IF(AND(E270=0,G270=0),"ml",IF(AND(E270=0,F270=0),"ml",IF(AND(E270&lt;&gt;0,F270&lt;&gt;0,G270&lt;&gt;0),"m3",0)))))))</f>
        <v>ml</v>
      </c>
    </row>
    <row r="271" spans="2:10" s="1" customFormat="1" ht="12.75" x14ac:dyDescent="0.2">
      <c r="B271" s="43" t="s">
        <v>233</v>
      </c>
      <c r="C271" s="43" t="s">
        <v>236</v>
      </c>
      <c r="D271" s="60"/>
      <c r="E271" s="40"/>
      <c r="F271" s="40"/>
      <c r="G271" s="40"/>
      <c r="H271" s="40"/>
      <c r="I271" s="44">
        <f>SUM(H272:H272)</f>
        <v>0</v>
      </c>
      <c r="J271" s="45" t="str">
        <f>+J272</f>
        <v>ml</v>
      </c>
    </row>
    <row r="272" spans="2:10" s="1" customFormat="1" ht="12.75" x14ac:dyDescent="0.2">
      <c r="B272" s="57"/>
      <c r="C272" s="39" t="s">
        <v>231</v>
      </c>
      <c r="D272" s="40"/>
      <c r="E272" s="40"/>
      <c r="F272" s="40"/>
      <c r="G272" s="40"/>
      <c r="H272" s="40">
        <f>IF(AND(F272=0,G272=0),D272*E272,IF(AND(E272=0,G272=0),D272*F272,IF(AND(E272=0,F272=0),D272*G272,IF(AND(E272=0),D272*F272*G272,IF(AND(F272=0),D272*E272*G272,IF(AND(G272=0),D272*E272*F272,D272*E272*F272*G272))))))</f>
        <v>0</v>
      </c>
      <c r="I272" s="40"/>
      <c r="J272" s="41" t="str">
        <f>IF(AND(E272=0,F272&lt;&gt;0,G272&lt;&gt;0),"m2",IF(AND(F272=0,E272&lt;&gt;0,G272&lt;&gt;0),"m2",IF(AND(G272=0,E272&lt;&gt;0,F272&lt;&gt;0),"m2",IF(AND(F272=0,G272=0),"ml",IF(AND(E272=0,G272=0),"ml",IF(AND(E272=0,F272=0),"ml",IF(AND(E272&lt;&gt;0,F272&lt;&gt;0,G272&lt;&gt;0),"m3",0)))))))</f>
        <v>ml</v>
      </c>
    </row>
    <row r="273" spans="2:10" s="1" customFormat="1" ht="12.75" x14ac:dyDescent="0.2">
      <c r="B273" s="43" t="s">
        <v>234</v>
      </c>
      <c r="C273" s="43" t="s">
        <v>267</v>
      </c>
      <c r="D273" s="60"/>
      <c r="E273" s="40"/>
      <c r="F273" s="40"/>
      <c r="G273" s="40"/>
      <c r="H273" s="40"/>
      <c r="I273" s="44">
        <f>SUM(H275:H280)</f>
        <v>89.25</v>
      </c>
      <c r="J273" s="45" t="str">
        <f>+J275</f>
        <v>ml</v>
      </c>
    </row>
    <row r="274" spans="2:10" s="1" customFormat="1" ht="12.75" x14ac:dyDescent="0.2">
      <c r="B274" s="43"/>
      <c r="C274" s="39" t="s">
        <v>71</v>
      </c>
      <c r="D274" s="60"/>
      <c r="E274" s="40"/>
      <c r="F274" s="40"/>
      <c r="G274" s="40"/>
      <c r="H274" s="40"/>
      <c r="I274" s="44"/>
      <c r="J274" s="45"/>
    </row>
    <row r="275" spans="2:10" s="1" customFormat="1" ht="12.75" x14ac:dyDescent="0.2">
      <c r="B275" s="43"/>
      <c r="C275" s="39" t="s">
        <v>349</v>
      </c>
      <c r="D275" s="40">
        <f>+D269</f>
        <v>7</v>
      </c>
      <c r="E275" s="40">
        <v>3.25</v>
      </c>
      <c r="F275" s="40"/>
      <c r="G275" s="40"/>
      <c r="H275" s="40">
        <f t="shared" ref="H275:H280" si="8">IF(AND(F275=0,G275=0),D275*E275,IF(AND(E275=0,G275=0),D275*F275,IF(AND(E275=0,F275=0),D275*G275,IF(AND(E275=0),D275*F275*G275,IF(AND(F275=0),D275*E275*G275,IF(AND(G275=0),D275*E275*F275,D275*E275*F275*G275))))))</f>
        <v>22.75</v>
      </c>
      <c r="I275" s="40"/>
      <c r="J275" s="41" t="str">
        <f t="shared" ref="J275:J280" si="9">IF(AND(E275=0,F275&lt;&gt;0,G275&lt;&gt;0),"m2",IF(AND(F275=0,E275&lt;&gt;0,G275&lt;&gt;0),"m2",IF(AND(G275=0,E275&lt;&gt;0,F275&lt;&gt;0),"m2",IF(AND(F275=0,G275=0),"ml",IF(AND(E275=0,G275=0),"ml",IF(AND(E275=0,F275=0),"ml",IF(AND(E275&lt;&gt;0,F275&lt;&gt;0,G275&lt;&gt;0),"m3",0)))))))</f>
        <v>ml</v>
      </c>
    </row>
    <row r="276" spans="2:10" s="1" customFormat="1" ht="12.75" x14ac:dyDescent="0.2">
      <c r="B276" s="43"/>
      <c r="C276" s="39" t="s">
        <v>369</v>
      </c>
      <c r="D276" s="40">
        <f>+D275</f>
        <v>7</v>
      </c>
      <c r="E276" s="40">
        <v>3</v>
      </c>
      <c r="F276" s="40"/>
      <c r="G276" s="40"/>
      <c r="H276" s="40">
        <f t="shared" si="8"/>
        <v>21</v>
      </c>
      <c r="I276" s="40"/>
      <c r="J276" s="41" t="str">
        <f t="shared" si="9"/>
        <v>ml</v>
      </c>
    </row>
    <row r="277" spans="2:10" s="1" customFormat="1" ht="12.75" x14ac:dyDescent="0.2">
      <c r="B277" s="43"/>
      <c r="C277" s="39" t="s">
        <v>72</v>
      </c>
      <c r="D277" s="40"/>
      <c r="E277" s="40"/>
      <c r="F277" s="40"/>
      <c r="G277" s="40"/>
      <c r="H277" s="40">
        <f t="shared" si="8"/>
        <v>0</v>
      </c>
      <c r="I277" s="40"/>
      <c r="J277" s="41" t="str">
        <f t="shared" si="9"/>
        <v>ml</v>
      </c>
    </row>
    <row r="278" spans="2:10" s="1" customFormat="1" ht="12.75" x14ac:dyDescent="0.2">
      <c r="B278" s="43"/>
      <c r="C278" s="39" t="s">
        <v>349</v>
      </c>
      <c r="D278" s="40">
        <f>+D275</f>
        <v>7</v>
      </c>
      <c r="E278" s="40">
        <v>3.25</v>
      </c>
      <c r="F278" s="40"/>
      <c r="G278" s="40"/>
      <c r="H278" s="40">
        <f t="shared" si="8"/>
        <v>22.75</v>
      </c>
      <c r="I278" s="40"/>
      <c r="J278" s="41" t="str">
        <f t="shared" si="9"/>
        <v>ml</v>
      </c>
    </row>
    <row r="279" spans="2:10" s="1" customFormat="1" ht="12.75" x14ac:dyDescent="0.2">
      <c r="B279" s="43"/>
      <c r="C279" s="39" t="s">
        <v>73</v>
      </c>
      <c r="D279" s="40"/>
      <c r="E279" s="40"/>
      <c r="F279" s="40"/>
      <c r="G279" s="40"/>
      <c r="H279" s="40">
        <f t="shared" si="8"/>
        <v>0</v>
      </c>
      <c r="I279" s="40"/>
      <c r="J279" s="41" t="str">
        <f t="shared" si="9"/>
        <v>ml</v>
      </c>
    </row>
    <row r="280" spans="2:10" s="1" customFormat="1" ht="12.75" x14ac:dyDescent="0.2">
      <c r="B280" s="43"/>
      <c r="C280" s="39" t="s">
        <v>349</v>
      </c>
      <c r="D280" s="40">
        <f>+D275</f>
        <v>7</v>
      </c>
      <c r="E280" s="40">
        <v>3.25</v>
      </c>
      <c r="F280" s="40"/>
      <c r="G280" s="40"/>
      <c r="H280" s="40">
        <f t="shared" si="8"/>
        <v>22.75</v>
      </c>
      <c r="I280" s="40"/>
      <c r="J280" s="41" t="str">
        <f t="shared" si="9"/>
        <v>ml</v>
      </c>
    </row>
    <row r="281" spans="2:10" s="1" customFormat="1" ht="12.75" x14ac:dyDescent="0.2">
      <c r="B281" s="43" t="s">
        <v>268</v>
      </c>
      <c r="C281" s="43" t="s">
        <v>347</v>
      </c>
      <c r="D281" s="60"/>
      <c r="E281" s="40"/>
      <c r="F281" s="40"/>
      <c r="G281" s="40"/>
      <c r="H281" s="40"/>
      <c r="I281" s="44">
        <f>SUM(H282:H286)</f>
        <v>0</v>
      </c>
      <c r="J281" s="45" t="str">
        <f>+J282</f>
        <v>ml</v>
      </c>
    </row>
    <row r="282" spans="2:10" s="1" customFormat="1" ht="12.75" x14ac:dyDescent="0.2">
      <c r="B282" s="57"/>
      <c r="C282" s="39" t="s">
        <v>71</v>
      </c>
      <c r="D282" s="40"/>
      <c r="E282" s="40"/>
      <c r="F282" s="40"/>
      <c r="G282" s="40"/>
      <c r="H282" s="40">
        <f>IF(AND(F282=0,G282=0),D282*E282,IF(AND(E282=0,G282=0),D282*F282,IF(AND(E282=0,F282=0),D282*G282,IF(AND(E282=0),D282*F282*G282,IF(AND(F282=0),D282*E282*G282,IF(AND(G282=0),D282*E282*F282,D282*E282*F282*G282))))))</f>
        <v>0</v>
      </c>
      <c r="I282" s="40"/>
      <c r="J282" s="41" t="str">
        <f>IF(AND(E282=0,F282&lt;&gt;0,G282&lt;&gt;0),"m2",IF(AND(F282=0,E282&lt;&gt;0,G282&lt;&gt;0),"m2",IF(AND(G282=0,E282&lt;&gt;0,F282&lt;&gt;0),"m2",IF(AND(F282=0,G282=0),"ml",IF(AND(E282=0,G282=0),"ml",IF(AND(E282=0,F282=0),"ml",IF(AND(E282&lt;&gt;0,F282&lt;&gt;0,G282&lt;&gt;0),"m3",0)))))))</f>
        <v>ml</v>
      </c>
    </row>
    <row r="283" spans="2:10" s="1" customFormat="1" ht="12.75" x14ac:dyDescent="0.2">
      <c r="B283" s="57"/>
      <c r="C283" s="39" t="s">
        <v>349</v>
      </c>
      <c r="D283" s="40"/>
      <c r="E283" s="40"/>
      <c r="F283" s="40"/>
      <c r="G283" s="40"/>
      <c r="H283" s="40">
        <f>IF(AND(F283=0,G283=0),D283*E283,IF(AND(E283=0,G283=0),D283*F283,IF(AND(E283=0,F283=0),D283*G283,IF(AND(E283=0),D283*F283*G283,IF(AND(F283=0),D283*E283*G283,IF(AND(G283=0),D283*E283*F283,D283*E283*F283*G283))))))</f>
        <v>0</v>
      </c>
      <c r="I283" s="40"/>
      <c r="J283" s="41" t="str">
        <f>IF(AND(E283=0,F283&lt;&gt;0,G283&lt;&gt;0),"m2",IF(AND(F283=0,E283&lt;&gt;0,G283&lt;&gt;0),"m2",IF(AND(G283=0,E283&lt;&gt;0,F283&lt;&gt;0),"m2",IF(AND(F283=0,G283=0),"ml",IF(AND(E283=0,G283=0),"ml",IF(AND(E283=0,F283=0),"ml",IF(AND(E283&lt;&gt;0,F283&lt;&gt;0,G283&lt;&gt;0),"m3",0)))))))</f>
        <v>ml</v>
      </c>
    </row>
    <row r="284" spans="2:10" s="1" customFormat="1" ht="12.75" x14ac:dyDescent="0.2">
      <c r="B284" s="57"/>
      <c r="C284" s="39" t="s">
        <v>369</v>
      </c>
      <c r="D284" s="40"/>
      <c r="E284" s="40"/>
      <c r="F284" s="40"/>
      <c r="G284" s="40"/>
      <c r="H284" s="40">
        <f>IF(AND(F284=0,G284=0),D284*E284,IF(AND(E284=0,G284=0),D284*F284,IF(AND(E284=0,F284=0),D284*G284,IF(AND(E284=0),D284*F284*G284,IF(AND(F284=0),D284*E284*G284,IF(AND(G284=0),D284*E284*F284,D284*E284*F284*G284))))))</f>
        <v>0</v>
      </c>
      <c r="I284" s="40"/>
      <c r="J284" s="41" t="str">
        <f>IF(AND(E284=0,F284&lt;&gt;0,G284&lt;&gt;0),"m2",IF(AND(F284=0,E284&lt;&gt;0,G284&lt;&gt;0),"m2",IF(AND(G284=0,E284&lt;&gt;0,F284&lt;&gt;0),"m2",IF(AND(F284=0,G284=0),"ml",IF(AND(E284=0,G284=0),"ml",IF(AND(E284=0,F284=0),"ml",IF(AND(E284&lt;&gt;0,F284&lt;&gt;0,G284&lt;&gt;0),"m3",0)))))))</f>
        <v>ml</v>
      </c>
    </row>
    <row r="285" spans="2:10" s="1" customFormat="1" ht="12.75" x14ac:dyDescent="0.2">
      <c r="B285" s="57"/>
      <c r="C285" s="39" t="s">
        <v>72</v>
      </c>
      <c r="D285" s="40"/>
      <c r="E285" s="40"/>
      <c r="F285" s="40"/>
      <c r="G285" s="40"/>
      <c r="H285" s="40">
        <f>IF(AND(F285=0,G285=0),D285*E285,IF(AND(E285=0,G285=0),D285*F285,IF(AND(E285=0,F285=0),D285*G285,IF(AND(E285=0),D285*F285*G285,IF(AND(F285=0),D285*E285*G285,IF(AND(G285=0),D285*E285*F285,D285*E285*F285*G285))))))</f>
        <v>0</v>
      </c>
      <c r="I285" s="40"/>
      <c r="J285" s="41" t="str">
        <f>IF(AND(E285=0,F285&lt;&gt;0,G285&lt;&gt;0),"m2",IF(AND(F285=0,E285&lt;&gt;0,G285&lt;&gt;0),"m2",IF(AND(G285=0,E285&lt;&gt;0,F285&lt;&gt;0),"m2",IF(AND(F285=0,G285=0),"ml",IF(AND(E285=0,G285=0),"ml",IF(AND(E285=0,F285=0),"ml",IF(AND(E285&lt;&gt;0,F285&lt;&gt;0,G285&lt;&gt;0),"m3",0)))))))</f>
        <v>ml</v>
      </c>
    </row>
    <row r="286" spans="2:10" s="1" customFormat="1" ht="12.75" x14ac:dyDescent="0.2">
      <c r="B286" s="57"/>
      <c r="C286" s="39" t="s">
        <v>73</v>
      </c>
      <c r="D286" s="40"/>
      <c r="E286" s="40"/>
      <c r="F286" s="40"/>
      <c r="G286" s="40"/>
      <c r="H286" s="40">
        <f>IF(AND(F286=0,G286=0),D286*E286,IF(AND(E286=0,G286=0),D286*F286,IF(AND(E286=0,F286=0),D286*G286,IF(AND(E286=0),D286*F286*G286,IF(AND(F286=0),D286*E286*G286,IF(AND(G286=0),D286*E286*F286,D286*E286*F286*G286))))))</f>
        <v>0</v>
      </c>
      <c r="I286" s="40"/>
      <c r="J286" s="41" t="str">
        <f>IF(AND(E286=0,F286&lt;&gt;0,G286&lt;&gt;0),"m2",IF(AND(F286=0,E286&lt;&gt;0,G286&lt;&gt;0),"m2",IF(AND(G286=0,E286&lt;&gt;0,F286&lt;&gt;0),"m2",IF(AND(F286=0,G286=0),"ml",IF(AND(E286=0,G286=0),"ml",IF(AND(E286=0,F286=0),"ml",IF(AND(E286&lt;&gt;0,F286&lt;&gt;0,G286&lt;&gt;0),"m3",0)))))))</f>
        <v>ml</v>
      </c>
    </row>
    <row r="287" spans="2:10" s="1" customFormat="1" ht="12.75" x14ac:dyDescent="0.2">
      <c r="B287" s="43" t="s">
        <v>270</v>
      </c>
      <c r="C287" s="43" t="s">
        <v>269</v>
      </c>
      <c r="D287" s="60"/>
      <c r="E287" s="40"/>
      <c r="F287" s="40"/>
      <c r="G287" s="40"/>
      <c r="H287" s="40"/>
      <c r="I287" s="44">
        <f>SUM(H288:H290)</f>
        <v>0</v>
      </c>
      <c r="J287" s="45" t="str">
        <f>+J288</f>
        <v>ml</v>
      </c>
    </row>
    <row r="288" spans="2:10" s="1" customFormat="1" ht="12.75" x14ac:dyDescent="0.2">
      <c r="B288" s="57"/>
      <c r="C288" s="39" t="s">
        <v>71</v>
      </c>
      <c r="D288" s="40"/>
      <c r="E288" s="40"/>
      <c r="F288" s="40"/>
      <c r="G288" s="40"/>
      <c r="H288" s="40">
        <f>IF(AND(F288=0,G288=0),D288*E288,IF(AND(E288=0,G288=0),D288*F288,IF(AND(E288=0,F288=0),D288*G288,IF(AND(E288=0),D288*F288*G288,IF(AND(F288=0),D288*E288*G288,IF(AND(G288=0),D288*E288*F288,D288*E288*F288*G288))))))</f>
        <v>0</v>
      </c>
      <c r="I288" s="40"/>
      <c r="J288" s="41" t="str">
        <f>IF(AND(E288=0,F288&lt;&gt;0,G288&lt;&gt;0),"m2",IF(AND(F288=0,E288&lt;&gt;0,G288&lt;&gt;0),"m2",IF(AND(G288=0,E288&lt;&gt;0,F288&lt;&gt;0),"m2",IF(AND(F288=0,G288=0),"ml",IF(AND(E288=0,G288=0),"ml",IF(AND(E288=0,F288=0),"ml",IF(AND(E288&lt;&gt;0,F288&lt;&gt;0,G288&lt;&gt;0),"m3",0)))))))</f>
        <v>ml</v>
      </c>
    </row>
    <row r="289" spans="2:10" s="1" customFormat="1" ht="12.75" customHeight="1" x14ac:dyDescent="0.2">
      <c r="B289" s="57"/>
      <c r="C289" s="39" t="s">
        <v>72</v>
      </c>
      <c r="D289" s="40"/>
      <c r="E289" s="40"/>
      <c r="F289" s="40"/>
      <c r="G289" s="40"/>
      <c r="H289" s="40">
        <f>IF(AND(F289=0,G289=0),D289*E289,IF(AND(E289=0,G289=0),D289*F289,IF(AND(E289=0,F289=0),D289*G289,IF(AND(E289=0),D289*F289*G289,IF(AND(F289=0),D289*E289*G289,IF(AND(G289=0),D289*E289*F289,D289*E289*F289*G289))))))</f>
        <v>0</v>
      </c>
      <c r="I289" s="40"/>
      <c r="J289" s="41" t="str">
        <f>IF(AND(E289=0,F289&lt;&gt;0,G289&lt;&gt;0),"m2",IF(AND(F289=0,E289&lt;&gt;0,G289&lt;&gt;0),"m2",IF(AND(G289=0,E289&lt;&gt;0,F289&lt;&gt;0),"m2",IF(AND(F289=0,G289=0),"ml",IF(AND(E289=0,G289=0),"ml",IF(AND(E289=0,F289=0),"ml",IF(AND(E289&lt;&gt;0,F289&lt;&gt;0,G289&lt;&gt;0),"m3",0)))))))</f>
        <v>ml</v>
      </c>
    </row>
    <row r="290" spans="2:10" s="1" customFormat="1" ht="12.75" x14ac:dyDescent="0.2">
      <c r="B290" s="57"/>
      <c r="C290" s="39" t="s">
        <v>73</v>
      </c>
      <c r="D290" s="40"/>
      <c r="E290" s="40"/>
      <c r="F290" s="40"/>
      <c r="G290" s="40"/>
      <c r="H290" s="40">
        <f>IF(AND(F290=0,G290=0),D290*E290,IF(AND(E290=0,G290=0),D290*F290,IF(AND(E290=0,F290=0),D290*G290,IF(AND(E290=0),D290*F290*G290,IF(AND(F290=0),D290*E290*G290,IF(AND(G290=0),D290*E290*F290,D290*E290*F290*G290))))))</f>
        <v>0</v>
      </c>
      <c r="I290" s="40"/>
      <c r="J290" s="41" t="str">
        <f>IF(AND(E290=0,F290&lt;&gt;0,G290&lt;&gt;0),"m2",IF(AND(F290=0,E290&lt;&gt;0,G290&lt;&gt;0),"m2",IF(AND(G290=0,E290&lt;&gt;0,F290&lt;&gt;0),"m2",IF(AND(F290=0,G290=0),"ml",IF(AND(E290=0,G290=0),"ml",IF(AND(E290=0,F290=0),"ml",IF(AND(E290&lt;&gt;0,F290&lt;&gt;0,G290&lt;&gt;0),"m3",0)))))))</f>
        <v>ml</v>
      </c>
    </row>
    <row r="291" spans="2:10" s="1" customFormat="1" ht="12.75" x14ac:dyDescent="0.2">
      <c r="B291" s="43" t="s">
        <v>342</v>
      </c>
      <c r="C291" s="43" t="s">
        <v>271</v>
      </c>
      <c r="D291" s="60"/>
      <c r="E291" s="40"/>
      <c r="F291" s="40"/>
      <c r="G291" s="40"/>
      <c r="H291" s="40"/>
      <c r="I291" s="44">
        <f>SUM(H292:H292)</f>
        <v>0</v>
      </c>
      <c r="J291" s="45" t="str">
        <f>+J292</f>
        <v>und</v>
      </c>
    </row>
    <row r="292" spans="2:10" s="1" customFormat="1" ht="12.75" x14ac:dyDescent="0.2">
      <c r="B292" s="57"/>
      <c r="C292" s="39" t="s">
        <v>370</v>
      </c>
      <c r="D292" s="40"/>
      <c r="E292" s="40"/>
      <c r="F292" s="40"/>
      <c r="G292" s="40"/>
      <c r="H292" s="40">
        <f>+D292</f>
        <v>0</v>
      </c>
      <c r="I292" s="40"/>
      <c r="J292" s="41" t="s">
        <v>13</v>
      </c>
    </row>
    <row r="293" spans="2:10" s="1" customFormat="1" ht="12.75" x14ac:dyDescent="0.2">
      <c r="B293" s="43" t="s">
        <v>346</v>
      </c>
      <c r="C293" s="43" t="s">
        <v>348</v>
      </c>
      <c r="D293" s="60"/>
      <c r="E293" s="40"/>
      <c r="F293" s="40"/>
      <c r="G293" s="40"/>
      <c r="H293" s="40"/>
      <c r="I293" s="44">
        <f>SUM(H294:H294)</f>
        <v>7</v>
      </c>
      <c r="J293" s="45" t="str">
        <f>+J294</f>
        <v>und</v>
      </c>
    </row>
    <row r="294" spans="2:10" s="1" customFormat="1" ht="12.75" x14ac:dyDescent="0.2">
      <c r="B294" s="57"/>
      <c r="C294" s="39" t="s">
        <v>349</v>
      </c>
      <c r="D294" s="40">
        <f>+D269</f>
        <v>7</v>
      </c>
      <c r="E294" s="40"/>
      <c r="F294" s="40"/>
      <c r="G294" s="40"/>
      <c r="H294" s="40">
        <f>+D294</f>
        <v>7</v>
      </c>
      <c r="I294" s="40"/>
      <c r="J294" s="41" t="s">
        <v>13</v>
      </c>
    </row>
    <row r="295" spans="2:10" s="1" customFormat="1" ht="12.75" x14ac:dyDescent="0.2">
      <c r="B295" s="57" t="s">
        <v>16</v>
      </c>
      <c r="C295" s="58" t="s">
        <v>224</v>
      </c>
      <c r="D295" s="60"/>
      <c r="E295" s="40"/>
      <c r="F295" s="40"/>
      <c r="G295" s="40"/>
      <c r="H295" s="40"/>
      <c r="I295" s="40"/>
      <c r="J295" s="41"/>
    </row>
    <row r="296" spans="2:10" s="1" customFormat="1" ht="12.75" x14ac:dyDescent="0.2">
      <c r="B296" s="43" t="s">
        <v>17</v>
      </c>
      <c r="C296" s="43" t="s">
        <v>343</v>
      </c>
      <c r="D296" s="60"/>
      <c r="E296" s="40"/>
      <c r="F296" s="40"/>
      <c r="G296" s="40"/>
      <c r="H296" s="40"/>
      <c r="I296" s="44">
        <f>SUM(H297:H297)</f>
        <v>30.5</v>
      </c>
      <c r="J296" s="45" t="str">
        <f>+J297</f>
        <v>ml</v>
      </c>
    </row>
    <row r="297" spans="2:10" s="1" customFormat="1" ht="12.75" x14ac:dyDescent="0.2">
      <c r="B297" s="57"/>
      <c r="C297" s="39" t="s">
        <v>344</v>
      </c>
      <c r="D297" s="40">
        <v>1</v>
      </c>
      <c r="E297" s="40">
        <v>30.5</v>
      </c>
      <c r="F297" s="40"/>
      <c r="G297" s="40"/>
      <c r="H297" s="40">
        <f>IF(AND(F297=0,G297=0),D297*E297,IF(AND(E297=0,G297=0),D297*F297,IF(AND(E297=0,F297=0),D297*G297,IF(AND(E297=0),D297*F297*G297,IF(AND(F297=0),D297*E297*G297,IF(AND(G297=0),D297*E297*F297,D297*E297*F297*G297))))))</f>
        <v>30.5</v>
      </c>
      <c r="I297" s="40"/>
      <c r="J297" s="41" t="str">
        <f>IF(AND(E297=0,F297&lt;&gt;0,G297&lt;&gt;0),"m2",IF(AND(F297=0,E297&lt;&gt;0,G297&lt;&gt;0),"m2",IF(AND(G297=0,E297&lt;&gt;0,F297&lt;&gt;0),"m2",IF(AND(F297=0,G297=0),"ml",IF(AND(E297=0,G297=0),"ml",IF(AND(E297=0,F297=0),"ml",IF(AND(E297&lt;&gt;0,F297&lt;&gt;0,G297&lt;&gt;0),"m3",0)))))))</f>
        <v>ml</v>
      </c>
    </row>
    <row r="298" spans="2:10" s="1" customFormat="1" ht="12.75" x14ac:dyDescent="0.2">
      <c r="B298" s="43" t="s">
        <v>240</v>
      </c>
      <c r="C298" s="43" t="s">
        <v>237</v>
      </c>
      <c r="D298" s="60"/>
      <c r="E298" s="40"/>
      <c r="F298" s="40"/>
      <c r="G298" s="40"/>
      <c r="H298" s="40"/>
      <c r="I298" s="44">
        <f>SUM(H299:H300)</f>
        <v>0</v>
      </c>
      <c r="J298" s="45" t="str">
        <f>+J299</f>
        <v>ml</v>
      </c>
    </row>
    <row r="299" spans="2:10" s="1" customFormat="1" ht="12.75" x14ac:dyDescent="0.2">
      <c r="B299" s="57"/>
      <c r="C299" s="39" t="s">
        <v>371</v>
      </c>
      <c r="D299" s="40"/>
      <c r="E299" s="40"/>
      <c r="F299" s="40"/>
      <c r="G299" s="40"/>
      <c r="H299" s="40">
        <f>IF(AND(F299=0,G299=0),D299*E299,IF(AND(E299=0,G299=0),D299*F299,IF(AND(E299=0,F299=0),D299*G299,IF(AND(E299=0),D299*F299*G299,IF(AND(F299=0),D299*E299*G299,IF(AND(G299=0),D299*E299*F299,D299*E299*F299*G299))))))</f>
        <v>0</v>
      </c>
      <c r="I299" s="40"/>
      <c r="J299" s="41" t="str">
        <f>IF(AND(E299=0,F299&lt;&gt;0,G299&lt;&gt;0),"m2",IF(AND(F299=0,E299&lt;&gt;0,G299&lt;&gt;0),"m2",IF(AND(G299=0,E299&lt;&gt;0,F299&lt;&gt;0),"m2",IF(AND(F299=0,G299=0),"ml",IF(AND(E299=0,G299=0),"ml",IF(AND(E299=0,F299=0),"ml",IF(AND(E299&lt;&gt;0,F299&lt;&gt;0,G299&lt;&gt;0),"m3",0)))))))</f>
        <v>ml</v>
      </c>
    </row>
    <row r="300" spans="2:10" s="1" customFormat="1" ht="12.75" x14ac:dyDescent="0.2">
      <c r="B300" s="57"/>
      <c r="C300" s="39" t="s">
        <v>371</v>
      </c>
      <c r="D300" s="40"/>
      <c r="E300" s="40"/>
      <c r="F300" s="40"/>
      <c r="G300" s="40"/>
      <c r="H300" s="40">
        <f>IF(AND(F300=0,G300=0),D300*E300,IF(AND(E300=0,G300=0),D300*F300,IF(AND(E300=0,F300=0),D300*G300,IF(AND(E300=0),D300*F300*G300,IF(AND(F300=0),D300*E300*G300,IF(AND(G300=0),D300*E300*F300,D300*E300*F300*G300))))))</f>
        <v>0</v>
      </c>
      <c r="I300" s="40"/>
      <c r="J300" s="41" t="str">
        <f>IF(AND(E300=0,F300&lt;&gt;0,G300&lt;&gt;0),"m2",IF(AND(F300=0,E300&lt;&gt;0,G300&lt;&gt;0),"m2",IF(AND(G300=0,E300&lt;&gt;0,F300&lt;&gt;0),"m2",IF(AND(F300=0,G300=0),"ml",IF(AND(E300=0,G300=0),"ml",IF(AND(E300=0,F300=0),"ml",IF(AND(E300&lt;&gt;0,F300&lt;&gt;0,G300&lt;&gt;0),"m3",0)))))))</f>
        <v>ml</v>
      </c>
    </row>
    <row r="301" spans="2:10" s="1" customFormat="1" ht="12.75" x14ac:dyDescent="0.2">
      <c r="B301" s="43" t="s">
        <v>241</v>
      </c>
      <c r="C301" s="43" t="s">
        <v>239</v>
      </c>
      <c r="D301" s="60"/>
      <c r="E301" s="40"/>
      <c r="F301" s="40"/>
      <c r="G301" s="40"/>
      <c r="H301" s="40"/>
      <c r="I301" s="44">
        <f>SUM(H302:H302)</f>
        <v>0</v>
      </c>
      <c r="J301" s="45" t="str">
        <f>+J302</f>
        <v>ml</v>
      </c>
    </row>
    <row r="302" spans="2:10" s="1" customFormat="1" ht="12.75" x14ac:dyDescent="0.2">
      <c r="B302" s="57"/>
      <c r="C302" s="39" t="s">
        <v>238</v>
      </c>
      <c r="D302" s="40"/>
      <c r="E302" s="40"/>
      <c r="F302" s="40"/>
      <c r="G302" s="40"/>
      <c r="H302" s="40">
        <f>IF(AND(F302=0,G302=0),D302*E302,IF(AND(E302=0,G302=0),D302*F302,IF(AND(E302=0,F302=0),D302*G302,IF(AND(E302=0),D302*F302*G302,IF(AND(F302=0),D302*E302*G302,IF(AND(G302=0),D302*E302*F302,D302*E302*F302*G302))))))</f>
        <v>0</v>
      </c>
      <c r="I302" s="40"/>
      <c r="J302" s="41" t="str">
        <f>IF(AND(E302=0,F302&lt;&gt;0,G302&lt;&gt;0),"m2",IF(AND(F302=0,E302&lt;&gt;0,G302&lt;&gt;0),"m2",IF(AND(G302=0,E302&lt;&gt;0,F302&lt;&gt;0),"m2",IF(AND(F302=0,G302=0),"ml",IF(AND(E302=0,G302=0),"ml",IF(AND(E302=0,F302=0),"ml",IF(AND(E302&lt;&gt;0,F302&lt;&gt;0,G302&lt;&gt;0),"m3",0)))))))</f>
        <v>ml</v>
      </c>
    </row>
    <row r="303" spans="2:10" s="1" customFormat="1" ht="12.75" x14ac:dyDescent="0.2">
      <c r="B303" s="43" t="s">
        <v>243</v>
      </c>
      <c r="C303" s="43" t="s">
        <v>242</v>
      </c>
      <c r="D303" s="60"/>
      <c r="E303" s="40"/>
      <c r="F303" s="40"/>
      <c r="G303" s="40"/>
      <c r="H303" s="40"/>
      <c r="I303" s="44">
        <f>SUM(H304:H304)</f>
        <v>0</v>
      </c>
      <c r="J303" s="45" t="str">
        <f>+J304</f>
        <v>ml</v>
      </c>
    </row>
    <row r="304" spans="2:10" s="1" customFormat="1" ht="12.75" x14ac:dyDescent="0.2">
      <c r="B304" s="57"/>
      <c r="C304" s="39" t="s">
        <v>238</v>
      </c>
      <c r="D304" s="40"/>
      <c r="E304" s="40"/>
      <c r="F304" s="40"/>
      <c r="G304" s="40"/>
      <c r="H304" s="40">
        <f>IF(AND(F304=0,G304=0),D304*E304,IF(AND(E304=0,G304=0),D304*F304,IF(AND(E304=0,F304=0),D304*G304,IF(AND(E304=0),D304*F304*G304,IF(AND(F304=0),D304*E304*G304,IF(AND(G304=0),D304*E304*F304,D304*E304*F304*G304))))))</f>
        <v>0</v>
      </c>
      <c r="I304" s="40"/>
      <c r="J304" s="41" t="str">
        <f>IF(AND(E304=0,F304&lt;&gt;0,G304&lt;&gt;0),"m2",IF(AND(F304=0,E304&lt;&gt;0,G304&lt;&gt;0),"m2",IF(AND(G304=0,E304&lt;&gt;0,F304&lt;&gt;0),"m2",IF(AND(F304=0,G304=0),"ml",IF(AND(E304=0,G304=0),"ml",IF(AND(E304=0,F304=0),"ml",IF(AND(E304&lt;&gt;0,F304&lt;&gt;0,G304&lt;&gt;0),"m3",0)))))))</f>
        <v>ml</v>
      </c>
    </row>
    <row r="305" spans="2:10" s="1" customFormat="1" ht="12.75" x14ac:dyDescent="0.2">
      <c r="B305" s="43" t="s">
        <v>244</v>
      </c>
      <c r="C305" s="43" t="s">
        <v>245</v>
      </c>
      <c r="D305" s="60"/>
      <c r="E305" s="40"/>
      <c r="F305" s="40"/>
      <c r="G305" s="40"/>
      <c r="H305" s="40"/>
      <c r="I305" s="44">
        <f>SUM(H306:H306)</f>
        <v>0</v>
      </c>
      <c r="J305" s="45" t="str">
        <f>+J306</f>
        <v>ml</v>
      </c>
    </row>
    <row r="306" spans="2:10" s="1" customFormat="1" ht="12.75" x14ac:dyDescent="0.2">
      <c r="B306" s="57"/>
      <c r="C306" s="39" t="s">
        <v>238</v>
      </c>
      <c r="D306" s="40"/>
      <c r="E306" s="40"/>
      <c r="F306" s="40"/>
      <c r="G306" s="40"/>
      <c r="H306" s="40">
        <f>IF(AND(F306=0,G306=0),D306*E306,IF(AND(E306=0,G306=0),D306*F306,IF(AND(E306=0,F306=0),D306*G306,IF(AND(E306=0),D306*F306*G306,IF(AND(F306=0),D306*E306*G306,IF(AND(G306=0),D306*E306*F306,D306*E306*F306*G306))))))</f>
        <v>0</v>
      </c>
      <c r="I306" s="40"/>
      <c r="J306" s="41" t="str">
        <f>IF(AND(E306=0,F306&lt;&gt;0,G306&lt;&gt;0),"m2",IF(AND(F306=0,E306&lt;&gt;0,G306&lt;&gt;0),"m2",IF(AND(G306=0,E306&lt;&gt;0,F306&lt;&gt;0),"m2",IF(AND(F306=0,G306=0),"ml",IF(AND(E306=0,G306=0),"ml",IF(AND(E306=0,F306=0),"ml",IF(AND(E306&lt;&gt;0,F306&lt;&gt;0,G306&lt;&gt;0),"m3",0)))))))</f>
        <v>ml</v>
      </c>
    </row>
    <row r="307" spans="2:10" s="1" customFormat="1" ht="12.75" x14ac:dyDescent="0.2">
      <c r="B307" s="43" t="s">
        <v>248</v>
      </c>
      <c r="C307" s="43" t="s">
        <v>246</v>
      </c>
      <c r="D307" s="60"/>
      <c r="E307" s="40"/>
      <c r="F307" s="40"/>
      <c r="G307" s="40"/>
      <c r="H307" s="40"/>
      <c r="I307" s="44">
        <f>SUM(H308:H308)</f>
        <v>0</v>
      </c>
      <c r="J307" s="45" t="str">
        <f>+J308</f>
        <v>ml</v>
      </c>
    </row>
    <row r="308" spans="2:10" s="1" customFormat="1" ht="12.75" x14ac:dyDescent="0.2">
      <c r="B308" s="57"/>
      <c r="C308" s="39" t="s">
        <v>238</v>
      </c>
      <c r="D308" s="40"/>
      <c r="E308" s="40"/>
      <c r="F308" s="40"/>
      <c r="G308" s="40"/>
      <c r="H308" s="40">
        <f>IF(AND(F308=0,G308=0),D308*E308,IF(AND(E308=0,G308=0),D308*F308,IF(AND(E308=0,F308=0),D308*G308,IF(AND(E308=0),D308*F308*G308,IF(AND(F308=0),D308*E308*G308,IF(AND(G308=0),D308*E308*F308,D308*E308*F308*G308))))))</f>
        <v>0</v>
      </c>
      <c r="I308" s="40"/>
      <c r="J308" s="41" t="str">
        <f>IF(AND(E308=0,F308&lt;&gt;0,G308&lt;&gt;0),"m2",IF(AND(F308=0,E308&lt;&gt;0,G308&lt;&gt;0),"m2",IF(AND(G308=0,E308&lt;&gt;0,F308&lt;&gt;0),"m2",IF(AND(F308=0,G308=0),"ml",IF(AND(E308=0,G308=0),"ml",IF(AND(E308=0,F308=0),"ml",IF(AND(E308&lt;&gt;0,F308&lt;&gt;0,G308&lt;&gt;0),"m3",0)))))))</f>
        <v>ml</v>
      </c>
    </row>
    <row r="309" spans="2:10" s="1" customFormat="1" ht="12.75" x14ac:dyDescent="0.2">
      <c r="B309" s="43" t="s">
        <v>249</v>
      </c>
      <c r="C309" s="43" t="s">
        <v>247</v>
      </c>
      <c r="D309" s="60"/>
      <c r="E309" s="40"/>
      <c r="F309" s="40"/>
      <c r="G309" s="40"/>
      <c r="H309" s="40"/>
      <c r="I309" s="44">
        <f>SUM(H310:H310)</f>
        <v>0</v>
      </c>
      <c r="J309" s="45" t="str">
        <f>+J310</f>
        <v>ml</v>
      </c>
    </row>
    <row r="310" spans="2:10" s="1" customFormat="1" ht="12.75" x14ac:dyDescent="0.2">
      <c r="B310" s="57"/>
      <c r="C310" s="39" t="s">
        <v>238</v>
      </c>
      <c r="D310" s="40"/>
      <c r="E310" s="40"/>
      <c r="F310" s="40"/>
      <c r="G310" s="40"/>
      <c r="H310" s="40">
        <f>IF(AND(F310=0,G310=0),D310*E310,IF(AND(E310=0,G310=0),D310*F310,IF(AND(E310=0,F310=0),D310*G310,IF(AND(E310=0),D310*F310*G310,IF(AND(F310=0),D310*E310*G310,IF(AND(G310=0),D310*E310*F310,D310*E310*F310*G310))))))</f>
        <v>0</v>
      </c>
      <c r="I310" s="40"/>
      <c r="J310" s="41" t="str">
        <f>IF(AND(E310=0,F310&lt;&gt;0,G310&lt;&gt;0),"m2",IF(AND(F310=0,E310&lt;&gt;0,G310&lt;&gt;0),"m2",IF(AND(G310=0,E310&lt;&gt;0,F310&lt;&gt;0),"m2",IF(AND(F310=0,G310=0),"ml",IF(AND(E310=0,G310=0),"ml",IF(AND(E310=0,F310=0),"ml",IF(AND(E310&lt;&gt;0,F310&lt;&gt;0,G310&lt;&gt;0),"m3",0)))))))</f>
        <v>ml</v>
      </c>
    </row>
    <row r="311" spans="2:10" s="1" customFormat="1" ht="12.75" x14ac:dyDescent="0.2">
      <c r="B311" s="43" t="s">
        <v>256</v>
      </c>
      <c r="C311" s="43" t="s">
        <v>226</v>
      </c>
      <c r="D311" s="60"/>
      <c r="E311" s="40"/>
      <c r="F311" s="40"/>
      <c r="G311" s="40"/>
      <c r="H311" s="40"/>
      <c r="I311" s="44">
        <f>SUM(H312:H313)</f>
        <v>0</v>
      </c>
      <c r="J311" s="45" t="str">
        <f>+J313</f>
        <v>ml</v>
      </c>
    </row>
    <row r="312" spans="2:10" s="1" customFormat="1" ht="12.75" x14ac:dyDescent="0.2">
      <c r="B312" s="43"/>
      <c r="C312" s="39" t="s">
        <v>371</v>
      </c>
      <c r="D312" s="40"/>
      <c r="E312" s="40"/>
      <c r="F312" s="40"/>
      <c r="G312" s="40"/>
      <c r="H312" s="40">
        <f>IF(AND(F312=0,G312=0),D312*E312,IF(AND(E312=0,G312=0),D312*F312,IF(AND(E312=0,F312=0),D312*G312,IF(AND(E312=0),D312*F312*G312,IF(AND(F312=0),D312*E312*G312,IF(AND(G312=0),D312*E312*F312,D312*E312*F312*G312))))))</f>
        <v>0</v>
      </c>
      <c r="I312" s="40"/>
      <c r="J312" s="41" t="str">
        <f>IF(AND(E312=0,F312&lt;&gt;0,G312&lt;&gt;0),"m2",IF(AND(F312=0,E312&lt;&gt;0,G312&lt;&gt;0),"m2",IF(AND(G312=0,E312&lt;&gt;0,F312&lt;&gt;0),"m2",IF(AND(F312=0,G312=0),"ml",IF(AND(E312=0,G312=0),"ml",IF(AND(E312=0,F312=0),"ml",IF(AND(E312&lt;&gt;0,F312&lt;&gt;0,G312&lt;&gt;0),"m3",0)))))))</f>
        <v>ml</v>
      </c>
    </row>
    <row r="313" spans="2:10" s="1" customFormat="1" ht="12.75" x14ac:dyDescent="0.2">
      <c r="B313" s="57"/>
      <c r="C313" s="39" t="s">
        <v>371</v>
      </c>
      <c r="D313" s="40"/>
      <c r="E313" s="40"/>
      <c r="F313" s="40"/>
      <c r="G313" s="40"/>
      <c r="H313" s="40">
        <f>IF(AND(F313=0,G313=0),D313*E313,IF(AND(E313=0,G313=0),D313*F313,IF(AND(E313=0,F313=0),D313*G313,IF(AND(E313=0),D313*F313*G313,IF(AND(F313=0),D313*E313*G313,IF(AND(G313=0),D313*E313*F313,D313*E313*F313*G313))))))</f>
        <v>0</v>
      </c>
      <c r="I313" s="40"/>
      <c r="J313" s="41" t="str">
        <f>IF(AND(E313=0,F313&lt;&gt;0,G313&lt;&gt;0),"m2",IF(AND(F313=0,E313&lt;&gt;0,G313&lt;&gt;0),"m2",IF(AND(G313=0,E313&lt;&gt;0,F313&lt;&gt;0),"m2",IF(AND(F313=0,G313=0),"ml",IF(AND(E313=0,G313=0),"ml",IF(AND(E313=0,F313=0),"ml",IF(AND(E313&lt;&gt;0,F313&lt;&gt;0,G313&lt;&gt;0),"m3",0)))))))</f>
        <v>ml</v>
      </c>
    </row>
    <row r="314" spans="2:10" s="1" customFormat="1" ht="12.75" x14ac:dyDescent="0.2">
      <c r="B314" s="43" t="s">
        <v>257</v>
      </c>
      <c r="C314" s="43" t="s">
        <v>228</v>
      </c>
      <c r="D314" s="60"/>
      <c r="E314" s="40"/>
      <c r="F314" s="40"/>
      <c r="G314" s="40"/>
      <c r="H314" s="40"/>
      <c r="I314" s="44">
        <f>SUM(H315:H315)</f>
        <v>37.35</v>
      </c>
      <c r="J314" s="45" t="str">
        <f>+J315</f>
        <v>ml</v>
      </c>
    </row>
    <row r="315" spans="2:10" s="1" customFormat="1" ht="12.75" x14ac:dyDescent="0.2">
      <c r="B315" s="57"/>
      <c r="C315" s="39" t="s">
        <v>380</v>
      </c>
      <c r="D315" s="40">
        <v>1</v>
      </c>
      <c r="E315" s="40">
        <v>37.35</v>
      </c>
      <c r="F315" s="40"/>
      <c r="G315" s="40"/>
      <c r="H315" s="40">
        <f>IF(AND(F315=0,G315=0),D315*E315,IF(AND(E315=0,G315=0),D315*F315,IF(AND(E315=0,F315=0),D315*G315,IF(AND(E315=0),D315*F315*G315,IF(AND(F315=0),D315*E315*G315,IF(AND(G315=0),D315*E315*F315,D315*E315*F315*G315))))))</f>
        <v>37.35</v>
      </c>
      <c r="I315" s="40"/>
      <c r="J315" s="41" t="str">
        <f>IF(AND(E315=0,F315&lt;&gt;0,G315&lt;&gt;0),"m2",IF(AND(F315=0,E315&lt;&gt;0,G315&lt;&gt;0),"m2",IF(AND(G315=0,E315&lt;&gt;0,F315&lt;&gt;0),"m2",IF(AND(F315=0,G315=0),"ml",IF(AND(E315=0,G315=0),"ml",IF(AND(E315=0,F315=0),"ml",IF(AND(E315&lt;&gt;0,F315&lt;&gt;0,G315&lt;&gt;0),"m3",0)))))))</f>
        <v>ml</v>
      </c>
    </row>
    <row r="316" spans="2:10" s="1" customFormat="1" ht="12.75" x14ac:dyDescent="0.2">
      <c r="B316" s="43" t="s">
        <v>258</v>
      </c>
      <c r="C316" s="43" t="s">
        <v>250</v>
      </c>
      <c r="D316" s="60"/>
      <c r="E316" s="40"/>
      <c r="F316" s="40"/>
      <c r="G316" s="40"/>
      <c r="H316" s="40"/>
      <c r="I316" s="44">
        <f>SUM(H317:H317)</f>
        <v>33.15</v>
      </c>
      <c r="J316" s="45" t="str">
        <f>+J317</f>
        <v>ml</v>
      </c>
    </row>
    <row r="317" spans="2:10" s="1" customFormat="1" ht="12.75" x14ac:dyDescent="0.2">
      <c r="B317" s="57"/>
      <c r="C317" s="39" t="s">
        <v>386</v>
      </c>
      <c r="D317" s="40">
        <v>1</v>
      </c>
      <c r="E317" s="40">
        <v>33.15</v>
      </c>
      <c r="F317" s="40"/>
      <c r="G317" s="40"/>
      <c r="H317" s="40">
        <f>IF(AND(F317=0,G317=0),D317*E317,IF(AND(E317=0,G317=0),D317*F317,IF(AND(E317=0,F317=0),D317*G317,IF(AND(E317=0),D317*F317*G317,IF(AND(F317=0),D317*E317*G317,IF(AND(G317=0),D317*E317*F317,D317*E317*F317*G317))))))</f>
        <v>33.15</v>
      </c>
      <c r="I317" s="40"/>
      <c r="J317" s="41" t="str">
        <f>IF(AND(E317=0,F317&lt;&gt;0,G317&lt;&gt;0),"m2",IF(AND(F317=0,E317&lt;&gt;0,G317&lt;&gt;0),"m2",IF(AND(G317=0,E317&lt;&gt;0,F317&lt;&gt;0),"m2",IF(AND(F317=0,G317=0),"ml",IF(AND(E317=0,G317=0),"ml",IF(AND(E317=0,F317=0),"ml",IF(AND(E317&lt;&gt;0,F317&lt;&gt;0,G317&lt;&gt;0),"m3",0)))))))</f>
        <v>ml</v>
      </c>
    </row>
    <row r="318" spans="2:10" s="1" customFormat="1" ht="12.75" x14ac:dyDescent="0.2">
      <c r="B318" s="43" t="s">
        <v>259</v>
      </c>
      <c r="C318" s="43" t="s">
        <v>251</v>
      </c>
      <c r="D318" s="60"/>
      <c r="E318" s="40"/>
      <c r="F318" s="40"/>
      <c r="G318" s="40"/>
      <c r="H318" s="40"/>
      <c r="I318" s="44">
        <f>SUM(H319:H319)</f>
        <v>0</v>
      </c>
      <c r="J318" s="45" t="str">
        <f>+J319</f>
        <v>ml</v>
      </c>
    </row>
    <row r="319" spans="2:10" s="1" customFormat="1" ht="12.75" x14ac:dyDescent="0.2">
      <c r="B319" s="57"/>
      <c r="C319" s="39" t="s">
        <v>238</v>
      </c>
      <c r="D319" s="40"/>
      <c r="E319" s="40"/>
      <c r="F319" s="40"/>
      <c r="G319" s="40"/>
      <c r="H319" s="40">
        <f>IF(AND(F319=0,G319=0),D319*E319,IF(AND(E319=0,G319=0),D319*F319,IF(AND(E319=0,F319=0),D319*G319,IF(AND(E319=0),D319*F319*G319,IF(AND(F319=0),D319*E319*G319,IF(AND(G319=0),D319*E319*F319,D319*E319*F319*G319))))))</f>
        <v>0</v>
      </c>
      <c r="I319" s="40"/>
      <c r="J319" s="41" t="str">
        <f>IF(AND(E319=0,F319&lt;&gt;0,G319&lt;&gt;0),"m2",IF(AND(F319=0,E319&lt;&gt;0,G319&lt;&gt;0),"m2",IF(AND(G319=0,E319&lt;&gt;0,F319&lt;&gt;0),"m2",IF(AND(F319=0,G319=0),"ml",IF(AND(E319=0,G319=0),"ml",IF(AND(E319=0,F319=0),"ml",IF(AND(E319&lt;&gt;0,F319&lt;&gt;0,G319&lt;&gt;0),"m3",0)))))))</f>
        <v>ml</v>
      </c>
    </row>
    <row r="320" spans="2:10" s="1" customFormat="1" ht="12.75" x14ac:dyDescent="0.2">
      <c r="B320" s="43" t="s">
        <v>260</v>
      </c>
      <c r="C320" s="43" t="s">
        <v>252</v>
      </c>
      <c r="D320" s="60"/>
      <c r="E320" s="40"/>
      <c r="F320" s="40"/>
      <c r="G320" s="40"/>
      <c r="H320" s="40"/>
      <c r="I320" s="44">
        <f>SUM(H321:H321)</f>
        <v>0</v>
      </c>
      <c r="J320" s="45" t="str">
        <f>+J321</f>
        <v>ml</v>
      </c>
    </row>
    <row r="321" spans="2:10" s="1" customFormat="1" ht="12.75" x14ac:dyDescent="0.2">
      <c r="B321" s="57"/>
      <c r="C321" s="39" t="s">
        <v>238</v>
      </c>
      <c r="D321" s="40"/>
      <c r="E321" s="40"/>
      <c r="F321" s="40"/>
      <c r="G321" s="40"/>
      <c r="H321" s="40">
        <f>IF(AND(F321=0,G321=0),D321*E321,IF(AND(E321=0,G321=0),D321*F321,IF(AND(E321=0,F321=0),D321*G321,IF(AND(E321=0),D321*F321*G321,IF(AND(F321=0),D321*E321*G321,IF(AND(G321=0),D321*E321*F321,D321*E321*F321*G321))))))</f>
        <v>0</v>
      </c>
      <c r="I321" s="40"/>
      <c r="J321" s="41" t="str">
        <f>IF(AND(E321=0,F321&lt;&gt;0,G321&lt;&gt;0),"m2",IF(AND(F321=0,E321&lt;&gt;0,G321&lt;&gt;0),"m2",IF(AND(G321=0,E321&lt;&gt;0,F321&lt;&gt;0),"m2",IF(AND(F321=0,G321=0),"ml",IF(AND(E321=0,G321=0),"ml",IF(AND(E321=0,F321=0),"ml",IF(AND(E321&lt;&gt;0,F321&lt;&gt;0,G321&lt;&gt;0),"m3",0)))))))</f>
        <v>ml</v>
      </c>
    </row>
    <row r="322" spans="2:10" s="1" customFormat="1" ht="12.75" x14ac:dyDescent="0.2">
      <c r="B322" s="43" t="s">
        <v>261</v>
      </c>
      <c r="C322" s="43" t="s">
        <v>253</v>
      </c>
      <c r="D322" s="60"/>
      <c r="E322" s="40"/>
      <c r="F322" s="40"/>
      <c r="G322" s="40"/>
      <c r="H322" s="40"/>
      <c r="I322" s="44">
        <f>SUM(H323:H325)</f>
        <v>3</v>
      </c>
      <c r="J322" s="45" t="str">
        <f>+J325</f>
        <v>und</v>
      </c>
    </row>
    <row r="323" spans="2:10" s="1" customFormat="1" ht="12.75" x14ac:dyDescent="0.2">
      <c r="B323" s="43"/>
      <c r="C323" s="39" t="s">
        <v>383</v>
      </c>
      <c r="D323" s="40">
        <v>1</v>
      </c>
      <c r="E323" s="40"/>
      <c r="F323" s="40"/>
      <c r="G323" s="40"/>
      <c r="H323" s="40">
        <f t="shared" ref="H323" si="10">+D323</f>
        <v>1</v>
      </c>
      <c r="I323" s="40"/>
      <c r="J323" s="41" t="s">
        <v>13</v>
      </c>
    </row>
    <row r="324" spans="2:10" s="1" customFormat="1" ht="12.75" x14ac:dyDescent="0.2">
      <c r="B324" s="43"/>
      <c r="C324" s="39" t="s">
        <v>390</v>
      </c>
      <c r="D324" s="40">
        <v>1</v>
      </c>
      <c r="E324" s="40"/>
      <c r="F324" s="40"/>
      <c r="G324" s="40"/>
      <c r="H324" s="40">
        <f t="shared" ref="H324:H325" si="11">+D324</f>
        <v>1</v>
      </c>
      <c r="I324" s="40"/>
      <c r="J324" s="41" t="s">
        <v>13</v>
      </c>
    </row>
    <row r="325" spans="2:10" s="1" customFormat="1" ht="12.75" x14ac:dyDescent="0.2">
      <c r="B325" s="57"/>
      <c r="C325" s="39" t="s">
        <v>391</v>
      </c>
      <c r="D325" s="40">
        <v>1</v>
      </c>
      <c r="E325" s="40"/>
      <c r="F325" s="40"/>
      <c r="G325" s="40"/>
      <c r="H325" s="40">
        <f t="shared" si="11"/>
        <v>1</v>
      </c>
      <c r="I325" s="40"/>
      <c r="J325" s="41" t="s">
        <v>13</v>
      </c>
    </row>
    <row r="326" spans="2:10" s="1" customFormat="1" ht="12.75" x14ac:dyDescent="0.2">
      <c r="B326" s="43" t="s">
        <v>262</v>
      </c>
      <c r="C326" s="43" t="s">
        <v>254</v>
      </c>
      <c r="D326" s="60"/>
      <c r="E326" s="40"/>
      <c r="F326" s="40"/>
      <c r="G326" s="40"/>
      <c r="H326" s="40"/>
      <c r="I326" s="44">
        <f>SUM(H327:H327)</f>
        <v>0</v>
      </c>
      <c r="J326" s="45" t="str">
        <f>+J327</f>
        <v>und</v>
      </c>
    </row>
    <row r="327" spans="2:10" s="1" customFormat="1" ht="12.75" x14ac:dyDescent="0.2">
      <c r="B327" s="57"/>
      <c r="C327" s="39" t="s">
        <v>238</v>
      </c>
      <c r="D327" s="40"/>
      <c r="E327" s="40"/>
      <c r="F327" s="40"/>
      <c r="G327" s="40"/>
      <c r="H327" s="40">
        <f>+D327</f>
        <v>0</v>
      </c>
      <c r="I327" s="40"/>
      <c r="J327" s="41" t="s">
        <v>13</v>
      </c>
    </row>
    <row r="328" spans="2:10" s="1" customFormat="1" ht="12.75" x14ac:dyDescent="0.2">
      <c r="B328" s="43" t="s">
        <v>350</v>
      </c>
      <c r="C328" s="43" t="s">
        <v>255</v>
      </c>
      <c r="D328" s="60"/>
      <c r="E328" s="40"/>
      <c r="F328" s="40"/>
      <c r="G328" s="40"/>
      <c r="H328" s="40"/>
      <c r="I328" s="44">
        <f>SUM(H329:H329)</f>
        <v>0</v>
      </c>
      <c r="J328" s="45" t="str">
        <f>+J329</f>
        <v>und</v>
      </c>
    </row>
    <row r="329" spans="2:10" s="1" customFormat="1" ht="12.75" x14ac:dyDescent="0.2">
      <c r="B329" s="57"/>
      <c r="C329" s="39" t="s">
        <v>377</v>
      </c>
      <c r="D329" s="40"/>
      <c r="E329" s="40"/>
      <c r="F329" s="40"/>
      <c r="G329" s="40"/>
      <c r="H329" s="40">
        <f>+D329</f>
        <v>0</v>
      </c>
      <c r="I329" s="40"/>
      <c r="J329" s="41" t="s">
        <v>13</v>
      </c>
    </row>
    <row r="330" spans="2:10" s="1" customFormat="1" ht="12.75" x14ac:dyDescent="0.2">
      <c r="B330" s="57" t="s">
        <v>18</v>
      </c>
      <c r="C330" s="58" t="s">
        <v>223</v>
      </c>
      <c r="D330" s="60"/>
      <c r="E330" s="40"/>
      <c r="F330" s="40"/>
      <c r="G330" s="40"/>
      <c r="H330" s="40"/>
      <c r="I330" s="40"/>
      <c r="J330" s="41"/>
    </row>
    <row r="331" spans="2:10" s="1" customFormat="1" ht="12.75" x14ac:dyDescent="0.2">
      <c r="B331" s="43" t="s">
        <v>19</v>
      </c>
      <c r="C331" s="43" t="s">
        <v>265</v>
      </c>
      <c r="D331" s="60"/>
      <c r="E331" s="40"/>
      <c r="F331" s="40"/>
      <c r="G331" s="40"/>
      <c r="H331" s="40"/>
      <c r="I331" s="44">
        <f>SUM(H332:H333)</f>
        <v>7</v>
      </c>
      <c r="J331" s="45" t="str">
        <f>+J332</f>
        <v>und</v>
      </c>
    </row>
    <row r="332" spans="2:10" s="1" customFormat="1" ht="12.75" x14ac:dyDescent="0.2">
      <c r="B332" s="46"/>
      <c r="C332" s="39" t="s">
        <v>361</v>
      </c>
      <c r="D332" s="40"/>
      <c r="E332" s="40"/>
      <c r="F332" s="40"/>
      <c r="G332" s="40"/>
      <c r="H332" s="40">
        <f>+D332</f>
        <v>0</v>
      </c>
      <c r="I332" s="40"/>
      <c r="J332" s="41" t="s">
        <v>13</v>
      </c>
    </row>
    <row r="333" spans="2:10" s="1" customFormat="1" ht="12.75" x14ac:dyDescent="0.2">
      <c r="B333" s="46"/>
      <c r="C333" s="39" t="s">
        <v>231</v>
      </c>
      <c r="D333" s="40">
        <f>+D294</f>
        <v>7</v>
      </c>
      <c r="E333" s="40"/>
      <c r="F333" s="40"/>
      <c r="G333" s="40"/>
      <c r="H333" s="40">
        <f>+D333</f>
        <v>7</v>
      </c>
      <c r="I333" s="40"/>
      <c r="J333" s="41" t="s">
        <v>13</v>
      </c>
    </row>
    <row r="334" spans="2:10" s="1" customFormat="1" ht="12.75" x14ac:dyDescent="0.2">
      <c r="B334" s="43" t="s">
        <v>20</v>
      </c>
      <c r="C334" s="43" t="s">
        <v>272</v>
      </c>
      <c r="D334" s="60"/>
      <c r="E334" s="40"/>
      <c r="F334" s="40"/>
      <c r="G334" s="40"/>
      <c r="H334" s="40"/>
      <c r="I334" s="44">
        <f>SUM(H335:H338)</f>
        <v>0</v>
      </c>
      <c r="J334" s="45" t="str">
        <f>+J335</f>
        <v>und</v>
      </c>
    </row>
    <row r="335" spans="2:10" s="1" customFormat="1" ht="12.75" x14ac:dyDescent="0.2">
      <c r="B335" s="46"/>
      <c r="C335" s="39" t="s">
        <v>71</v>
      </c>
      <c r="D335" s="40"/>
      <c r="E335" s="40"/>
      <c r="F335" s="40"/>
      <c r="G335" s="40"/>
      <c r="H335" s="40"/>
      <c r="I335" s="40"/>
      <c r="J335" s="41" t="s">
        <v>13</v>
      </c>
    </row>
    <row r="336" spans="2:10" s="1" customFormat="1" ht="12.75" x14ac:dyDescent="0.2">
      <c r="B336" s="46"/>
      <c r="C336" s="39" t="s">
        <v>349</v>
      </c>
      <c r="D336" s="40"/>
      <c r="E336" s="40"/>
      <c r="F336" s="40"/>
      <c r="G336" s="40"/>
      <c r="H336" s="40">
        <f>IF(AND(F336=0,G336=0),D336*E336,IF(AND(E336=0,G336=0),D336*F336,IF(AND(E336=0,F336=0),D336*G336,IF(AND(E336=0),D336*F336*G336,IF(AND(F336=0),D336*E336*G336,IF(AND(G336=0),D336*E336*F336,D336*E336*F336*G336))))))</f>
        <v>0</v>
      </c>
      <c r="I336" s="40"/>
      <c r="J336" s="41" t="s">
        <v>13</v>
      </c>
    </row>
    <row r="337" spans="2:10" s="1" customFormat="1" ht="12.75" x14ac:dyDescent="0.2">
      <c r="B337" s="46"/>
      <c r="C337" s="39" t="s">
        <v>72</v>
      </c>
      <c r="D337" s="40"/>
      <c r="E337" s="40"/>
      <c r="F337" s="40"/>
      <c r="G337" s="40"/>
      <c r="H337" s="40">
        <f>+D337</f>
        <v>0</v>
      </c>
      <c r="I337" s="40"/>
      <c r="J337" s="41" t="s">
        <v>13</v>
      </c>
    </row>
    <row r="338" spans="2:10" s="1" customFormat="1" ht="12.75" x14ac:dyDescent="0.2">
      <c r="B338" s="46"/>
      <c r="C338" s="39" t="s">
        <v>73</v>
      </c>
      <c r="D338" s="40"/>
      <c r="E338" s="40"/>
      <c r="F338" s="40"/>
      <c r="G338" s="40"/>
      <c r="H338" s="40">
        <f>+D338</f>
        <v>0</v>
      </c>
      <c r="I338" s="40"/>
      <c r="J338" s="41" t="s">
        <v>13</v>
      </c>
    </row>
    <row r="339" spans="2:10" s="1" customFormat="1" ht="12.75" x14ac:dyDescent="0.2">
      <c r="B339" s="43" t="s">
        <v>21</v>
      </c>
      <c r="C339" s="43" t="s">
        <v>266</v>
      </c>
      <c r="D339" s="60"/>
      <c r="E339" s="40"/>
      <c r="F339" s="40"/>
      <c r="G339" s="40"/>
      <c r="H339" s="40"/>
      <c r="I339" s="44">
        <f>SUM(H340:H342)</f>
        <v>0</v>
      </c>
      <c r="J339" s="45" t="str">
        <f>+J340</f>
        <v>und</v>
      </c>
    </row>
    <row r="340" spans="2:10" s="1" customFormat="1" ht="12.75" x14ac:dyDescent="0.2">
      <c r="B340" s="43"/>
      <c r="C340" s="39" t="s">
        <v>71</v>
      </c>
      <c r="D340" s="40"/>
      <c r="E340" s="40"/>
      <c r="F340" s="40"/>
      <c r="G340" s="40"/>
      <c r="H340" s="40">
        <f>IF(AND(F340=0,G340=0),D340*E340,IF(AND(E340=0,G340=0),D340*F340,IF(AND(E340=0,F340=0),D340*G340,IF(AND(E340=0),D340*F340*G340,IF(AND(F340=0),D340*E340*G340,IF(AND(G340=0),D340*E340*F340,D340*E340*F340*G340))))))</f>
        <v>0</v>
      </c>
      <c r="I340" s="40"/>
      <c r="J340" s="41" t="s">
        <v>13</v>
      </c>
    </row>
    <row r="341" spans="2:10" s="1" customFormat="1" ht="12.75" x14ac:dyDescent="0.2">
      <c r="B341" s="43"/>
      <c r="C341" s="39" t="s">
        <v>72</v>
      </c>
      <c r="D341" s="40"/>
      <c r="E341" s="40"/>
      <c r="F341" s="40"/>
      <c r="G341" s="40"/>
      <c r="H341" s="40">
        <f>+D341</f>
        <v>0</v>
      </c>
      <c r="I341" s="40"/>
      <c r="J341" s="41" t="s">
        <v>13</v>
      </c>
    </row>
    <row r="342" spans="2:10" s="1" customFormat="1" ht="12.75" x14ac:dyDescent="0.2">
      <c r="B342" s="43"/>
      <c r="C342" s="39" t="s">
        <v>73</v>
      </c>
      <c r="D342" s="40"/>
      <c r="E342" s="40"/>
      <c r="F342" s="40"/>
      <c r="G342" s="40"/>
      <c r="H342" s="40">
        <f>+D342</f>
        <v>0</v>
      </c>
      <c r="I342" s="40"/>
      <c r="J342" s="41" t="s">
        <v>13</v>
      </c>
    </row>
    <row r="343" spans="2:10" s="1" customFormat="1" ht="12.75" x14ac:dyDescent="0.2">
      <c r="B343" s="43" t="s">
        <v>273</v>
      </c>
      <c r="C343" s="43" t="s">
        <v>354</v>
      </c>
      <c r="D343" s="60"/>
      <c r="E343" s="40"/>
      <c r="F343" s="40"/>
      <c r="G343" s="40"/>
      <c r="H343" s="40"/>
      <c r="I343" s="44">
        <f>SUM(H344:H344)</f>
        <v>0</v>
      </c>
      <c r="J343" s="45" t="str">
        <f>+J344</f>
        <v>und</v>
      </c>
    </row>
    <row r="344" spans="2:10" s="1" customFormat="1" ht="12.75" x14ac:dyDescent="0.2">
      <c r="B344" s="43"/>
      <c r="C344" s="39" t="s">
        <v>375</v>
      </c>
      <c r="D344" s="40"/>
      <c r="E344" s="40"/>
      <c r="F344" s="40"/>
      <c r="G344" s="40"/>
      <c r="H344" s="40">
        <f>IF(AND(F344=0,G344=0),D344*E344,IF(AND(E344=0,G344=0),D344*F344,IF(AND(E344=0,F344=0),D344*G344,IF(AND(E344=0),D344*F344*G344,IF(AND(F344=0),D344*E344*G344,IF(AND(G344=0),D344*E344*F344,D344*E344*F344*G344))))))</f>
        <v>0</v>
      </c>
      <c r="I344" s="40"/>
      <c r="J344" s="41" t="s">
        <v>13</v>
      </c>
    </row>
    <row r="345" spans="2:10" s="1" customFormat="1" ht="12.75" x14ac:dyDescent="0.2">
      <c r="B345" s="43" t="s">
        <v>274</v>
      </c>
      <c r="C345" s="43" t="s">
        <v>357</v>
      </c>
      <c r="D345" s="60"/>
      <c r="E345" s="40"/>
      <c r="F345" s="40"/>
      <c r="G345" s="40"/>
      <c r="H345" s="40"/>
      <c r="I345" s="44">
        <f>SUM(H346:H346)</f>
        <v>0</v>
      </c>
      <c r="J345" s="45" t="str">
        <f>+J346</f>
        <v>und</v>
      </c>
    </row>
    <row r="346" spans="2:10" s="1" customFormat="1" ht="12.75" x14ac:dyDescent="0.2">
      <c r="B346" s="43"/>
      <c r="C346" s="39" t="s">
        <v>375</v>
      </c>
      <c r="D346" s="40"/>
      <c r="E346" s="40"/>
      <c r="F346" s="40"/>
      <c r="G346" s="40"/>
      <c r="H346" s="40">
        <f>IF(AND(F346=0,G346=0),D346*E346,IF(AND(E346=0,G346=0),D346*F346,IF(AND(E346=0,F346=0),D346*G346,IF(AND(E346=0),D346*F346*G346,IF(AND(F346=0),D346*E346*G346,IF(AND(G346=0),D346*E346*F346,D346*E346*F346*G346))))))</f>
        <v>0</v>
      </c>
      <c r="I346" s="40"/>
      <c r="J346" s="41" t="s">
        <v>13</v>
      </c>
    </row>
    <row r="347" spans="2:10" s="1" customFormat="1" ht="12.75" x14ac:dyDescent="0.2">
      <c r="B347" s="43" t="s">
        <v>355</v>
      </c>
      <c r="C347" s="43" t="s">
        <v>263</v>
      </c>
      <c r="D347" s="60"/>
      <c r="E347" s="40"/>
      <c r="F347" s="40"/>
      <c r="G347" s="40"/>
      <c r="H347" s="40"/>
      <c r="I347" s="44">
        <f>SUM(H348:H348)</f>
        <v>7</v>
      </c>
      <c r="J347" s="45" t="str">
        <f>+J348</f>
        <v>und</v>
      </c>
    </row>
    <row r="348" spans="2:10" s="1" customFormat="1" ht="12.75" x14ac:dyDescent="0.2">
      <c r="B348" s="46"/>
      <c r="C348" s="39" t="s">
        <v>385</v>
      </c>
      <c r="D348" s="40">
        <v>7</v>
      </c>
      <c r="E348" s="40"/>
      <c r="F348" s="40"/>
      <c r="G348" s="40"/>
      <c r="H348" s="40">
        <f>+D348</f>
        <v>7</v>
      </c>
      <c r="I348" s="40"/>
      <c r="J348" s="41" t="s">
        <v>13</v>
      </c>
    </row>
    <row r="349" spans="2:10" s="1" customFormat="1" ht="12.75" x14ac:dyDescent="0.2">
      <c r="B349" s="43" t="s">
        <v>356</v>
      </c>
      <c r="C349" s="43" t="s">
        <v>264</v>
      </c>
      <c r="D349" s="60"/>
      <c r="E349" s="40"/>
      <c r="F349" s="40"/>
      <c r="G349" s="40"/>
      <c r="H349" s="40"/>
      <c r="I349" s="44">
        <f>SUM(H350:H350)</f>
        <v>1</v>
      </c>
      <c r="J349" s="45" t="str">
        <f>+J350</f>
        <v>und</v>
      </c>
    </row>
    <row r="350" spans="2:10" s="1" customFormat="1" ht="12.75" x14ac:dyDescent="0.2">
      <c r="B350" s="46"/>
      <c r="C350" s="39" t="s">
        <v>384</v>
      </c>
      <c r="D350" s="40">
        <v>1</v>
      </c>
      <c r="E350" s="40"/>
      <c r="F350" s="40"/>
      <c r="G350" s="40"/>
      <c r="H350" s="40">
        <f>+D350</f>
        <v>1</v>
      </c>
      <c r="I350" s="40"/>
      <c r="J350" s="41" t="s">
        <v>13</v>
      </c>
    </row>
    <row r="351" spans="2:10" s="1" customFormat="1" ht="12.75" x14ac:dyDescent="0.2">
      <c r="B351" s="46"/>
      <c r="C351" s="59"/>
      <c r="D351" s="60"/>
      <c r="E351" s="40"/>
      <c r="F351" s="40"/>
      <c r="G351" s="40"/>
      <c r="H351" s="40"/>
      <c r="I351" s="40"/>
      <c r="J351" s="41"/>
    </row>
    <row r="352" spans="2:10" s="1" customFormat="1" ht="12.75" x14ac:dyDescent="0.2">
      <c r="B352" s="46"/>
      <c r="C352" s="59"/>
      <c r="D352" s="60"/>
      <c r="E352" s="40"/>
      <c r="F352" s="40"/>
      <c r="G352" s="40"/>
      <c r="H352" s="40"/>
      <c r="I352" s="40"/>
      <c r="J352" s="41"/>
    </row>
    <row r="353" spans="2:10" s="1" customFormat="1" ht="12.75" x14ac:dyDescent="0.2">
      <c r="B353" s="46"/>
      <c r="C353" s="59"/>
      <c r="D353" s="60"/>
      <c r="E353" s="40"/>
      <c r="F353" s="40"/>
      <c r="G353" s="40"/>
      <c r="H353" s="40"/>
      <c r="I353" s="40"/>
      <c r="J353" s="41"/>
    </row>
    <row r="354" spans="2:10" s="1" customFormat="1" ht="12.75" x14ac:dyDescent="0.2">
      <c r="B354" s="46"/>
      <c r="C354" s="59"/>
      <c r="D354" s="60"/>
      <c r="E354" s="40"/>
      <c r="F354" s="40"/>
      <c r="G354" s="40"/>
      <c r="H354" s="40"/>
      <c r="I354" s="40"/>
      <c r="J354" s="41"/>
    </row>
    <row r="355" spans="2:10" s="1" customFormat="1" ht="12.75" x14ac:dyDescent="0.2">
      <c r="B355" s="46"/>
      <c r="C355" s="59"/>
      <c r="D355" s="60"/>
      <c r="E355" s="40"/>
      <c r="F355" s="40"/>
      <c r="G355" s="40"/>
      <c r="H355" s="40"/>
      <c r="I355" s="40"/>
      <c r="J355" s="41"/>
    </row>
    <row r="356" spans="2:10" s="1" customFormat="1" ht="12.75" x14ac:dyDescent="0.2">
      <c r="B356" s="46"/>
      <c r="C356" s="59"/>
      <c r="D356" s="60"/>
      <c r="E356" s="40"/>
      <c r="F356" s="40"/>
      <c r="G356" s="40"/>
      <c r="H356" s="40"/>
      <c r="I356" s="40"/>
      <c r="J356" s="41"/>
    </row>
    <row r="357" spans="2:10" s="1" customFormat="1" ht="12.75" x14ac:dyDescent="0.2">
      <c r="B357" s="46"/>
      <c r="C357" s="59"/>
      <c r="D357" s="60"/>
      <c r="E357" s="40"/>
      <c r="F357" s="40"/>
      <c r="G357" s="40"/>
      <c r="H357" s="40"/>
      <c r="I357" s="40"/>
      <c r="J357" s="41"/>
    </row>
    <row r="358" spans="2:10" s="1" customFormat="1" ht="12.75" x14ac:dyDescent="0.2">
      <c r="B358" s="46"/>
      <c r="C358" s="59"/>
      <c r="D358" s="60"/>
      <c r="E358" s="40"/>
      <c r="F358" s="40"/>
      <c r="G358" s="40"/>
      <c r="H358" s="40"/>
      <c r="I358" s="40"/>
      <c r="J358" s="41"/>
    </row>
    <row r="359" spans="2:10" s="1" customFormat="1" ht="12.75" x14ac:dyDescent="0.2">
      <c r="B359" s="46"/>
      <c r="C359" s="59"/>
      <c r="D359" s="60"/>
      <c r="E359" s="40"/>
      <c r="F359" s="40"/>
      <c r="G359" s="40"/>
      <c r="H359" s="40"/>
      <c r="I359" s="40"/>
      <c r="J359" s="41"/>
    </row>
    <row r="360" spans="2:10" s="1" customFormat="1" ht="12.75" x14ac:dyDescent="0.2">
      <c r="B360" s="46"/>
      <c r="C360" s="59"/>
      <c r="D360" s="60"/>
      <c r="E360" s="40"/>
      <c r="F360" s="40"/>
      <c r="G360" s="40"/>
      <c r="H360" s="40"/>
      <c r="I360" s="40"/>
      <c r="J360" s="41"/>
    </row>
    <row r="361" spans="2:10" s="1" customFormat="1" ht="12.75" x14ac:dyDescent="0.2">
      <c r="B361" s="46"/>
      <c r="C361" s="59"/>
      <c r="D361" s="60"/>
      <c r="E361" s="40"/>
      <c r="F361" s="40"/>
      <c r="G361" s="40"/>
      <c r="H361" s="40"/>
      <c r="I361" s="40"/>
      <c r="J361" s="41"/>
    </row>
    <row r="362" spans="2:10" s="1" customFormat="1" ht="12.75" x14ac:dyDescent="0.2">
      <c r="B362" s="46"/>
      <c r="C362" s="59"/>
      <c r="D362" s="60"/>
      <c r="E362" s="40"/>
      <c r="F362" s="40"/>
      <c r="G362" s="40"/>
      <c r="H362" s="40"/>
      <c r="I362" s="40"/>
      <c r="J362" s="41"/>
    </row>
    <row r="363" spans="2:10" s="1" customFormat="1" ht="12.75" x14ac:dyDescent="0.2">
      <c r="B363" s="46"/>
      <c r="C363" s="59"/>
      <c r="D363" s="60"/>
      <c r="E363" s="40"/>
      <c r="F363" s="40"/>
      <c r="G363" s="40"/>
      <c r="H363" s="40"/>
      <c r="I363" s="40"/>
      <c r="J363" s="41"/>
    </row>
    <row r="364" spans="2:10" s="1" customFormat="1" ht="12.75" x14ac:dyDescent="0.2">
      <c r="B364" s="46"/>
      <c r="C364" s="59"/>
      <c r="D364" s="60"/>
      <c r="E364" s="40"/>
      <c r="F364" s="40"/>
      <c r="G364" s="40"/>
      <c r="H364" s="40"/>
      <c r="I364" s="40"/>
      <c r="J364" s="41"/>
    </row>
    <row r="365" spans="2:10" s="1" customFormat="1" ht="12.75" x14ac:dyDescent="0.2">
      <c r="B365" s="46"/>
      <c r="C365" s="59"/>
      <c r="D365" s="60"/>
      <c r="E365" s="40"/>
      <c r="F365" s="40"/>
      <c r="G365" s="40"/>
      <c r="H365" s="40"/>
      <c r="I365" s="40"/>
      <c r="J365" s="41"/>
    </row>
    <row r="366" spans="2:10" s="1" customFormat="1" ht="12.75" x14ac:dyDescent="0.2">
      <c r="B366" s="46"/>
      <c r="C366" s="59"/>
      <c r="D366" s="60"/>
      <c r="E366" s="40"/>
      <c r="F366" s="40"/>
      <c r="G366" s="40"/>
      <c r="H366" s="40"/>
      <c r="I366" s="40"/>
      <c r="J366" s="41"/>
    </row>
    <row r="367" spans="2:10" s="1" customFormat="1" ht="12.75" x14ac:dyDescent="0.2">
      <c r="B367" s="46"/>
      <c r="C367" s="59"/>
      <c r="D367" s="60"/>
      <c r="E367" s="40"/>
      <c r="F367" s="40"/>
      <c r="G367" s="40"/>
      <c r="H367" s="40"/>
      <c r="I367" s="40"/>
      <c r="J367" s="41"/>
    </row>
    <row r="368" spans="2:10" s="1" customFormat="1" ht="12.75" x14ac:dyDescent="0.2">
      <c r="B368" s="46"/>
      <c r="C368" s="59"/>
      <c r="D368" s="60"/>
      <c r="E368" s="40"/>
      <c r="F368" s="40"/>
      <c r="G368" s="40"/>
      <c r="H368" s="40"/>
      <c r="I368" s="40"/>
      <c r="J368" s="41"/>
    </row>
    <row r="369" spans="2:10" s="1" customFormat="1" ht="12.75" x14ac:dyDescent="0.2">
      <c r="B369" s="46"/>
      <c r="C369" s="59"/>
      <c r="D369" s="60"/>
      <c r="E369" s="40"/>
      <c r="F369" s="40"/>
      <c r="G369" s="40"/>
      <c r="H369" s="40"/>
      <c r="I369" s="40"/>
      <c r="J369" s="41"/>
    </row>
    <row r="370" spans="2:10" s="1" customFormat="1" ht="12.75" x14ac:dyDescent="0.2">
      <c r="B370" s="46"/>
      <c r="C370" s="59"/>
      <c r="D370" s="60"/>
      <c r="E370" s="40"/>
      <c r="F370" s="40"/>
      <c r="G370" s="40"/>
      <c r="H370" s="40"/>
      <c r="I370" s="40"/>
      <c r="J370" s="41"/>
    </row>
    <row r="371" spans="2:10" s="1" customFormat="1" ht="12.75" x14ac:dyDescent="0.2">
      <c r="B371" s="46"/>
      <c r="C371" s="59"/>
      <c r="D371" s="60"/>
      <c r="E371" s="40"/>
      <c r="F371" s="40"/>
      <c r="G371" s="40"/>
      <c r="H371" s="40"/>
      <c r="I371" s="40"/>
      <c r="J371" s="41"/>
    </row>
    <row r="372" spans="2:10" s="1" customFormat="1" ht="12.75" x14ac:dyDescent="0.2">
      <c r="B372" s="46"/>
      <c r="C372" s="59"/>
      <c r="D372" s="60"/>
      <c r="E372" s="40"/>
      <c r="F372" s="40"/>
      <c r="G372" s="40"/>
      <c r="H372" s="40"/>
      <c r="I372" s="40"/>
      <c r="J372" s="41"/>
    </row>
    <row r="373" spans="2:10" s="1" customFormat="1" ht="12.75" x14ac:dyDescent="0.2">
      <c r="B373" s="46"/>
      <c r="C373" s="59"/>
      <c r="D373" s="60"/>
      <c r="E373" s="40"/>
      <c r="F373" s="40"/>
      <c r="G373" s="40"/>
      <c r="H373" s="40"/>
      <c r="I373" s="40"/>
      <c r="J373" s="41"/>
    </row>
    <row r="374" spans="2:10" s="1" customFormat="1" ht="12.75" x14ac:dyDescent="0.2">
      <c r="B374" s="46"/>
      <c r="C374" s="59"/>
      <c r="D374" s="60"/>
      <c r="E374" s="40"/>
      <c r="F374" s="40"/>
      <c r="G374" s="40"/>
      <c r="H374" s="40"/>
      <c r="I374" s="40"/>
      <c r="J374" s="41"/>
    </row>
    <row r="375" spans="2:10" s="1" customFormat="1" ht="12.75" x14ac:dyDescent="0.2">
      <c r="B375" s="46"/>
      <c r="C375" s="59"/>
      <c r="D375" s="60"/>
      <c r="E375" s="40"/>
      <c r="F375" s="40"/>
      <c r="G375" s="40"/>
      <c r="H375" s="40"/>
      <c r="I375" s="40"/>
      <c r="J375" s="41"/>
    </row>
    <row r="376" spans="2:10" s="1" customFormat="1" ht="12.75" x14ac:dyDescent="0.2">
      <c r="B376" s="46"/>
      <c r="C376" s="59"/>
      <c r="D376" s="60"/>
      <c r="E376" s="40"/>
      <c r="F376" s="40"/>
      <c r="G376" s="40"/>
      <c r="H376" s="40"/>
      <c r="I376" s="40"/>
      <c r="J376" s="41"/>
    </row>
    <row r="377" spans="2:10" s="1" customFormat="1" ht="12.75" x14ac:dyDescent="0.2">
      <c r="B377" s="46"/>
      <c r="C377" s="59"/>
      <c r="D377" s="60"/>
      <c r="E377" s="40"/>
      <c r="F377" s="40"/>
      <c r="G377" s="40"/>
      <c r="H377" s="40"/>
      <c r="I377" s="40"/>
      <c r="J377" s="41"/>
    </row>
    <row r="378" spans="2:10" s="1" customFormat="1" ht="12.75" x14ac:dyDescent="0.2">
      <c r="B378" s="46"/>
      <c r="C378" s="59"/>
      <c r="D378" s="60"/>
      <c r="E378" s="40"/>
      <c r="F378" s="40"/>
      <c r="G378" s="40"/>
      <c r="H378" s="40"/>
      <c r="I378" s="40"/>
      <c r="J378" s="41"/>
    </row>
    <row r="379" spans="2:10" s="1" customFormat="1" ht="12.75" x14ac:dyDescent="0.2">
      <c r="B379" s="46"/>
      <c r="C379" s="59"/>
      <c r="D379" s="60"/>
      <c r="E379" s="40"/>
      <c r="F379" s="40"/>
      <c r="G379" s="40"/>
      <c r="H379" s="40"/>
      <c r="I379" s="40"/>
      <c r="J379" s="41"/>
    </row>
    <row r="380" spans="2:10" s="1" customFormat="1" ht="12.75" x14ac:dyDescent="0.2">
      <c r="B380" s="46"/>
      <c r="C380" s="59"/>
      <c r="D380" s="60"/>
      <c r="E380" s="40"/>
      <c r="F380" s="40"/>
      <c r="G380" s="40"/>
      <c r="H380" s="40"/>
      <c r="I380" s="40"/>
      <c r="J380" s="41"/>
    </row>
    <row r="381" spans="2:10" s="1" customFormat="1" ht="12.75" x14ac:dyDescent="0.2">
      <c r="B381" s="46"/>
      <c r="C381" s="59"/>
      <c r="D381" s="60"/>
      <c r="E381" s="40"/>
      <c r="F381" s="40"/>
      <c r="G381" s="40"/>
      <c r="H381" s="40"/>
      <c r="I381" s="40"/>
      <c r="J381" s="41"/>
    </row>
    <row r="382" spans="2:10" s="1" customFormat="1" ht="12.75" x14ac:dyDescent="0.2">
      <c r="B382" s="46"/>
      <c r="C382" s="59"/>
      <c r="D382" s="60"/>
      <c r="E382" s="40"/>
      <c r="F382" s="40"/>
      <c r="G382" s="40"/>
      <c r="H382" s="40"/>
      <c r="I382" s="40"/>
      <c r="J382" s="41"/>
    </row>
    <row r="383" spans="2:10" s="1" customFormat="1" ht="12.75" x14ac:dyDescent="0.2">
      <c r="B383" s="46"/>
      <c r="C383" s="59"/>
      <c r="D383" s="60"/>
      <c r="E383" s="40"/>
      <c r="F383" s="40"/>
      <c r="G383" s="40"/>
      <c r="H383" s="40"/>
      <c r="I383" s="40"/>
      <c r="J383" s="41"/>
    </row>
    <row r="384" spans="2:10" s="1" customFormat="1" ht="12.75" x14ac:dyDescent="0.2">
      <c r="B384" s="46"/>
      <c r="C384" s="59"/>
      <c r="D384" s="60"/>
      <c r="E384" s="40"/>
      <c r="F384" s="40"/>
      <c r="G384" s="40"/>
      <c r="H384" s="40"/>
      <c r="I384" s="40"/>
      <c r="J384" s="41"/>
    </row>
    <row r="385" spans="2:10" s="1" customFormat="1" ht="12.75" x14ac:dyDescent="0.2">
      <c r="B385" s="46"/>
      <c r="C385" s="59"/>
      <c r="D385" s="60"/>
      <c r="E385" s="40"/>
      <c r="F385" s="40"/>
      <c r="G385" s="40"/>
      <c r="H385" s="40"/>
      <c r="I385" s="40"/>
      <c r="J385" s="41"/>
    </row>
    <row r="386" spans="2:10" s="1" customFormat="1" ht="12.75" x14ac:dyDescent="0.2">
      <c r="B386" s="46"/>
      <c r="C386" s="59"/>
      <c r="D386" s="60"/>
      <c r="E386" s="40"/>
      <c r="F386" s="40"/>
      <c r="G386" s="40"/>
      <c r="H386" s="40"/>
      <c r="I386" s="40"/>
      <c r="J386" s="41"/>
    </row>
    <row r="387" spans="2:10" s="1" customFormat="1" ht="12.75" x14ac:dyDescent="0.2">
      <c r="B387" s="46"/>
      <c r="C387" s="59"/>
      <c r="D387" s="60"/>
      <c r="E387" s="40"/>
      <c r="F387" s="40"/>
      <c r="G387" s="40"/>
      <c r="H387" s="40"/>
      <c r="I387" s="40"/>
      <c r="J387" s="41"/>
    </row>
    <row r="388" spans="2:10" s="1" customFormat="1" ht="12.75" x14ac:dyDescent="0.2">
      <c r="B388" s="46"/>
      <c r="C388" s="59"/>
      <c r="D388" s="60"/>
      <c r="E388" s="40"/>
      <c r="F388" s="40"/>
      <c r="G388" s="40"/>
      <c r="H388" s="40"/>
      <c r="I388" s="40"/>
      <c r="J388" s="41"/>
    </row>
    <row r="389" spans="2:10" s="1" customFormat="1" ht="12.75" x14ac:dyDescent="0.2">
      <c r="B389" s="46"/>
      <c r="C389" s="59"/>
      <c r="D389" s="60"/>
      <c r="E389" s="40"/>
      <c r="F389" s="40"/>
      <c r="G389" s="40"/>
      <c r="H389" s="40"/>
      <c r="I389" s="40"/>
      <c r="J389" s="41"/>
    </row>
    <row r="390" spans="2:10" s="1" customFormat="1" ht="12.75" x14ac:dyDescent="0.2">
      <c r="B390" s="46"/>
      <c r="C390" s="59"/>
      <c r="D390" s="60"/>
      <c r="E390" s="40"/>
      <c r="F390" s="40"/>
      <c r="G390" s="40"/>
      <c r="H390" s="40"/>
      <c r="I390" s="40"/>
      <c r="J390" s="41"/>
    </row>
    <row r="391" spans="2:10" s="1" customFormat="1" ht="12.75" x14ac:dyDescent="0.2">
      <c r="B391" s="46"/>
      <c r="C391" s="59"/>
      <c r="D391" s="60"/>
      <c r="E391" s="40"/>
      <c r="F391" s="40"/>
      <c r="G391" s="40"/>
      <c r="H391" s="40"/>
      <c r="I391" s="40"/>
      <c r="J391" s="41"/>
    </row>
    <row r="392" spans="2:10" s="1" customFormat="1" ht="12.75" x14ac:dyDescent="0.2">
      <c r="B392" s="46"/>
      <c r="C392" s="59"/>
      <c r="D392" s="60"/>
      <c r="E392" s="40"/>
      <c r="F392" s="40"/>
      <c r="G392" s="40"/>
      <c r="H392" s="40"/>
      <c r="I392" s="40"/>
      <c r="J392" s="41"/>
    </row>
    <row r="393" spans="2:10" s="1" customFormat="1" ht="12.75" x14ac:dyDescent="0.2">
      <c r="B393" s="46"/>
      <c r="C393" s="59"/>
      <c r="D393" s="60"/>
      <c r="E393" s="40"/>
      <c r="F393" s="40"/>
      <c r="G393" s="40"/>
      <c r="H393" s="40"/>
      <c r="I393" s="40"/>
      <c r="J393" s="41"/>
    </row>
    <row r="394" spans="2:10" s="1" customFormat="1" ht="12.75" x14ac:dyDescent="0.2">
      <c r="B394" s="46"/>
      <c r="C394" s="59"/>
      <c r="D394" s="60"/>
      <c r="E394" s="40"/>
      <c r="F394" s="40"/>
      <c r="G394" s="40"/>
      <c r="H394" s="40"/>
      <c r="I394" s="40"/>
      <c r="J394" s="41"/>
    </row>
    <row r="395" spans="2:10" s="1" customFormat="1" ht="12.75" x14ac:dyDescent="0.2">
      <c r="B395" s="46"/>
      <c r="C395" s="59"/>
      <c r="D395" s="60"/>
      <c r="E395" s="40"/>
      <c r="F395" s="40"/>
      <c r="G395" s="40"/>
      <c r="H395" s="40"/>
      <c r="I395" s="40"/>
      <c r="J395" s="41"/>
    </row>
    <row r="396" spans="2:10" s="1" customFormat="1" ht="12.75" x14ac:dyDescent="0.2">
      <c r="B396" s="46"/>
      <c r="C396" s="59"/>
      <c r="D396" s="60"/>
      <c r="E396" s="40"/>
      <c r="F396" s="40"/>
      <c r="G396" s="40"/>
      <c r="H396" s="40"/>
      <c r="I396" s="40"/>
      <c r="J396" s="41"/>
    </row>
    <row r="397" spans="2:10" s="1" customFormat="1" ht="12.75" x14ac:dyDescent="0.2">
      <c r="B397" s="46"/>
      <c r="C397" s="59"/>
      <c r="D397" s="60"/>
      <c r="E397" s="40"/>
      <c r="F397" s="40"/>
      <c r="G397" s="40"/>
      <c r="H397" s="40"/>
      <c r="I397" s="40"/>
      <c r="J397" s="41"/>
    </row>
    <row r="398" spans="2:10" s="1" customFormat="1" ht="12.75" x14ac:dyDescent="0.2">
      <c r="B398" s="46"/>
      <c r="C398" s="59"/>
      <c r="D398" s="60"/>
      <c r="E398" s="40"/>
      <c r="F398" s="40"/>
      <c r="G398" s="40"/>
      <c r="H398" s="40"/>
      <c r="I398" s="40"/>
      <c r="J398" s="41"/>
    </row>
    <row r="399" spans="2:10" s="1" customFormat="1" ht="12.75" x14ac:dyDescent="0.2">
      <c r="B399" s="46"/>
      <c r="C399" s="59"/>
      <c r="D399" s="60"/>
      <c r="E399" s="40"/>
      <c r="F399" s="40"/>
      <c r="G399" s="40"/>
      <c r="H399" s="40"/>
      <c r="I399" s="40"/>
      <c r="J399" s="41"/>
    </row>
    <row r="400" spans="2:10" s="1" customFormat="1" ht="12.75" x14ac:dyDescent="0.2">
      <c r="B400" s="46"/>
      <c r="C400" s="59"/>
      <c r="D400" s="60"/>
      <c r="E400" s="40"/>
      <c r="F400" s="40"/>
      <c r="G400" s="40"/>
      <c r="H400" s="40"/>
      <c r="I400" s="40"/>
      <c r="J400" s="41"/>
    </row>
    <row r="401" spans="2:10" s="1" customFormat="1" ht="12.75" x14ac:dyDescent="0.2">
      <c r="B401" s="46"/>
      <c r="C401" s="59"/>
      <c r="D401" s="60"/>
      <c r="E401" s="40"/>
      <c r="F401" s="40"/>
      <c r="G401" s="40"/>
      <c r="H401" s="40"/>
      <c r="I401" s="40"/>
      <c r="J401" s="41"/>
    </row>
    <row r="402" spans="2:10" s="1" customFormat="1" ht="12.75" x14ac:dyDescent="0.2">
      <c r="B402" s="46"/>
      <c r="C402" s="59"/>
      <c r="D402" s="60"/>
      <c r="E402" s="40"/>
      <c r="F402" s="40"/>
      <c r="G402" s="40"/>
      <c r="H402" s="40"/>
      <c r="I402" s="40"/>
      <c r="J402" s="41"/>
    </row>
    <row r="403" spans="2:10" s="1" customFormat="1" ht="12.75" x14ac:dyDescent="0.2">
      <c r="B403" s="46"/>
      <c r="C403" s="59"/>
      <c r="D403" s="60"/>
      <c r="E403" s="40"/>
      <c r="F403" s="40"/>
      <c r="G403" s="40"/>
      <c r="H403" s="40"/>
      <c r="I403" s="40"/>
      <c r="J403" s="41"/>
    </row>
    <row r="404" spans="2:10" s="1" customFormat="1" ht="12.75" x14ac:dyDescent="0.2">
      <c r="B404" s="46"/>
      <c r="C404" s="59"/>
      <c r="D404" s="60"/>
      <c r="E404" s="40"/>
      <c r="F404" s="40"/>
      <c r="G404" s="40"/>
      <c r="H404" s="40"/>
      <c r="I404" s="40"/>
      <c r="J404" s="41"/>
    </row>
    <row r="405" spans="2:10" s="1" customFormat="1" ht="12.75" x14ac:dyDescent="0.2">
      <c r="B405" s="46"/>
      <c r="C405" s="59"/>
      <c r="D405" s="60"/>
      <c r="E405" s="40"/>
      <c r="F405" s="40"/>
      <c r="G405" s="40"/>
      <c r="H405" s="40"/>
      <c r="I405" s="40"/>
      <c r="J405" s="41"/>
    </row>
    <row r="406" spans="2:10" s="1" customFormat="1" ht="12.75" x14ac:dyDescent="0.2">
      <c r="B406" s="46"/>
      <c r="C406" s="59"/>
      <c r="D406" s="60"/>
      <c r="E406" s="40"/>
      <c r="F406" s="40"/>
      <c r="G406" s="40"/>
      <c r="H406" s="40"/>
      <c r="I406" s="40"/>
      <c r="J406" s="41"/>
    </row>
    <row r="407" spans="2:10" s="1" customFormat="1" ht="12.75" x14ac:dyDescent="0.2">
      <c r="B407" s="46"/>
      <c r="C407" s="59"/>
      <c r="D407" s="60"/>
      <c r="E407" s="40"/>
      <c r="F407" s="40"/>
      <c r="G407" s="40"/>
      <c r="H407" s="40"/>
      <c r="I407" s="40"/>
      <c r="J407" s="41"/>
    </row>
    <row r="408" spans="2:10" s="1" customFormat="1" ht="12.75" x14ac:dyDescent="0.2">
      <c r="B408" s="46"/>
      <c r="C408" s="59"/>
      <c r="D408" s="60"/>
      <c r="E408" s="40"/>
      <c r="F408" s="40"/>
      <c r="G408" s="40"/>
      <c r="H408" s="40"/>
      <c r="I408" s="40"/>
      <c r="J408" s="41"/>
    </row>
    <row r="409" spans="2:10" s="1" customFormat="1" ht="12.75" x14ac:dyDescent="0.2">
      <c r="B409" s="46"/>
      <c r="C409" s="59"/>
      <c r="D409" s="60"/>
      <c r="E409" s="40"/>
      <c r="F409" s="40"/>
      <c r="G409" s="40"/>
      <c r="H409" s="40"/>
      <c r="I409" s="40"/>
      <c r="J409" s="41"/>
    </row>
    <row r="410" spans="2:10" s="1" customFormat="1" ht="12.75" x14ac:dyDescent="0.2">
      <c r="B410" s="46"/>
      <c r="C410" s="59"/>
      <c r="D410" s="60"/>
      <c r="E410" s="40"/>
      <c r="F410" s="40"/>
      <c r="G410" s="40"/>
      <c r="H410" s="40"/>
      <c r="I410" s="40"/>
      <c r="J410" s="41"/>
    </row>
    <row r="411" spans="2:10" s="1" customFormat="1" ht="12.75" x14ac:dyDescent="0.2">
      <c r="B411" s="46"/>
      <c r="C411" s="59"/>
      <c r="D411" s="60"/>
      <c r="E411" s="40"/>
      <c r="F411" s="40"/>
      <c r="G411" s="40"/>
      <c r="H411" s="40"/>
      <c r="I411" s="40"/>
      <c r="J411" s="41"/>
    </row>
    <row r="412" spans="2:10" s="1" customFormat="1" ht="12.75" x14ac:dyDescent="0.2">
      <c r="B412" s="46"/>
      <c r="C412" s="59"/>
      <c r="D412" s="60"/>
      <c r="E412" s="40"/>
      <c r="F412" s="40"/>
      <c r="G412" s="40"/>
      <c r="H412" s="40"/>
      <c r="I412" s="40"/>
      <c r="J412" s="41"/>
    </row>
    <row r="413" spans="2:10" s="1" customFormat="1" ht="12.75" x14ac:dyDescent="0.2">
      <c r="B413" s="46"/>
      <c r="C413" s="59"/>
      <c r="D413" s="60"/>
      <c r="E413" s="40"/>
      <c r="F413" s="40"/>
      <c r="G413" s="40"/>
      <c r="H413" s="40"/>
      <c r="I413" s="40"/>
      <c r="J413" s="41"/>
    </row>
    <row r="414" spans="2:10" s="1" customFormat="1" ht="12.75" x14ac:dyDescent="0.2">
      <c r="B414" s="46"/>
      <c r="C414" s="59"/>
      <c r="D414" s="60"/>
      <c r="E414" s="40"/>
      <c r="F414" s="40"/>
      <c r="G414" s="40"/>
      <c r="H414" s="40"/>
      <c r="I414" s="40"/>
      <c r="J414" s="41"/>
    </row>
    <row r="415" spans="2:10" s="1" customFormat="1" ht="12.75" x14ac:dyDescent="0.2">
      <c r="B415" s="46"/>
      <c r="C415" s="59"/>
      <c r="D415" s="60"/>
      <c r="E415" s="40"/>
      <c r="F415" s="40"/>
      <c r="G415" s="40"/>
      <c r="H415" s="40"/>
      <c r="I415" s="40"/>
      <c r="J415" s="41"/>
    </row>
    <row r="416" spans="2:10" s="1" customFormat="1" ht="12.75" x14ac:dyDescent="0.2">
      <c r="B416" s="46"/>
      <c r="C416" s="59"/>
      <c r="D416" s="60"/>
      <c r="E416" s="40"/>
      <c r="F416" s="40"/>
      <c r="G416" s="40"/>
      <c r="H416" s="40"/>
      <c r="I416" s="40"/>
      <c r="J416" s="41"/>
    </row>
    <row r="417" spans="2:10" s="1" customFormat="1" ht="12.75" x14ac:dyDescent="0.2">
      <c r="B417" s="46"/>
      <c r="C417" s="59"/>
      <c r="D417" s="60"/>
      <c r="E417" s="40"/>
      <c r="F417" s="40"/>
      <c r="G417" s="40"/>
      <c r="H417" s="40"/>
      <c r="I417" s="40"/>
      <c r="J417" s="41"/>
    </row>
    <row r="418" spans="2:10" s="1" customFormat="1" ht="12.75" x14ac:dyDescent="0.2">
      <c r="B418" s="46"/>
      <c r="C418" s="59"/>
      <c r="D418" s="60"/>
      <c r="E418" s="40"/>
      <c r="F418" s="40"/>
      <c r="G418" s="40"/>
      <c r="H418" s="40"/>
      <c r="I418" s="40"/>
      <c r="J418" s="41"/>
    </row>
    <row r="419" spans="2:10" s="1" customFormat="1" ht="12.75" x14ac:dyDescent="0.2">
      <c r="B419" s="46"/>
      <c r="C419" s="59"/>
      <c r="D419" s="60"/>
      <c r="E419" s="40"/>
      <c r="F419" s="40"/>
      <c r="G419" s="40"/>
      <c r="H419" s="40"/>
      <c r="I419" s="40"/>
      <c r="J419" s="41"/>
    </row>
    <row r="420" spans="2:10" s="1" customFormat="1" ht="12.75" x14ac:dyDescent="0.2">
      <c r="B420" s="46"/>
      <c r="C420" s="59"/>
      <c r="D420" s="60"/>
      <c r="E420" s="40"/>
      <c r="F420" s="40"/>
      <c r="G420" s="40"/>
      <c r="H420" s="40"/>
      <c r="I420" s="40"/>
      <c r="J420" s="41"/>
    </row>
    <row r="421" spans="2:10" s="1" customFormat="1" ht="12.75" x14ac:dyDescent="0.2">
      <c r="B421" s="46"/>
      <c r="C421" s="59"/>
      <c r="D421" s="60"/>
      <c r="E421" s="40"/>
      <c r="F421" s="40"/>
      <c r="G421" s="40"/>
      <c r="H421" s="40"/>
      <c r="I421" s="40"/>
      <c r="J421" s="41"/>
    </row>
    <row r="422" spans="2:10" s="1" customFormat="1" ht="12.75" x14ac:dyDescent="0.2">
      <c r="B422" s="46"/>
      <c r="C422" s="59"/>
      <c r="D422" s="60"/>
      <c r="E422" s="40"/>
      <c r="F422" s="40"/>
      <c r="G422" s="40"/>
      <c r="H422" s="40"/>
      <c r="I422" s="40"/>
      <c r="J422" s="41"/>
    </row>
    <row r="423" spans="2:10" s="1" customFormat="1" ht="12.75" x14ac:dyDescent="0.2">
      <c r="B423" s="46"/>
      <c r="C423" s="59"/>
      <c r="D423" s="60"/>
      <c r="E423" s="40"/>
      <c r="F423" s="40"/>
      <c r="G423" s="40"/>
      <c r="H423" s="40"/>
      <c r="I423" s="40"/>
      <c r="J423" s="41"/>
    </row>
    <row r="424" spans="2:10" s="1" customFormat="1" ht="12.75" x14ac:dyDescent="0.2">
      <c r="B424" s="46"/>
      <c r="C424" s="59"/>
      <c r="D424" s="60"/>
      <c r="E424" s="40"/>
      <c r="F424" s="40"/>
      <c r="G424" s="40"/>
      <c r="H424" s="40"/>
      <c r="I424" s="40"/>
      <c r="J424" s="41"/>
    </row>
    <row r="425" spans="2:10" s="1" customFormat="1" ht="12.75" x14ac:dyDescent="0.2">
      <c r="B425" s="46"/>
      <c r="C425" s="59"/>
      <c r="D425" s="60"/>
      <c r="E425" s="40"/>
      <c r="F425" s="40"/>
      <c r="G425" s="40"/>
      <c r="H425" s="40"/>
      <c r="I425" s="40"/>
      <c r="J425" s="41"/>
    </row>
    <row r="426" spans="2:10" s="1" customFormat="1" ht="12.75" x14ac:dyDescent="0.2">
      <c r="B426" s="46"/>
      <c r="C426" s="59"/>
      <c r="D426" s="60"/>
      <c r="E426" s="40"/>
      <c r="F426" s="40"/>
      <c r="G426" s="40"/>
      <c r="H426" s="40"/>
      <c r="I426" s="40"/>
      <c r="J426" s="41"/>
    </row>
    <row r="427" spans="2:10" s="1" customFormat="1" ht="12.75" x14ac:dyDescent="0.2">
      <c r="B427" s="46"/>
      <c r="C427" s="59"/>
      <c r="D427" s="60"/>
      <c r="E427" s="40"/>
      <c r="F427" s="40"/>
      <c r="G427" s="40"/>
      <c r="H427" s="40"/>
      <c r="I427" s="40"/>
      <c r="J427" s="41"/>
    </row>
    <row r="428" spans="2:10" s="1" customFormat="1" ht="12.75" x14ac:dyDescent="0.2">
      <c r="B428" s="46"/>
      <c r="C428" s="59"/>
      <c r="D428" s="60"/>
      <c r="E428" s="40"/>
      <c r="F428" s="40"/>
      <c r="G428" s="40"/>
      <c r="H428" s="40"/>
      <c r="I428" s="40"/>
      <c r="J428" s="41"/>
    </row>
    <row r="429" spans="2:10" s="1" customFormat="1" ht="12.75" x14ac:dyDescent="0.2">
      <c r="B429" s="46"/>
      <c r="C429" s="59"/>
      <c r="D429" s="60"/>
      <c r="E429" s="40"/>
      <c r="F429" s="40"/>
      <c r="G429" s="40"/>
      <c r="H429" s="40"/>
      <c r="I429" s="40"/>
      <c r="J429" s="41"/>
    </row>
    <row r="430" spans="2:10" s="1" customFormat="1" ht="12.75" x14ac:dyDescent="0.2">
      <c r="B430" s="46"/>
      <c r="C430" s="59"/>
      <c r="D430" s="60"/>
      <c r="E430" s="40"/>
      <c r="F430" s="40"/>
      <c r="G430" s="40"/>
      <c r="H430" s="40"/>
      <c r="I430" s="40"/>
      <c r="J430" s="41"/>
    </row>
    <row r="431" spans="2:10" s="1" customFormat="1" ht="12.75" x14ac:dyDescent="0.2">
      <c r="B431" s="46"/>
      <c r="C431" s="59"/>
      <c r="D431" s="60"/>
      <c r="E431" s="40"/>
      <c r="F431" s="40"/>
      <c r="G431" s="40"/>
      <c r="H431" s="40"/>
      <c r="I431" s="40"/>
      <c r="J431" s="41"/>
    </row>
    <row r="432" spans="2:10" s="1" customFormat="1" ht="12.75" x14ac:dyDescent="0.2">
      <c r="B432" s="46"/>
      <c r="C432" s="59"/>
      <c r="D432" s="60"/>
      <c r="E432" s="40"/>
      <c r="F432" s="40"/>
      <c r="G432" s="40"/>
      <c r="H432" s="40"/>
      <c r="I432" s="40"/>
      <c r="J432" s="41"/>
    </row>
    <row r="433" spans="2:10" s="1" customFormat="1" ht="12.75" x14ac:dyDescent="0.2">
      <c r="B433" s="46"/>
      <c r="C433" s="59"/>
      <c r="D433" s="60"/>
      <c r="E433" s="40"/>
      <c r="F433" s="40"/>
      <c r="G433" s="40"/>
      <c r="H433" s="40"/>
      <c r="I433" s="40"/>
      <c r="J433" s="41"/>
    </row>
    <row r="434" spans="2:10" s="1" customFormat="1" ht="12.75" x14ac:dyDescent="0.2">
      <c r="B434" s="46"/>
      <c r="C434" s="59"/>
      <c r="D434" s="60"/>
      <c r="E434" s="40"/>
      <c r="F434" s="40"/>
      <c r="G434" s="40"/>
      <c r="H434" s="40"/>
      <c r="I434" s="40"/>
      <c r="J434" s="41"/>
    </row>
    <row r="435" spans="2:10" s="1" customFormat="1" ht="12.75" x14ac:dyDescent="0.2">
      <c r="B435" s="46"/>
      <c r="C435" s="59"/>
      <c r="D435" s="60"/>
      <c r="E435" s="40"/>
      <c r="F435" s="40"/>
      <c r="G435" s="40"/>
      <c r="H435" s="40"/>
      <c r="I435" s="40"/>
      <c r="J435" s="41"/>
    </row>
    <row r="436" spans="2:10" s="1" customFormat="1" ht="12.75" x14ac:dyDescent="0.2">
      <c r="B436" s="37"/>
      <c r="C436" s="38"/>
      <c r="D436" s="38"/>
      <c r="E436" s="38"/>
      <c r="F436" s="38"/>
      <c r="G436" s="38"/>
      <c r="H436" s="38"/>
      <c r="I436" s="38"/>
      <c r="J436" s="38"/>
    </row>
    <row r="437" spans="2:10" s="1" customFormat="1" ht="12.75" x14ac:dyDescent="0.2">
      <c r="C437" s="499" t="s">
        <v>37</v>
      </c>
      <c r="D437" s="499"/>
      <c r="E437" s="499"/>
      <c r="F437" s="499"/>
      <c r="G437" s="499"/>
      <c r="H437" s="499"/>
    </row>
    <row r="438" spans="2:10" s="1" customFormat="1" ht="12.75" x14ac:dyDescent="0.2">
      <c r="C438" s="499" t="s">
        <v>38</v>
      </c>
      <c r="D438" s="499"/>
      <c r="E438" s="499"/>
      <c r="F438" s="499"/>
      <c r="G438" s="499"/>
      <c r="H438" s="499"/>
    </row>
    <row r="439" spans="2:10" s="1" customFormat="1" ht="12.75" x14ac:dyDescent="0.2">
      <c r="C439" s="499" t="s">
        <v>39</v>
      </c>
      <c r="D439" s="499"/>
      <c r="E439" s="499"/>
      <c r="F439" s="499"/>
      <c r="G439" s="499"/>
      <c r="H439" s="499"/>
    </row>
    <row r="440" spans="2:10" s="1" customFormat="1" ht="12.75" x14ac:dyDescent="0.2">
      <c r="C440" s="500" t="s">
        <v>40</v>
      </c>
      <c r="D440" s="500"/>
      <c r="E440" s="500"/>
      <c r="F440" s="500"/>
      <c r="G440" s="500"/>
      <c r="H440" s="500"/>
    </row>
    <row r="441" spans="2:10" s="1" customFormat="1" ht="12.75" x14ac:dyDescent="0.2">
      <c r="C441" s="78"/>
      <c r="D441" s="78"/>
      <c r="E441" s="78"/>
      <c r="F441" s="78"/>
      <c r="G441" s="78"/>
      <c r="H441" s="78"/>
    </row>
    <row r="442" spans="2:10" s="1" customFormat="1" ht="15.75" x14ac:dyDescent="0.2">
      <c r="B442" s="501" t="s">
        <v>65</v>
      </c>
      <c r="C442" s="502"/>
      <c r="D442" s="502"/>
      <c r="E442" s="502"/>
      <c r="F442" s="502"/>
      <c r="G442" s="502"/>
      <c r="H442" s="502"/>
      <c r="I442" s="502"/>
      <c r="J442" s="503"/>
    </row>
    <row r="443" spans="2:10" s="1" customFormat="1" ht="20.25" x14ac:dyDescent="0.2">
      <c r="B443" s="543" t="s">
        <v>362</v>
      </c>
      <c r="C443" s="544"/>
      <c r="D443" s="544"/>
      <c r="E443" s="544"/>
      <c r="F443" s="544"/>
      <c r="G443" s="544"/>
      <c r="H443" s="544"/>
      <c r="I443" s="544"/>
      <c r="J443" s="545"/>
    </row>
    <row r="444" spans="2:10" s="1" customFormat="1" ht="13.5" thickBot="1" x14ac:dyDescent="0.25">
      <c r="B444" s="79"/>
      <c r="C444" s="79"/>
      <c r="D444" s="79"/>
      <c r="E444" s="79"/>
      <c r="F444" s="79"/>
      <c r="G444" s="79"/>
      <c r="H444" s="79"/>
      <c r="I444" s="79"/>
      <c r="J444" s="79"/>
    </row>
    <row r="445" spans="2:10" s="1" customFormat="1" ht="33.75" customHeight="1" x14ac:dyDescent="0.2">
      <c r="B445" s="494" t="s">
        <v>27</v>
      </c>
      <c r="C445" s="495"/>
      <c r="D445" s="495"/>
      <c r="E445" s="495"/>
      <c r="F445" s="495"/>
      <c r="G445" s="495"/>
      <c r="H445" s="495"/>
      <c r="I445" s="495"/>
      <c r="J445" s="496"/>
    </row>
    <row r="446" spans="2:10" s="1" customFormat="1" ht="12.75" x14ac:dyDescent="0.2">
      <c r="B446" s="2" t="s">
        <v>35</v>
      </c>
      <c r="C446" s="3" t="s">
        <v>36</v>
      </c>
      <c r="D446" s="3"/>
      <c r="E446" s="4"/>
      <c r="F446" s="5"/>
      <c r="G446" s="6" t="s">
        <v>8</v>
      </c>
      <c r="H446" s="497">
        <v>42879</v>
      </c>
      <c r="I446" s="497"/>
      <c r="J446" s="7"/>
    </row>
    <row r="447" spans="2:10" s="1" customFormat="1" ht="12.75" x14ac:dyDescent="0.2">
      <c r="B447" s="2" t="s">
        <v>33</v>
      </c>
      <c r="C447" s="3" t="s">
        <v>29</v>
      </c>
      <c r="D447" s="8"/>
      <c r="E447" s="8"/>
      <c r="F447" s="3"/>
      <c r="G447" s="9" t="s">
        <v>32</v>
      </c>
      <c r="H447" s="4" t="s">
        <v>29</v>
      </c>
      <c r="I447" s="10"/>
      <c r="J447" s="11"/>
    </row>
    <row r="448" spans="2:10" s="1" customFormat="1" ht="12.75" x14ac:dyDescent="0.2">
      <c r="B448" s="2" t="s">
        <v>34</v>
      </c>
      <c r="C448" s="3" t="s">
        <v>29</v>
      </c>
      <c r="D448" s="8"/>
      <c r="E448" s="8"/>
      <c r="F448" s="3"/>
      <c r="G448" s="9" t="s">
        <v>30</v>
      </c>
      <c r="H448" s="4" t="s">
        <v>31</v>
      </c>
      <c r="I448" s="10"/>
      <c r="J448" s="11"/>
    </row>
    <row r="449" spans="2:10" s="1" customFormat="1" ht="13.5" thickBot="1" x14ac:dyDescent="0.25">
      <c r="B449" s="12" t="s">
        <v>43</v>
      </c>
      <c r="C449" s="13" t="s">
        <v>44</v>
      </c>
      <c r="D449" s="14"/>
      <c r="E449" s="14"/>
      <c r="F449" s="13"/>
      <c r="G449" s="15" t="s">
        <v>41</v>
      </c>
      <c r="H449" s="16" t="s">
        <v>42</v>
      </c>
      <c r="I449" s="17"/>
      <c r="J449" s="18"/>
    </row>
    <row r="450" spans="2:10" s="1" customFormat="1" ht="12.75" x14ac:dyDescent="0.2">
      <c r="B450" s="79"/>
      <c r="C450" s="79"/>
      <c r="D450" s="79"/>
      <c r="E450" s="79"/>
      <c r="F450" s="79"/>
      <c r="G450" s="79"/>
      <c r="H450" s="79"/>
      <c r="I450" s="79"/>
      <c r="J450" s="79"/>
    </row>
    <row r="451" spans="2:10" s="1" customFormat="1" ht="12.75" x14ac:dyDescent="0.2">
      <c r="B451" s="21" t="s">
        <v>5</v>
      </c>
      <c r="C451" s="22" t="s">
        <v>0</v>
      </c>
      <c r="D451" s="22" t="s">
        <v>9</v>
      </c>
      <c r="E451" s="22" t="s">
        <v>10</v>
      </c>
      <c r="F451" s="22" t="s">
        <v>1</v>
      </c>
      <c r="G451" s="22" t="s">
        <v>2</v>
      </c>
      <c r="H451" s="22" t="s">
        <v>11</v>
      </c>
      <c r="I451" s="22" t="s">
        <v>6</v>
      </c>
      <c r="J451" s="22" t="s">
        <v>7</v>
      </c>
    </row>
    <row r="452" spans="2:10" s="1" customFormat="1" ht="12.75" x14ac:dyDescent="0.2">
      <c r="B452" s="55">
        <v>4.03</v>
      </c>
      <c r="C452" s="56" t="s">
        <v>222</v>
      </c>
      <c r="D452" s="60"/>
      <c r="E452" s="40"/>
      <c r="F452" s="40"/>
      <c r="G452" s="40"/>
      <c r="H452" s="40"/>
      <c r="I452" s="40"/>
      <c r="J452" s="41"/>
    </row>
    <row r="453" spans="2:10" s="1" customFormat="1" ht="12.75" x14ac:dyDescent="0.2">
      <c r="B453" s="57" t="s">
        <v>14</v>
      </c>
      <c r="C453" s="58" t="s">
        <v>225</v>
      </c>
      <c r="D453" s="60"/>
      <c r="E453" s="40"/>
      <c r="F453" s="40"/>
      <c r="G453" s="40"/>
      <c r="H453" s="40"/>
      <c r="I453" s="40"/>
      <c r="J453" s="41"/>
    </row>
    <row r="454" spans="2:10" s="1" customFormat="1" ht="12.75" x14ac:dyDescent="0.2">
      <c r="B454" s="43" t="s">
        <v>15</v>
      </c>
      <c r="C454" s="43" t="s">
        <v>359</v>
      </c>
      <c r="D454" s="60"/>
      <c r="E454" s="40"/>
      <c r="F454" s="40"/>
      <c r="G454" s="40"/>
      <c r="H454" s="40"/>
      <c r="I454" s="44">
        <f>SUM(H455:H455)</f>
        <v>4</v>
      </c>
      <c r="J454" s="45" t="str">
        <f>+J455</f>
        <v>ml</v>
      </c>
    </row>
    <row r="455" spans="2:10" s="1" customFormat="1" ht="12.75" x14ac:dyDescent="0.2">
      <c r="B455" s="43"/>
      <c r="C455" s="39" t="s">
        <v>387</v>
      </c>
      <c r="D455" s="40">
        <v>1</v>
      </c>
      <c r="E455" s="40">
        <v>4</v>
      </c>
      <c r="F455" s="40"/>
      <c r="G455" s="40"/>
      <c r="H455" s="40">
        <f>IF(AND(F455=0,G455=0),D455*E455,IF(AND(E455=0,G455=0),D455*F455,IF(AND(E455=0,F455=0),D455*G455,IF(AND(E455=0),D455*F455*G455,IF(AND(F455=0),D455*E455*G455,IF(AND(G455=0),D455*E455*F455,D455*E455*F455*G455))))))</f>
        <v>4</v>
      </c>
      <c r="I455" s="40"/>
      <c r="J455" s="41" t="str">
        <f>IF(AND(E455=0,F455&lt;&gt;0,G455&lt;&gt;0),"m2",IF(AND(F455=0,E455&lt;&gt;0,G455&lt;&gt;0),"m2",IF(AND(G455=0,E455&lt;&gt;0,F455&lt;&gt;0),"m2",IF(AND(F455=0,G455=0),"ml",IF(AND(E455=0,G455=0),"ml",IF(AND(E455=0,F455=0),"ml",IF(AND(E455&lt;&gt;0,F455&lt;&gt;0,G455&lt;&gt;0),"m3",0)))))))</f>
        <v>ml</v>
      </c>
    </row>
    <row r="456" spans="2:10" s="1" customFormat="1" ht="12.75" x14ac:dyDescent="0.2">
      <c r="B456" s="43"/>
      <c r="C456" s="39"/>
      <c r="D456" s="40">
        <v>1</v>
      </c>
      <c r="E456" s="40">
        <v>2.7</v>
      </c>
      <c r="F456" s="40"/>
      <c r="G456" s="40"/>
      <c r="H456" s="40">
        <f>IF(AND(F456=0,G456=0),D456*E456,IF(AND(E456=0,G456=0),D456*F456,IF(AND(E456=0,F456=0),D456*G456,IF(AND(E456=0),D456*F456*G456,IF(AND(F456=0),D456*E456*G456,IF(AND(G456=0),D456*E456*F456,D456*E456*F456*G456))))))</f>
        <v>2.7</v>
      </c>
      <c r="I456" s="40"/>
      <c r="J456" s="41" t="str">
        <f>IF(AND(E456=0,F456&lt;&gt;0,G456&lt;&gt;0),"m2",IF(AND(F456=0,E456&lt;&gt;0,G456&lt;&gt;0),"m2",IF(AND(G456=0,E456&lt;&gt;0,F456&lt;&gt;0),"m2",IF(AND(F456=0,G456=0),"ml",IF(AND(E456=0,G456=0),"ml",IF(AND(E456=0,F456=0),"ml",IF(AND(E456&lt;&gt;0,F456&lt;&gt;0,G456&lt;&gt;0),"m3",0)))))))</f>
        <v>ml</v>
      </c>
    </row>
    <row r="457" spans="2:10" s="1" customFormat="1" ht="12.75" x14ac:dyDescent="0.2">
      <c r="B457" s="43" t="s">
        <v>232</v>
      </c>
      <c r="C457" s="43" t="s">
        <v>235</v>
      </c>
      <c r="D457" s="60"/>
      <c r="E457" s="40"/>
      <c r="F457" s="40"/>
      <c r="G457" s="40"/>
      <c r="H457" s="40"/>
      <c r="I457" s="44">
        <f>SUM(H458:H458)</f>
        <v>7</v>
      </c>
      <c r="J457" s="45" t="str">
        <f>+J458</f>
        <v>ml</v>
      </c>
    </row>
    <row r="458" spans="2:10" s="1" customFormat="1" ht="12.75" x14ac:dyDescent="0.2">
      <c r="B458" s="57"/>
      <c r="C458" s="39" t="s">
        <v>378</v>
      </c>
      <c r="D458" s="40">
        <v>2</v>
      </c>
      <c r="E458" s="40">
        <v>3.5</v>
      </c>
      <c r="F458" s="40"/>
      <c r="G458" s="40"/>
      <c r="H458" s="40">
        <f>IF(AND(F458=0,G458=0),D458*E458,IF(AND(E458=0,G458=0),D458*F458,IF(AND(E458=0,F458=0),D458*G458,IF(AND(E458=0),D458*F458*G458,IF(AND(F458=0),D458*E458*G458,IF(AND(G458=0),D458*E458*F458,D458*E458*F458*G458))))))</f>
        <v>7</v>
      </c>
      <c r="I458" s="40"/>
      <c r="J458" s="41" t="str">
        <f>IF(AND(E458=0,F458&lt;&gt;0,G458&lt;&gt;0),"m2",IF(AND(F458=0,E458&lt;&gt;0,G458&lt;&gt;0),"m2",IF(AND(G458=0,E458&lt;&gt;0,F458&lt;&gt;0),"m2",IF(AND(F458=0,G458=0),"ml",IF(AND(E458=0,G458=0),"ml",IF(AND(E458=0,F458=0),"ml",IF(AND(E458&lt;&gt;0,F458&lt;&gt;0,G458&lt;&gt;0),"m3",0)))))))</f>
        <v>ml</v>
      </c>
    </row>
    <row r="459" spans="2:10" s="1" customFormat="1" ht="12.75" x14ac:dyDescent="0.2">
      <c r="B459" s="57"/>
      <c r="C459" s="39" t="s">
        <v>379</v>
      </c>
      <c r="D459" s="40">
        <v>1</v>
      </c>
      <c r="E459" s="40">
        <v>4</v>
      </c>
      <c r="F459" s="40"/>
      <c r="G459" s="40"/>
      <c r="H459" s="40">
        <f>IF(AND(F459=0,G459=0),D459*E459,IF(AND(E459=0,G459=0),D459*F459,IF(AND(E459=0,F459=0),D459*G459,IF(AND(E459=0),D459*F459*G459,IF(AND(F459=0),D459*E459*G459,IF(AND(G459=0),D459*E459*F459,D459*E459*F459*G459))))))</f>
        <v>4</v>
      </c>
      <c r="I459" s="40"/>
      <c r="J459" s="41" t="str">
        <f>IF(AND(E459=0,F459&lt;&gt;0,G459&lt;&gt;0),"m2",IF(AND(F459=0,E459&lt;&gt;0,G459&lt;&gt;0),"m2",IF(AND(G459=0,E459&lt;&gt;0,F459&lt;&gt;0),"m2",IF(AND(F459=0,G459=0),"ml",IF(AND(E459=0,G459=0),"ml",IF(AND(E459=0,F459=0),"ml",IF(AND(E459&lt;&gt;0,F459&lt;&gt;0,G459&lt;&gt;0),"m3",0)))))))</f>
        <v>ml</v>
      </c>
    </row>
    <row r="460" spans="2:10" s="1" customFormat="1" ht="12.75" x14ac:dyDescent="0.2">
      <c r="B460" s="43" t="s">
        <v>233</v>
      </c>
      <c r="C460" s="43" t="s">
        <v>236</v>
      </c>
      <c r="D460" s="60"/>
      <c r="E460" s="40"/>
      <c r="F460" s="40"/>
      <c r="G460" s="40"/>
      <c r="H460" s="40"/>
      <c r="I460" s="44">
        <f>SUM(H461:H461)</f>
        <v>0</v>
      </c>
      <c r="J460" s="45" t="str">
        <f>+J461</f>
        <v>ml</v>
      </c>
    </row>
    <row r="461" spans="2:10" s="1" customFormat="1" ht="12.75" x14ac:dyDescent="0.2">
      <c r="B461" s="57"/>
      <c r="C461" s="39" t="s">
        <v>231</v>
      </c>
      <c r="D461" s="40"/>
      <c r="E461" s="40"/>
      <c r="F461" s="40"/>
      <c r="G461" s="40"/>
      <c r="H461" s="40">
        <f>IF(AND(F461=0,G461=0),D461*E461,IF(AND(E461=0,G461=0),D461*F461,IF(AND(E461=0,F461=0),D461*G461,IF(AND(E461=0),D461*F461*G461,IF(AND(F461=0),D461*E461*G461,IF(AND(G461=0),D461*E461*F461,D461*E461*F461*G461))))))</f>
        <v>0</v>
      </c>
      <c r="I461" s="40"/>
      <c r="J461" s="41" t="str">
        <f>IF(AND(E461=0,F461&lt;&gt;0,G461&lt;&gt;0),"m2",IF(AND(F461=0,E461&lt;&gt;0,G461&lt;&gt;0),"m2",IF(AND(G461=0,E461&lt;&gt;0,F461&lt;&gt;0),"m2",IF(AND(F461=0,G461=0),"ml",IF(AND(E461=0,G461=0),"ml",IF(AND(E461=0,F461=0),"ml",IF(AND(E461&lt;&gt;0,F461&lt;&gt;0,G461&lt;&gt;0),"m3",0)))))))</f>
        <v>ml</v>
      </c>
    </row>
    <row r="462" spans="2:10" s="1" customFormat="1" ht="12.75" x14ac:dyDescent="0.2">
      <c r="B462" s="43" t="s">
        <v>234</v>
      </c>
      <c r="C462" s="43" t="s">
        <v>267</v>
      </c>
      <c r="D462" s="60"/>
      <c r="E462" s="40"/>
      <c r="F462" s="40"/>
      <c r="G462" s="40"/>
      <c r="H462" s="40"/>
      <c r="I462" s="44">
        <f>SUM(H464:H469)</f>
        <v>25.5</v>
      </c>
      <c r="J462" s="45" t="str">
        <f>+J464</f>
        <v>ml</v>
      </c>
    </row>
    <row r="463" spans="2:10" s="1" customFormat="1" ht="12.75" x14ac:dyDescent="0.2">
      <c r="B463" s="43"/>
      <c r="C463" s="77" t="s">
        <v>71</v>
      </c>
      <c r="D463" s="60"/>
      <c r="E463" s="40"/>
      <c r="F463" s="40"/>
      <c r="G463" s="40"/>
      <c r="H463" s="40"/>
      <c r="I463" s="44"/>
      <c r="J463" s="45"/>
    </row>
    <row r="464" spans="2:10" s="1" customFormat="1" ht="12.75" x14ac:dyDescent="0.2">
      <c r="B464" s="43"/>
      <c r="C464" s="39" t="s">
        <v>349</v>
      </c>
      <c r="D464" s="40">
        <f>+D458</f>
        <v>2</v>
      </c>
      <c r="E464" s="40">
        <v>3.25</v>
      </c>
      <c r="F464" s="40"/>
      <c r="G464" s="40"/>
      <c r="H464" s="40">
        <f t="shared" ref="H464:H469" si="12">IF(AND(F464=0,G464=0),D464*E464,IF(AND(E464=0,G464=0),D464*F464,IF(AND(E464=0,F464=0),D464*G464,IF(AND(E464=0),D464*F464*G464,IF(AND(F464=0),D464*E464*G464,IF(AND(G464=0),D464*E464*F464,D464*E464*F464*G464))))))</f>
        <v>6.5</v>
      </c>
      <c r="I464" s="40"/>
      <c r="J464" s="41" t="str">
        <f t="shared" ref="J464:J469" si="13">IF(AND(E464=0,F464&lt;&gt;0,G464&lt;&gt;0),"m2",IF(AND(F464=0,E464&lt;&gt;0,G464&lt;&gt;0),"m2",IF(AND(G464=0,E464&lt;&gt;0,F464&lt;&gt;0),"m2",IF(AND(F464=0,G464=0),"ml",IF(AND(E464=0,G464=0),"ml",IF(AND(E464=0,F464=0),"ml",IF(AND(E464&lt;&gt;0,F464&lt;&gt;0,G464&lt;&gt;0),"m3",0)))))))</f>
        <v>ml</v>
      </c>
    </row>
    <row r="465" spans="2:10" s="1" customFormat="1" ht="12.75" x14ac:dyDescent="0.2">
      <c r="B465" s="43"/>
      <c r="C465" s="39" t="s">
        <v>369</v>
      </c>
      <c r="D465" s="40">
        <f>+D464</f>
        <v>2</v>
      </c>
      <c r="E465" s="40">
        <v>3</v>
      </c>
      <c r="F465" s="40"/>
      <c r="G465" s="40"/>
      <c r="H465" s="40">
        <f t="shared" si="12"/>
        <v>6</v>
      </c>
      <c r="I465" s="40"/>
      <c r="J465" s="41" t="str">
        <f t="shared" si="13"/>
        <v>ml</v>
      </c>
    </row>
    <row r="466" spans="2:10" s="1" customFormat="1" ht="12.75" x14ac:dyDescent="0.2">
      <c r="B466" s="43"/>
      <c r="C466" s="77" t="s">
        <v>72</v>
      </c>
      <c r="D466" s="40"/>
      <c r="E466" s="40"/>
      <c r="F466" s="40"/>
      <c r="G466" s="40"/>
      <c r="H466" s="40">
        <f t="shared" si="12"/>
        <v>0</v>
      </c>
      <c r="I466" s="40"/>
      <c r="J466" s="41" t="str">
        <f t="shared" si="13"/>
        <v>ml</v>
      </c>
    </row>
    <row r="467" spans="2:10" s="1" customFormat="1" ht="12.75" x14ac:dyDescent="0.2">
      <c r="B467" s="43"/>
      <c r="C467" s="39" t="s">
        <v>349</v>
      </c>
      <c r="D467" s="40">
        <f>+D464</f>
        <v>2</v>
      </c>
      <c r="E467" s="40">
        <v>3.25</v>
      </c>
      <c r="F467" s="40"/>
      <c r="G467" s="40"/>
      <c r="H467" s="40">
        <f t="shared" si="12"/>
        <v>6.5</v>
      </c>
      <c r="I467" s="40"/>
      <c r="J467" s="41" t="str">
        <f t="shared" si="13"/>
        <v>ml</v>
      </c>
    </row>
    <row r="468" spans="2:10" s="1" customFormat="1" ht="12.75" x14ac:dyDescent="0.2">
      <c r="B468" s="43"/>
      <c r="C468" s="77" t="s">
        <v>73</v>
      </c>
      <c r="D468" s="40"/>
      <c r="E468" s="40"/>
      <c r="F468" s="40"/>
      <c r="G468" s="40"/>
      <c r="H468" s="40">
        <f t="shared" si="12"/>
        <v>0</v>
      </c>
      <c r="I468" s="40"/>
      <c r="J468" s="41" t="str">
        <f t="shared" si="13"/>
        <v>ml</v>
      </c>
    </row>
    <row r="469" spans="2:10" s="1" customFormat="1" ht="12.75" x14ac:dyDescent="0.2">
      <c r="B469" s="43"/>
      <c r="C469" s="39" t="s">
        <v>349</v>
      </c>
      <c r="D469" s="40">
        <f>+D464</f>
        <v>2</v>
      </c>
      <c r="E469" s="40">
        <v>3.25</v>
      </c>
      <c r="F469" s="40"/>
      <c r="G469" s="40"/>
      <c r="H469" s="40">
        <f t="shared" si="12"/>
        <v>6.5</v>
      </c>
      <c r="I469" s="40"/>
      <c r="J469" s="41" t="str">
        <f t="shared" si="13"/>
        <v>ml</v>
      </c>
    </row>
    <row r="470" spans="2:10" s="1" customFormat="1" ht="12.75" x14ac:dyDescent="0.2">
      <c r="B470" s="43" t="s">
        <v>268</v>
      </c>
      <c r="C470" s="43" t="s">
        <v>347</v>
      </c>
      <c r="D470" s="60"/>
      <c r="E470" s="40"/>
      <c r="F470" s="40"/>
      <c r="G470" s="40"/>
      <c r="H470" s="40"/>
      <c r="I470" s="44">
        <f>SUM(H471:H477)</f>
        <v>25.5</v>
      </c>
      <c r="J470" s="45" t="str">
        <f>+J471</f>
        <v>ml</v>
      </c>
    </row>
    <row r="471" spans="2:10" s="1" customFormat="1" ht="12.75" x14ac:dyDescent="0.2">
      <c r="B471" s="57"/>
      <c r="C471" s="77" t="s">
        <v>71</v>
      </c>
      <c r="D471" s="40"/>
      <c r="E471" s="40"/>
      <c r="F471" s="40"/>
      <c r="G471" s="40"/>
      <c r="H471" s="40">
        <f t="shared" ref="H471:H477" si="14">IF(AND(F471=0,G471=0),D471*E471,IF(AND(E471=0,G471=0),D471*F471,IF(AND(E471=0,F471=0),D471*G471,IF(AND(E471=0),D471*F471*G471,IF(AND(F471=0),D471*E471*G471,IF(AND(G471=0),D471*E471*F471,D471*E471*F471*G471))))))</f>
        <v>0</v>
      </c>
      <c r="I471" s="40"/>
      <c r="J471" s="41" t="str">
        <f t="shared" ref="J471:J477" si="15">IF(AND(E471=0,F471&lt;&gt;0,G471&lt;&gt;0),"m2",IF(AND(F471=0,E471&lt;&gt;0,G471&lt;&gt;0),"m2",IF(AND(G471=0,E471&lt;&gt;0,F471&lt;&gt;0),"m2",IF(AND(F471=0,G471=0),"ml",IF(AND(E471=0,G471=0),"ml",IF(AND(E471=0,F471=0),"ml",IF(AND(E471&lt;&gt;0,F471&lt;&gt;0,G471&lt;&gt;0),"m3",0)))))))</f>
        <v>ml</v>
      </c>
    </row>
    <row r="472" spans="2:10" s="1" customFormat="1" ht="12.75" x14ac:dyDescent="0.2">
      <c r="B472" s="57"/>
      <c r="C472" s="39" t="s">
        <v>349</v>
      </c>
      <c r="D472" s="40">
        <v>2</v>
      </c>
      <c r="E472" s="40">
        <v>3.25</v>
      </c>
      <c r="F472" s="40"/>
      <c r="G472" s="40"/>
      <c r="H472" s="40">
        <f t="shared" si="14"/>
        <v>6.5</v>
      </c>
      <c r="I472" s="40"/>
      <c r="J472" s="41" t="str">
        <f t="shared" si="15"/>
        <v>ml</v>
      </c>
    </row>
    <row r="473" spans="2:10" s="1" customFormat="1" ht="12.75" x14ac:dyDescent="0.2">
      <c r="B473" s="57"/>
      <c r="C473" s="39" t="s">
        <v>369</v>
      </c>
      <c r="D473" s="40">
        <v>2</v>
      </c>
      <c r="E473" s="40">
        <v>3</v>
      </c>
      <c r="F473" s="40"/>
      <c r="G473" s="40"/>
      <c r="H473" s="40">
        <f t="shared" si="14"/>
        <v>6</v>
      </c>
      <c r="I473" s="40"/>
      <c r="J473" s="41" t="str">
        <f t="shared" si="15"/>
        <v>ml</v>
      </c>
    </row>
    <row r="474" spans="2:10" s="1" customFormat="1" ht="12.75" x14ac:dyDescent="0.2">
      <c r="B474" s="57"/>
      <c r="C474" s="77" t="s">
        <v>72</v>
      </c>
      <c r="D474" s="40"/>
      <c r="E474" s="40"/>
      <c r="F474" s="40"/>
      <c r="G474" s="40"/>
      <c r="H474" s="40">
        <f t="shared" si="14"/>
        <v>0</v>
      </c>
      <c r="I474" s="40"/>
      <c r="J474" s="41" t="str">
        <f t="shared" si="15"/>
        <v>ml</v>
      </c>
    </row>
    <row r="475" spans="2:10" s="1" customFormat="1" ht="12.75" x14ac:dyDescent="0.2">
      <c r="B475" s="57"/>
      <c r="C475" s="39" t="s">
        <v>349</v>
      </c>
      <c r="D475" s="40">
        <v>2</v>
      </c>
      <c r="E475" s="40">
        <v>3.25</v>
      </c>
      <c r="F475" s="40"/>
      <c r="G475" s="40"/>
      <c r="H475" s="40">
        <f t="shared" si="14"/>
        <v>6.5</v>
      </c>
      <c r="I475" s="40"/>
      <c r="J475" s="41" t="str">
        <f t="shared" si="15"/>
        <v>ml</v>
      </c>
    </row>
    <row r="476" spans="2:10" s="1" customFormat="1" ht="12.75" x14ac:dyDescent="0.2">
      <c r="B476" s="57"/>
      <c r="C476" s="77" t="s">
        <v>73</v>
      </c>
      <c r="D476" s="40"/>
      <c r="E476" s="40"/>
      <c r="F476" s="40"/>
      <c r="G476" s="40"/>
      <c r="H476" s="40">
        <f t="shared" si="14"/>
        <v>0</v>
      </c>
      <c r="I476" s="40"/>
      <c r="J476" s="41" t="str">
        <f t="shared" si="15"/>
        <v>ml</v>
      </c>
    </row>
    <row r="477" spans="2:10" s="1" customFormat="1" ht="12.75" x14ac:dyDescent="0.2">
      <c r="B477" s="57"/>
      <c r="C477" s="39" t="s">
        <v>349</v>
      </c>
      <c r="D477" s="40">
        <v>2</v>
      </c>
      <c r="E477" s="40">
        <v>3.25</v>
      </c>
      <c r="F477" s="40"/>
      <c r="G477" s="40"/>
      <c r="H477" s="40">
        <f t="shared" si="14"/>
        <v>6.5</v>
      </c>
      <c r="I477" s="40"/>
      <c r="J477" s="41" t="str">
        <f t="shared" si="15"/>
        <v>ml</v>
      </c>
    </row>
    <row r="478" spans="2:10" s="1" customFormat="1" ht="12.75" x14ac:dyDescent="0.2">
      <c r="B478" s="43" t="s">
        <v>270</v>
      </c>
      <c r="C478" s="43" t="s">
        <v>269</v>
      </c>
      <c r="D478" s="60"/>
      <c r="E478" s="40"/>
      <c r="F478" s="40"/>
      <c r="G478" s="40"/>
      <c r="H478" s="40"/>
      <c r="I478" s="44">
        <f>SUM(H479:H481)</f>
        <v>0</v>
      </c>
      <c r="J478" s="45" t="str">
        <f>+J479</f>
        <v>ml</v>
      </c>
    </row>
    <row r="479" spans="2:10" s="1" customFormat="1" ht="12.75" x14ac:dyDescent="0.2">
      <c r="B479" s="57"/>
      <c r="C479" s="39" t="s">
        <v>71</v>
      </c>
      <c r="D479" s="40"/>
      <c r="E479" s="40"/>
      <c r="F479" s="40"/>
      <c r="G479" s="40"/>
      <c r="H479" s="40">
        <f>IF(AND(F479=0,G479=0),D479*E479,IF(AND(E479=0,G479=0),D479*F479,IF(AND(E479=0,F479=0),D479*G479,IF(AND(E479=0),D479*F479*G479,IF(AND(F479=0),D479*E479*G479,IF(AND(G479=0),D479*E479*F479,D479*E479*F479*G479))))))</f>
        <v>0</v>
      </c>
      <c r="I479" s="40"/>
      <c r="J479" s="41" t="str">
        <f>IF(AND(E479=0,F479&lt;&gt;0,G479&lt;&gt;0),"m2",IF(AND(F479=0,E479&lt;&gt;0,G479&lt;&gt;0),"m2",IF(AND(G479=0,E479&lt;&gt;0,F479&lt;&gt;0),"m2",IF(AND(F479=0,G479=0),"ml",IF(AND(E479=0,G479=0),"ml",IF(AND(E479=0,F479=0),"ml",IF(AND(E479&lt;&gt;0,F479&lt;&gt;0,G479&lt;&gt;0),"m3",0)))))))</f>
        <v>ml</v>
      </c>
    </row>
    <row r="480" spans="2:10" s="1" customFormat="1" ht="12.75" x14ac:dyDescent="0.2">
      <c r="B480" s="57"/>
      <c r="C480" s="39" t="s">
        <v>72</v>
      </c>
      <c r="D480" s="40"/>
      <c r="E480" s="40"/>
      <c r="F480" s="40"/>
      <c r="G480" s="40"/>
      <c r="H480" s="40">
        <f>IF(AND(F480=0,G480=0),D480*E480,IF(AND(E480=0,G480=0),D480*F480,IF(AND(E480=0,F480=0),D480*G480,IF(AND(E480=0),D480*F480*G480,IF(AND(F480=0),D480*E480*G480,IF(AND(G480=0),D480*E480*F480,D480*E480*F480*G480))))))</f>
        <v>0</v>
      </c>
      <c r="I480" s="40"/>
      <c r="J480" s="41" t="str">
        <f>IF(AND(E480=0,F480&lt;&gt;0,G480&lt;&gt;0),"m2",IF(AND(F480=0,E480&lt;&gt;0,G480&lt;&gt;0),"m2",IF(AND(G480=0,E480&lt;&gt;0,F480&lt;&gt;0),"m2",IF(AND(F480=0,G480=0),"ml",IF(AND(E480=0,G480=0),"ml",IF(AND(E480=0,F480=0),"ml",IF(AND(E480&lt;&gt;0,F480&lt;&gt;0,G480&lt;&gt;0),"m3",0)))))))</f>
        <v>ml</v>
      </c>
    </row>
    <row r="481" spans="2:10" s="1" customFormat="1" ht="12.75" x14ac:dyDescent="0.2">
      <c r="B481" s="57"/>
      <c r="C481" s="39" t="s">
        <v>73</v>
      </c>
      <c r="D481" s="40"/>
      <c r="E481" s="40"/>
      <c r="F481" s="40"/>
      <c r="G481" s="40"/>
      <c r="H481" s="40">
        <f>IF(AND(F481=0,G481=0),D481*E481,IF(AND(E481=0,G481=0),D481*F481,IF(AND(E481=0,F481=0),D481*G481,IF(AND(E481=0),D481*F481*G481,IF(AND(F481=0),D481*E481*G481,IF(AND(G481=0),D481*E481*F481,D481*E481*F481*G481))))))</f>
        <v>0</v>
      </c>
      <c r="I481" s="40"/>
      <c r="J481" s="41" t="str">
        <f>IF(AND(E481=0,F481&lt;&gt;0,G481&lt;&gt;0),"m2",IF(AND(F481=0,E481&lt;&gt;0,G481&lt;&gt;0),"m2",IF(AND(G481=0,E481&lt;&gt;0,F481&lt;&gt;0),"m2",IF(AND(F481=0,G481=0),"ml",IF(AND(E481=0,G481=0),"ml",IF(AND(E481=0,F481=0),"ml",IF(AND(E481&lt;&gt;0,F481&lt;&gt;0,G481&lt;&gt;0),"m3",0)))))))</f>
        <v>ml</v>
      </c>
    </row>
    <row r="482" spans="2:10" s="1" customFormat="1" ht="12.75" x14ac:dyDescent="0.2">
      <c r="B482" s="43" t="s">
        <v>342</v>
      </c>
      <c r="C482" s="43" t="s">
        <v>271</v>
      </c>
      <c r="D482" s="60"/>
      <c r="E482" s="40"/>
      <c r="F482" s="40"/>
      <c r="G482" s="40"/>
      <c r="H482" s="40"/>
      <c r="I482" s="44">
        <f>SUM(H483:H483)</f>
        <v>0</v>
      </c>
      <c r="J482" s="45" t="str">
        <f>+J483</f>
        <v>und</v>
      </c>
    </row>
    <row r="483" spans="2:10" s="1" customFormat="1" ht="12.75" x14ac:dyDescent="0.2">
      <c r="B483" s="57"/>
      <c r="C483" s="39" t="s">
        <v>370</v>
      </c>
      <c r="D483" s="40"/>
      <c r="E483" s="40"/>
      <c r="F483" s="40"/>
      <c r="G483" s="40"/>
      <c r="H483" s="40">
        <f>+D483</f>
        <v>0</v>
      </c>
      <c r="I483" s="40"/>
      <c r="J483" s="41" t="s">
        <v>13</v>
      </c>
    </row>
    <row r="484" spans="2:10" s="1" customFormat="1" ht="12.75" x14ac:dyDescent="0.2">
      <c r="B484" s="43" t="s">
        <v>346</v>
      </c>
      <c r="C484" s="43" t="s">
        <v>348</v>
      </c>
      <c r="D484" s="60"/>
      <c r="E484" s="40"/>
      <c r="F484" s="40"/>
      <c r="G484" s="40"/>
      <c r="H484" s="40"/>
      <c r="I484" s="44">
        <f>SUM(H485:H485)</f>
        <v>2</v>
      </c>
      <c r="J484" s="45" t="str">
        <f>+J485</f>
        <v>und</v>
      </c>
    </row>
    <row r="485" spans="2:10" s="1" customFormat="1" ht="12.75" x14ac:dyDescent="0.2">
      <c r="B485" s="57"/>
      <c r="C485" s="39" t="s">
        <v>349</v>
      </c>
      <c r="D485" s="40">
        <f>+D458</f>
        <v>2</v>
      </c>
      <c r="E485" s="40"/>
      <c r="F485" s="40"/>
      <c r="G485" s="40"/>
      <c r="H485" s="40">
        <f>+D485</f>
        <v>2</v>
      </c>
      <c r="I485" s="40"/>
      <c r="J485" s="41" t="s">
        <v>13</v>
      </c>
    </row>
    <row r="486" spans="2:10" s="1" customFormat="1" ht="12.75" x14ac:dyDescent="0.2">
      <c r="B486" s="57" t="s">
        <v>16</v>
      </c>
      <c r="C486" s="58" t="s">
        <v>224</v>
      </c>
      <c r="D486" s="60"/>
      <c r="E486" s="40"/>
      <c r="F486" s="40"/>
      <c r="G486" s="40"/>
      <c r="H486" s="40"/>
      <c r="I486" s="40"/>
      <c r="J486" s="41"/>
    </row>
    <row r="487" spans="2:10" s="1" customFormat="1" ht="12.75" x14ac:dyDescent="0.2">
      <c r="B487" s="43" t="s">
        <v>17</v>
      </c>
      <c r="C487" s="43" t="s">
        <v>343</v>
      </c>
      <c r="D487" s="60"/>
      <c r="E487" s="40"/>
      <c r="F487" s="40"/>
      <c r="G487" s="40"/>
      <c r="H487" s="40"/>
      <c r="I487" s="44">
        <f>SUM(H488:H488)</f>
        <v>0</v>
      </c>
      <c r="J487" s="45" t="str">
        <f>+J488</f>
        <v>ml</v>
      </c>
    </row>
    <row r="488" spans="2:10" s="1" customFormat="1" ht="12.75" x14ac:dyDescent="0.2">
      <c r="B488" s="57"/>
      <c r="C488" s="39" t="s">
        <v>344</v>
      </c>
      <c r="D488" s="40"/>
      <c r="E488" s="40"/>
      <c r="F488" s="40"/>
      <c r="G488" s="40"/>
      <c r="H488" s="40">
        <f>IF(AND(F488=0,G488=0),D488*E488,IF(AND(E488=0,G488=0),D488*F488,IF(AND(E488=0,F488=0),D488*G488,IF(AND(E488=0),D488*F488*G488,IF(AND(F488=0),D488*E488*G488,IF(AND(G488=0),D488*E488*F488,D488*E488*F488*G488))))))</f>
        <v>0</v>
      </c>
      <c r="I488" s="40"/>
      <c r="J488" s="41" t="str">
        <f>IF(AND(E488=0,F488&lt;&gt;0,G488&lt;&gt;0),"m2",IF(AND(F488=0,E488&lt;&gt;0,G488&lt;&gt;0),"m2",IF(AND(G488=0,E488&lt;&gt;0,F488&lt;&gt;0),"m2",IF(AND(F488=0,G488=0),"ml",IF(AND(E488=0,G488=0),"ml",IF(AND(E488=0,F488=0),"ml",IF(AND(E488&lt;&gt;0,F488&lt;&gt;0,G488&lt;&gt;0),"m3",0)))))))</f>
        <v>ml</v>
      </c>
    </row>
    <row r="489" spans="2:10" s="1" customFormat="1" ht="12.75" x14ac:dyDescent="0.2">
      <c r="B489" s="43" t="s">
        <v>240</v>
      </c>
      <c r="C489" s="43" t="s">
        <v>237</v>
      </c>
      <c r="D489" s="60"/>
      <c r="E489" s="40"/>
      <c r="F489" s="40"/>
      <c r="G489" s="40"/>
      <c r="H489" s="40"/>
      <c r="I489" s="44">
        <f>SUM(H490:H491)</f>
        <v>0</v>
      </c>
      <c r="J489" s="45" t="str">
        <f>+J490</f>
        <v>ml</v>
      </c>
    </row>
    <row r="490" spans="2:10" s="1" customFormat="1" ht="12.75" x14ac:dyDescent="0.2">
      <c r="B490" s="57"/>
      <c r="C490" s="39" t="s">
        <v>371</v>
      </c>
      <c r="D490" s="40"/>
      <c r="E490" s="40"/>
      <c r="F490" s="40"/>
      <c r="G490" s="40"/>
      <c r="H490" s="40">
        <f>IF(AND(F490=0,G490=0),D490*E490,IF(AND(E490=0,G490=0),D490*F490,IF(AND(E490=0,F490=0),D490*G490,IF(AND(E490=0),D490*F490*G490,IF(AND(F490=0),D490*E490*G490,IF(AND(G490=0),D490*E490*F490,D490*E490*F490*G490))))))</f>
        <v>0</v>
      </c>
      <c r="I490" s="40"/>
      <c r="J490" s="41" t="str">
        <f>IF(AND(E490=0,F490&lt;&gt;0,G490&lt;&gt;0),"m2",IF(AND(F490=0,E490&lt;&gt;0,G490&lt;&gt;0),"m2",IF(AND(G490=0,E490&lt;&gt;0,F490&lt;&gt;0),"m2",IF(AND(F490=0,G490=0),"ml",IF(AND(E490=0,G490=0),"ml",IF(AND(E490=0,F490=0),"ml",IF(AND(E490&lt;&gt;0,F490&lt;&gt;0,G490&lt;&gt;0),"m3",0)))))))</f>
        <v>ml</v>
      </c>
    </row>
    <row r="491" spans="2:10" s="1" customFormat="1" ht="12.75" x14ac:dyDescent="0.2">
      <c r="B491" s="57"/>
      <c r="C491" s="39" t="s">
        <v>371</v>
      </c>
      <c r="D491" s="40"/>
      <c r="E491" s="40"/>
      <c r="F491" s="40"/>
      <c r="G491" s="40"/>
      <c r="H491" s="40">
        <f>IF(AND(F491=0,G491=0),D491*E491,IF(AND(E491=0,G491=0),D491*F491,IF(AND(E491=0,F491=0),D491*G491,IF(AND(E491=0),D491*F491*G491,IF(AND(F491=0),D491*E491*G491,IF(AND(G491=0),D491*E491*F491,D491*E491*F491*G491))))))</f>
        <v>0</v>
      </c>
      <c r="I491" s="40"/>
      <c r="J491" s="41" t="str">
        <f>IF(AND(E491=0,F491&lt;&gt;0,G491&lt;&gt;0),"m2",IF(AND(F491=0,E491&lt;&gt;0,G491&lt;&gt;0),"m2",IF(AND(G491=0,E491&lt;&gt;0,F491&lt;&gt;0),"m2",IF(AND(F491=0,G491=0),"ml",IF(AND(E491=0,G491=0),"ml",IF(AND(E491=0,F491=0),"ml",IF(AND(E491&lt;&gt;0,F491&lt;&gt;0,G491&lt;&gt;0),"m3",0)))))))</f>
        <v>ml</v>
      </c>
    </row>
    <row r="492" spans="2:10" s="1" customFormat="1" ht="12.75" x14ac:dyDescent="0.2">
      <c r="B492" s="43" t="s">
        <v>241</v>
      </c>
      <c r="C492" s="43" t="s">
        <v>239</v>
      </c>
      <c r="D492" s="60"/>
      <c r="E492" s="40"/>
      <c r="F492" s="40"/>
      <c r="G492" s="40"/>
      <c r="H492" s="40"/>
      <c r="I492" s="44">
        <f>SUM(H493:H493)</f>
        <v>0</v>
      </c>
      <c r="J492" s="45" t="str">
        <f>+J493</f>
        <v>ml</v>
      </c>
    </row>
    <row r="493" spans="2:10" s="1" customFormat="1" ht="12.75" x14ac:dyDescent="0.2">
      <c r="B493" s="57"/>
      <c r="C493" s="39" t="s">
        <v>238</v>
      </c>
      <c r="D493" s="40"/>
      <c r="E493" s="40"/>
      <c r="F493" s="40"/>
      <c r="G493" s="40"/>
      <c r="H493" s="40">
        <f>IF(AND(F493=0,G493=0),D493*E493,IF(AND(E493=0,G493=0),D493*F493,IF(AND(E493=0,F493=0),D493*G493,IF(AND(E493=0),D493*F493*G493,IF(AND(F493=0),D493*E493*G493,IF(AND(G493=0),D493*E493*F493,D493*E493*F493*G493))))))</f>
        <v>0</v>
      </c>
      <c r="I493" s="40"/>
      <c r="J493" s="41" t="str">
        <f>IF(AND(E493=0,F493&lt;&gt;0,G493&lt;&gt;0),"m2",IF(AND(F493=0,E493&lt;&gt;0,G493&lt;&gt;0),"m2",IF(AND(G493=0,E493&lt;&gt;0,F493&lt;&gt;0),"m2",IF(AND(F493=0,G493=0),"ml",IF(AND(E493=0,G493=0),"ml",IF(AND(E493=0,F493=0),"ml",IF(AND(E493&lt;&gt;0,F493&lt;&gt;0,G493&lt;&gt;0),"m3",0)))))))</f>
        <v>ml</v>
      </c>
    </row>
    <row r="494" spans="2:10" s="1" customFormat="1" ht="12.75" x14ac:dyDescent="0.2">
      <c r="B494" s="43" t="s">
        <v>243</v>
      </c>
      <c r="C494" s="43" t="s">
        <v>242</v>
      </c>
      <c r="D494" s="60"/>
      <c r="E494" s="40"/>
      <c r="F494" s="40"/>
      <c r="G494" s="40"/>
      <c r="H494" s="40"/>
      <c r="I494" s="44">
        <f>SUM(H495:H495)</f>
        <v>0</v>
      </c>
      <c r="J494" s="45" t="str">
        <f>+J495</f>
        <v>ml</v>
      </c>
    </row>
    <row r="495" spans="2:10" s="1" customFormat="1" ht="12.75" x14ac:dyDescent="0.2">
      <c r="B495" s="57"/>
      <c r="C495" s="39" t="s">
        <v>238</v>
      </c>
      <c r="D495" s="40"/>
      <c r="E495" s="40"/>
      <c r="F495" s="40"/>
      <c r="G495" s="40"/>
      <c r="H495" s="40">
        <f>IF(AND(F495=0,G495=0),D495*E495,IF(AND(E495=0,G495=0),D495*F495,IF(AND(E495=0,F495=0),D495*G495,IF(AND(E495=0),D495*F495*G495,IF(AND(F495=0),D495*E495*G495,IF(AND(G495=0),D495*E495*F495,D495*E495*F495*G495))))))</f>
        <v>0</v>
      </c>
      <c r="I495" s="40"/>
      <c r="J495" s="41" t="str">
        <f>IF(AND(E495=0,F495&lt;&gt;0,G495&lt;&gt;0),"m2",IF(AND(F495=0,E495&lt;&gt;0,G495&lt;&gt;0),"m2",IF(AND(G495=0,E495&lt;&gt;0,F495&lt;&gt;0),"m2",IF(AND(F495=0,G495=0),"ml",IF(AND(E495=0,G495=0),"ml",IF(AND(E495=0,F495=0),"ml",IF(AND(E495&lt;&gt;0,F495&lt;&gt;0,G495&lt;&gt;0),"m3",0)))))))</f>
        <v>ml</v>
      </c>
    </row>
    <row r="496" spans="2:10" s="1" customFormat="1" ht="12.75" x14ac:dyDescent="0.2">
      <c r="B496" s="43" t="s">
        <v>244</v>
      </c>
      <c r="C496" s="43" t="s">
        <v>245</v>
      </c>
      <c r="D496" s="60"/>
      <c r="E496" s="40"/>
      <c r="F496" s="40"/>
      <c r="G496" s="40"/>
      <c r="H496" s="40"/>
      <c r="I496" s="44">
        <f>SUM(H497:H497)</f>
        <v>0</v>
      </c>
      <c r="J496" s="45" t="str">
        <f>+J497</f>
        <v>ml</v>
      </c>
    </row>
    <row r="497" spans="2:10" s="1" customFormat="1" ht="12.75" x14ac:dyDescent="0.2">
      <c r="B497" s="57"/>
      <c r="C497" s="39" t="s">
        <v>238</v>
      </c>
      <c r="D497" s="40"/>
      <c r="E497" s="40"/>
      <c r="F497" s="40"/>
      <c r="G497" s="40"/>
      <c r="H497" s="40">
        <f>IF(AND(F497=0,G497=0),D497*E497,IF(AND(E497=0,G497=0),D497*F497,IF(AND(E497=0,F497=0),D497*G497,IF(AND(E497=0),D497*F497*G497,IF(AND(F497=0),D497*E497*G497,IF(AND(G497=0),D497*E497*F497,D497*E497*F497*G497))))))</f>
        <v>0</v>
      </c>
      <c r="I497" s="40"/>
      <c r="J497" s="41" t="str">
        <f>IF(AND(E497=0,F497&lt;&gt;0,G497&lt;&gt;0),"m2",IF(AND(F497=0,E497&lt;&gt;0,G497&lt;&gt;0),"m2",IF(AND(G497=0,E497&lt;&gt;0,F497&lt;&gt;0),"m2",IF(AND(F497=0,G497=0),"ml",IF(AND(E497=0,G497=0),"ml",IF(AND(E497=0,F497=0),"ml",IF(AND(E497&lt;&gt;0,F497&lt;&gt;0,G497&lt;&gt;0),"m3",0)))))))</f>
        <v>ml</v>
      </c>
    </row>
    <row r="498" spans="2:10" s="1" customFormat="1" ht="12.75" x14ac:dyDescent="0.2">
      <c r="B498" s="43" t="s">
        <v>248</v>
      </c>
      <c r="C498" s="43" t="s">
        <v>246</v>
      </c>
      <c r="D498" s="60"/>
      <c r="E498" s="40"/>
      <c r="F498" s="40"/>
      <c r="G498" s="40"/>
      <c r="H498" s="40"/>
      <c r="I498" s="44">
        <f>SUM(H499:H499)</f>
        <v>0</v>
      </c>
      <c r="J498" s="45" t="str">
        <f>+J499</f>
        <v>ml</v>
      </c>
    </row>
    <row r="499" spans="2:10" s="1" customFormat="1" ht="12.75" x14ac:dyDescent="0.2">
      <c r="B499" s="57"/>
      <c r="C499" s="39" t="s">
        <v>238</v>
      </c>
      <c r="D499" s="40"/>
      <c r="E499" s="40"/>
      <c r="F499" s="40"/>
      <c r="G499" s="40"/>
      <c r="H499" s="40">
        <f>IF(AND(F499=0,G499=0),D499*E499,IF(AND(E499=0,G499=0),D499*F499,IF(AND(E499=0,F499=0),D499*G499,IF(AND(E499=0),D499*F499*G499,IF(AND(F499=0),D499*E499*G499,IF(AND(G499=0),D499*E499*F499,D499*E499*F499*G499))))))</f>
        <v>0</v>
      </c>
      <c r="I499" s="40"/>
      <c r="J499" s="41" t="str">
        <f>IF(AND(E499=0,F499&lt;&gt;0,G499&lt;&gt;0),"m2",IF(AND(F499=0,E499&lt;&gt;0,G499&lt;&gt;0),"m2",IF(AND(G499=0,E499&lt;&gt;0,F499&lt;&gt;0),"m2",IF(AND(F499=0,G499=0),"ml",IF(AND(E499=0,G499=0),"ml",IF(AND(E499=0,F499=0),"ml",IF(AND(E499&lt;&gt;0,F499&lt;&gt;0,G499&lt;&gt;0),"m3",0)))))))</f>
        <v>ml</v>
      </c>
    </row>
    <row r="500" spans="2:10" s="1" customFormat="1" ht="12.75" x14ac:dyDescent="0.2">
      <c r="B500" s="43" t="s">
        <v>249</v>
      </c>
      <c r="C500" s="43" t="s">
        <v>247</v>
      </c>
      <c r="D500" s="60"/>
      <c r="E500" s="40"/>
      <c r="F500" s="40"/>
      <c r="G500" s="40"/>
      <c r="H500" s="40"/>
      <c r="I500" s="44">
        <f>SUM(H501:H501)</f>
        <v>0</v>
      </c>
      <c r="J500" s="45" t="str">
        <f>+J501</f>
        <v>ml</v>
      </c>
    </row>
    <row r="501" spans="2:10" s="1" customFormat="1" ht="12.75" x14ac:dyDescent="0.2">
      <c r="B501" s="57"/>
      <c r="C501" s="39" t="s">
        <v>238</v>
      </c>
      <c r="D501" s="40"/>
      <c r="E501" s="40"/>
      <c r="F501" s="40"/>
      <c r="G501" s="40"/>
      <c r="H501" s="40">
        <f>IF(AND(F501=0,G501=0),D501*E501,IF(AND(E501=0,G501=0),D501*F501,IF(AND(E501=0,F501=0),D501*G501,IF(AND(E501=0),D501*F501*G501,IF(AND(F501=0),D501*E501*G501,IF(AND(G501=0),D501*E501*F501,D501*E501*F501*G501))))))</f>
        <v>0</v>
      </c>
      <c r="I501" s="40"/>
      <c r="J501" s="41" t="str">
        <f>IF(AND(E501=0,F501&lt;&gt;0,G501&lt;&gt;0),"m2",IF(AND(F501=0,E501&lt;&gt;0,G501&lt;&gt;0),"m2",IF(AND(G501=0,E501&lt;&gt;0,F501&lt;&gt;0),"m2",IF(AND(F501=0,G501=0),"ml",IF(AND(E501=0,G501=0),"ml",IF(AND(E501=0,F501=0),"ml",IF(AND(E501&lt;&gt;0,F501&lt;&gt;0,G501&lt;&gt;0),"m3",0)))))))</f>
        <v>ml</v>
      </c>
    </row>
    <row r="502" spans="2:10" s="1" customFormat="1" ht="12.75" x14ac:dyDescent="0.2">
      <c r="B502" s="43" t="s">
        <v>256</v>
      </c>
      <c r="C502" s="43" t="s">
        <v>226</v>
      </c>
      <c r="D502" s="60"/>
      <c r="E502" s="40"/>
      <c r="F502" s="40"/>
      <c r="G502" s="40"/>
      <c r="H502" s="40"/>
      <c r="I502" s="44">
        <f>SUM(H503:H504)</f>
        <v>0</v>
      </c>
      <c r="J502" s="45" t="str">
        <f>+J504</f>
        <v>ml</v>
      </c>
    </row>
    <row r="503" spans="2:10" s="1" customFormat="1" ht="12.75" x14ac:dyDescent="0.2">
      <c r="B503" s="43"/>
      <c r="C503" s="39" t="s">
        <v>371</v>
      </c>
      <c r="D503" s="40"/>
      <c r="E503" s="40"/>
      <c r="F503" s="40"/>
      <c r="G503" s="40"/>
      <c r="H503" s="40">
        <f>IF(AND(F503=0,G503=0),D503*E503,IF(AND(E503=0,G503=0),D503*F503,IF(AND(E503=0,F503=0),D503*G503,IF(AND(E503=0),D503*F503*G503,IF(AND(F503=0),D503*E503*G503,IF(AND(G503=0),D503*E503*F503,D503*E503*F503*G503))))))</f>
        <v>0</v>
      </c>
      <c r="I503" s="40"/>
      <c r="J503" s="41" t="str">
        <f>IF(AND(E503=0,F503&lt;&gt;0,G503&lt;&gt;0),"m2",IF(AND(F503=0,E503&lt;&gt;0,G503&lt;&gt;0),"m2",IF(AND(G503=0,E503&lt;&gt;0,F503&lt;&gt;0),"m2",IF(AND(F503=0,G503=0),"ml",IF(AND(E503=0,G503=0),"ml",IF(AND(E503=0,F503=0),"ml",IF(AND(E503&lt;&gt;0,F503&lt;&gt;0,G503&lt;&gt;0),"m3",0)))))))</f>
        <v>ml</v>
      </c>
    </row>
    <row r="504" spans="2:10" s="1" customFormat="1" ht="12.75" x14ac:dyDescent="0.2">
      <c r="B504" s="57"/>
      <c r="C504" s="39" t="s">
        <v>371</v>
      </c>
      <c r="D504" s="40"/>
      <c r="E504" s="40"/>
      <c r="F504" s="40"/>
      <c r="G504" s="40"/>
      <c r="H504" s="40">
        <f>IF(AND(F504=0,G504=0),D504*E504,IF(AND(E504=0,G504=0),D504*F504,IF(AND(E504=0,F504=0),D504*G504,IF(AND(E504=0),D504*F504*G504,IF(AND(F504=0),D504*E504*G504,IF(AND(G504=0),D504*E504*F504,D504*E504*F504*G504))))))</f>
        <v>0</v>
      </c>
      <c r="I504" s="40"/>
      <c r="J504" s="41" t="str">
        <f>IF(AND(E504=0,F504&lt;&gt;0,G504&lt;&gt;0),"m2",IF(AND(F504=0,E504&lt;&gt;0,G504&lt;&gt;0),"m2",IF(AND(G504=0,E504&lt;&gt;0,F504&lt;&gt;0),"m2",IF(AND(F504=0,G504=0),"ml",IF(AND(E504=0,G504=0),"ml",IF(AND(E504=0,F504=0),"ml",IF(AND(E504&lt;&gt;0,F504&lt;&gt;0,G504&lt;&gt;0),"m3",0)))))))</f>
        <v>ml</v>
      </c>
    </row>
    <row r="505" spans="2:10" s="1" customFormat="1" ht="12.75" x14ac:dyDescent="0.2">
      <c r="B505" s="43" t="s">
        <v>257</v>
      </c>
      <c r="C505" s="43" t="s">
        <v>228</v>
      </c>
      <c r="D505" s="60"/>
      <c r="E505" s="40"/>
      <c r="F505" s="40"/>
      <c r="G505" s="40"/>
      <c r="H505" s="40"/>
      <c r="I505" s="44">
        <f>SUM(H506:H506)</f>
        <v>0</v>
      </c>
      <c r="J505" s="45" t="str">
        <f>+J506</f>
        <v>ml</v>
      </c>
    </row>
    <row r="506" spans="2:10" s="1" customFormat="1" ht="12.75" x14ac:dyDescent="0.2">
      <c r="B506" s="57"/>
      <c r="C506" s="39" t="s">
        <v>380</v>
      </c>
      <c r="D506" s="40"/>
      <c r="E506" s="40"/>
      <c r="F506" s="40"/>
      <c r="G506" s="40"/>
      <c r="H506" s="40">
        <f>IF(AND(F506=0,G506=0),D506*E506,IF(AND(E506=0,G506=0),D506*F506,IF(AND(E506=0,F506=0),D506*G506,IF(AND(E506=0),D506*F506*G506,IF(AND(F506=0),D506*E506*G506,IF(AND(G506=0),D506*E506*F506,D506*E506*F506*G506))))))</f>
        <v>0</v>
      </c>
      <c r="I506" s="40"/>
      <c r="J506" s="41" t="str">
        <f>IF(AND(E506=0,F506&lt;&gt;0,G506&lt;&gt;0),"m2",IF(AND(F506=0,E506&lt;&gt;0,G506&lt;&gt;0),"m2",IF(AND(G506=0,E506&lt;&gt;0,F506&lt;&gt;0),"m2",IF(AND(F506=0,G506=0),"ml",IF(AND(E506=0,G506=0),"ml",IF(AND(E506=0,F506=0),"ml",IF(AND(E506&lt;&gt;0,F506&lt;&gt;0,G506&lt;&gt;0),"m3",0)))))))</f>
        <v>ml</v>
      </c>
    </row>
    <row r="507" spans="2:10" s="1" customFormat="1" ht="12.75" x14ac:dyDescent="0.2">
      <c r="B507" s="43" t="s">
        <v>258</v>
      </c>
      <c r="C507" s="43" t="s">
        <v>250</v>
      </c>
      <c r="D507" s="60"/>
      <c r="E507" s="40"/>
      <c r="F507" s="40"/>
      <c r="G507" s="40"/>
      <c r="H507" s="40"/>
      <c r="I507" s="44">
        <f>SUM(H508:H508)</f>
        <v>0</v>
      </c>
      <c r="J507" s="45" t="str">
        <f>+J508</f>
        <v>ml</v>
      </c>
    </row>
    <row r="508" spans="2:10" s="1" customFormat="1" ht="12.75" x14ac:dyDescent="0.2">
      <c r="B508" s="57"/>
      <c r="C508" s="39" t="s">
        <v>386</v>
      </c>
      <c r="D508" s="40"/>
      <c r="E508" s="40"/>
      <c r="F508" s="40"/>
      <c r="G508" s="40"/>
      <c r="H508" s="40">
        <f>IF(AND(F508=0,G508=0),D508*E508,IF(AND(E508=0,G508=0),D508*F508,IF(AND(E508=0,F508=0),D508*G508,IF(AND(E508=0),D508*F508*G508,IF(AND(F508=0),D508*E508*G508,IF(AND(G508=0),D508*E508*F508,D508*E508*F508*G508))))))</f>
        <v>0</v>
      </c>
      <c r="I508" s="40"/>
      <c r="J508" s="41" t="str">
        <f>IF(AND(E508=0,F508&lt;&gt;0,G508&lt;&gt;0),"m2",IF(AND(F508=0,E508&lt;&gt;0,G508&lt;&gt;0),"m2",IF(AND(G508=0,E508&lt;&gt;0,F508&lt;&gt;0),"m2",IF(AND(F508=0,G508=0),"ml",IF(AND(E508=0,G508=0),"ml",IF(AND(E508=0,F508=0),"ml",IF(AND(E508&lt;&gt;0,F508&lt;&gt;0,G508&lt;&gt;0),"m3",0)))))))</f>
        <v>ml</v>
      </c>
    </row>
    <row r="509" spans="2:10" s="1" customFormat="1" ht="12.75" x14ac:dyDescent="0.2">
      <c r="B509" s="43" t="s">
        <v>259</v>
      </c>
      <c r="C509" s="43" t="s">
        <v>251</v>
      </c>
      <c r="D509" s="60"/>
      <c r="E509" s="40"/>
      <c r="F509" s="40"/>
      <c r="G509" s="40"/>
      <c r="H509" s="40"/>
      <c r="I509" s="44">
        <f>SUM(H510:H510)</f>
        <v>0</v>
      </c>
      <c r="J509" s="45" t="str">
        <f>+J510</f>
        <v>ml</v>
      </c>
    </row>
    <row r="510" spans="2:10" s="1" customFormat="1" ht="12.75" x14ac:dyDescent="0.2">
      <c r="B510" s="57"/>
      <c r="C510" s="39" t="s">
        <v>238</v>
      </c>
      <c r="D510" s="40"/>
      <c r="E510" s="40"/>
      <c r="F510" s="40"/>
      <c r="G510" s="40"/>
      <c r="H510" s="40">
        <f>IF(AND(F510=0,G510=0),D510*E510,IF(AND(E510=0,G510=0),D510*F510,IF(AND(E510=0,F510=0),D510*G510,IF(AND(E510=0),D510*F510*G510,IF(AND(F510=0),D510*E510*G510,IF(AND(G510=0),D510*E510*F510,D510*E510*F510*G510))))))</f>
        <v>0</v>
      </c>
      <c r="I510" s="40"/>
      <c r="J510" s="41" t="str">
        <f>IF(AND(E510=0,F510&lt;&gt;0,G510&lt;&gt;0),"m2",IF(AND(F510=0,E510&lt;&gt;0,G510&lt;&gt;0),"m2",IF(AND(G510=0,E510&lt;&gt;0,F510&lt;&gt;0),"m2",IF(AND(F510=0,G510=0),"ml",IF(AND(E510=0,G510=0),"ml",IF(AND(E510=0,F510=0),"ml",IF(AND(E510&lt;&gt;0,F510&lt;&gt;0,G510&lt;&gt;0),"m3",0)))))))</f>
        <v>ml</v>
      </c>
    </row>
    <row r="511" spans="2:10" s="1" customFormat="1" ht="12.75" x14ac:dyDescent="0.2">
      <c r="B511" s="43" t="s">
        <v>260</v>
      </c>
      <c r="C511" s="43" t="s">
        <v>252</v>
      </c>
      <c r="D511" s="60"/>
      <c r="E511" s="40"/>
      <c r="F511" s="40"/>
      <c r="G511" s="40"/>
      <c r="H511" s="40"/>
      <c r="I511" s="44">
        <f>SUM(H512:H512)</f>
        <v>0</v>
      </c>
      <c r="J511" s="45" t="str">
        <f>+J512</f>
        <v>ml</v>
      </c>
    </row>
    <row r="512" spans="2:10" s="1" customFormat="1" ht="12.75" x14ac:dyDescent="0.2">
      <c r="B512" s="57"/>
      <c r="C512" s="39" t="s">
        <v>238</v>
      </c>
      <c r="D512" s="40"/>
      <c r="E512" s="40"/>
      <c r="F512" s="40"/>
      <c r="G512" s="40"/>
      <c r="H512" s="40">
        <f>IF(AND(F512=0,G512=0),D512*E512,IF(AND(E512=0,G512=0),D512*F512,IF(AND(E512=0,F512=0),D512*G512,IF(AND(E512=0),D512*F512*G512,IF(AND(F512=0),D512*E512*G512,IF(AND(G512=0),D512*E512*F512,D512*E512*F512*G512))))))</f>
        <v>0</v>
      </c>
      <c r="I512" s="40"/>
      <c r="J512" s="41" t="str">
        <f>IF(AND(E512=0,F512&lt;&gt;0,G512&lt;&gt;0),"m2",IF(AND(F512=0,E512&lt;&gt;0,G512&lt;&gt;0),"m2",IF(AND(G512=0,E512&lt;&gt;0,F512&lt;&gt;0),"m2",IF(AND(F512=0,G512=0),"ml",IF(AND(E512=0,G512=0),"ml",IF(AND(E512=0,F512=0),"ml",IF(AND(E512&lt;&gt;0,F512&lt;&gt;0,G512&lt;&gt;0),"m3",0)))))))</f>
        <v>ml</v>
      </c>
    </row>
    <row r="513" spans="2:10" s="1" customFormat="1" ht="12.75" x14ac:dyDescent="0.2">
      <c r="B513" s="43" t="s">
        <v>261</v>
      </c>
      <c r="C513" s="43" t="s">
        <v>253</v>
      </c>
      <c r="D513" s="60"/>
      <c r="E513" s="40"/>
      <c r="F513" s="40"/>
      <c r="G513" s="40"/>
      <c r="H513" s="40"/>
      <c r="I513" s="44">
        <f>SUM(H514:H516)</f>
        <v>0</v>
      </c>
      <c r="J513" s="45" t="str">
        <f>+J516</f>
        <v>und</v>
      </c>
    </row>
    <row r="514" spans="2:10" s="1" customFormat="1" ht="12.75" x14ac:dyDescent="0.2">
      <c r="B514" s="43"/>
      <c r="C514" s="39" t="s">
        <v>383</v>
      </c>
      <c r="D514" s="40"/>
      <c r="E514" s="40"/>
      <c r="F514" s="40"/>
      <c r="G514" s="40"/>
      <c r="H514" s="40">
        <f t="shared" ref="H514:H516" si="16">+D514</f>
        <v>0</v>
      </c>
      <c r="I514" s="40"/>
      <c r="J514" s="41" t="s">
        <v>13</v>
      </c>
    </row>
    <row r="515" spans="2:10" s="1" customFormat="1" ht="12.75" x14ac:dyDescent="0.2">
      <c r="B515" s="43"/>
      <c r="C515" s="39" t="s">
        <v>381</v>
      </c>
      <c r="D515" s="40"/>
      <c r="E515" s="40"/>
      <c r="F515" s="40"/>
      <c r="G515" s="40"/>
      <c r="H515" s="40">
        <f t="shared" si="16"/>
        <v>0</v>
      </c>
      <c r="I515" s="40"/>
      <c r="J515" s="41" t="s">
        <v>13</v>
      </c>
    </row>
    <row r="516" spans="2:10" s="1" customFormat="1" ht="12.75" x14ac:dyDescent="0.2">
      <c r="B516" s="57"/>
      <c r="C516" s="39" t="s">
        <v>382</v>
      </c>
      <c r="D516" s="40"/>
      <c r="E516" s="40"/>
      <c r="F516" s="40"/>
      <c r="G516" s="40"/>
      <c r="H516" s="40">
        <f t="shared" si="16"/>
        <v>0</v>
      </c>
      <c r="I516" s="40"/>
      <c r="J516" s="41" t="s">
        <v>13</v>
      </c>
    </row>
    <row r="517" spans="2:10" s="1" customFormat="1" ht="12.75" x14ac:dyDescent="0.2">
      <c r="B517" s="43" t="s">
        <v>262</v>
      </c>
      <c r="C517" s="43" t="s">
        <v>254</v>
      </c>
      <c r="D517" s="60"/>
      <c r="E517" s="40"/>
      <c r="F517" s="40"/>
      <c r="G517" s="40"/>
      <c r="H517" s="40"/>
      <c r="I517" s="44">
        <f>SUM(H518:H518)</f>
        <v>0</v>
      </c>
      <c r="J517" s="45" t="str">
        <f>+J518</f>
        <v>und</v>
      </c>
    </row>
    <row r="518" spans="2:10" s="1" customFormat="1" ht="12.75" x14ac:dyDescent="0.2">
      <c r="B518" s="57"/>
      <c r="C518" s="39" t="s">
        <v>238</v>
      </c>
      <c r="D518" s="40"/>
      <c r="E518" s="40"/>
      <c r="F518" s="40"/>
      <c r="G518" s="40"/>
      <c r="H518" s="40">
        <f>+D518</f>
        <v>0</v>
      </c>
      <c r="I518" s="40"/>
      <c r="J518" s="41" t="s">
        <v>13</v>
      </c>
    </row>
    <row r="519" spans="2:10" s="1" customFormat="1" ht="12.75" x14ac:dyDescent="0.2">
      <c r="B519" s="43" t="s">
        <v>350</v>
      </c>
      <c r="C519" s="43" t="s">
        <v>255</v>
      </c>
      <c r="D519" s="60"/>
      <c r="E519" s="40"/>
      <c r="F519" s="40"/>
      <c r="G519" s="40"/>
      <c r="H519" s="40"/>
      <c r="I519" s="44">
        <f>SUM(H520:H520)</f>
        <v>0</v>
      </c>
      <c r="J519" s="45" t="str">
        <f>+J520</f>
        <v>und</v>
      </c>
    </row>
    <row r="520" spans="2:10" s="1" customFormat="1" ht="12.75" x14ac:dyDescent="0.2">
      <c r="B520" s="57"/>
      <c r="C520" s="39" t="s">
        <v>377</v>
      </c>
      <c r="D520" s="40"/>
      <c r="E520" s="40"/>
      <c r="F520" s="40"/>
      <c r="G520" s="40"/>
      <c r="H520" s="40">
        <f>+D520</f>
        <v>0</v>
      </c>
      <c r="I520" s="40"/>
      <c r="J520" s="41" t="s">
        <v>13</v>
      </c>
    </row>
    <row r="521" spans="2:10" s="1" customFormat="1" ht="12.75" x14ac:dyDescent="0.2">
      <c r="B521" s="57" t="s">
        <v>18</v>
      </c>
      <c r="C521" s="58" t="s">
        <v>223</v>
      </c>
      <c r="D521" s="60"/>
      <c r="E521" s="40"/>
      <c r="F521" s="40"/>
      <c r="G521" s="40"/>
      <c r="H521" s="40"/>
      <c r="I521" s="40"/>
      <c r="J521" s="41"/>
    </row>
    <row r="522" spans="2:10" s="1" customFormat="1" ht="12.75" x14ac:dyDescent="0.2">
      <c r="B522" s="43" t="s">
        <v>19</v>
      </c>
      <c r="C522" s="43" t="s">
        <v>265</v>
      </c>
      <c r="D522" s="60"/>
      <c r="E522" s="40"/>
      <c r="F522" s="40"/>
      <c r="G522" s="40"/>
      <c r="H522" s="40"/>
      <c r="I522" s="44">
        <f>SUM(H523:H524)</f>
        <v>3</v>
      </c>
      <c r="J522" s="45" t="str">
        <f>+J523</f>
        <v>und</v>
      </c>
    </row>
    <row r="523" spans="2:10" s="1" customFormat="1" ht="12.75" x14ac:dyDescent="0.2">
      <c r="B523" s="46"/>
      <c r="C523" s="39" t="s">
        <v>361</v>
      </c>
      <c r="D523" s="40"/>
      <c r="E523" s="40"/>
      <c r="F523" s="40"/>
      <c r="G523" s="40"/>
      <c r="H523" s="40">
        <f>+D523</f>
        <v>0</v>
      </c>
      <c r="I523" s="40"/>
      <c r="J523" s="41" t="s">
        <v>13</v>
      </c>
    </row>
    <row r="524" spans="2:10" s="1" customFormat="1" ht="12.75" x14ac:dyDescent="0.2">
      <c r="B524" s="46"/>
      <c r="C524" s="39" t="s">
        <v>231</v>
      </c>
      <c r="D524" s="40">
        <v>3</v>
      </c>
      <c r="E524" s="40"/>
      <c r="F524" s="40"/>
      <c r="G524" s="40"/>
      <c r="H524" s="40">
        <f>+D524</f>
        <v>3</v>
      </c>
      <c r="I524" s="40"/>
      <c r="J524" s="41" t="s">
        <v>13</v>
      </c>
    </row>
    <row r="525" spans="2:10" s="1" customFormat="1" ht="12.75" x14ac:dyDescent="0.2">
      <c r="B525" s="43" t="s">
        <v>20</v>
      </c>
      <c r="C525" s="43" t="s">
        <v>272</v>
      </c>
      <c r="D525" s="60"/>
      <c r="E525" s="40"/>
      <c r="F525" s="40"/>
      <c r="G525" s="40"/>
      <c r="H525" s="40"/>
      <c r="I525" s="44">
        <f>SUM(H526:H531)</f>
        <v>18</v>
      </c>
      <c r="J525" s="45" t="str">
        <f>+J526</f>
        <v>und</v>
      </c>
    </row>
    <row r="526" spans="2:10" s="1" customFormat="1" ht="12.75" x14ac:dyDescent="0.2">
      <c r="B526" s="46"/>
      <c r="C526" s="77" t="s">
        <v>71</v>
      </c>
      <c r="D526" s="40"/>
      <c r="E526" s="40"/>
      <c r="F526" s="40"/>
      <c r="G526" s="40"/>
      <c r="H526" s="40"/>
      <c r="I526" s="40"/>
      <c r="J526" s="41" t="s">
        <v>13</v>
      </c>
    </row>
    <row r="527" spans="2:10" s="1" customFormat="1" ht="12.75" x14ac:dyDescent="0.2">
      <c r="B527" s="46"/>
      <c r="C527" s="39" t="s">
        <v>349</v>
      </c>
      <c r="D527" s="40">
        <v>2</v>
      </c>
      <c r="E527" s="40">
        <v>3</v>
      </c>
      <c r="F527" s="40"/>
      <c r="G527" s="40"/>
      <c r="H527" s="40">
        <f>IF(AND(F527=0,G527=0),D527*E527,IF(AND(E527=0,G527=0),D527*F527,IF(AND(E527=0,F527=0),D527*G527,IF(AND(E527=0),D527*F527*G527,IF(AND(F527=0),D527*E527*G527,IF(AND(G527=0),D527*E527*F527,D527*E527*F527*G527))))))</f>
        <v>6</v>
      </c>
      <c r="I527" s="40"/>
      <c r="J527" s="41" t="s">
        <v>13</v>
      </c>
    </row>
    <row r="528" spans="2:10" s="1" customFormat="1" ht="12.75" x14ac:dyDescent="0.2">
      <c r="B528" s="46"/>
      <c r="C528" s="77" t="s">
        <v>72</v>
      </c>
      <c r="D528" s="40"/>
      <c r="E528" s="40"/>
      <c r="F528" s="40"/>
      <c r="G528" s="40"/>
      <c r="H528" s="40"/>
      <c r="I528" s="40"/>
      <c r="J528" s="41" t="s">
        <v>13</v>
      </c>
    </row>
    <row r="529" spans="2:10" s="1" customFormat="1" ht="12.75" x14ac:dyDescent="0.2">
      <c r="B529" s="46"/>
      <c r="C529" s="39" t="s">
        <v>349</v>
      </c>
      <c r="D529" s="40">
        <v>2</v>
      </c>
      <c r="E529" s="40">
        <v>3</v>
      </c>
      <c r="F529" s="40"/>
      <c r="G529" s="40"/>
      <c r="H529" s="40">
        <f>IF(AND(F529=0,G529=0),D529*E529,IF(AND(E529=0,G529=0),D529*F529,IF(AND(E529=0,F529=0),D529*G529,IF(AND(E529=0),D529*F529*G529,IF(AND(F529=0),D529*E529*G529,IF(AND(G529=0),D529*E529*F529,D529*E529*F529*G529))))))</f>
        <v>6</v>
      </c>
      <c r="I529" s="40"/>
      <c r="J529" s="41" t="s">
        <v>13</v>
      </c>
    </row>
    <row r="530" spans="2:10" s="1" customFormat="1" ht="12.75" x14ac:dyDescent="0.2">
      <c r="B530" s="46"/>
      <c r="C530" s="77" t="s">
        <v>73</v>
      </c>
      <c r="D530" s="40"/>
      <c r="E530" s="40"/>
      <c r="F530" s="40"/>
      <c r="G530" s="40"/>
      <c r="H530" s="40"/>
      <c r="I530" s="40"/>
      <c r="J530" s="41" t="s">
        <v>13</v>
      </c>
    </row>
    <row r="531" spans="2:10" s="1" customFormat="1" ht="12.75" x14ac:dyDescent="0.2">
      <c r="B531" s="46"/>
      <c r="C531" s="39" t="s">
        <v>349</v>
      </c>
      <c r="D531" s="40">
        <v>2</v>
      </c>
      <c r="E531" s="40">
        <v>3</v>
      </c>
      <c r="F531" s="40"/>
      <c r="G531" s="40"/>
      <c r="H531" s="40">
        <f>IF(AND(F531=0,G531=0),D531*E531,IF(AND(E531=0,G531=0),D531*F531,IF(AND(E531=0,F531=0),D531*G531,IF(AND(E531=0),D531*F531*G531,IF(AND(F531=0),D531*E531*G531,IF(AND(G531=0),D531*E531*F531,D531*E531*F531*G531))))))</f>
        <v>6</v>
      </c>
      <c r="I531" s="40"/>
      <c r="J531" s="41" t="s">
        <v>13</v>
      </c>
    </row>
    <row r="532" spans="2:10" s="1" customFormat="1" ht="12.75" x14ac:dyDescent="0.2">
      <c r="B532" s="43" t="s">
        <v>21</v>
      </c>
      <c r="C532" s="43" t="s">
        <v>266</v>
      </c>
      <c r="D532" s="60"/>
      <c r="E532" s="40"/>
      <c r="F532" s="40"/>
      <c r="G532" s="40"/>
      <c r="H532" s="40"/>
      <c r="I532" s="44">
        <f>SUM(H533:H535)</f>
        <v>0</v>
      </c>
      <c r="J532" s="45" t="str">
        <f>+J533</f>
        <v>und</v>
      </c>
    </row>
    <row r="533" spans="2:10" s="1" customFormat="1" ht="12.75" x14ac:dyDescent="0.2">
      <c r="B533" s="43"/>
      <c r="C533" s="39" t="s">
        <v>71</v>
      </c>
      <c r="D533" s="40"/>
      <c r="E533" s="40"/>
      <c r="F533" s="40"/>
      <c r="G533" s="40"/>
      <c r="H533" s="40">
        <f t="shared" ref="H533:H535" si="17">+D533</f>
        <v>0</v>
      </c>
      <c r="I533" s="40"/>
      <c r="J533" s="41" t="s">
        <v>13</v>
      </c>
    </row>
    <row r="534" spans="2:10" s="1" customFormat="1" ht="12.75" x14ac:dyDescent="0.2">
      <c r="B534" s="43"/>
      <c r="C534" s="39" t="s">
        <v>72</v>
      </c>
      <c r="D534" s="40"/>
      <c r="E534" s="40"/>
      <c r="F534" s="40"/>
      <c r="G534" s="40"/>
      <c r="H534" s="40">
        <f t="shared" si="17"/>
        <v>0</v>
      </c>
      <c r="I534" s="40"/>
      <c r="J534" s="41" t="s">
        <v>13</v>
      </c>
    </row>
    <row r="535" spans="2:10" s="1" customFormat="1" ht="12.75" x14ac:dyDescent="0.2">
      <c r="B535" s="43"/>
      <c r="C535" s="39" t="s">
        <v>73</v>
      </c>
      <c r="D535" s="40"/>
      <c r="E535" s="40"/>
      <c r="F535" s="40"/>
      <c r="G535" s="40"/>
      <c r="H535" s="40">
        <f t="shared" si="17"/>
        <v>0</v>
      </c>
      <c r="I535" s="40"/>
      <c r="J535" s="41" t="s">
        <v>13</v>
      </c>
    </row>
    <row r="536" spans="2:10" s="1" customFormat="1" ht="12.75" x14ac:dyDescent="0.2">
      <c r="B536" s="43" t="s">
        <v>273</v>
      </c>
      <c r="C536" s="43" t="s">
        <v>354</v>
      </c>
      <c r="D536" s="60"/>
      <c r="E536" s="40"/>
      <c r="F536" s="40"/>
      <c r="G536" s="40"/>
      <c r="H536" s="40"/>
      <c r="I536" s="44">
        <f>SUM(H537:H537)</f>
        <v>6</v>
      </c>
      <c r="J536" s="45" t="str">
        <f>+J537</f>
        <v>und</v>
      </c>
    </row>
    <row r="537" spans="2:10" s="1" customFormat="1" ht="12.75" x14ac:dyDescent="0.2">
      <c r="B537" s="43"/>
      <c r="C537" s="39" t="s">
        <v>375</v>
      </c>
      <c r="D537" s="40">
        <v>2</v>
      </c>
      <c r="E537" s="40">
        <v>3</v>
      </c>
      <c r="F537" s="40"/>
      <c r="G537" s="40"/>
      <c r="H537" s="40">
        <f>IF(AND(F537=0,G537=0),D537*E537,IF(AND(E537=0,G537=0),D537*F537,IF(AND(E537=0,F537=0),D537*G537,IF(AND(E537=0),D537*F537*G537,IF(AND(F537=0),D537*E537*G537,IF(AND(G537=0),D537*E537*F537,D537*E537*F537*G537))))))</f>
        <v>6</v>
      </c>
      <c r="I537" s="40"/>
      <c r="J537" s="41" t="s">
        <v>13</v>
      </c>
    </row>
    <row r="538" spans="2:10" s="1" customFormat="1" ht="12.75" x14ac:dyDescent="0.2">
      <c r="B538" s="43" t="s">
        <v>274</v>
      </c>
      <c r="C538" s="43" t="s">
        <v>357</v>
      </c>
      <c r="D538" s="60"/>
      <c r="E538" s="40"/>
      <c r="F538" s="40"/>
      <c r="G538" s="40"/>
      <c r="H538" s="40"/>
      <c r="I538" s="44">
        <f>SUM(H539:H539)</f>
        <v>2</v>
      </c>
      <c r="J538" s="45" t="str">
        <f>+J539</f>
        <v>und</v>
      </c>
    </row>
    <row r="539" spans="2:10" s="1" customFormat="1" ht="12.75" x14ac:dyDescent="0.2">
      <c r="B539" s="43"/>
      <c r="C539" s="39" t="s">
        <v>375</v>
      </c>
      <c r="D539" s="40">
        <v>2</v>
      </c>
      <c r="E539" s="40"/>
      <c r="F539" s="40"/>
      <c r="G539" s="40"/>
      <c r="H539" s="40">
        <f t="shared" ref="H539" si="18">+D539</f>
        <v>2</v>
      </c>
      <c r="I539" s="40"/>
      <c r="J539" s="41" t="s">
        <v>13</v>
      </c>
    </row>
    <row r="540" spans="2:10" s="1" customFormat="1" ht="12.75" x14ac:dyDescent="0.2">
      <c r="B540" s="43" t="s">
        <v>355</v>
      </c>
      <c r="C540" s="43" t="s">
        <v>263</v>
      </c>
      <c r="D540" s="60"/>
      <c r="E540" s="40"/>
      <c r="F540" s="40"/>
      <c r="G540" s="40"/>
      <c r="H540" s="40"/>
      <c r="I540" s="44">
        <f>SUM(H541:H541)</f>
        <v>0</v>
      </c>
      <c r="J540" s="45" t="str">
        <f>+J541</f>
        <v>und</v>
      </c>
    </row>
    <row r="541" spans="2:10" s="1" customFormat="1" ht="12.75" x14ac:dyDescent="0.2">
      <c r="B541" s="46"/>
      <c r="C541" s="39" t="s">
        <v>385</v>
      </c>
      <c r="D541" s="40"/>
      <c r="E541" s="40"/>
      <c r="F541" s="40"/>
      <c r="G541" s="40"/>
      <c r="H541" s="40">
        <f>+D541</f>
        <v>0</v>
      </c>
      <c r="I541" s="40"/>
      <c r="J541" s="41" t="s">
        <v>13</v>
      </c>
    </row>
    <row r="542" spans="2:10" s="1" customFormat="1" ht="12.75" x14ac:dyDescent="0.2">
      <c r="B542" s="43" t="s">
        <v>356</v>
      </c>
      <c r="C542" s="43" t="s">
        <v>264</v>
      </c>
      <c r="D542" s="60"/>
      <c r="E542" s="40"/>
      <c r="F542" s="40"/>
      <c r="G542" s="40"/>
      <c r="H542" s="40"/>
      <c r="I542" s="44">
        <f>SUM(H543:H543)</f>
        <v>0</v>
      </c>
      <c r="J542" s="45" t="str">
        <f>+J543</f>
        <v>und</v>
      </c>
    </row>
    <row r="543" spans="2:10" s="1" customFormat="1" ht="12.75" x14ac:dyDescent="0.2">
      <c r="B543" s="46"/>
      <c r="C543" s="39" t="s">
        <v>384</v>
      </c>
      <c r="D543" s="40"/>
      <c r="E543" s="40"/>
      <c r="F543" s="40"/>
      <c r="G543" s="40"/>
      <c r="H543" s="40">
        <f>+D543</f>
        <v>0</v>
      </c>
      <c r="I543" s="40"/>
      <c r="J543" s="41" t="s">
        <v>13</v>
      </c>
    </row>
    <row r="544" spans="2:10" s="1" customFormat="1" ht="12.75" x14ac:dyDescent="0.2">
      <c r="B544" s="46"/>
      <c r="C544" s="59"/>
      <c r="D544" s="60"/>
      <c r="E544" s="40"/>
      <c r="F544" s="40"/>
      <c r="G544" s="40"/>
      <c r="H544" s="40"/>
      <c r="I544" s="40"/>
      <c r="J544" s="41"/>
    </row>
    <row r="545" spans="2:10" s="1" customFormat="1" ht="12.75" x14ac:dyDescent="0.2">
      <c r="B545" s="46"/>
      <c r="C545" s="59"/>
      <c r="D545" s="60"/>
      <c r="E545" s="40"/>
      <c r="F545" s="40"/>
      <c r="G545" s="40"/>
      <c r="H545" s="40"/>
      <c r="I545" s="40"/>
      <c r="J545" s="41"/>
    </row>
    <row r="546" spans="2:10" s="1" customFormat="1" ht="12.75" x14ac:dyDescent="0.2">
      <c r="B546" s="46"/>
      <c r="C546" s="59"/>
      <c r="D546" s="60"/>
      <c r="E546" s="40"/>
      <c r="F546" s="40"/>
      <c r="G546" s="40"/>
      <c r="H546" s="40"/>
      <c r="I546" s="40"/>
      <c r="J546" s="41"/>
    </row>
    <row r="547" spans="2:10" s="1" customFormat="1" ht="12.75" x14ac:dyDescent="0.2">
      <c r="B547" s="46"/>
      <c r="C547" s="59"/>
      <c r="D547" s="60"/>
      <c r="E547" s="40"/>
      <c r="F547" s="40"/>
      <c r="G547" s="40"/>
      <c r="H547" s="40"/>
      <c r="I547" s="40"/>
      <c r="J547" s="41"/>
    </row>
    <row r="548" spans="2:10" s="1" customFormat="1" ht="12.75" x14ac:dyDescent="0.2">
      <c r="B548" s="46"/>
      <c r="C548" s="59"/>
      <c r="D548" s="60"/>
      <c r="E548" s="40"/>
      <c r="F548" s="40"/>
      <c r="G548" s="40"/>
      <c r="H548" s="40"/>
      <c r="I548" s="40"/>
      <c r="J548" s="41"/>
    </row>
    <row r="549" spans="2:10" s="1" customFormat="1" ht="12.75" x14ac:dyDescent="0.2">
      <c r="B549" s="46"/>
      <c r="C549" s="59"/>
      <c r="D549" s="60"/>
      <c r="E549" s="40"/>
      <c r="F549" s="40"/>
      <c r="G549" s="40"/>
      <c r="H549" s="40"/>
      <c r="I549" s="40"/>
      <c r="J549" s="41"/>
    </row>
    <row r="550" spans="2:10" s="1" customFormat="1" ht="12.75" x14ac:dyDescent="0.2">
      <c r="B550" s="46"/>
      <c r="C550" s="59"/>
      <c r="D550" s="60"/>
      <c r="E550" s="40"/>
      <c r="F550" s="40"/>
      <c r="G550" s="40"/>
      <c r="H550" s="40"/>
      <c r="I550" s="40"/>
      <c r="J550" s="41"/>
    </row>
    <row r="551" spans="2:10" s="1" customFormat="1" ht="12.75" x14ac:dyDescent="0.2">
      <c r="B551" s="46"/>
      <c r="C551" s="59"/>
      <c r="D551" s="60"/>
      <c r="E551" s="40"/>
      <c r="F551" s="40"/>
      <c r="G551" s="40"/>
      <c r="H551" s="40"/>
      <c r="I551" s="40"/>
      <c r="J551" s="41"/>
    </row>
    <row r="552" spans="2:10" s="1" customFormat="1" ht="12.75" x14ac:dyDescent="0.2">
      <c r="B552" s="46"/>
      <c r="C552" s="59"/>
      <c r="D552" s="60"/>
      <c r="E552" s="40"/>
      <c r="F552" s="40"/>
      <c r="G552" s="40"/>
      <c r="H552" s="40"/>
      <c r="I552" s="40"/>
      <c r="J552" s="41"/>
    </row>
    <row r="553" spans="2:10" s="1" customFormat="1" ht="12.75" x14ac:dyDescent="0.2">
      <c r="B553" s="46"/>
      <c r="C553" s="59"/>
      <c r="D553" s="60"/>
      <c r="E553" s="40"/>
      <c r="F553" s="40"/>
      <c r="G553" s="40"/>
      <c r="H553" s="40"/>
      <c r="I553" s="40"/>
      <c r="J553" s="41"/>
    </row>
    <row r="554" spans="2:10" s="1" customFormat="1" ht="12.75" x14ac:dyDescent="0.2">
      <c r="B554" s="46"/>
      <c r="C554" s="59"/>
      <c r="D554" s="60"/>
      <c r="E554" s="40"/>
      <c r="F554" s="40"/>
      <c r="G554" s="40"/>
      <c r="H554" s="40"/>
      <c r="I554" s="40"/>
      <c r="J554" s="41"/>
    </row>
    <row r="555" spans="2:10" s="1" customFormat="1" ht="12.75" x14ac:dyDescent="0.2">
      <c r="B555" s="46"/>
      <c r="C555" s="59"/>
      <c r="D555" s="60"/>
      <c r="E555" s="40"/>
      <c r="F555" s="40"/>
      <c r="G555" s="40"/>
      <c r="H555" s="40"/>
      <c r="I555" s="40"/>
      <c r="J555" s="41"/>
    </row>
    <row r="556" spans="2:10" s="1" customFormat="1" ht="12.75" x14ac:dyDescent="0.2">
      <c r="B556" s="46"/>
      <c r="C556" s="59"/>
      <c r="D556" s="60"/>
      <c r="E556" s="40"/>
      <c r="F556" s="40"/>
      <c r="G556" s="40"/>
      <c r="H556" s="40"/>
      <c r="I556" s="40"/>
      <c r="J556" s="41"/>
    </row>
    <row r="557" spans="2:10" s="1" customFormat="1" ht="12.75" x14ac:dyDescent="0.2">
      <c r="B557" s="46"/>
      <c r="C557" s="59"/>
      <c r="D557" s="60"/>
      <c r="E557" s="40"/>
      <c r="F557" s="40"/>
      <c r="G557" s="40"/>
      <c r="H557" s="40"/>
      <c r="I557" s="40"/>
      <c r="J557" s="41"/>
    </row>
    <row r="558" spans="2:10" s="1" customFormat="1" ht="12.75" x14ac:dyDescent="0.2">
      <c r="B558" s="46"/>
      <c r="C558" s="59"/>
      <c r="D558" s="60"/>
      <c r="E558" s="40"/>
      <c r="F558" s="40"/>
      <c r="G558" s="40"/>
      <c r="H558" s="40"/>
      <c r="I558" s="40"/>
      <c r="J558" s="41"/>
    </row>
    <row r="559" spans="2:10" s="1" customFormat="1" ht="12.75" x14ac:dyDescent="0.2">
      <c r="B559" s="46"/>
      <c r="C559" s="59"/>
      <c r="D559" s="60"/>
      <c r="E559" s="40"/>
      <c r="F559" s="40"/>
      <c r="G559" s="40"/>
      <c r="H559" s="40"/>
      <c r="I559" s="40"/>
      <c r="J559" s="41"/>
    </row>
    <row r="560" spans="2:10" s="1" customFormat="1" ht="12.75" x14ac:dyDescent="0.2">
      <c r="B560" s="46"/>
      <c r="C560" s="59"/>
      <c r="D560" s="60"/>
      <c r="E560" s="40"/>
      <c r="F560" s="40"/>
      <c r="G560" s="40"/>
      <c r="H560" s="40"/>
      <c r="I560" s="40"/>
      <c r="J560" s="41"/>
    </row>
    <row r="561" spans="2:10" s="1" customFormat="1" ht="12.75" x14ac:dyDescent="0.2">
      <c r="B561" s="46"/>
      <c r="C561" s="59"/>
      <c r="D561" s="60"/>
      <c r="E561" s="40"/>
      <c r="F561" s="40"/>
      <c r="G561" s="40"/>
      <c r="H561" s="40"/>
      <c r="I561" s="40"/>
      <c r="J561" s="41"/>
    </row>
    <row r="562" spans="2:10" s="1" customFormat="1" ht="12.75" x14ac:dyDescent="0.2">
      <c r="B562" s="46"/>
      <c r="C562" s="59"/>
      <c r="D562" s="60"/>
      <c r="E562" s="40"/>
      <c r="F562" s="40"/>
      <c r="G562" s="40"/>
      <c r="H562" s="40"/>
      <c r="I562" s="40"/>
      <c r="J562" s="41"/>
    </row>
    <row r="563" spans="2:10" s="1" customFormat="1" ht="12.75" x14ac:dyDescent="0.2">
      <c r="B563" s="46"/>
      <c r="C563" s="59"/>
      <c r="D563" s="60"/>
      <c r="E563" s="40"/>
      <c r="F563" s="40"/>
      <c r="G563" s="40"/>
      <c r="H563" s="40"/>
      <c r="I563" s="40"/>
      <c r="J563" s="41"/>
    </row>
    <row r="564" spans="2:10" s="1" customFormat="1" ht="12.75" x14ac:dyDescent="0.2">
      <c r="B564" s="46"/>
      <c r="C564" s="59"/>
      <c r="D564" s="60"/>
      <c r="E564" s="40"/>
      <c r="F564" s="40"/>
      <c r="G564" s="40"/>
      <c r="H564" s="40"/>
      <c r="I564" s="40"/>
      <c r="J564" s="41"/>
    </row>
    <row r="565" spans="2:10" s="1" customFormat="1" ht="12.75" x14ac:dyDescent="0.2">
      <c r="B565" s="46"/>
      <c r="C565" s="59"/>
      <c r="D565" s="60"/>
      <c r="E565" s="40"/>
      <c r="F565" s="40"/>
      <c r="G565" s="40"/>
      <c r="H565" s="40"/>
      <c r="I565" s="40"/>
      <c r="J565" s="41"/>
    </row>
    <row r="566" spans="2:10" s="1" customFormat="1" ht="12.75" x14ac:dyDescent="0.2">
      <c r="B566" s="46"/>
      <c r="C566" s="59"/>
      <c r="D566" s="60"/>
      <c r="E566" s="40"/>
      <c r="F566" s="40"/>
      <c r="G566" s="40"/>
      <c r="H566" s="40"/>
      <c r="I566" s="40"/>
      <c r="J566" s="41"/>
    </row>
    <row r="567" spans="2:10" s="1" customFormat="1" ht="12.75" x14ac:dyDescent="0.2">
      <c r="B567" s="46"/>
      <c r="C567" s="59"/>
      <c r="D567" s="60"/>
      <c r="E567" s="40"/>
      <c r="F567" s="40"/>
      <c r="G567" s="40"/>
      <c r="H567" s="40"/>
      <c r="I567" s="40"/>
      <c r="J567" s="41"/>
    </row>
    <row r="568" spans="2:10" s="1" customFormat="1" ht="12.75" x14ac:dyDescent="0.2">
      <c r="B568" s="46"/>
      <c r="C568" s="59"/>
      <c r="D568" s="60"/>
      <c r="E568" s="40"/>
      <c r="F568" s="40"/>
      <c r="G568" s="40"/>
      <c r="H568" s="40"/>
      <c r="I568" s="40"/>
      <c r="J568" s="41"/>
    </row>
    <row r="569" spans="2:10" s="1" customFormat="1" ht="12.75" x14ac:dyDescent="0.2">
      <c r="B569" s="46"/>
      <c r="C569" s="59"/>
      <c r="D569" s="60"/>
      <c r="E569" s="40"/>
      <c r="F569" s="40"/>
      <c r="G569" s="40"/>
      <c r="H569" s="40"/>
      <c r="I569" s="40"/>
      <c r="J569" s="41"/>
    </row>
    <row r="570" spans="2:10" s="1" customFormat="1" ht="12.75" x14ac:dyDescent="0.2">
      <c r="B570" s="46"/>
      <c r="C570" s="59"/>
      <c r="D570" s="60"/>
      <c r="E570" s="40"/>
      <c r="F570" s="40"/>
      <c r="G570" s="40"/>
      <c r="H570" s="40"/>
      <c r="I570" s="40"/>
      <c r="J570" s="41"/>
    </row>
    <row r="571" spans="2:10" s="1" customFormat="1" ht="12.75" x14ac:dyDescent="0.2">
      <c r="B571" s="46"/>
      <c r="C571" s="59"/>
      <c r="D571" s="60"/>
      <c r="E571" s="40"/>
      <c r="F571" s="40"/>
      <c r="G571" s="40"/>
      <c r="H571" s="40"/>
      <c r="I571" s="40"/>
      <c r="J571" s="41"/>
    </row>
    <row r="572" spans="2:10" s="1" customFormat="1" ht="12.75" x14ac:dyDescent="0.2">
      <c r="B572" s="46"/>
      <c r="C572" s="59"/>
      <c r="D572" s="60"/>
      <c r="E572" s="40"/>
      <c r="F572" s="40"/>
      <c r="G572" s="40"/>
      <c r="H572" s="40"/>
      <c r="I572" s="40"/>
      <c r="J572" s="41"/>
    </row>
    <row r="573" spans="2:10" s="1" customFormat="1" ht="12.75" x14ac:dyDescent="0.2">
      <c r="B573" s="46"/>
      <c r="C573" s="59"/>
      <c r="D573" s="60"/>
      <c r="E573" s="40"/>
      <c r="F573" s="40"/>
      <c r="G573" s="40"/>
      <c r="H573" s="40"/>
      <c r="I573" s="40"/>
      <c r="J573" s="41"/>
    </row>
    <row r="574" spans="2:10" s="1" customFormat="1" ht="12.75" x14ac:dyDescent="0.2">
      <c r="B574" s="46"/>
      <c r="C574" s="59"/>
      <c r="D574" s="60"/>
      <c r="E574" s="40"/>
      <c r="F574" s="40"/>
      <c r="G574" s="40"/>
      <c r="H574" s="40"/>
      <c r="I574" s="40"/>
      <c r="J574" s="41"/>
    </row>
    <row r="575" spans="2:10" s="1" customFormat="1" ht="12.75" x14ac:dyDescent="0.2">
      <c r="B575" s="46"/>
      <c r="C575" s="59"/>
      <c r="D575" s="60"/>
      <c r="E575" s="40"/>
      <c r="F575" s="40"/>
      <c r="G575" s="40"/>
      <c r="H575" s="40"/>
      <c r="I575" s="40"/>
      <c r="J575" s="41"/>
    </row>
    <row r="576" spans="2:10" s="1" customFormat="1" ht="12.75" x14ac:dyDescent="0.2">
      <c r="B576" s="46"/>
      <c r="C576" s="59"/>
      <c r="D576" s="60"/>
      <c r="E576" s="40"/>
      <c r="F576" s="40"/>
      <c r="G576" s="40"/>
      <c r="H576" s="40"/>
      <c r="I576" s="40"/>
      <c r="J576" s="41"/>
    </row>
    <row r="577" spans="2:10" s="1" customFormat="1" ht="12.75" x14ac:dyDescent="0.2">
      <c r="B577" s="46"/>
      <c r="C577" s="59"/>
      <c r="D577" s="60"/>
      <c r="E577" s="40"/>
      <c r="F577" s="40"/>
      <c r="G577" s="40"/>
      <c r="H577" s="40"/>
      <c r="I577" s="40"/>
      <c r="J577" s="41"/>
    </row>
    <row r="578" spans="2:10" s="1" customFormat="1" ht="12.75" x14ac:dyDescent="0.2">
      <c r="B578" s="46"/>
      <c r="C578" s="59"/>
      <c r="D578" s="60"/>
      <c r="E578" s="40"/>
      <c r="F578" s="40"/>
      <c r="G578" s="40"/>
      <c r="H578" s="40"/>
      <c r="I578" s="40"/>
      <c r="J578" s="41"/>
    </row>
    <row r="579" spans="2:10" s="1" customFormat="1" ht="12.75" x14ac:dyDescent="0.2">
      <c r="B579" s="46"/>
      <c r="C579" s="59"/>
      <c r="D579" s="60"/>
      <c r="E579" s="40"/>
      <c r="F579" s="40"/>
      <c r="G579" s="40"/>
      <c r="H579" s="40"/>
      <c r="I579" s="40"/>
      <c r="J579" s="41"/>
    </row>
    <row r="580" spans="2:10" s="1" customFormat="1" ht="12.75" x14ac:dyDescent="0.2">
      <c r="B580" s="46"/>
      <c r="C580" s="59"/>
      <c r="D580" s="60"/>
      <c r="E580" s="40"/>
      <c r="F580" s="40"/>
      <c r="G580" s="40"/>
      <c r="H580" s="40"/>
      <c r="I580" s="40"/>
      <c r="J580" s="41"/>
    </row>
    <row r="581" spans="2:10" s="1" customFormat="1" ht="12.75" x14ac:dyDescent="0.2">
      <c r="B581" s="46"/>
      <c r="C581" s="59"/>
      <c r="D581" s="60"/>
      <c r="E581" s="40"/>
      <c r="F581" s="40"/>
      <c r="G581" s="40"/>
      <c r="H581" s="40"/>
      <c r="I581" s="40"/>
      <c r="J581" s="41"/>
    </row>
    <row r="582" spans="2:10" s="1" customFormat="1" ht="12.75" x14ac:dyDescent="0.2">
      <c r="B582" s="46"/>
      <c r="C582" s="59"/>
      <c r="D582" s="60"/>
      <c r="E582" s="40"/>
      <c r="F582" s="40"/>
      <c r="G582" s="40"/>
      <c r="H582" s="40"/>
      <c r="I582" s="40"/>
      <c r="J582" s="41"/>
    </row>
    <row r="583" spans="2:10" s="1" customFormat="1" ht="12.75" x14ac:dyDescent="0.2">
      <c r="B583" s="46"/>
      <c r="C583" s="59"/>
      <c r="D583" s="60"/>
      <c r="E583" s="40"/>
      <c r="F583" s="40"/>
      <c r="G583" s="40"/>
      <c r="H583" s="40"/>
      <c r="I583" s="40"/>
      <c r="J583" s="41"/>
    </row>
    <row r="584" spans="2:10" s="1" customFormat="1" ht="12.75" x14ac:dyDescent="0.2">
      <c r="B584" s="46"/>
      <c r="C584" s="59"/>
      <c r="D584" s="60"/>
      <c r="E584" s="40"/>
      <c r="F584" s="40"/>
      <c r="G584" s="40"/>
      <c r="H584" s="40"/>
      <c r="I584" s="40"/>
      <c r="J584" s="41"/>
    </row>
    <row r="585" spans="2:10" s="1" customFormat="1" ht="12.75" x14ac:dyDescent="0.2">
      <c r="B585" s="46"/>
      <c r="C585" s="59"/>
      <c r="D585" s="60"/>
      <c r="E585" s="40"/>
      <c r="F585" s="40"/>
      <c r="G585" s="40"/>
      <c r="H585" s="40"/>
      <c r="I585" s="40"/>
      <c r="J585" s="41"/>
    </row>
    <row r="586" spans="2:10" s="1" customFormat="1" ht="12.75" x14ac:dyDescent="0.2">
      <c r="B586" s="46"/>
      <c r="C586" s="59"/>
      <c r="D586" s="60"/>
      <c r="E586" s="40"/>
      <c r="F586" s="40"/>
      <c r="G586" s="40"/>
      <c r="H586" s="40"/>
      <c r="I586" s="40"/>
      <c r="J586" s="41"/>
    </row>
    <row r="587" spans="2:10" s="1" customFormat="1" ht="12.75" x14ac:dyDescent="0.2">
      <c r="B587" s="46"/>
      <c r="C587" s="59"/>
      <c r="D587" s="60"/>
      <c r="E587" s="40"/>
      <c r="F587" s="40"/>
      <c r="G587" s="40"/>
      <c r="H587" s="40"/>
      <c r="I587" s="40"/>
      <c r="J587" s="41"/>
    </row>
    <row r="588" spans="2:10" s="1" customFormat="1" ht="12.75" x14ac:dyDescent="0.2">
      <c r="B588" s="46"/>
      <c r="C588" s="59"/>
      <c r="D588" s="60"/>
      <c r="E588" s="40"/>
      <c r="F588" s="40"/>
      <c r="G588" s="40"/>
      <c r="H588" s="40"/>
      <c r="I588" s="40"/>
      <c r="J588" s="41"/>
    </row>
    <row r="589" spans="2:10" s="1" customFormat="1" ht="12.75" x14ac:dyDescent="0.2">
      <c r="B589" s="46"/>
      <c r="C589" s="59"/>
      <c r="D589" s="60"/>
      <c r="E589" s="40"/>
      <c r="F589" s="40"/>
      <c r="G589" s="40"/>
      <c r="H589" s="40"/>
      <c r="I589" s="40"/>
      <c r="J589" s="41"/>
    </row>
    <row r="590" spans="2:10" s="1" customFormat="1" ht="12.75" x14ac:dyDescent="0.2">
      <c r="B590" s="46"/>
      <c r="C590" s="59"/>
      <c r="D590" s="60"/>
      <c r="E590" s="40"/>
      <c r="F590" s="40"/>
      <c r="G590" s="40"/>
      <c r="H590" s="40"/>
      <c r="I590" s="40"/>
      <c r="J590" s="41"/>
    </row>
    <row r="591" spans="2:10" s="1" customFormat="1" ht="12.75" x14ac:dyDescent="0.2">
      <c r="B591" s="46"/>
      <c r="C591" s="59"/>
      <c r="D591" s="60"/>
      <c r="E591" s="40"/>
      <c r="F591" s="40"/>
      <c r="G591" s="40"/>
      <c r="H591" s="40"/>
      <c r="I591" s="40"/>
      <c r="J591" s="41"/>
    </row>
    <row r="592" spans="2:10" s="1" customFormat="1" ht="12.75" x14ac:dyDescent="0.2">
      <c r="B592" s="46"/>
      <c r="C592" s="59"/>
      <c r="D592" s="60"/>
      <c r="E592" s="40"/>
      <c r="F592" s="40"/>
      <c r="G592" s="40"/>
      <c r="H592" s="40"/>
      <c r="I592" s="40"/>
      <c r="J592" s="41"/>
    </row>
    <row r="593" spans="2:10" s="1" customFormat="1" ht="12.75" x14ac:dyDescent="0.2">
      <c r="B593" s="46"/>
      <c r="C593" s="59"/>
      <c r="D593" s="60"/>
      <c r="E593" s="40"/>
      <c r="F593" s="40"/>
      <c r="G593" s="40"/>
      <c r="H593" s="40"/>
      <c r="I593" s="40"/>
      <c r="J593" s="41"/>
    </row>
    <row r="594" spans="2:10" s="1" customFormat="1" ht="12.75" x14ac:dyDescent="0.2">
      <c r="B594" s="46"/>
      <c r="C594" s="59"/>
      <c r="D594" s="60"/>
      <c r="E594" s="40"/>
      <c r="F594" s="40"/>
      <c r="G594" s="40"/>
      <c r="H594" s="40"/>
      <c r="I594" s="40"/>
      <c r="J594" s="41"/>
    </row>
    <row r="595" spans="2:10" s="1" customFormat="1" ht="12.75" x14ac:dyDescent="0.2">
      <c r="B595" s="46"/>
      <c r="C595" s="59"/>
      <c r="D595" s="60"/>
      <c r="E595" s="40"/>
      <c r="F595" s="40"/>
      <c r="G595" s="40"/>
      <c r="H595" s="40"/>
      <c r="I595" s="40"/>
      <c r="J595" s="41"/>
    </row>
    <row r="596" spans="2:10" s="1" customFormat="1" ht="12.75" x14ac:dyDescent="0.2">
      <c r="B596" s="46"/>
      <c r="C596" s="59"/>
      <c r="D596" s="60"/>
      <c r="E596" s="40"/>
      <c r="F596" s="40"/>
      <c r="G596" s="40"/>
      <c r="H596" s="40"/>
      <c r="I596" s="40"/>
      <c r="J596" s="41"/>
    </row>
    <row r="597" spans="2:10" s="1" customFormat="1" ht="12.75" x14ac:dyDescent="0.2">
      <c r="B597" s="46"/>
      <c r="C597" s="59"/>
      <c r="D597" s="60"/>
      <c r="E597" s="40"/>
      <c r="F597" s="40"/>
      <c r="G597" s="40"/>
      <c r="H597" s="40"/>
      <c r="I597" s="40"/>
      <c r="J597" s="41"/>
    </row>
    <row r="598" spans="2:10" s="1" customFormat="1" ht="12.75" x14ac:dyDescent="0.2">
      <c r="B598" s="46"/>
      <c r="C598" s="59"/>
      <c r="D598" s="60"/>
      <c r="E598" s="40"/>
      <c r="F598" s="40"/>
      <c r="G598" s="40"/>
      <c r="H598" s="40"/>
      <c r="I598" s="40"/>
      <c r="J598" s="41"/>
    </row>
    <row r="599" spans="2:10" s="1" customFormat="1" ht="12.75" x14ac:dyDescent="0.2">
      <c r="B599" s="46"/>
      <c r="C599" s="59"/>
      <c r="D599" s="60"/>
      <c r="E599" s="40"/>
      <c r="F599" s="40"/>
      <c r="G599" s="40"/>
      <c r="H599" s="40"/>
      <c r="I599" s="40"/>
      <c r="J599" s="41"/>
    </row>
    <row r="600" spans="2:10" s="1" customFormat="1" ht="12.75" x14ac:dyDescent="0.2">
      <c r="B600" s="46"/>
      <c r="C600" s="59"/>
      <c r="D600" s="60"/>
      <c r="E600" s="40"/>
      <c r="F600" s="40"/>
      <c r="G600" s="40"/>
      <c r="H600" s="40"/>
      <c r="I600" s="40"/>
      <c r="J600" s="41"/>
    </row>
    <row r="601" spans="2:10" s="1" customFormat="1" ht="12.75" x14ac:dyDescent="0.2">
      <c r="B601" s="46"/>
      <c r="C601" s="59"/>
      <c r="D601" s="60"/>
      <c r="E601" s="40"/>
      <c r="F601" s="40"/>
      <c r="G601" s="40"/>
      <c r="H601" s="40"/>
      <c r="I601" s="40"/>
      <c r="J601" s="41"/>
    </row>
    <row r="602" spans="2:10" s="1" customFormat="1" ht="12.75" x14ac:dyDescent="0.2">
      <c r="B602" s="46"/>
      <c r="C602" s="59"/>
      <c r="D602" s="60"/>
      <c r="E602" s="40"/>
      <c r="F602" s="40"/>
      <c r="G602" s="40"/>
      <c r="H602" s="40"/>
      <c r="I602" s="40"/>
      <c r="J602" s="41"/>
    </row>
    <row r="603" spans="2:10" s="1" customFormat="1" ht="12.75" x14ac:dyDescent="0.2">
      <c r="B603" s="46"/>
      <c r="C603" s="59"/>
      <c r="D603" s="60"/>
      <c r="E603" s="40"/>
      <c r="F603" s="40"/>
      <c r="G603" s="40"/>
      <c r="H603" s="40"/>
      <c r="I603" s="40"/>
      <c r="J603" s="41"/>
    </row>
    <row r="604" spans="2:10" s="1" customFormat="1" ht="12.75" x14ac:dyDescent="0.2">
      <c r="B604" s="46"/>
      <c r="C604" s="59"/>
      <c r="D604" s="60"/>
      <c r="E604" s="40"/>
      <c r="F604" s="40"/>
      <c r="G604" s="40"/>
      <c r="H604" s="40"/>
      <c r="I604" s="40"/>
      <c r="J604" s="41"/>
    </row>
    <row r="605" spans="2:10" s="1" customFormat="1" ht="12.75" x14ac:dyDescent="0.2">
      <c r="B605" s="46"/>
      <c r="C605" s="59"/>
      <c r="D605" s="60"/>
      <c r="E605" s="40"/>
      <c r="F605" s="40"/>
      <c r="G605" s="40"/>
      <c r="H605" s="40"/>
      <c r="I605" s="40"/>
      <c r="J605" s="41"/>
    </row>
    <row r="606" spans="2:10" s="1" customFormat="1" ht="12.75" x14ac:dyDescent="0.2">
      <c r="B606" s="46"/>
      <c r="C606" s="59"/>
      <c r="D606" s="60"/>
      <c r="E606" s="40"/>
      <c r="F606" s="40"/>
      <c r="G606" s="40"/>
      <c r="H606" s="40"/>
      <c r="I606" s="40"/>
      <c r="J606" s="41"/>
    </row>
    <row r="607" spans="2:10" s="1" customFormat="1" ht="12.75" x14ac:dyDescent="0.2">
      <c r="B607" s="46"/>
      <c r="C607" s="59"/>
      <c r="D607" s="60"/>
      <c r="E607" s="40"/>
      <c r="F607" s="40"/>
      <c r="G607" s="40"/>
      <c r="H607" s="40"/>
      <c r="I607" s="40"/>
      <c r="J607" s="41"/>
    </row>
    <row r="608" spans="2:10" s="1" customFormat="1" ht="12.75" x14ac:dyDescent="0.2">
      <c r="B608" s="46"/>
      <c r="C608" s="59"/>
      <c r="D608" s="60"/>
      <c r="E608" s="40"/>
      <c r="F608" s="40"/>
      <c r="G608" s="40"/>
      <c r="H608" s="40"/>
      <c r="I608" s="40"/>
      <c r="J608" s="41"/>
    </row>
    <row r="609" spans="2:10" s="1" customFormat="1" ht="12.75" x14ac:dyDescent="0.2">
      <c r="B609" s="46"/>
      <c r="C609" s="59"/>
      <c r="D609" s="60"/>
      <c r="E609" s="40"/>
      <c r="F609" s="40"/>
      <c r="G609" s="40"/>
      <c r="H609" s="40"/>
      <c r="I609" s="40"/>
      <c r="J609" s="41"/>
    </row>
    <row r="610" spans="2:10" s="1" customFormat="1" ht="12.75" x14ac:dyDescent="0.2">
      <c r="B610" s="46"/>
      <c r="C610" s="59"/>
      <c r="D610" s="60"/>
      <c r="E610" s="40"/>
      <c r="F610" s="40"/>
      <c r="G610" s="40"/>
      <c r="H610" s="40"/>
      <c r="I610" s="40"/>
      <c r="J610" s="41"/>
    </row>
    <row r="611" spans="2:10" s="1" customFormat="1" ht="12.75" x14ac:dyDescent="0.2">
      <c r="B611" s="46"/>
      <c r="C611" s="59"/>
      <c r="D611" s="60"/>
      <c r="E611" s="40"/>
      <c r="F611" s="40"/>
      <c r="G611" s="40"/>
      <c r="H611" s="40"/>
      <c r="I611" s="40"/>
      <c r="J611" s="41"/>
    </row>
    <row r="612" spans="2:10" s="1" customFormat="1" ht="12.75" x14ac:dyDescent="0.2">
      <c r="B612" s="46"/>
      <c r="C612" s="59"/>
      <c r="D612" s="60"/>
      <c r="E612" s="40"/>
      <c r="F612" s="40"/>
      <c r="G612" s="40"/>
      <c r="H612" s="40"/>
      <c r="I612" s="40"/>
      <c r="J612" s="41"/>
    </row>
    <row r="613" spans="2:10" s="1" customFormat="1" ht="12.75" x14ac:dyDescent="0.2">
      <c r="B613" s="46"/>
      <c r="C613" s="59"/>
      <c r="D613" s="60"/>
      <c r="E613" s="40"/>
      <c r="F613" s="40"/>
      <c r="G613" s="40"/>
      <c r="H613" s="40"/>
      <c r="I613" s="40"/>
      <c r="J613" s="41"/>
    </row>
    <row r="614" spans="2:10" s="1" customFormat="1" ht="12.75" x14ac:dyDescent="0.2">
      <c r="B614" s="46"/>
      <c r="C614" s="59"/>
      <c r="D614" s="60"/>
      <c r="E614" s="40"/>
      <c r="F614" s="40"/>
      <c r="G614" s="40"/>
      <c r="H614" s="40"/>
      <c r="I614" s="40"/>
      <c r="J614" s="41"/>
    </row>
    <row r="615" spans="2:10" s="1" customFormat="1" ht="12.75" x14ac:dyDescent="0.2">
      <c r="B615" s="46"/>
      <c r="C615" s="59"/>
      <c r="D615" s="60"/>
      <c r="E615" s="40"/>
      <c r="F615" s="40"/>
      <c r="G615" s="40"/>
      <c r="H615" s="40"/>
      <c r="I615" s="40"/>
      <c r="J615" s="41"/>
    </row>
    <row r="616" spans="2:10" s="1" customFormat="1" ht="12.75" x14ac:dyDescent="0.2">
      <c r="B616" s="46"/>
      <c r="C616" s="59"/>
      <c r="D616" s="60"/>
      <c r="E616" s="40"/>
      <c r="F616" s="40"/>
      <c r="G616" s="40"/>
      <c r="H616" s="40"/>
      <c r="I616" s="40"/>
      <c r="J616" s="41"/>
    </row>
    <row r="617" spans="2:10" s="1" customFormat="1" ht="12.75" x14ac:dyDescent="0.2">
      <c r="B617" s="46"/>
      <c r="C617" s="59"/>
      <c r="D617" s="60"/>
      <c r="E617" s="40"/>
      <c r="F617" s="40"/>
      <c r="G617" s="40"/>
      <c r="H617" s="40"/>
      <c r="I617" s="40"/>
      <c r="J617" s="41"/>
    </row>
    <row r="618" spans="2:10" s="1" customFormat="1" ht="12.75" x14ac:dyDescent="0.2">
      <c r="B618" s="46"/>
      <c r="C618" s="59"/>
      <c r="D618" s="60"/>
      <c r="E618" s="40"/>
      <c r="F618" s="40"/>
      <c r="G618" s="40"/>
      <c r="H618" s="40"/>
      <c r="I618" s="40"/>
      <c r="J618" s="41"/>
    </row>
    <row r="619" spans="2:10" s="1" customFormat="1" ht="12.75" x14ac:dyDescent="0.2">
      <c r="B619" s="46"/>
      <c r="C619" s="59"/>
      <c r="D619" s="60"/>
      <c r="E619" s="40"/>
      <c r="F619" s="40"/>
      <c r="G619" s="40"/>
      <c r="H619" s="40"/>
      <c r="I619" s="40"/>
      <c r="J619" s="41"/>
    </row>
    <row r="620" spans="2:10" s="1" customFormat="1" ht="12.75" x14ac:dyDescent="0.2">
      <c r="B620" s="46"/>
      <c r="C620" s="59"/>
      <c r="D620" s="60"/>
      <c r="E620" s="40"/>
      <c r="F620" s="40"/>
      <c r="G620" s="40"/>
      <c r="H620" s="40"/>
      <c r="I620" s="40"/>
      <c r="J620" s="41"/>
    </row>
    <row r="621" spans="2:10" s="1" customFormat="1" ht="12.75" x14ac:dyDescent="0.2">
      <c r="B621" s="46"/>
      <c r="C621" s="59"/>
      <c r="D621" s="60"/>
      <c r="E621" s="40"/>
      <c r="F621" s="40"/>
      <c r="G621" s="40"/>
      <c r="H621" s="40"/>
      <c r="I621" s="40"/>
      <c r="J621" s="41"/>
    </row>
    <row r="622" spans="2:10" s="1" customFormat="1" ht="12.75" x14ac:dyDescent="0.2">
      <c r="B622" s="46"/>
      <c r="C622" s="59"/>
      <c r="D622" s="60"/>
      <c r="E622" s="40"/>
      <c r="F622" s="40"/>
      <c r="G622" s="40"/>
      <c r="H622" s="40"/>
      <c r="I622" s="40"/>
      <c r="J622" s="41"/>
    </row>
    <row r="623" spans="2:10" s="1" customFormat="1" ht="12.75" x14ac:dyDescent="0.2">
      <c r="B623" s="46"/>
      <c r="C623" s="59"/>
      <c r="D623" s="60"/>
      <c r="E623" s="40"/>
      <c r="F623" s="40"/>
      <c r="G623" s="40"/>
      <c r="H623" s="40"/>
      <c r="I623" s="40"/>
      <c r="J623" s="41"/>
    </row>
    <row r="624" spans="2:10" s="1" customFormat="1" ht="12.75" x14ac:dyDescent="0.2">
      <c r="B624" s="46"/>
      <c r="C624" s="59"/>
      <c r="D624" s="60"/>
      <c r="E624" s="40"/>
      <c r="F624" s="40"/>
      <c r="G624" s="40"/>
      <c r="H624" s="40"/>
      <c r="I624" s="40"/>
      <c r="J624" s="41"/>
    </row>
    <row r="625" spans="2:10" s="1" customFormat="1" ht="12.75" x14ac:dyDescent="0.2">
      <c r="B625" s="46"/>
      <c r="C625" s="59"/>
      <c r="D625" s="60"/>
      <c r="E625" s="40"/>
      <c r="F625" s="40"/>
      <c r="G625" s="40"/>
      <c r="H625" s="40"/>
      <c r="I625" s="40"/>
      <c r="J625" s="41"/>
    </row>
    <row r="626" spans="2:10" s="1" customFormat="1" ht="12.75" x14ac:dyDescent="0.2">
      <c r="B626" s="46"/>
      <c r="C626" s="59"/>
      <c r="D626" s="60"/>
      <c r="E626" s="40"/>
      <c r="F626" s="40"/>
      <c r="G626" s="40"/>
      <c r="H626" s="40"/>
      <c r="I626" s="40"/>
      <c r="J626" s="41"/>
    </row>
    <row r="627" spans="2:10" s="1" customFormat="1" ht="12.75" x14ac:dyDescent="0.2">
      <c r="C627" s="499" t="s">
        <v>37</v>
      </c>
      <c r="D627" s="499"/>
      <c r="E627" s="499"/>
      <c r="F627" s="499"/>
      <c r="G627" s="499"/>
      <c r="H627" s="499"/>
    </row>
    <row r="628" spans="2:10" s="1" customFormat="1" ht="12.75" x14ac:dyDescent="0.2">
      <c r="C628" s="499" t="s">
        <v>38</v>
      </c>
      <c r="D628" s="499"/>
      <c r="E628" s="499"/>
      <c r="F628" s="499"/>
      <c r="G628" s="499"/>
      <c r="H628" s="499"/>
    </row>
    <row r="629" spans="2:10" s="1" customFormat="1" ht="12.75" x14ac:dyDescent="0.2">
      <c r="C629" s="499" t="s">
        <v>39</v>
      </c>
      <c r="D629" s="499"/>
      <c r="E629" s="499"/>
      <c r="F629" s="499"/>
      <c r="G629" s="499"/>
      <c r="H629" s="499"/>
    </row>
    <row r="630" spans="2:10" s="1" customFormat="1" ht="12.75" x14ac:dyDescent="0.2">
      <c r="C630" s="500" t="s">
        <v>40</v>
      </c>
      <c r="D630" s="500"/>
      <c r="E630" s="500"/>
      <c r="F630" s="500"/>
      <c r="G630" s="500"/>
      <c r="H630" s="500"/>
    </row>
    <row r="631" spans="2:10" s="1" customFormat="1" ht="12.75" x14ac:dyDescent="0.2">
      <c r="C631" s="78"/>
      <c r="D631" s="78"/>
      <c r="E631" s="78"/>
      <c r="F631" s="78"/>
      <c r="G631" s="78"/>
      <c r="H631" s="78"/>
    </row>
    <row r="632" spans="2:10" s="1" customFormat="1" ht="15.75" x14ac:dyDescent="0.2">
      <c r="B632" s="501" t="s">
        <v>65</v>
      </c>
      <c r="C632" s="502"/>
      <c r="D632" s="502"/>
      <c r="E632" s="502"/>
      <c r="F632" s="502"/>
      <c r="G632" s="502"/>
      <c r="H632" s="502"/>
      <c r="I632" s="502"/>
      <c r="J632" s="503"/>
    </row>
    <row r="633" spans="2:10" s="1" customFormat="1" ht="20.25" x14ac:dyDescent="0.2">
      <c r="B633" s="543" t="s">
        <v>363</v>
      </c>
      <c r="C633" s="544"/>
      <c r="D633" s="544"/>
      <c r="E633" s="544"/>
      <c r="F633" s="544"/>
      <c r="G633" s="544"/>
      <c r="H633" s="544"/>
      <c r="I633" s="544"/>
      <c r="J633" s="545"/>
    </row>
    <row r="634" spans="2:10" s="1" customFormat="1" ht="13.5" thickBot="1" x14ac:dyDescent="0.25">
      <c r="B634" s="79"/>
      <c r="C634" s="79"/>
      <c r="D634" s="79"/>
      <c r="E634" s="79"/>
      <c r="F634" s="79"/>
      <c r="G634" s="79"/>
      <c r="H634" s="79"/>
      <c r="I634" s="79"/>
      <c r="J634" s="79"/>
    </row>
    <row r="635" spans="2:10" s="1" customFormat="1" ht="26.25" customHeight="1" x14ac:dyDescent="0.2">
      <c r="B635" s="494" t="s">
        <v>27</v>
      </c>
      <c r="C635" s="495"/>
      <c r="D635" s="495"/>
      <c r="E635" s="495"/>
      <c r="F635" s="495"/>
      <c r="G635" s="495"/>
      <c r="H635" s="495"/>
      <c r="I635" s="495"/>
      <c r="J635" s="496"/>
    </row>
    <row r="636" spans="2:10" s="1" customFormat="1" ht="12.75" x14ac:dyDescent="0.2">
      <c r="B636" s="2" t="s">
        <v>35</v>
      </c>
      <c r="C636" s="3" t="s">
        <v>36</v>
      </c>
      <c r="D636" s="3"/>
      <c r="E636" s="4"/>
      <c r="F636" s="5"/>
      <c r="G636" s="6" t="s">
        <v>8</v>
      </c>
      <c r="H636" s="497">
        <v>42879</v>
      </c>
      <c r="I636" s="497"/>
      <c r="J636" s="7"/>
    </row>
    <row r="637" spans="2:10" s="1" customFormat="1" ht="12.75" x14ac:dyDescent="0.2">
      <c r="B637" s="2" t="s">
        <v>33</v>
      </c>
      <c r="C637" s="3" t="s">
        <v>29</v>
      </c>
      <c r="D637" s="8"/>
      <c r="E637" s="8"/>
      <c r="F637" s="3"/>
      <c r="G637" s="9" t="s">
        <v>32</v>
      </c>
      <c r="H637" s="4" t="s">
        <v>29</v>
      </c>
      <c r="I637" s="10"/>
      <c r="J637" s="11"/>
    </row>
    <row r="638" spans="2:10" s="1" customFormat="1" ht="12.75" x14ac:dyDescent="0.2">
      <c r="B638" s="2" t="s">
        <v>34</v>
      </c>
      <c r="C638" s="3" t="s">
        <v>29</v>
      </c>
      <c r="D638" s="8"/>
      <c r="E638" s="8"/>
      <c r="F638" s="3"/>
      <c r="G638" s="9" t="s">
        <v>30</v>
      </c>
      <c r="H638" s="4" t="s">
        <v>31</v>
      </c>
      <c r="I638" s="10"/>
      <c r="J638" s="11"/>
    </row>
    <row r="639" spans="2:10" s="1" customFormat="1" ht="13.5" thickBot="1" x14ac:dyDescent="0.25">
      <c r="B639" s="12" t="s">
        <v>43</v>
      </c>
      <c r="C639" s="13" t="s">
        <v>44</v>
      </c>
      <c r="D639" s="14"/>
      <c r="E639" s="14"/>
      <c r="F639" s="13"/>
      <c r="G639" s="15" t="s">
        <v>41</v>
      </c>
      <c r="H639" s="16" t="s">
        <v>42</v>
      </c>
      <c r="I639" s="17"/>
      <c r="J639" s="18"/>
    </row>
    <row r="640" spans="2:10" s="1" customFormat="1" ht="12.75" x14ac:dyDescent="0.2">
      <c r="B640" s="79"/>
      <c r="C640" s="79"/>
      <c r="D640" s="79"/>
      <c r="E640" s="79"/>
      <c r="F640" s="79"/>
      <c r="G640" s="79"/>
      <c r="H640" s="79"/>
      <c r="I640" s="79"/>
      <c r="J640" s="79"/>
    </row>
    <row r="641" spans="2:10" s="1" customFormat="1" ht="12.75" x14ac:dyDescent="0.2">
      <c r="B641" s="21" t="s">
        <v>5</v>
      </c>
      <c r="C641" s="22" t="s">
        <v>0</v>
      </c>
      <c r="D641" s="22" t="s">
        <v>9</v>
      </c>
      <c r="E641" s="22" t="s">
        <v>10</v>
      </c>
      <c r="F641" s="22" t="s">
        <v>1</v>
      </c>
      <c r="G641" s="22" t="s">
        <v>2</v>
      </c>
      <c r="H641" s="22" t="s">
        <v>11</v>
      </c>
      <c r="I641" s="22" t="s">
        <v>6</v>
      </c>
      <c r="J641" s="22" t="s">
        <v>7</v>
      </c>
    </row>
    <row r="642" spans="2:10" s="1" customFormat="1" ht="12.75" x14ac:dyDescent="0.2">
      <c r="B642" s="55">
        <v>4.03</v>
      </c>
      <c r="C642" s="56" t="s">
        <v>222</v>
      </c>
      <c r="D642" s="60"/>
      <c r="E642" s="40"/>
      <c r="F642" s="40"/>
      <c r="G642" s="40"/>
      <c r="H642" s="40"/>
      <c r="I642" s="40"/>
      <c r="J642" s="41"/>
    </row>
    <row r="643" spans="2:10" s="1" customFormat="1" ht="12.75" x14ac:dyDescent="0.2">
      <c r="B643" s="57" t="s">
        <v>14</v>
      </c>
      <c r="C643" s="58" t="s">
        <v>225</v>
      </c>
      <c r="D643" s="60"/>
      <c r="E643" s="40"/>
      <c r="F643" s="40"/>
      <c r="G643" s="40"/>
      <c r="H643" s="40"/>
      <c r="I643" s="40"/>
      <c r="J643" s="41"/>
    </row>
    <row r="644" spans="2:10" s="1" customFormat="1" ht="12.75" x14ac:dyDescent="0.2">
      <c r="B644" s="43" t="s">
        <v>15</v>
      </c>
      <c r="C644" s="43" t="s">
        <v>359</v>
      </c>
      <c r="D644" s="60"/>
      <c r="E644" s="40"/>
      <c r="F644" s="40"/>
      <c r="G644" s="40"/>
      <c r="H644" s="40"/>
      <c r="I644" s="44">
        <f>SUM(H645:H645)</f>
        <v>0</v>
      </c>
      <c r="J644" s="45" t="str">
        <f>+J645</f>
        <v>ml</v>
      </c>
    </row>
    <row r="645" spans="2:10" s="1" customFormat="1" ht="12.75" x14ac:dyDescent="0.2">
      <c r="B645" s="43"/>
      <c r="C645" s="39" t="s">
        <v>387</v>
      </c>
      <c r="D645" s="40"/>
      <c r="E645" s="40"/>
      <c r="F645" s="40"/>
      <c r="G645" s="40"/>
      <c r="H645" s="40">
        <f>IF(AND(F645=0,G645=0),D645*E645,IF(AND(E645=0,G645=0),D645*F645,IF(AND(E645=0,F645=0),D645*G645,IF(AND(E645=0),D645*F645*G645,IF(AND(F645=0),D645*E645*G645,IF(AND(G645=0),D645*E645*F645,D645*E645*F645*G645))))))</f>
        <v>0</v>
      </c>
      <c r="I645" s="40"/>
      <c r="J645" s="41" t="str">
        <f>IF(AND(E645=0,F645&lt;&gt;0,G645&lt;&gt;0),"m2",IF(AND(F645=0,E645&lt;&gt;0,G645&lt;&gt;0),"m2",IF(AND(G645=0,E645&lt;&gt;0,F645&lt;&gt;0),"m2",IF(AND(F645=0,G645=0),"ml",IF(AND(E645=0,G645=0),"ml",IF(AND(E645=0,F645=0),"ml",IF(AND(E645&lt;&gt;0,F645&lt;&gt;0,G645&lt;&gt;0),"m3",0)))))))</f>
        <v>ml</v>
      </c>
    </row>
    <row r="646" spans="2:10" s="1" customFormat="1" ht="12.75" x14ac:dyDescent="0.2">
      <c r="B646" s="43"/>
      <c r="C646" s="39"/>
      <c r="D646" s="40"/>
      <c r="E646" s="40"/>
      <c r="F646" s="40"/>
      <c r="G646" s="40"/>
      <c r="H646" s="40">
        <f>IF(AND(F646=0,G646=0),D646*E646,IF(AND(E646=0,G646=0),D646*F646,IF(AND(E646=0,F646=0),D646*G646,IF(AND(E646=0),D646*F646*G646,IF(AND(F646=0),D646*E646*G646,IF(AND(G646=0),D646*E646*F646,D646*E646*F646*G646))))))</f>
        <v>0</v>
      </c>
      <c r="I646" s="40"/>
      <c r="J646" s="41" t="str">
        <f>IF(AND(E646=0,F646&lt;&gt;0,G646&lt;&gt;0),"m2",IF(AND(F646=0,E646&lt;&gt;0,G646&lt;&gt;0),"m2",IF(AND(G646=0,E646&lt;&gt;0,F646&lt;&gt;0),"m2",IF(AND(F646=0,G646=0),"ml",IF(AND(E646=0,G646=0),"ml",IF(AND(E646=0,F646=0),"ml",IF(AND(E646&lt;&gt;0,F646&lt;&gt;0,G646&lt;&gt;0),"m3",0)))))))</f>
        <v>ml</v>
      </c>
    </row>
    <row r="647" spans="2:10" s="1" customFormat="1" ht="12.75" x14ac:dyDescent="0.2">
      <c r="B647" s="43" t="s">
        <v>232</v>
      </c>
      <c r="C647" s="43" t="s">
        <v>235</v>
      </c>
      <c r="D647" s="60"/>
      <c r="E647" s="40"/>
      <c r="F647" s="40"/>
      <c r="G647" s="40"/>
      <c r="H647" s="40"/>
      <c r="I647" s="44">
        <f>SUM(H648:H648)</f>
        <v>80.400000000000006</v>
      </c>
      <c r="J647" s="45" t="str">
        <f>+J648</f>
        <v>ml</v>
      </c>
    </row>
    <row r="648" spans="2:10" s="1" customFormat="1" ht="12.75" x14ac:dyDescent="0.2">
      <c r="B648" s="57"/>
      <c r="C648" s="39" t="s">
        <v>378</v>
      </c>
      <c r="D648" s="40">
        <v>2</v>
      </c>
      <c r="E648" s="40">
        <v>40.200000000000003</v>
      </c>
      <c r="F648" s="40"/>
      <c r="G648" s="40"/>
      <c r="H648" s="40">
        <f>IF(AND(F648=0,G648=0),D648*E648,IF(AND(E648=0,G648=0),D648*F648,IF(AND(E648=0,F648=0),D648*G648,IF(AND(E648=0),D648*F648*G648,IF(AND(F648=0),D648*E648*G648,IF(AND(G648=0),D648*E648*F648,D648*E648*F648*G648))))))</f>
        <v>80.400000000000006</v>
      </c>
      <c r="I648" s="40"/>
      <c r="J648" s="41" t="str">
        <f>IF(AND(E648=0,F648&lt;&gt;0,G648&lt;&gt;0),"m2",IF(AND(F648=0,E648&lt;&gt;0,G648&lt;&gt;0),"m2",IF(AND(G648=0,E648&lt;&gt;0,F648&lt;&gt;0),"m2",IF(AND(F648=0,G648=0),"ml",IF(AND(E648=0,G648=0),"ml",IF(AND(E648=0,F648=0),"ml",IF(AND(E648&lt;&gt;0,F648&lt;&gt;0,G648&lt;&gt;0),"m3",0)))))))</f>
        <v>ml</v>
      </c>
    </row>
    <row r="649" spans="2:10" s="1" customFormat="1" ht="12.75" x14ac:dyDescent="0.2">
      <c r="B649" s="57"/>
      <c r="C649" s="39" t="s">
        <v>379</v>
      </c>
      <c r="D649" s="40">
        <v>2</v>
      </c>
      <c r="E649" s="40">
        <v>4</v>
      </c>
      <c r="F649" s="40"/>
      <c r="G649" s="40"/>
      <c r="H649" s="40">
        <f>IF(AND(F649=0,G649=0),D649*E649,IF(AND(E649=0,G649=0),D649*F649,IF(AND(E649=0,F649=0),D649*G649,IF(AND(E649=0),D649*F649*G649,IF(AND(F649=0),D649*E649*G649,IF(AND(G649=0),D649*E649*F649,D649*E649*F649*G649))))))</f>
        <v>8</v>
      </c>
      <c r="I649" s="40"/>
      <c r="J649" s="41" t="str">
        <f>IF(AND(E649=0,F649&lt;&gt;0,G649&lt;&gt;0),"m2",IF(AND(F649=0,E649&lt;&gt;0,G649&lt;&gt;0),"m2",IF(AND(G649=0,E649&lt;&gt;0,F649&lt;&gt;0),"m2",IF(AND(F649=0,G649=0),"ml",IF(AND(E649=0,G649=0),"ml",IF(AND(E649=0,F649=0),"ml",IF(AND(E649&lt;&gt;0,F649&lt;&gt;0,G649&lt;&gt;0),"m3",0)))))))</f>
        <v>ml</v>
      </c>
    </row>
    <row r="650" spans="2:10" s="1" customFormat="1" ht="12.75" x14ac:dyDescent="0.2">
      <c r="B650" s="43" t="s">
        <v>233</v>
      </c>
      <c r="C650" s="43" t="s">
        <v>236</v>
      </c>
      <c r="D650" s="60"/>
      <c r="E650" s="40"/>
      <c r="F650" s="40"/>
      <c r="G650" s="40"/>
      <c r="H650" s="40"/>
      <c r="I650" s="44">
        <f>SUM(H651:H651)</f>
        <v>0</v>
      </c>
      <c r="J650" s="45" t="str">
        <f>+J651</f>
        <v>ml</v>
      </c>
    </row>
    <row r="651" spans="2:10" s="1" customFormat="1" ht="12.75" x14ac:dyDescent="0.2">
      <c r="B651" s="57"/>
      <c r="C651" s="39" t="s">
        <v>231</v>
      </c>
      <c r="D651" s="40"/>
      <c r="E651" s="40"/>
      <c r="F651" s="40"/>
      <c r="G651" s="40"/>
      <c r="H651" s="40">
        <f>IF(AND(F651=0,G651=0),D651*E651,IF(AND(E651=0,G651=0),D651*F651,IF(AND(E651=0,F651=0),D651*G651,IF(AND(E651=0),D651*F651*G651,IF(AND(F651=0),D651*E651*G651,IF(AND(G651=0),D651*E651*F651,D651*E651*F651*G651))))))</f>
        <v>0</v>
      </c>
      <c r="I651" s="40"/>
      <c r="J651" s="41" t="str">
        <f>IF(AND(E651=0,F651&lt;&gt;0,G651&lt;&gt;0),"m2",IF(AND(F651=0,E651&lt;&gt;0,G651&lt;&gt;0),"m2",IF(AND(G651=0,E651&lt;&gt;0,F651&lt;&gt;0),"m2",IF(AND(F651=0,G651=0),"ml",IF(AND(E651=0,G651=0),"ml",IF(AND(E651=0,F651=0),"ml",IF(AND(E651&lt;&gt;0,F651&lt;&gt;0,G651&lt;&gt;0),"m3",0)))))))</f>
        <v>ml</v>
      </c>
    </row>
    <row r="652" spans="2:10" s="1" customFormat="1" ht="12.75" x14ac:dyDescent="0.2">
      <c r="B652" s="43" t="s">
        <v>234</v>
      </c>
      <c r="C652" s="43" t="s">
        <v>267</v>
      </c>
      <c r="D652" s="60"/>
      <c r="E652" s="40"/>
      <c r="F652" s="40"/>
      <c r="G652" s="40"/>
      <c r="H652" s="40"/>
      <c r="I652" s="44">
        <f>SUM(H654:H659)</f>
        <v>0</v>
      </c>
      <c r="J652" s="45" t="str">
        <f>+J654</f>
        <v>ml</v>
      </c>
    </row>
    <row r="653" spans="2:10" s="1" customFormat="1" ht="12.75" x14ac:dyDescent="0.2">
      <c r="B653" s="43"/>
      <c r="C653" s="77" t="s">
        <v>71</v>
      </c>
      <c r="D653" s="60"/>
      <c r="E653" s="40"/>
      <c r="F653" s="40"/>
      <c r="G653" s="40"/>
      <c r="H653" s="40"/>
      <c r="I653" s="44"/>
      <c r="J653" s="45"/>
    </row>
    <row r="654" spans="2:10" s="1" customFormat="1" ht="12.75" x14ac:dyDescent="0.2">
      <c r="B654" s="43"/>
      <c r="C654" s="39" t="s">
        <v>349</v>
      </c>
      <c r="D654" s="40"/>
      <c r="E654" s="40"/>
      <c r="F654" s="40"/>
      <c r="G654" s="40"/>
      <c r="H654" s="40">
        <f t="shared" ref="H654:H659" si="19">IF(AND(F654=0,G654=0),D654*E654,IF(AND(E654=0,G654=0),D654*F654,IF(AND(E654=0,F654=0),D654*G654,IF(AND(E654=0),D654*F654*G654,IF(AND(F654=0),D654*E654*G654,IF(AND(G654=0),D654*E654*F654,D654*E654*F654*G654))))))</f>
        <v>0</v>
      </c>
      <c r="I654" s="40"/>
      <c r="J654" s="41" t="str">
        <f t="shared" ref="J654:J659" si="20">IF(AND(E654=0,F654&lt;&gt;0,G654&lt;&gt;0),"m2",IF(AND(F654=0,E654&lt;&gt;0,G654&lt;&gt;0),"m2",IF(AND(G654=0,E654&lt;&gt;0,F654&lt;&gt;0),"m2",IF(AND(F654=0,G654=0),"ml",IF(AND(E654=0,G654=0),"ml",IF(AND(E654=0,F654=0),"ml",IF(AND(E654&lt;&gt;0,F654&lt;&gt;0,G654&lt;&gt;0),"m3",0)))))))</f>
        <v>ml</v>
      </c>
    </row>
    <row r="655" spans="2:10" s="1" customFormat="1" ht="12.75" x14ac:dyDescent="0.2">
      <c r="B655" s="43"/>
      <c r="C655" s="39" t="s">
        <v>369</v>
      </c>
      <c r="D655" s="40"/>
      <c r="E655" s="40"/>
      <c r="F655" s="40"/>
      <c r="G655" s="40"/>
      <c r="H655" s="40">
        <f t="shared" si="19"/>
        <v>0</v>
      </c>
      <c r="I655" s="40"/>
      <c r="J655" s="41" t="str">
        <f t="shared" si="20"/>
        <v>ml</v>
      </c>
    </row>
    <row r="656" spans="2:10" s="1" customFormat="1" ht="12.75" x14ac:dyDescent="0.2">
      <c r="B656" s="43"/>
      <c r="C656" s="77" t="s">
        <v>72</v>
      </c>
      <c r="D656" s="40"/>
      <c r="E656" s="40"/>
      <c r="F656" s="40"/>
      <c r="G656" s="40"/>
      <c r="H656" s="40">
        <f t="shared" si="19"/>
        <v>0</v>
      </c>
      <c r="I656" s="40"/>
      <c r="J656" s="41" t="str">
        <f t="shared" si="20"/>
        <v>ml</v>
      </c>
    </row>
    <row r="657" spans="2:10" s="1" customFormat="1" ht="12.75" x14ac:dyDescent="0.2">
      <c r="B657" s="43"/>
      <c r="C657" s="39" t="s">
        <v>349</v>
      </c>
      <c r="D657" s="40"/>
      <c r="E657" s="40"/>
      <c r="F657" s="40"/>
      <c r="G657" s="40"/>
      <c r="H657" s="40">
        <f t="shared" si="19"/>
        <v>0</v>
      </c>
      <c r="I657" s="40"/>
      <c r="J657" s="41" t="str">
        <f t="shared" si="20"/>
        <v>ml</v>
      </c>
    </row>
    <row r="658" spans="2:10" s="1" customFormat="1" ht="12.75" x14ac:dyDescent="0.2">
      <c r="B658" s="43"/>
      <c r="C658" s="77" t="s">
        <v>73</v>
      </c>
      <c r="D658" s="40"/>
      <c r="E658" s="40"/>
      <c r="F658" s="40"/>
      <c r="G658" s="40"/>
      <c r="H658" s="40">
        <f t="shared" si="19"/>
        <v>0</v>
      </c>
      <c r="I658" s="40"/>
      <c r="J658" s="41" t="str">
        <f t="shared" si="20"/>
        <v>ml</v>
      </c>
    </row>
    <row r="659" spans="2:10" s="1" customFormat="1" ht="12.75" x14ac:dyDescent="0.2">
      <c r="B659" s="43"/>
      <c r="C659" s="39" t="s">
        <v>349</v>
      </c>
      <c r="D659" s="40"/>
      <c r="E659" s="40"/>
      <c r="F659" s="40"/>
      <c r="G659" s="40"/>
      <c r="H659" s="40">
        <f t="shared" si="19"/>
        <v>0</v>
      </c>
      <c r="I659" s="40"/>
      <c r="J659" s="41" t="str">
        <f t="shared" si="20"/>
        <v>ml</v>
      </c>
    </row>
    <row r="660" spans="2:10" s="1" customFormat="1" ht="12.75" x14ac:dyDescent="0.2">
      <c r="B660" s="43" t="s">
        <v>268</v>
      </c>
      <c r="C660" s="43" t="s">
        <v>347</v>
      </c>
      <c r="D660" s="60"/>
      <c r="E660" s="40"/>
      <c r="F660" s="40"/>
      <c r="G660" s="40"/>
      <c r="H660" s="40"/>
      <c r="I660" s="44">
        <f>SUM(H661:H667)</f>
        <v>0</v>
      </c>
      <c r="J660" s="45" t="str">
        <f>+J661</f>
        <v>ml</v>
      </c>
    </row>
    <row r="661" spans="2:10" s="1" customFormat="1" ht="12.75" x14ac:dyDescent="0.2">
      <c r="B661" s="57"/>
      <c r="C661" s="77" t="s">
        <v>71</v>
      </c>
      <c r="D661" s="40"/>
      <c r="E661" s="40"/>
      <c r="F661" s="40"/>
      <c r="G661" s="40"/>
      <c r="H661" s="40">
        <f t="shared" ref="H661:H667" si="21">IF(AND(F661=0,G661=0),D661*E661,IF(AND(E661=0,G661=0),D661*F661,IF(AND(E661=0,F661=0),D661*G661,IF(AND(E661=0),D661*F661*G661,IF(AND(F661=0),D661*E661*G661,IF(AND(G661=0),D661*E661*F661,D661*E661*F661*G661))))))</f>
        <v>0</v>
      </c>
      <c r="I661" s="40"/>
      <c r="J661" s="41" t="str">
        <f t="shared" ref="J661:J667" si="22">IF(AND(E661=0,F661&lt;&gt;0,G661&lt;&gt;0),"m2",IF(AND(F661=0,E661&lt;&gt;0,G661&lt;&gt;0),"m2",IF(AND(G661=0,E661&lt;&gt;0,F661&lt;&gt;0),"m2",IF(AND(F661=0,G661=0),"ml",IF(AND(E661=0,G661=0),"ml",IF(AND(E661=0,F661=0),"ml",IF(AND(E661&lt;&gt;0,F661&lt;&gt;0,G661&lt;&gt;0),"m3",0)))))))</f>
        <v>ml</v>
      </c>
    </row>
    <row r="662" spans="2:10" s="1" customFormat="1" ht="12.75" x14ac:dyDescent="0.2">
      <c r="B662" s="57"/>
      <c r="C662" s="39" t="s">
        <v>349</v>
      </c>
      <c r="D662" s="40"/>
      <c r="E662" s="40"/>
      <c r="F662" s="40"/>
      <c r="G662" s="40"/>
      <c r="H662" s="40">
        <f t="shared" si="21"/>
        <v>0</v>
      </c>
      <c r="I662" s="40"/>
      <c r="J662" s="41" t="str">
        <f t="shared" si="22"/>
        <v>ml</v>
      </c>
    </row>
    <row r="663" spans="2:10" s="1" customFormat="1" ht="12.75" x14ac:dyDescent="0.2">
      <c r="B663" s="57"/>
      <c r="C663" s="39" t="s">
        <v>369</v>
      </c>
      <c r="D663" s="40"/>
      <c r="E663" s="40"/>
      <c r="F663" s="40"/>
      <c r="G663" s="40"/>
      <c r="H663" s="40">
        <f t="shared" si="21"/>
        <v>0</v>
      </c>
      <c r="I663" s="40"/>
      <c r="J663" s="41" t="str">
        <f t="shared" si="22"/>
        <v>ml</v>
      </c>
    </row>
    <row r="664" spans="2:10" s="1" customFormat="1" ht="12.75" x14ac:dyDescent="0.2">
      <c r="B664" s="57"/>
      <c r="C664" s="77" t="s">
        <v>72</v>
      </c>
      <c r="D664" s="40"/>
      <c r="E664" s="40"/>
      <c r="F664" s="40"/>
      <c r="G664" s="40"/>
      <c r="H664" s="40">
        <f t="shared" si="21"/>
        <v>0</v>
      </c>
      <c r="I664" s="40"/>
      <c r="J664" s="41" t="str">
        <f t="shared" si="22"/>
        <v>ml</v>
      </c>
    </row>
    <row r="665" spans="2:10" s="1" customFormat="1" ht="12.75" x14ac:dyDescent="0.2">
      <c r="B665" s="57"/>
      <c r="C665" s="39" t="s">
        <v>349</v>
      </c>
      <c r="D665" s="40"/>
      <c r="E665" s="40"/>
      <c r="F665" s="40"/>
      <c r="G665" s="40"/>
      <c r="H665" s="40">
        <f t="shared" si="21"/>
        <v>0</v>
      </c>
      <c r="I665" s="40"/>
      <c r="J665" s="41" t="str">
        <f t="shared" si="22"/>
        <v>ml</v>
      </c>
    </row>
    <row r="666" spans="2:10" s="1" customFormat="1" ht="12.75" x14ac:dyDescent="0.2">
      <c r="B666" s="57"/>
      <c r="C666" s="77" t="s">
        <v>73</v>
      </c>
      <c r="D666" s="40"/>
      <c r="E666" s="40"/>
      <c r="F666" s="40"/>
      <c r="G666" s="40"/>
      <c r="H666" s="40">
        <f t="shared" si="21"/>
        <v>0</v>
      </c>
      <c r="I666" s="40"/>
      <c r="J666" s="41" t="str">
        <f t="shared" si="22"/>
        <v>ml</v>
      </c>
    </row>
    <row r="667" spans="2:10" s="1" customFormat="1" ht="12.75" x14ac:dyDescent="0.2">
      <c r="B667" s="57"/>
      <c r="C667" s="39" t="s">
        <v>349</v>
      </c>
      <c r="D667" s="40"/>
      <c r="E667" s="40"/>
      <c r="F667" s="40"/>
      <c r="G667" s="40"/>
      <c r="H667" s="40">
        <f t="shared" si="21"/>
        <v>0</v>
      </c>
      <c r="I667" s="40"/>
      <c r="J667" s="41" t="str">
        <f t="shared" si="22"/>
        <v>ml</v>
      </c>
    </row>
    <row r="668" spans="2:10" s="1" customFormat="1" ht="12.75" x14ac:dyDescent="0.2">
      <c r="B668" s="43" t="s">
        <v>270</v>
      </c>
      <c r="C668" s="43" t="s">
        <v>269</v>
      </c>
      <c r="D668" s="60"/>
      <c r="E668" s="40"/>
      <c r="F668" s="40"/>
      <c r="G668" s="40"/>
      <c r="H668" s="40"/>
      <c r="I668" s="44">
        <f>SUM(H669:H675)</f>
        <v>51</v>
      </c>
      <c r="J668" s="45" t="str">
        <f>+J669</f>
        <v>ml</v>
      </c>
    </row>
    <row r="669" spans="2:10" s="1" customFormat="1" ht="12.75" x14ac:dyDescent="0.2">
      <c r="B669" s="43"/>
      <c r="C669" s="77" t="s">
        <v>71</v>
      </c>
      <c r="D669" s="40"/>
      <c r="E669" s="40"/>
      <c r="F669" s="40"/>
      <c r="G669" s="40"/>
      <c r="H669" s="40">
        <f t="shared" ref="H669:H675" si="23">IF(AND(F669=0,G669=0),D669*E669,IF(AND(E669=0,G669=0),D669*F669,IF(AND(E669=0,F669=0),D669*G669,IF(AND(E669=0),D669*F669*G669,IF(AND(F669=0),D669*E669*G669,IF(AND(G669=0),D669*E669*F669,D669*E669*F669*G669))))))</f>
        <v>0</v>
      </c>
      <c r="I669" s="40"/>
      <c r="J669" s="41" t="str">
        <f t="shared" ref="J669:J675" si="24">IF(AND(E669=0,F669&lt;&gt;0,G669&lt;&gt;0),"m2",IF(AND(F669=0,E669&lt;&gt;0,G669&lt;&gt;0),"m2",IF(AND(G669=0,E669&lt;&gt;0,F669&lt;&gt;0),"m2",IF(AND(F669=0,G669=0),"ml",IF(AND(E669=0,G669=0),"ml",IF(AND(E669=0,F669=0),"ml",IF(AND(E669&lt;&gt;0,F669&lt;&gt;0,G669&lt;&gt;0),"m3",0)))))))</f>
        <v>ml</v>
      </c>
    </row>
    <row r="670" spans="2:10" s="1" customFormat="1" ht="12.75" x14ac:dyDescent="0.2">
      <c r="B670" s="43"/>
      <c r="C670" s="39" t="s">
        <v>349</v>
      </c>
      <c r="D670" s="40">
        <v>4</v>
      </c>
      <c r="E670" s="40">
        <v>3.25</v>
      </c>
      <c r="F670" s="40"/>
      <c r="G670" s="40"/>
      <c r="H670" s="40">
        <f t="shared" si="23"/>
        <v>13</v>
      </c>
      <c r="I670" s="40"/>
      <c r="J670" s="41" t="str">
        <f t="shared" si="24"/>
        <v>ml</v>
      </c>
    </row>
    <row r="671" spans="2:10" s="1" customFormat="1" ht="12.75" x14ac:dyDescent="0.2">
      <c r="B671" s="43"/>
      <c r="C671" s="39" t="s">
        <v>369</v>
      </c>
      <c r="D671" s="40">
        <v>4</v>
      </c>
      <c r="E671" s="40">
        <v>3</v>
      </c>
      <c r="F671" s="40"/>
      <c r="G671" s="40"/>
      <c r="H671" s="40">
        <f t="shared" si="23"/>
        <v>12</v>
      </c>
      <c r="I671" s="40"/>
      <c r="J671" s="41" t="str">
        <f t="shared" si="24"/>
        <v>ml</v>
      </c>
    </row>
    <row r="672" spans="2:10" s="1" customFormat="1" ht="12.75" x14ac:dyDescent="0.2">
      <c r="B672" s="43"/>
      <c r="C672" s="77" t="s">
        <v>72</v>
      </c>
      <c r="D672" s="40"/>
      <c r="E672" s="40"/>
      <c r="F672" s="40"/>
      <c r="G672" s="40"/>
      <c r="H672" s="40">
        <f t="shared" si="23"/>
        <v>0</v>
      </c>
      <c r="I672" s="40"/>
      <c r="J672" s="41" t="str">
        <f t="shared" si="24"/>
        <v>ml</v>
      </c>
    </row>
    <row r="673" spans="2:10" s="1" customFormat="1" ht="12.75" x14ac:dyDescent="0.2">
      <c r="B673" s="43"/>
      <c r="C673" s="39" t="s">
        <v>349</v>
      </c>
      <c r="D673" s="40">
        <v>4</v>
      </c>
      <c r="E673" s="40">
        <v>3.25</v>
      </c>
      <c r="F673" s="40"/>
      <c r="G673" s="40"/>
      <c r="H673" s="40">
        <f t="shared" si="23"/>
        <v>13</v>
      </c>
      <c r="I673" s="40"/>
      <c r="J673" s="41" t="str">
        <f t="shared" si="24"/>
        <v>ml</v>
      </c>
    </row>
    <row r="674" spans="2:10" s="1" customFormat="1" ht="12.75" x14ac:dyDescent="0.2">
      <c r="B674" s="43"/>
      <c r="C674" s="77" t="s">
        <v>73</v>
      </c>
      <c r="D674" s="40"/>
      <c r="E674" s="40"/>
      <c r="F674" s="40"/>
      <c r="G674" s="40"/>
      <c r="H674" s="40">
        <f t="shared" si="23"/>
        <v>0</v>
      </c>
      <c r="I674" s="40"/>
      <c r="J674" s="41" t="str">
        <f t="shared" si="24"/>
        <v>ml</v>
      </c>
    </row>
    <row r="675" spans="2:10" s="1" customFormat="1" ht="12.75" x14ac:dyDescent="0.2">
      <c r="B675" s="43"/>
      <c r="C675" s="39" t="s">
        <v>349</v>
      </c>
      <c r="D675" s="40">
        <v>4</v>
      </c>
      <c r="E675" s="40">
        <v>3.25</v>
      </c>
      <c r="F675" s="40"/>
      <c r="G675" s="40"/>
      <c r="H675" s="40">
        <f t="shared" si="23"/>
        <v>13</v>
      </c>
      <c r="I675" s="40"/>
      <c r="J675" s="41" t="str">
        <f t="shared" si="24"/>
        <v>ml</v>
      </c>
    </row>
    <row r="676" spans="2:10" s="1" customFormat="1" ht="12.75" x14ac:dyDescent="0.2">
      <c r="B676" s="43" t="s">
        <v>342</v>
      </c>
      <c r="C676" s="43" t="s">
        <v>271</v>
      </c>
      <c r="D676" s="60"/>
      <c r="E676" s="40"/>
      <c r="F676" s="40"/>
      <c r="G676" s="40"/>
      <c r="H676" s="40"/>
      <c r="I676" s="44">
        <f>SUM(H677:H677)</f>
        <v>4</v>
      </c>
      <c r="J676" s="45" t="str">
        <f>+J677</f>
        <v>und</v>
      </c>
    </row>
    <row r="677" spans="2:10" s="1" customFormat="1" ht="12.75" x14ac:dyDescent="0.2">
      <c r="B677" s="57"/>
      <c r="C677" s="39" t="s">
        <v>370</v>
      </c>
      <c r="D677" s="40">
        <v>4</v>
      </c>
      <c r="E677" s="40"/>
      <c r="F677" s="40"/>
      <c r="G677" s="40"/>
      <c r="H677" s="40">
        <f>+D677</f>
        <v>4</v>
      </c>
      <c r="I677" s="40"/>
      <c r="J677" s="41" t="s">
        <v>13</v>
      </c>
    </row>
    <row r="678" spans="2:10" s="1" customFormat="1" ht="12.75" x14ac:dyDescent="0.2">
      <c r="B678" s="43" t="s">
        <v>346</v>
      </c>
      <c r="C678" s="43" t="s">
        <v>348</v>
      </c>
      <c r="D678" s="60"/>
      <c r="E678" s="40"/>
      <c r="F678" s="40"/>
      <c r="G678" s="40"/>
      <c r="H678" s="40"/>
      <c r="I678" s="44">
        <f>SUM(H679:H679)</f>
        <v>4</v>
      </c>
      <c r="J678" s="45" t="str">
        <f>+J679</f>
        <v>und</v>
      </c>
    </row>
    <row r="679" spans="2:10" s="1" customFormat="1" ht="12.75" x14ac:dyDescent="0.2">
      <c r="B679" s="57"/>
      <c r="C679" s="39" t="s">
        <v>349</v>
      </c>
      <c r="D679" s="40">
        <v>4</v>
      </c>
      <c r="E679" s="40"/>
      <c r="F679" s="40"/>
      <c r="G679" s="40"/>
      <c r="H679" s="40">
        <f>+D679</f>
        <v>4</v>
      </c>
      <c r="I679" s="40"/>
      <c r="J679" s="41" t="s">
        <v>13</v>
      </c>
    </row>
    <row r="680" spans="2:10" s="1" customFormat="1" ht="12.75" x14ac:dyDescent="0.2">
      <c r="B680" s="57" t="s">
        <v>16</v>
      </c>
      <c r="C680" s="58" t="s">
        <v>224</v>
      </c>
      <c r="D680" s="60"/>
      <c r="E680" s="40"/>
      <c r="F680" s="40"/>
      <c r="G680" s="40"/>
      <c r="H680" s="40"/>
      <c r="I680" s="40"/>
      <c r="J680" s="41"/>
    </row>
    <row r="681" spans="2:10" s="1" customFormat="1" ht="12.75" x14ac:dyDescent="0.2">
      <c r="B681" s="43" t="s">
        <v>17</v>
      </c>
      <c r="C681" s="43" t="s">
        <v>343</v>
      </c>
      <c r="D681" s="60"/>
      <c r="E681" s="40"/>
      <c r="F681" s="40"/>
      <c r="G681" s="40"/>
      <c r="H681" s="40"/>
      <c r="I681" s="44">
        <f>SUM(H682:H682)</f>
        <v>0</v>
      </c>
      <c r="J681" s="45" t="str">
        <f>+J682</f>
        <v>ml</v>
      </c>
    </row>
    <row r="682" spans="2:10" s="1" customFormat="1" ht="12.75" x14ac:dyDescent="0.2">
      <c r="B682" s="57"/>
      <c r="C682" s="39" t="s">
        <v>344</v>
      </c>
      <c r="D682" s="40"/>
      <c r="E682" s="40"/>
      <c r="F682" s="40"/>
      <c r="G682" s="40"/>
      <c r="H682" s="40">
        <f>IF(AND(F682=0,G682=0),D682*E682,IF(AND(E682=0,G682=0),D682*F682,IF(AND(E682=0,F682=0),D682*G682,IF(AND(E682=0),D682*F682*G682,IF(AND(F682=0),D682*E682*G682,IF(AND(G682=0),D682*E682*F682,D682*E682*F682*G682))))))</f>
        <v>0</v>
      </c>
      <c r="I682" s="40"/>
      <c r="J682" s="41" t="str">
        <f>IF(AND(E682=0,F682&lt;&gt;0,G682&lt;&gt;0),"m2",IF(AND(F682=0,E682&lt;&gt;0,G682&lt;&gt;0),"m2",IF(AND(G682=0,E682&lt;&gt;0,F682&lt;&gt;0),"m2",IF(AND(F682=0,G682=0),"ml",IF(AND(E682=0,G682=0),"ml",IF(AND(E682=0,F682=0),"ml",IF(AND(E682&lt;&gt;0,F682&lt;&gt;0,G682&lt;&gt;0),"m3",0)))))))</f>
        <v>ml</v>
      </c>
    </row>
    <row r="683" spans="2:10" s="1" customFormat="1" ht="12.75" x14ac:dyDescent="0.2">
      <c r="B683" s="43" t="s">
        <v>240</v>
      </c>
      <c r="C683" s="43" t="s">
        <v>237</v>
      </c>
      <c r="D683" s="60"/>
      <c r="E683" s="40"/>
      <c r="F683" s="40"/>
      <c r="G683" s="40"/>
      <c r="H683" s="40"/>
      <c r="I683" s="44">
        <f>SUM(H684:H685)</f>
        <v>0</v>
      </c>
      <c r="J683" s="45" t="str">
        <f>+J684</f>
        <v>ml</v>
      </c>
    </row>
    <row r="684" spans="2:10" s="1" customFormat="1" ht="12.75" x14ac:dyDescent="0.2">
      <c r="B684" s="57"/>
      <c r="C684" s="39" t="s">
        <v>371</v>
      </c>
      <c r="D684" s="40"/>
      <c r="E684" s="40"/>
      <c r="F684" s="40"/>
      <c r="G684" s="40"/>
      <c r="H684" s="40">
        <f>IF(AND(F684=0,G684=0),D684*E684,IF(AND(E684=0,G684=0),D684*F684,IF(AND(E684=0,F684=0),D684*G684,IF(AND(E684=0),D684*F684*G684,IF(AND(F684=0),D684*E684*G684,IF(AND(G684=0),D684*E684*F684,D684*E684*F684*G684))))))</f>
        <v>0</v>
      </c>
      <c r="I684" s="40"/>
      <c r="J684" s="41" t="str">
        <f>IF(AND(E684=0,F684&lt;&gt;0,G684&lt;&gt;0),"m2",IF(AND(F684=0,E684&lt;&gt;0,G684&lt;&gt;0),"m2",IF(AND(G684=0,E684&lt;&gt;0,F684&lt;&gt;0),"m2",IF(AND(F684=0,G684=0),"ml",IF(AND(E684=0,G684=0),"ml",IF(AND(E684=0,F684=0),"ml",IF(AND(E684&lt;&gt;0,F684&lt;&gt;0,G684&lt;&gt;0),"m3",0)))))))</f>
        <v>ml</v>
      </c>
    </row>
    <row r="685" spans="2:10" s="1" customFormat="1" ht="12.75" x14ac:dyDescent="0.2">
      <c r="B685" s="57"/>
      <c r="C685" s="39" t="s">
        <v>371</v>
      </c>
      <c r="D685" s="40"/>
      <c r="E685" s="40"/>
      <c r="F685" s="40"/>
      <c r="G685" s="40"/>
      <c r="H685" s="40">
        <f>IF(AND(F685=0,G685=0),D685*E685,IF(AND(E685=0,G685=0),D685*F685,IF(AND(E685=0,F685=0),D685*G685,IF(AND(E685=0),D685*F685*G685,IF(AND(F685=0),D685*E685*G685,IF(AND(G685=0),D685*E685*F685,D685*E685*F685*G685))))))</f>
        <v>0</v>
      </c>
      <c r="I685" s="40"/>
      <c r="J685" s="41" t="str">
        <f>IF(AND(E685=0,F685&lt;&gt;0,G685&lt;&gt;0),"m2",IF(AND(F685=0,E685&lt;&gt;0,G685&lt;&gt;0),"m2",IF(AND(G685=0,E685&lt;&gt;0,F685&lt;&gt;0),"m2",IF(AND(F685=0,G685=0),"ml",IF(AND(E685=0,G685=0),"ml",IF(AND(E685=0,F685=0),"ml",IF(AND(E685&lt;&gt;0,F685&lt;&gt;0,G685&lt;&gt;0),"m3",0)))))))</f>
        <v>ml</v>
      </c>
    </row>
    <row r="686" spans="2:10" s="1" customFormat="1" ht="12.75" x14ac:dyDescent="0.2">
      <c r="B686" s="43" t="s">
        <v>241</v>
      </c>
      <c r="C686" s="43" t="s">
        <v>239</v>
      </c>
      <c r="D686" s="60"/>
      <c r="E686" s="40"/>
      <c r="F686" s="40"/>
      <c r="G686" s="40"/>
      <c r="H686" s="40"/>
      <c r="I686" s="44">
        <f>SUM(H687:H687)</f>
        <v>0</v>
      </c>
      <c r="J686" s="45" t="str">
        <f>+J687</f>
        <v>ml</v>
      </c>
    </row>
    <row r="687" spans="2:10" s="1" customFormat="1" ht="12.75" x14ac:dyDescent="0.2">
      <c r="B687" s="57"/>
      <c r="C687" s="39" t="s">
        <v>238</v>
      </c>
      <c r="D687" s="40"/>
      <c r="E687" s="40"/>
      <c r="F687" s="40"/>
      <c r="G687" s="40"/>
      <c r="H687" s="40">
        <f>IF(AND(F687=0,G687=0),D687*E687,IF(AND(E687=0,G687=0),D687*F687,IF(AND(E687=0,F687=0),D687*G687,IF(AND(E687=0),D687*F687*G687,IF(AND(F687=0),D687*E687*G687,IF(AND(G687=0),D687*E687*F687,D687*E687*F687*G687))))))</f>
        <v>0</v>
      </c>
      <c r="I687" s="40"/>
      <c r="J687" s="41" t="str">
        <f>IF(AND(E687=0,F687&lt;&gt;0,G687&lt;&gt;0),"m2",IF(AND(F687=0,E687&lt;&gt;0,G687&lt;&gt;0),"m2",IF(AND(G687=0,E687&lt;&gt;0,F687&lt;&gt;0),"m2",IF(AND(F687=0,G687=0),"ml",IF(AND(E687=0,G687=0),"ml",IF(AND(E687=0,F687=0),"ml",IF(AND(E687&lt;&gt;0,F687&lt;&gt;0,G687&lt;&gt;0),"m3",0)))))))</f>
        <v>ml</v>
      </c>
    </row>
    <row r="688" spans="2:10" s="1" customFormat="1" ht="12.75" x14ac:dyDescent="0.2">
      <c r="B688" s="43" t="s">
        <v>243</v>
      </c>
      <c r="C688" s="43" t="s">
        <v>242</v>
      </c>
      <c r="D688" s="60"/>
      <c r="E688" s="40"/>
      <c r="F688" s="40"/>
      <c r="G688" s="40"/>
      <c r="H688" s="40"/>
      <c r="I688" s="44">
        <f>SUM(H689:H689)</f>
        <v>7.55</v>
      </c>
      <c r="J688" s="45" t="str">
        <f>+J689</f>
        <v>ml</v>
      </c>
    </row>
    <row r="689" spans="2:10" s="1" customFormat="1" ht="12.75" x14ac:dyDescent="0.2">
      <c r="B689" s="57"/>
      <c r="C689" s="39" t="s">
        <v>396</v>
      </c>
      <c r="D689" s="40">
        <v>1</v>
      </c>
      <c r="E689" s="40">
        <v>7.55</v>
      </c>
      <c r="F689" s="40"/>
      <c r="G689" s="40"/>
      <c r="H689" s="40">
        <f>IF(AND(F689=0,G689=0),D689*E689,IF(AND(E689=0,G689=0),D689*F689,IF(AND(E689=0,F689=0),D689*G689,IF(AND(E689=0),D689*F689*G689,IF(AND(F689=0),D689*E689*G689,IF(AND(G689=0),D689*E689*F689,D689*E689*F689*G689))))))</f>
        <v>7.55</v>
      </c>
      <c r="I689" s="40"/>
      <c r="J689" s="41" t="str">
        <f>IF(AND(E689=0,F689&lt;&gt;0,G689&lt;&gt;0),"m2",IF(AND(F689=0,E689&lt;&gt;0,G689&lt;&gt;0),"m2",IF(AND(G689=0,E689&lt;&gt;0,F689&lt;&gt;0),"m2",IF(AND(F689=0,G689=0),"ml",IF(AND(E689=0,G689=0),"ml",IF(AND(E689=0,F689=0),"ml",IF(AND(E689&lt;&gt;0,F689&lt;&gt;0,G689&lt;&gt;0),"m3",0)))))))</f>
        <v>ml</v>
      </c>
    </row>
    <row r="690" spans="2:10" s="1" customFormat="1" ht="12.75" x14ac:dyDescent="0.2">
      <c r="B690" s="43" t="s">
        <v>244</v>
      </c>
      <c r="C690" s="43" t="s">
        <v>245</v>
      </c>
      <c r="D690" s="60"/>
      <c r="E690" s="40"/>
      <c r="F690" s="40"/>
      <c r="G690" s="40"/>
      <c r="H690" s="40"/>
      <c r="I690" s="44">
        <f>SUM(H691:H691)</f>
        <v>0</v>
      </c>
      <c r="J690" s="45" t="str">
        <f>+J691</f>
        <v>ml</v>
      </c>
    </row>
    <row r="691" spans="2:10" s="1" customFormat="1" ht="12.75" x14ac:dyDescent="0.2">
      <c r="B691" s="57"/>
      <c r="C691" s="39" t="s">
        <v>238</v>
      </c>
      <c r="D691" s="40"/>
      <c r="E691" s="40"/>
      <c r="F691" s="40"/>
      <c r="G691" s="40"/>
      <c r="H691" s="40">
        <f>IF(AND(F691=0,G691=0),D691*E691,IF(AND(E691=0,G691=0),D691*F691,IF(AND(E691=0,F691=0),D691*G691,IF(AND(E691=0),D691*F691*G691,IF(AND(F691=0),D691*E691*G691,IF(AND(G691=0),D691*E691*F691,D691*E691*F691*G691))))))</f>
        <v>0</v>
      </c>
      <c r="I691" s="40"/>
      <c r="J691" s="41" t="str">
        <f>IF(AND(E691=0,F691&lt;&gt;0,G691&lt;&gt;0),"m2",IF(AND(F691=0,E691&lt;&gt;0,G691&lt;&gt;0),"m2",IF(AND(G691=0,E691&lt;&gt;0,F691&lt;&gt;0),"m2",IF(AND(F691=0,G691=0),"ml",IF(AND(E691=0,G691=0),"ml",IF(AND(E691=0,F691=0),"ml",IF(AND(E691&lt;&gt;0,F691&lt;&gt;0,G691&lt;&gt;0),"m3",0)))))))</f>
        <v>ml</v>
      </c>
    </row>
    <row r="692" spans="2:10" s="1" customFormat="1" ht="12.75" x14ac:dyDescent="0.2">
      <c r="B692" s="43" t="s">
        <v>248</v>
      </c>
      <c r="C692" s="43" t="s">
        <v>246</v>
      </c>
      <c r="D692" s="60"/>
      <c r="E692" s="40"/>
      <c r="F692" s="40"/>
      <c r="G692" s="40"/>
      <c r="H692" s="40"/>
      <c r="I692" s="44">
        <f>SUM(H693:H693)</f>
        <v>0</v>
      </c>
      <c r="J692" s="45" t="str">
        <f>+J693</f>
        <v>ml</v>
      </c>
    </row>
    <row r="693" spans="2:10" s="1" customFormat="1" ht="12.75" x14ac:dyDescent="0.2">
      <c r="B693" s="57"/>
      <c r="C693" s="39" t="s">
        <v>238</v>
      </c>
      <c r="D693" s="40"/>
      <c r="E693" s="40"/>
      <c r="F693" s="40"/>
      <c r="G693" s="40"/>
      <c r="H693" s="40">
        <f>IF(AND(F693=0,G693=0),D693*E693,IF(AND(E693=0,G693=0),D693*F693,IF(AND(E693=0,F693=0),D693*G693,IF(AND(E693=0),D693*F693*G693,IF(AND(F693=0),D693*E693*G693,IF(AND(G693=0),D693*E693*F693,D693*E693*F693*G693))))))</f>
        <v>0</v>
      </c>
      <c r="I693" s="40"/>
      <c r="J693" s="41" t="str">
        <f>IF(AND(E693=0,F693&lt;&gt;0,G693&lt;&gt;0),"m2",IF(AND(F693=0,E693&lt;&gt;0,G693&lt;&gt;0),"m2",IF(AND(G693=0,E693&lt;&gt;0,F693&lt;&gt;0),"m2",IF(AND(F693=0,G693=0),"ml",IF(AND(E693=0,G693=0),"ml",IF(AND(E693=0,F693=0),"ml",IF(AND(E693&lt;&gt;0,F693&lt;&gt;0,G693&lt;&gt;0),"m3",0)))))))</f>
        <v>ml</v>
      </c>
    </row>
    <row r="694" spans="2:10" s="1" customFormat="1" ht="12.75" x14ac:dyDescent="0.2">
      <c r="B694" s="43" t="s">
        <v>249</v>
      </c>
      <c r="C694" s="43" t="s">
        <v>247</v>
      </c>
      <c r="D694" s="60"/>
      <c r="E694" s="40"/>
      <c r="F694" s="40"/>
      <c r="G694" s="40"/>
      <c r="H694" s="40"/>
      <c r="I694" s="44">
        <f>SUM(H695:H695)</f>
        <v>7.55</v>
      </c>
      <c r="J694" s="45" t="str">
        <f>+J695</f>
        <v>ml</v>
      </c>
    </row>
    <row r="695" spans="2:10" s="1" customFormat="1" ht="12.75" x14ac:dyDescent="0.2">
      <c r="B695" s="57"/>
      <c r="C695" s="39" t="s">
        <v>396</v>
      </c>
      <c r="D695" s="40">
        <v>1</v>
      </c>
      <c r="E695" s="40">
        <v>7.55</v>
      </c>
      <c r="F695" s="40"/>
      <c r="G695" s="40"/>
      <c r="H695" s="40">
        <f>IF(AND(F695=0,G695=0),D695*E695,IF(AND(E695=0,G695=0),D695*F695,IF(AND(E695=0,F695=0),D695*G695,IF(AND(E695=0),D695*F695*G695,IF(AND(F695=0),D695*E695*G695,IF(AND(G695=0),D695*E695*F695,D695*E695*F695*G695))))))</f>
        <v>7.55</v>
      </c>
      <c r="I695" s="40"/>
      <c r="J695" s="41" t="str">
        <f>IF(AND(E695=0,F695&lt;&gt;0,G695&lt;&gt;0),"m2",IF(AND(F695=0,E695&lt;&gt;0,G695&lt;&gt;0),"m2",IF(AND(G695=0,E695&lt;&gt;0,F695&lt;&gt;0),"m2",IF(AND(F695=0,G695=0),"ml",IF(AND(E695=0,G695=0),"ml",IF(AND(E695=0,F695=0),"ml",IF(AND(E695&lt;&gt;0,F695&lt;&gt;0,G695&lt;&gt;0),"m3",0)))))))</f>
        <v>ml</v>
      </c>
    </row>
    <row r="696" spans="2:10" s="1" customFormat="1" ht="12.75" x14ac:dyDescent="0.2">
      <c r="B696" s="43" t="s">
        <v>256</v>
      </c>
      <c r="C696" s="43" t="s">
        <v>226</v>
      </c>
      <c r="D696" s="60"/>
      <c r="E696" s="40"/>
      <c r="F696" s="40"/>
      <c r="G696" s="40"/>
      <c r="H696" s="40"/>
      <c r="I696" s="44">
        <f>SUM(H697:H698)</f>
        <v>0</v>
      </c>
      <c r="J696" s="45" t="str">
        <f>+J698</f>
        <v>ml</v>
      </c>
    </row>
    <row r="697" spans="2:10" s="1" customFormat="1" ht="12.75" x14ac:dyDescent="0.2">
      <c r="B697" s="43"/>
      <c r="C697" s="39" t="s">
        <v>371</v>
      </c>
      <c r="D697" s="40"/>
      <c r="E697" s="40"/>
      <c r="F697" s="40"/>
      <c r="G697" s="40"/>
      <c r="H697" s="40">
        <f>IF(AND(F697=0,G697=0),D697*E697,IF(AND(E697=0,G697=0),D697*F697,IF(AND(E697=0,F697=0),D697*G697,IF(AND(E697=0),D697*F697*G697,IF(AND(F697=0),D697*E697*G697,IF(AND(G697=0),D697*E697*F697,D697*E697*F697*G697))))))</f>
        <v>0</v>
      </c>
      <c r="I697" s="40"/>
      <c r="J697" s="41" t="str">
        <f>IF(AND(E697=0,F697&lt;&gt;0,G697&lt;&gt;0),"m2",IF(AND(F697=0,E697&lt;&gt;0,G697&lt;&gt;0),"m2",IF(AND(G697=0,E697&lt;&gt;0,F697&lt;&gt;0),"m2",IF(AND(F697=0,G697=0),"ml",IF(AND(E697=0,G697=0),"ml",IF(AND(E697=0,F697=0),"ml",IF(AND(E697&lt;&gt;0,F697&lt;&gt;0,G697&lt;&gt;0),"m3",0)))))))</f>
        <v>ml</v>
      </c>
    </row>
    <row r="698" spans="2:10" s="1" customFormat="1" ht="12.75" x14ac:dyDescent="0.2">
      <c r="B698" s="57"/>
      <c r="C698" s="39" t="s">
        <v>371</v>
      </c>
      <c r="D698" s="40"/>
      <c r="E698" s="40"/>
      <c r="F698" s="40"/>
      <c r="G698" s="40"/>
      <c r="H698" s="40">
        <f>IF(AND(F698=0,G698=0),D698*E698,IF(AND(E698=0,G698=0),D698*F698,IF(AND(E698=0,F698=0),D698*G698,IF(AND(E698=0),D698*F698*G698,IF(AND(F698=0),D698*E698*G698,IF(AND(G698=0),D698*E698*F698,D698*E698*F698*G698))))))</f>
        <v>0</v>
      </c>
      <c r="I698" s="40"/>
      <c r="J698" s="41" t="str">
        <f>IF(AND(E698=0,F698&lt;&gt;0,G698&lt;&gt;0),"m2",IF(AND(F698=0,E698&lt;&gt;0,G698&lt;&gt;0),"m2",IF(AND(G698=0,E698&lt;&gt;0,F698&lt;&gt;0),"m2",IF(AND(F698=0,G698=0),"ml",IF(AND(E698=0,G698=0),"ml",IF(AND(E698=0,F698=0),"ml",IF(AND(E698&lt;&gt;0,F698&lt;&gt;0,G698&lt;&gt;0),"m3",0)))))))</f>
        <v>ml</v>
      </c>
    </row>
    <row r="699" spans="2:10" s="1" customFormat="1" ht="12.75" x14ac:dyDescent="0.2">
      <c r="B699" s="43" t="s">
        <v>257</v>
      </c>
      <c r="C699" s="43" t="s">
        <v>228</v>
      </c>
      <c r="D699" s="60"/>
      <c r="E699" s="40"/>
      <c r="F699" s="40"/>
      <c r="G699" s="40"/>
      <c r="H699" s="40"/>
      <c r="I699" s="44">
        <f>SUM(H700:H700)</f>
        <v>0</v>
      </c>
      <c r="J699" s="45" t="str">
        <f>+J700</f>
        <v>ml</v>
      </c>
    </row>
    <row r="700" spans="2:10" s="1" customFormat="1" ht="12.75" x14ac:dyDescent="0.2">
      <c r="B700" s="57"/>
      <c r="C700" s="39" t="s">
        <v>380</v>
      </c>
      <c r="D700" s="40"/>
      <c r="E700" s="40"/>
      <c r="F700" s="40"/>
      <c r="G700" s="40"/>
      <c r="H700" s="40">
        <f>IF(AND(F700=0,G700=0),D700*E700,IF(AND(E700=0,G700=0),D700*F700,IF(AND(E700=0,F700=0),D700*G700,IF(AND(E700=0),D700*F700*G700,IF(AND(F700=0),D700*E700*G700,IF(AND(G700=0),D700*E700*F700,D700*E700*F700*G700))))))</f>
        <v>0</v>
      </c>
      <c r="I700" s="40"/>
      <c r="J700" s="41" t="str">
        <f>IF(AND(E700=0,F700&lt;&gt;0,G700&lt;&gt;0),"m2",IF(AND(F700=0,E700&lt;&gt;0,G700&lt;&gt;0),"m2",IF(AND(G700=0,E700&lt;&gt;0,F700&lt;&gt;0),"m2",IF(AND(F700=0,G700=0),"ml",IF(AND(E700=0,G700=0),"ml",IF(AND(E700=0,F700=0),"ml",IF(AND(E700&lt;&gt;0,F700&lt;&gt;0,G700&lt;&gt;0),"m3",0)))))))</f>
        <v>ml</v>
      </c>
    </row>
    <row r="701" spans="2:10" s="1" customFormat="1" ht="12.75" x14ac:dyDescent="0.2">
      <c r="B701" s="43" t="s">
        <v>258</v>
      </c>
      <c r="C701" s="43" t="s">
        <v>250</v>
      </c>
      <c r="D701" s="60"/>
      <c r="E701" s="40"/>
      <c r="F701" s="40"/>
      <c r="G701" s="40"/>
      <c r="H701" s="40"/>
      <c r="I701" s="44">
        <f>SUM(H702:H702)</f>
        <v>28.8</v>
      </c>
      <c r="J701" s="45" t="str">
        <f>+J702</f>
        <v>ml</v>
      </c>
    </row>
    <row r="702" spans="2:10" s="1" customFormat="1" ht="12.75" x14ac:dyDescent="0.2">
      <c r="B702" s="57"/>
      <c r="C702" s="39" t="s">
        <v>388</v>
      </c>
      <c r="D702" s="40">
        <v>1</v>
      </c>
      <c r="E702" s="40">
        <v>28.8</v>
      </c>
      <c r="F702" s="40"/>
      <c r="G702" s="40"/>
      <c r="H702" s="40">
        <f>IF(AND(F702=0,G702=0),D702*E702,IF(AND(E702=0,G702=0),D702*F702,IF(AND(E702=0,F702=0),D702*G702,IF(AND(E702=0),D702*F702*G702,IF(AND(F702=0),D702*E702*G702,IF(AND(G702=0),D702*E702*F702,D702*E702*F702*G702))))))</f>
        <v>28.8</v>
      </c>
      <c r="I702" s="40"/>
      <c r="J702" s="41" t="str">
        <f>IF(AND(E702=0,F702&lt;&gt;0,G702&lt;&gt;0),"m2",IF(AND(F702=0,E702&lt;&gt;0,G702&lt;&gt;0),"m2",IF(AND(G702=0,E702&lt;&gt;0,F702&lt;&gt;0),"m2",IF(AND(F702=0,G702=0),"ml",IF(AND(E702=0,G702=0),"ml",IF(AND(E702=0,F702=0),"ml",IF(AND(E702&lt;&gt;0,F702&lt;&gt;0,G702&lt;&gt;0),"m3",0)))))))</f>
        <v>ml</v>
      </c>
    </row>
    <row r="703" spans="2:10" s="1" customFormat="1" ht="12.75" x14ac:dyDescent="0.2">
      <c r="B703" s="43" t="s">
        <v>259</v>
      </c>
      <c r="C703" s="43" t="s">
        <v>251</v>
      </c>
      <c r="D703" s="60"/>
      <c r="E703" s="40"/>
      <c r="F703" s="40"/>
      <c r="G703" s="40"/>
      <c r="H703" s="40"/>
      <c r="I703" s="44">
        <f>SUM(H704:H704)</f>
        <v>14.5</v>
      </c>
      <c r="J703" s="45" t="str">
        <f>+J704</f>
        <v>ml</v>
      </c>
    </row>
    <row r="704" spans="2:10" s="1" customFormat="1" ht="12.75" x14ac:dyDescent="0.2">
      <c r="B704" s="57"/>
      <c r="C704" s="39" t="s">
        <v>389</v>
      </c>
      <c r="D704" s="40">
        <v>1</v>
      </c>
      <c r="E704" s="40">
        <v>14.5</v>
      </c>
      <c r="F704" s="40"/>
      <c r="G704" s="40"/>
      <c r="H704" s="40">
        <f>IF(AND(F704=0,G704=0),D704*E704,IF(AND(E704=0,G704=0),D704*F704,IF(AND(E704=0,F704=0),D704*G704,IF(AND(E704=0),D704*F704*G704,IF(AND(F704=0),D704*E704*G704,IF(AND(G704=0),D704*E704*F704,D704*E704*F704*G704))))))</f>
        <v>14.5</v>
      </c>
      <c r="I704" s="40"/>
      <c r="J704" s="41" t="str">
        <f>IF(AND(E704=0,F704&lt;&gt;0,G704&lt;&gt;0),"m2",IF(AND(F704=0,E704&lt;&gt;0,G704&lt;&gt;0),"m2",IF(AND(G704=0,E704&lt;&gt;0,F704&lt;&gt;0),"m2",IF(AND(F704=0,G704=0),"ml",IF(AND(E704=0,G704=0),"ml",IF(AND(E704=0,F704=0),"ml",IF(AND(E704&lt;&gt;0,F704&lt;&gt;0,G704&lt;&gt;0),"m3",0)))))))</f>
        <v>ml</v>
      </c>
    </row>
    <row r="705" spans="2:10" s="1" customFormat="1" ht="12.75" x14ac:dyDescent="0.2">
      <c r="B705" s="43" t="s">
        <v>260</v>
      </c>
      <c r="C705" s="43" t="s">
        <v>252</v>
      </c>
      <c r="D705" s="60"/>
      <c r="E705" s="40"/>
      <c r="F705" s="40"/>
      <c r="G705" s="40"/>
      <c r="H705" s="40"/>
      <c r="I705" s="44">
        <f>SUM(H706:H715)</f>
        <v>126.99000000000001</v>
      </c>
      <c r="J705" s="45" t="str">
        <f>+J706</f>
        <v>ml</v>
      </c>
    </row>
    <row r="706" spans="2:10" s="1" customFormat="1" ht="12.75" x14ac:dyDescent="0.2">
      <c r="B706" s="57"/>
      <c r="C706" s="39" t="s">
        <v>397</v>
      </c>
      <c r="D706" s="40">
        <v>1</v>
      </c>
      <c r="E706" s="40">
        <v>17.75</v>
      </c>
      <c r="F706" s="40"/>
      <c r="G706" s="40"/>
      <c r="H706" s="40">
        <f>IF(AND(F706=0,G706=0),D706*E706,IF(AND(E706=0,G706=0),D706*F706,IF(AND(E706=0,F706=0),D706*G706,IF(AND(E706=0),D706*F706*G706,IF(AND(F706=0),D706*E706*G706,IF(AND(G706=0),D706*E706*F706,D706*E706*F706*G706))))))</f>
        <v>17.75</v>
      </c>
      <c r="I706" s="40"/>
      <c r="J706" s="41" t="str">
        <f>IF(AND(E706=0,F706&lt;&gt;0,G706&lt;&gt;0),"m2",IF(AND(F706=0,E706&lt;&gt;0,G706&lt;&gt;0),"m2",IF(AND(G706=0,E706&lt;&gt;0,F706&lt;&gt;0),"m2",IF(AND(F706=0,G706=0),"ml",IF(AND(E706=0,G706=0),"ml",IF(AND(E706=0,F706=0),"ml",IF(AND(E706&lt;&gt;0,F706&lt;&gt;0,G706&lt;&gt;0),"m3",0)))))))</f>
        <v>ml</v>
      </c>
    </row>
    <row r="707" spans="2:10" s="1" customFormat="1" ht="12.75" x14ac:dyDescent="0.2">
      <c r="B707" s="57"/>
      <c r="C707" s="39" t="s">
        <v>403</v>
      </c>
      <c r="D707" s="40">
        <v>1</v>
      </c>
      <c r="E707" s="40">
        <v>16.75</v>
      </c>
      <c r="F707" s="40"/>
      <c r="G707" s="40"/>
      <c r="H707" s="40">
        <f t="shared" ref="H707:H712" si="25">IF(AND(F707=0,G707=0),D707*E707,IF(AND(E707=0,G707=0),D707*F707,IF(AND(E707=0,F707=0),D707*G707,IF(AND(E707=0),D707*F707*G707,IF(AND(F707=0),D707*E707*G707,IF(AND(G707=0),D707*E707*F707,D707*E707*F707*G707))))))</f>
        <v>16.75</v>
      </c>
      <c r="I707" s="40"/>
      <c r="J707" s="41" t="str">
        <f t="shared" ref="J707:J712" si="26">IF(AND(E707=0,F707&lt;&gt;0,G707&lt;&gt;0),"m2",IF(AND(F707=0,E707&lt;&gt;0,G707&lt;&gt;0),"m2",IF(AND(G707=0,E707&lt;&gt;0,F707&lt;&gt;0),"m2",IF(AND(F707=0,G707=0),"ml",IF(AND(E707=0,G707=0),"ml",IF(AND(E707=0,F707=0),"ml",IF(AND(E707&lt;&gt;0,F707&lt;&gt;0,G707&lt;&gt;0),"m3",0)))))))</f>
        <v>ml</v>
      </c>
    </row>
    <row r="708" spans="2:10" s="1" customFormat="1" ht="12.75" x14ac:dyDescent="0.2">
      <c r="B708" s="57"/>
      <c r="C708" s="39" t="s">
        <v>404</v>
      </c>
      <c r="D708" s="40">
        <v>1</v>
      </c>
      <c r="E708" s="40">
        <v>23.9</v>
      </c>
      <c r="F708" s="40"/>
      <c r="G708" s="40"/>
      <c r="H708" s="40">
        <f t="shared" si="25"/>
        <v>23.9</v>
      </c>
      <c r="I708" s="40"/>
      <c r="J708" s="41" t="str">
        <f t="shared" si="26"/>
        <v>ml</v>
      </c>
    </row>
    <row r="709" spans="2:10" s="1" customFormat="1" ht="12.75" x14ac:dyDescent="0.2">
      <c r="B709" s="57"/>
      <c r="C709" s="39" t="s">
        <v>405</v>
      </c>
      <c r="D709" s="40">
        <v>1</v>
      </c>
      <c r="E709" s="40">
        <v>13.65</v>
      </c>
      <c r="F709" s="40"/>
      <c r="G709" s="40"/>
      <c r="H709" s="40">
        <f t="shared" si="25"/>
        <v>13.65</v>
      </c>
      <c r="I709" s="40"/>
      <c r="J709" s="41" t="str">
        <f t="shared" si="26"/>
        <v>ml</v>
      </c>
    </row>
    <row r="710" spans="2:10" s="1" customFormat="1" ht="12.75" x14ac:dyDescent="0.2">
      <c r="B710" s="57"/>
      <c r="C710" s="39" t="s">
        <v>406</v>
      </c>
      <c r="D710" s="40">
        <v>1</v>
      </c>
      <c r="E710" s="40">
        <v>20.03</v>
      </c>
      <c r="F710" s="40"/>
      <c r="G710" s="40"/>
      <c r="H710" s="40">
        <f t="shared" si="25"/>
        <v>20.03</v>
      </c>
      <c r="I710" s="40"/>
      <c r="J710" s="41" t="str">
        <f t="shared" si="26"/>
        <v>ml</v>
      </c>
    </row>
    <row r="711" spans="2:10" s="1" customFormat="1" ht="12.75" x14ac:dyDescent="0.2">
      <c r="B711" s="57"/>
      <c r="C711" s="39" t="s">
        <v>407</v>
      </c>
      <c r="D711" s="40">
        <v>1</v>
      </c>
      <c r="E711" s="40">
        <v>16</v>
      </c>
      <c r="F711" s="40"/>
      <c r="G711" s="40"/>
      <c r="H711" s="40">
        <f t="shared" si="25"/>
        <v>16</v>
      </c>
      <c r="I711" s="40"/>
      <c r="J711" s="41" t="str">
        <f t="shared" si="26"/>
        <v>ml</v>
      </c>
    </row>
    <row r="712" spans="2:10" s="1" customFormat="1" ht="12.75" x14ac:dyDescent="0.2">
      <c r="B712" s="57"/>
      <c r="C712" s="39" t="s">
        <v>408</v>
      </c>
      <c r="D712" s="40">
        <v>1</v>
      </c>
      <c r="E712" s="40">
        <v>9.65</v>
      </c>
      <c r="F712" s="40"/>
      <c r="G712" s="40"/>
      <c r="H712" s="40">
        <f t="shared" si="25"/>
        <v>9.65</v>
      </c>
      <c r="I712" s="40"/>
      <c r="J712" s="41" t="str">
        <f t="shared" si="26"/>
        <v>ml</v>
      </c>
    </row>
    <row r="713" spans="2:10" s="1" customFormat="1" ht="12.75" x14ac:dyDescent="0.2">
      <c r="B713" s="57"/>
      <c r="C713" s="39" t="s">
        <v>409</v>
      </c>
      <c r="D713" s="40">
        <v>1</v>
      </c>
      <c r="E713" s="40">
        <v>8.1999999999999993</v>
      </c>
      <c r="F713" s="40"/>
      <c r="G713" s="40"/>
      <c r="H713" s="40">
        <f t="shared" ref="H713:H715" si="27">IF(AND(F713=0,G713=0),D713*E713,IF(AND(E713=0,G713=0),D713*F713,IF(AND(E713=0,F713=0),D713*G713,IF(AND(E713=0),D713*F713*G713,IF(AND(F713=0),D713*E713*G713,IF(AND(G713=0),D713*E713*F713,D713*E713*F713*G713))))))</f>
        <v>8.1999999999999993</v>
      </c>
      <c r="I713" s="40"/>
      <c r="J713" s="41" t="str">
        <f t="shared" ref="J713:J715" si="28">IF(AND(E713=0,F713&lt;&gt;0,G713&lt;&gt;0),"m2",IF(AND(F713=0,E713&lt;&gt;0,G713&lt;&gt;0),"m2",IF(AND(G713=0,E713&lt;&gt;0,F713&lt;&gt;0),"m2",IF(AND(F713=0,G713=0),"ml",IF(AND(E713=0,G713=0),"ml",IF(AND(E713=0,F713=0),"ml",IF(AND(E713&lt;&gt;0,F713&lt;&gt;0,G713&lt;&gt;0),"m3",0)))))))</f>
        <v>ml</v>
      </c>
    </row>
    <row r="714" spans="2:10" s="1" customFormat="1" ht="12.75" x14ac:dyDescent="0.2">
      <c r="B714" s="57"/>
      <c r="C714" s="39" t="s">
        <v>410</v>
      </c>
      <c r="D714" s="40">
        <v>1</v>
      </c>
      <c r="E714" s="40">
        <v>0.63</v>
      </c>
      <c r="F714" s="40"/>
      <c r="G714" s="40"/>
      <c r="H714" s="40">
        <f t="shared" si="27"/>
        <v>0.63</v>
      </c>
      <c r="I714" s="40"/>
      <c r="J714" s="41" t="str">
        <f t="shared" si="28"/>
        <v>ml</v>
      </c>
    </row>
    <row r="715" spans="2:10" s="1" customFormat="1" ht="12.75" x14ac:dyDescent="0.2">
      <c r="B715" s="57"/>
      <c r="C715" s="39" t="s">
        <v>411</v>
      </c>
      <c r="D715" s="40">
        <v>1</v>
      </c>
      <c r="E715" s="40">
        <v>0.43</v>
      </c>
      <c r="F715" s="40"/>
      <c r="G715" s="40"/>
      <c r="H715" s="40">
        <f t="shared" si="27"/>
        <v>0.43</v>
      </c>
      <c r="I715" s="40"/>
      <c r="J715" s="41" t="str">
        <f t="shared" si="28"/>
        <v>ml</v>
      </c>
    </row>
    <row r="716" spans="2:10" s="1" customFormat="1" ht="12.75" x14ac:dyDescent="0.2">
      <c r="B716" s="43" t="s">
        <v>261</v>
      </c>
      <c r="C716" s="43" t="s">
        <v>253</v>
      </c>
      <c r="D716" s="60"/>
      <c r="E716" s="40"/>
      <c r="F716" s="40"/>
      <c r="G716" s="40"/>
      <c r="H716" s="40"/>
      <c r="I716" s="44">
        <f>SUM(H717:H719)</f>
        <v>3</v>
      </c>
      <c r="J716" s="45" t="str">
        <f>+J717</f>
        <v>und</v>
      </c>
    </row>
    <row r="717" spans="2:10" s="1" customFormat="1" ht="12.75" x14ac:dyDescent="0.2">
      <c r="B717" s="43"/>
      <c r="C717" s="39" t="s">
        <v>392</v>
      </c>
      <c r="D717" s="40">
        <v>1</v>
      </c>
      <c r="E717" s="40"/>
      <c r="F717" s="40"/>
      <c r="G717" s="40"/>
      <c r="H717" s="40">
        <f t="shared" ref="H717:H718" si="29">+D717</f>
        <v>1</v>
      </c>
      <c r="I717" s="40"/>
      <c r="J717" s="41" t="s">
        <v>13</v>
      </c>
    </row>
    <row r="718" spans="2:10" s="1" customFormat="1" ht="12.75" x14ac:dyDescent="0.2">
      <c r="B718" s="43"/>
      <c r="C718" s="39" t="s">
        <v>393</v>
      </c>
      <c r="D718" s="40">
        <v>1</v>
      </c>
      <c r="E718" s="40"/>
      <c r="F718" s="40"/>
      <c r="G718" s="40"/>
      <c r="H718" s="40">
        <f t="shared" si="29"/>
        <v>1</v>
      </c>
      <c r="I718" s="40"/>
      <c r="J718" s="41" t="s">
        <v>13</v>
      </c>
    </row>
    <row r="719" spans="2:10" s="1" customFormat="1" ht="12.75" x14ac:dyDescent="0.2">
      <c r="B719" s="43"/>
      <c r="C719" s="39" t="s">
        <v>394</v>
      </c>
      <c r="D719" s="40">
        <v>1</v>
      </c>
      <c r="E719" s="40"/>
      <c r="F719" s="40"/>
      <c r="G719" s="40"/>
      <c r="H719" s="40">
        <f t="shared" ref="H719" si="30">+D719</f>
        <v>1</v>
      </c>
      <c r="I719" s="40"/>
      <c r="J719" s="41" t="s">
        <v>13</v>
      </c>
    </row>
    <row r="720" spans="2:10" s="1" customFormat="1" ht="12.75" x14ac:dyDescent="0.2">
      <c r="B720" s="43" t="s">
        <v>262</v>
      </c>
      <c r="C720" s="43" t="s">
        <v>254</v>
      </c>
      <c r="D720" s="60"/>
      <c r="E720" s="40"/>
      <c r="F720" s="40"/>
      <c r="G720" s="40"/>
      <c r="H720" s="40"/>
      <c r="I720" s="44">
        <f>SUM(H721:H730)</f>
        <v>10</v>
      </c>
      <c r="J720" s="45" t="str">
        <f>+J721</f>
        <v>und</v>
      </c>
    </row>
    <row r="721" spans="2:10" s="1" customFormat="1" ht="12.75" x14ac:dyDescent="0.2">
      <c r="B721" s="57"/>
      <c r="C721" s="39" t="s">
        <v>412</v>
      </c>
      <c r="D721" s="40">
        <v>1</v>
      </c>
      <c r="E721" s="40"/>
      <c r="F721" s="40"/>
      <c r="G721" s="40"/>
      <c r="H721" s="40">
        <f t="shared" ref="H721" si="31">+D721</f>
        <v>1</v>
      </c>
      <c r="I721" s="40"/>
      <c r="J721" s="41" t="s">
        <v>13</v>
      </c>
    </row>
    <row r="722" spans="2:10" s="1" customFormat="1" ht="12.75" x14ac:dyDescent="0.2">
      <c r="B722" s="57"/>
      <c r="C722" s="39" t="s">
        <v>413</v>
      </c>
      <c r="D722" s="40">
        <v>1</v>
      </c>
      <c r="E722" s="40"/>
      <c r="F722" s="40"/>
      <c r="G722" s="40"/>
      <c r="H722" s="40">
        <f t="shared" ref="H722:H725" si="32">+D722</f>
        <v>1</v>
      </c>
      <c r="I722" s="40"/>
      <c r="J722" s="41" t="s">
        <v>13</v>
      </c>
    </row>
    <row r="723" spans="2:10" s="1" customFormat="1" ht="12.75" x14ac:dyDescent="0.2">
      <c r="B723" s="57"/>
      <c r="C723" s="39" t="s">
        <v>414</v>
      </c>
      <c r="D723" s="40">
        <v>1</v>
      </c>
      <c r="E723" s="40"/>
      <c r="F723" s="40"/>
      <c r="G723" s="40"/>
      <c r="H723" s="40">
        <f t="shared" si="32"/>
        <v>1</v>
      </c>
      <c r="I723" s="40"/>
      <c r="J723" s="41" t="s">
        <v>13</v>
      </c>
    </row>
    <row r="724" spans="2:10" s="1" customFormat="1" ht="12.75" x14ac:dyDescent="0.2">
      <c r="B724" s="57"/>
      <c r="C724" s="39" t="s">
        <v>381</v>
      </c>
      <c r="D724" s="40">
        <v>1</v>
      </c>
      <c r="E724" s="40"/>
      <c r="F724" s="40"/>
      <c r="G724" s="40"/>
      <c r="H724" s="40">
        <f t="shared" si="32"/>
        <v>1</v>
      </c>
      <c r="I724" s="40"/>
      <c r="J724" s="41" t="s">
        <v>13</v>
      </c>
    </row>
    <row r="725" spans="2:10" s="1" customFormat="1" ht="12.75" x14ac:dyDescent="0.2">
      <c r="B725" s="57"/>
      <c r="C725" s="39" t="s">
        <v>382</v>
      </c>
      <c r="D725" s="40">
        <v>1</v>
      </c>
      <c r="E725" s="40"/>
      <c r="F725" s="40"/>
      <c r="G725" s="40"/>
      <c r="H725" s="40">
        <f t="shared" si="32"/>
        <v>1</v>
      </c>
      <c r="I725" s="40"/>
      <c r="J725" s="41" t="s">
        <v>13</v>
      </c>
    </row>
    <row r="726" spans="2:10" s="1" customFormat="1" ht="12.75" x14ac:dyDescent="0.2">
      <c r="B726" s="57"/>
      <c r="C726" s="39" t="s">
        <v>415</v>
      </c>
      <c r="D726" s="40">
        <v>1</v>
      </c>
      <c r="E726" s="40"/>
      <c r="F726" s="40"/>
      <c r="G726" s="40"/>
      <c r="H726" s="40">
        <f t="shared" ref="H726:H730" si="33">+D726</f>
        <v>1</v>
      </c>
      <c r="I726" s="40"/>
      <c r="J726" s="41" t="s">
        <v>13</v>
      </c>
    </row>
    <row r="727" spans="2:10" s="1" customFormat="1" ht="12.75" x14ac:dyDescent="0.2">
      <c r="B727" s="57"/>
      <c r="C727" s="39" t="s">
        <v>416</v>
      </c>
      <c r="D727" s="40">
        <v>1</v>
      </c>
      <c r="E727" s="40"/>
      <c r="F727" s="40"/>
      <c r="G727" s="40"/>
      <c r="H727" s="40">
        <f t="shared" si="33"/>
        <v>1</v>
      </c>
      <c r="I727" s="40"/>
      <c r="J727" s="41" t="s">
        <v>13</v>
      </c>
    </row>
    <row r="728" spans="2:10" s="1" customFormat="1" ht="12.75" x14ac:dyDescent="0.2">
      <c r="B728" s="57"/>
      <c r="C728" s="39" t="s">
        <v>417</v>
      </c>
      <c r="D728" s="40">
        <v>1</v>
      </c>
      <c r="E728" s="40"/>
      <c r="F728" s="40"/>
      <c r="G728" s="40"/>
      <c r="H728" s="40">
        <f t="shared" si="33"/>
        <v>1</v>
      </c>
      <c r="I728" s="40"/>
      <c r="J728" s="41" t="s">
        <v>13</v>
      </c>
    </row>
    <row r="729" spans="2:10" s="1" customFormat="1" ht="12.75" x14ac:dyDescent="0.2">
      <c r="B729" s="57"/>
      <c r="C729" s="39" t="s">
        <v>418</v>
      </c>
      <c r="D729" s="40">
        <v>1</v>
      </c>
      <c r="E729" s="40"/>
      <c r="F729" s="40"/>
      <c r="G729" s="40"/>
      <c r="H729" s="40">
        <f t="shared" si="33"/>
        <v>1</v>
      </c>
      <c r="I729" s="40"/>
      <c r="J729" s="41" t="s">
        <v>13</v>
      </c>
    </row>
    <row r="730" spans="2:10" s="1" customFormat="1" ht="12.75" x14ac:dyDescent="0.2">
      <c r="B730" s="57"/>
      <c r="C730" s="39" t="s">
        <v>419</v>
      </c>
      <c r="D730" s="40">
        <v>1</v>
      </c>
      <c r="E730" s="40"/>
      <c r="F730" s="40"/>
      <c r="G730" s="40"/>
      <c r="H730" s="40">
        <f t="shared" si="33"/>
        <v>1</v>
      </c>
      <c r="I730" s="40"/>
      <c r="J730" s="41" t="s">
        <v>13</v>
      </c>
    </row>
    <row r="731" spans="2:10" s="1" customFormat="1" ht="12.75" x14ac:dyDescent="0.2">
      <c r="B731" s="43" t="s">
        <v>350</v>
      </c>
      <c r="C731" s="43" t="s">
        <v>255</v>
      </c>
      <c r="D731" s="60"/>
      <c r="E731" s="40"/>
      <c r="F731" s="40"/>
      <c r="G731" s="40"/>
      <c r="H731" s="40"/>
      <c r="I731" s="44">
        <f>SUM(H732:H732)</f>
        <v>1</v>
      </c>
      <c r="J731" s="45" t="str">
        <f>+J732</f>
        <v>und</v>
      </c>
    </row>
    <row r="732" spans="2:10" s="1" customFormat="1" ht="12.75" x14ac:dyDescent="0.2">
      <c r="B732" s="57"/>
      <c r="C732" s="39" t="s">
        <v>395</v>
      </c>
      <c r="D732" s="40">
        <v>1</v>
      </c>
      <c r="E732" s="40"/>
      <c r="F732" s="40"/>
      <c r="G732" s="40"/>
      <c r="H732" s="40">
        <f>+D732</f>
        <v>1</v>
      </c>
      <c r="I732" s="40"/>
      <c r="J732" s="41" t="s">
        <v>13</v>
      </c>
    </row>
    <row r="733" spans="2:10" s="1" customFormat="1" ht="12.75" x14ac:dyDescent="0.2">
      <c r="B733" s="57" t="s">
        <v>18</v>
      </c>
      <c r="C733" s="58" t="s">
        <v>223</v>
      </c>
      <c r="D733" s="60"/>
      <c r="E733" s="40"/>
      <c r="F733" s="40"/>
      <c r="G733" s="40"/>
      <c r="H733" s="40"/>
      <c r="I733" s="40"/>
      <c r="J733" s="41"/>
    </row>
    <row r="734" spans="2:10" s="1" customFormat="1" ht="12.75" x14ac:dyDescent="0.2">
      <c r="B734" s="43" t="s">
        <v>19</v>
      </c>
      <c r="C734" s="43" t="s">
        <v>265</v>
      </c>
      <c r="D734" s="60"/>
      <c r="E734" s="40"/>
      <c r="F734" s="40"/>
      <c r="G734" s="40"/>
      <c r="H734" s="40"/>
      <c r="I734" s="44">
        <f>SUM(H735:H736)</f>
        <v>6</v>
      </c>
      <c r="J734" s="45" t="str">
        <f>+J735</f>
        <v>und</v>
      </c>
    </row>
    <row r="735" spans="2:10" s="1" customFormat="1" ht="12.75" x14ac:dyDescent="0.2">
      <c r="B735" s="46"/>
      <c r="C735" s="39" t="s">
        <v>361</v>
      </c>
      <c r="D735" s="40">
        <v>2</v>
      </c>
      <c r="E735" s="40"/>
      <c r="F735" s="40"/>
      <c r="G735" s="40"/>
      <c r="H735" s="40">
        <f>+D735</f>
        <v>2</v>
      </c>
      <c r="I735" s="40"/>
      <c r="J735" s="41" t="s">
        <v>13</v>
      </c>
    </row>
    <row r="736" spans="2:10" s="1" customFormat="1" ht="12.75" x14ac:dyDescent="0.2">
      <c r="B736" s="46"/>
      <c r="C736" s="39" t="s">
        <v>231</v>
      </c>
      <c r="D736" s="40">
        <v>4</v>
      </c>
      <c r="E736" s="40"/>
      <c r="F736" s="40"/>
      <c r="G736" s="40"/>
      <c r="H736" s="40">
        <f>+D736</f>
        <v>4</v>
      </c>
      <c r="I736" s="40"/>
      <c r="J736" s="41" t="s">
        <v>13</v>
      </c>
    </row>
    <row r="737" spans="2:10" s="1" customFormat="1" ht="12.75" x14ac:dyDescent="0.2">
      <c r="B737" s="43" t="s">
        <v>20</v>
      </c>
      <c r="C737" s="43" t="s">
        <v>272</v>
      </c>
      <c r="D737" s="60"/>
      <c r="E737" s="40"/>
      <c r="F737" s="40"/>
      <c r="G737" s="40"/>
      <c r="H737" s="40"/>
      <c r="I737" s="44">
        <f>SUM(H738:H743)</f>
        <v>0</v>
      </c>
      <c r="J737" s="45" t="str">
        <f>+J738</f>
        <v>und</v>
      </c>
    </row>
    <row r="738" spans="2:10" s="1" customFormat="1" ht="12.75" x14ac:dyDescent="0.2">
      <c r="B738" s="46"/>
      <c r="C738" s="77" t="s">
        <v>71</v>
      </c>
      <c r="D738" s="40"/>
      <c r="E738" s="40"/>
      <c r="F738" s="40"/>
      <c r="G738" s="40"/>
      <c r="H738" s="40"/>
      <c r="I738" s="40"/>
      <c r="J738" s="41" t="s">
        <v>13</v>
      </c>
    </row>
    <row r="739" spans="2:10" s="1" customFormat="1" ht="12.75" x14ac:dyDescent="0.2">
      <c r="B739" s="46"/>
      <c r="C739" s="39" t="s">
        <v>349</v>
      </c>
      <c r="D739" s="40"/>
      <c r="E739" s="40"/>
      <c r="F739" s="40"/>
      <c r="G739" s="40"/>
      <c r="H739" s="40">
        <f>IF(AND(F739=0,G739=0),D739*E739,IF(AND(E739=0,G739=0),D739*F739,IF(AND(E739=0,F739=0),D739*G739,IF(AND(E739=0),D739*F739*G739,IF(AND(F739=0),D739*E739*G739,IF(AND(G739=0),D739*E739*F739,D739*E739*F739*G739))))))</f>
        <v>0</v>
      </c>
      <c r="I739" s="40"/>
      <c r="J739" s="41" t="s">
        <v>13</v>
      </c>
    </row>
    <row r="740" spans="2:10" s="1" customFormat="1" ht="12.75" x14ac:dyDescent="0.2">
      <c r="B740" s="46"/>
      <c r="C740" s="77" t="s">
        <v>72</v>
      </c>
      <c r="D740" s="40"/>
      <c r="E740" s="40"/>
      <c r="F740" s="40"/>
      <c r="G740" s="40"/>
      <c r="H740" s="40"/>
      <c r="I740" s="40"/>
      <c r="J740" s="41" t="s">
        <v>13</v>
      </c>
    </row>
    <row r="741" spans="2:10" s="1" customFormat="1" ht="12.75" x14ac:dyDescent="0.2">
      <c r="B741" s="46"/>
      <c r="C741" s="39" t="s">
        <v>349</v>
      </c>
      <c r="D741" s="40"/>
      <c r="E741" s="40"/>
      <c r="F741" s="40"/>
      <c r="G741" s="40"/>
      <c r="H741" s="40">
        <f>IF(AND(F741=0,G741=0),D741*E741,IF(AND(E741=0,G741=0),D741*F741,IF(AND(E741=0,F741=0),D741*G741,IF(AND(E741=0),D741*F741*G741,IF(AND(F741=0),D741*E741*G741,IF(AND(G741=0),D741*E741*F741,D741*E741*F741*G741))))))</f>
        <v>0</v>
      </c>
      <c r="I741" s="40"/>
      <c r="J741" s="41" t="s">
        <v>13</v>
      </c>
    </row>
    <row r="742" spans="2:10" s="1" customFormat="1" ht="12.75" x14ac:dyDescent="0.2">
      <c r="B742" s="46"/>
      <c r="C742" s="77" t="s">
        <v>73</v>
      </c>
      <c r="D742" s="40"/>
      <c r="E742" s="40"/>
      <c r="F742" s="40"/>
      <c r="G742" s="40"/>
      <c r="H742" s="40"/>
      <c r="I742" s="40"/>
      <c r="J742" s="41" t="s">
        <v>13</v>
      </c>
    </row>
    <row r="743" spans="2:10" s="1" customFormat="1" ht="12.75" x14ac:dyDescent="0.2">
      <c r="B743" s="46"/>
      <c r="C743" s="39" t="s">
        <v>349</v>
      </c>
      <c r="D743" s="40"/>
      <c r="E743" s="40"/>
      <c r="F743" s="40"/>
      <c r="G743" s="40"/>
      <c r="H743" s="40">
        <f>IF(AND(F743=0,G743=0),D743*E743,IF(AND(E743=0,G743=0),D743*F743,IF(AND(E743=0,F743=0),D743*G743,IF(AND(E743=0),D743*F743*G743,IF(AND(F743=0),D743*E743*G743,IF(AND(G743=0),D743*E743*F743,D743*E743*F743*G743))))))</f>
        <v>0</v>
      </c>
      <c r="I743" s="40"/>
      <c r="J743" s="41" t="s">
        <v>13</v>
      </c>
    </row>
    <row r="744" spans="2:10" s="1" customFormat="1" ht="12.75" x14ac:dyDescent="0.2">
      <c r="B744" s="43" t="s">
        <v>21</v>
      </c>
      <c r="C744" s="43" t="s">
        <v>266</v>
      </c>
      <c r="D744" s="60"/>
      <c r="E744" s="40"/>
      <c r="F744" s="40"/>
      <c r="G744" s="40"/>
      <c r="H744" s="40"/>
      <c r="I744" s="44">
        <f>SUM(H745:H747)</f>
        <v>16</v>
      </c>
      <c r="J744" s="45" t="str">
        <f>+J745</f>
        <v>und</v>
      </c>
    </row>
    <row r="745" spans="2:10" s="1" customFormat="1" ht="12.75" x14ac:dyDescent="0.2">
      <c r="B745" s="43"/>
      <c r="C745" s="39" t="s">
        <v>71</v>
      </c>
      <c r="D745" s="40">
        <v>4</v>
      </c>
      <c r="E745" s="40">
        <v>4</v>
      </c>
      <c r="F745" s="40"/>
      <c r="G745" s="40"/>
      <c r="H745" s="40">
        <f t="shared" ref="H745" si="34">IF(AND(F745=0,G745=0),D745*E745,IF(AND(E745=0,G745=0),D745*F745,IF(AND(E745=0,F745=0),D745*G745,IF(AND(E745=0),D745*F745*G745,IF(AND(F745=0),D745*E745*G745,IF(AND(G745=0),D745*E745*F745,D745*E745*F745*G745))))))</f>
        <v>16</v>
      </c>
      <c r="I745" s="40"/>
      <c r="J745" s="41" t="s">
        <v>13</v>
      </c>
    </row>
    <row r="746" spans="2:10" s="1" customFormat="1" ht="12.75" x14ac:dyDescent="0.2">
      <c r="B746" s="43"/>
      <c r="C746" s="39" t="s">
        <v>72</v>
      </c>
      <c r="D746" s="40"/>
      <c r="E746" s="40"/>
      <c r="F746" s="40"/>
      <c r="G746" s="40"/>
      <c r="H746" s="40">
        <f t="shared" ref="H746:H747" si="35">+D746</f>
        <v>0</v>
      </c>
      <c r="I746" s="40"/>
      <c r="J746" s="41" t="s">
        <v>13</v>
      </c>
    </row>
    <row r="747" spans="2:10" s="1" customFormat="1" ht="12.75" x14ac:dyDescent="0.2">
      <c r="B747" s="43"/>
      <c r="C747" s="39" t="s">
        <v>73</v>
      </c>
      <c r="D747" s="40"/>
      <c r="E747" s="40"/>
      <c r="F747" s="40"/>
      <c r="G747" s="40"/>
      <c r="H747" s="40">
        <f t="shared" si="35"/>
        <v>0</v>
      </c>
      <c r="I747" s="40"/>
      <c r="J747" s="41" t="s">
        <v>13</v>
      </c>
    </row>
    <row r="748" spans="2:10" s="1" customFormat="1" ht="12.75" x14ac:dyDescent="0.2">
      <c r="B748" s="43" t="s">
        <v>273</v>
      </c>
      <c r="C748" s="43" t="s">
        <v>354</v>
      </c>
      <c r="D748" s="60"/>
      <c r="E748" s="40"/>
      <c r="F748" s="40"/>
      <c r="G748" s="40"/>
      <c r="H748" s="40"/>
      <c r="I748" s="44">
        <f>SUM(H749:H749)</f>
        <v>0</v>
      </c>
      <c r="J748" s="45" t="str">
        <f>+J749</f>
        <v>und</v>
      </c>
    </row>
    <row r="749" spans="2:10" s="1" customFormat="1" ht="12.75" x14ac:dyDescent="0.2">
      <c r="B749" s="43"/>
      <c r="C749" s="39" t="s">
        <v>375</v>
      </c>
      <c r="D749" s="40"/>
      <c r="E749" s="40"/>
      <c r="F749" s="40"/>
      <c r="G749" s="40"/>
      <c r="H749" s="40">
        <f>IF(AND(F749=0,G749=0),D749*E749,IF(AND(E749=0,G749=0),D749*F749,IF(AND(E749=0,F749=0),D749*G749,IF(AND(E749=0),D749*F749*G749,IF(AND(F749=0),D749*E749*G749,IF(AND(G749=0),D749*E749*F749,D749*E749*F749*G749))))))</f>
        <v>0</v>
      </c>
      <c r="I749" s="40"/>
      <c r="J749" s="41" t="s">
        <v>13</v>
      </c>
    </row>
    <row r="750" spans="2:10" s="1" customFormat="1" ht="12.75" x14ac:dyDescent="0.2">
      <c r="B750" s="43" t="s">
        <v>274</v>
      </c>
      <c r="C750" s="43" t="s">
        <v>357</v>
      </c>
      <c r="D750" s="60"/>
      <c r="E750" s="40"/>
      <c r="F750" s="40"/>
      <c r="G750" s="40"/>
      <c r="H750" s="40"/>
      <c r="I750" s="44">
        <f>SUM(H751:H751)</f>
        <v>0</v>
      </c>
      <c r="J750" s="45" t="str">
        <f>+J751</f>
        <v>und</v>
      </c>
    </row>
    <row r="751" spans="2:10" s="1" customFormat="1" ht="12.75" x14ac:dyDescent="0.2">
      <c r="B751" s="43"/>
      <c r="C751" s="39" t="s">
        <v>375</v>
      </c>
      <c r="D751" s="40"/>
      <c r="E751" s="40"/>
      <c r="F751" s="40"/>
      <c r="G751" s="40"/>
      <c r="H751" s="40">
        <f t="shared" ref="H751" si="36">+D751</f>
        <v>0</v>
      </c>
      <c r="I751" s="40"/>
      <c r="J751" s="41" t="s">
        <v>13</v>
      </c>
    </row>
    <row r="752" spans="2:10" s="1" customFormat="1" ht="12.75" x14ac:dyDescent="0.2">
      <c r="B752" s="43" t="s">
        <v>355</v>
      </c>
      <c r="C752" s="43" t="s">
        <v>263</v>
      </c>
      <c r="D752" s="60"/>
      <c r="E752" s="40"/>
      <c r="F752" s="40"/>
      <c r="G752" s="40"/>
      <c r="H752" s="40"/>
      <c r="I752" s="44">
        <f>SUM(H753:H753)</f>
        <v>0</v>
      </c>
      <c r="J752" s="45" t="str">
        <f>+J753</f>
        <v>und</v>
      </c>
    </row>
    <row r="753" spans="2:10" s="1" customFormat="1" ht="12.75" x14ac:dyDescent="0.2">
      <c r="B753" s="46"/>
      <c r="C753" s="39" t="s">
        <v>385</v>
      </c>
      <c r="D753" s="40"/>
      <c r="E753" s="40"/>
      <c r="F753" s="40"/>
      <c r="G753" s="40"/>
      <c r="H753" s="40">
        <f>+D753</f>
        <v>0</v>
      </c>
      <c r="I753" s="40"/>
      <c r="J753" s="41" t="s">
        <v>13</v>
      </c>
    </row>
    <row r="754" spans="2:10" s="1" customFormat="1" ht="12.75" x14ac:dyDescent="0.2">
      <c r="B754" s="43" t="s">
        <v>356</v>
      </c>
      <c r="C754" s="43" t="s">
        <v>264</v>
      </c>
      <c r="D754" s="60"/>
      <c r="E754" s="40"/>
      <c r="F754" s="40"/>
      <c r="G754" s="40"/>
      <c r="H754" s="40"/>
      <c r="I754" s="44">
        <f>SUM(H755:H755)</f>
        <v>0</v>
      </c>
      <c r="J754" s="45" t="str">
        <f>+J755</f>
        <v>und</v>
      </c>
    </row>
    <row r="755" spans="2:10" s="1" customFormat="1" ht="12.75" x14ac:dyDescent="0.2">
      <c r="B755" s="46"/>
      <c r="C755" s="39" t="s">
        <v>384</v>
      </c>
      <c r="D755" s="40"/>
      <c r="E755" s="40"/>
      <c r="F755" s="40"/>
      <c r="G755" s="40"/>
      <c r="H755" s="40">
        <f>+D755</f>
        <v>0</v>
      </c>
      <c r="I755" s="40"/>
      <c r="J755" s="41" t="s">
        <v>13</v>
      </c>
    </row>
    <row r="756" spans="2:10" s="1" customFormat="1" ht="12.75" x14ac:dyDescent="0.2">
      <c r="B756" s="46"/>
      <c r="C756" s="59"/>
      <c r="D756" s="60"/>
      <c r="E756" s="40"/>
      <c r="F756" s="40"/>
      <c r="G756" s="40"/>
      <c r="H756" s="40"/>
      <c r="I756" s="40"/>
      <c r="J756" s="41"/>
    </row>
    <row r="757" spans="2:10" s="1" customFormat="1" ht="12.75" x14ac:dyDescent="0.2">
      <c r="B757" s="46"/>
      <c r="C757" s="59"/>
      <c r="D757" s="60"/>
      <c r="E757" s="40"/>
      <c r="F757" s="40"/>
      <c r="G757" s="40"/>
      <c r="H757" s="40"/>
      <c r="I757" s="40"/>
      <c r="J757" s="41"/>
    </row>
    <row r="758" spans="2:10" s="1" customFormat="1" ht="12.75" x14ac:dyDescent="0.2">
      <c r="B758" s="46"/>
      <c r="C758" s="59"/>
      <c r="D758" s="60"/>
      <c r="E758" s="40"/>
      <c r="F758" s="40"/>
      <c r="G758" s="40"/>
      <c r="H758" s="40"/>
      <c r="I758" s="40"/>
      <c r="J758" s="41"/>
    </row>
    <row r="759" spans="2:10" s="1" customFormat="1" ht="12.75" x14ac:dyDescent="0.2">
      <c r="B759" s="46"/>
      <c r="C759" s="59"/>
      <c r="D759" s="60"/>
      <c r="E759" s="40"/>
      <c r="F759" s="40"/>
      <c r="G759" s="40"/>
      <c r="H759" s="40"/>
      <c r="I759" s="40"/>
      <c r="J759" s="41"/>
    </row>
    <row r="760" spans="2:10" s="1" customFormat="1" ht="12.75" x14ac:dyDescent="0.2">
      <c r="B760" s="46"/>
      <c r="C760" s="59"/>
      <c r="D760" s="60"/>
      <c r="E760" s="40"/>
      <c r="F760" s="40"/>
      <c r="G760" s="40"/>
      <c r="H760" s="40"/>
      <c r="I760" s="40"/>
      <c r="J760" s="41"/>
    </row>
    <row r="761" spans="2:10" s="1" customFormat="1" ht="12.75" x14ac:dyDescent="0.2">
      <c r="B761" s="46"/>
      <c r="C761" s="59"/>
      <c r="D761" s="60"/>
      <c r="E761" s="40"/>
      <c r="F761" s="40"/>
      <c r="G761" s="40"/>
      <c r="H761" s="40"/>
      <c r="I761" s="40"/>
      <c r="J761" s="41"/>
    </row>
    <row r="762" spans="2:10" s="1" customFormat="1" ht="12.75" x14ac:dyDescent="0.2">
      <c r="B762" s="46"/>
      <c r="C762" s="59"/>
      <c r="D762" s="60"/>
      <c r="E762" s="40"/>
      <c r="F762" s="40"/>
      <c r="G762" s="40"/>
      <c r="H762" s="40"/>
      <c r="I762" s="40"/>
      <c r="J762" s="41"/>
    </row>
    <row r="763" spans="2:10" s="1" customFormat="1" ht="12.75" x14ac:dyDescent="0.2">
      <c r="B763" s="46"/>
      <c r="C763" s="59"/>
      <c r="D763" s="60"/>
      <c r="E763" s="40"/>
      <c r="F763" s="40"/>
      <c r="G763" s="40"/>
      <c r="H763" s="40"/>
      <c r="I763" s="40"/>
      <c r="J763" s="41"/>
    </row>
    <row r="764" spans="2:10" s="1" customFormat="1" ht="12.75" x14ac:dyDescent="0.2">
      <c r="B764" s="46"/>
      <c r="C764" s="59"/>
      <c r="D764" s="60"/>
      <c r="E764" s="40"/>
      <c r="F764" s="40"/>
      <c r="G764" s="40"/>
      <c r="H764" s="40"/>
      <c r="I764" s="40"/>
      <c r="J764" s="41"/>
    </row>
    <row r="765" spans="2:10" s="1" customFormat="1" ht="12.75" x14ac:dyDescent="0.2">
      <c r="B765" s="46"/>
      <c r="C765" s="59"/>
      <c r="D765" s="60"/>
      <c r="E765" s="40"/>
      <c r="F765" s="40"/>
      <c r="G765" s="40"/>
      <c r="H765" s="40"/>
      <c r="I765" s="40"/>
      <c r="J765" s="41"/>
    </row>
    <row r="766" spans="2:10" s="1" customFormat="1" ht="12.75" x14ac:dyDescent="0.2">
      <c r="B766" s="46"/>
      <c r="C766" s="59"/>
      <c r="D766" s="60"/>
      <c r="E766" s="40"/>
      <c r="F766" s="40"/>
      <c r="G766" s="40"/>
      <c r="H766" s="40"/>
      <c r="I766" s="40"/>
      <c r="J766" s="41"/>
    </row>
    <row r="767" spans="2:10" s="1" customFormat="1" ht="12.75" x14ac:dyDescent="0.2">
      <c r="B767" s="46"/>
      <c r="C767" s="59"/>
      <c r="D767" s="60"/>
      <c r="E767" s="40"/>
      <c r="F767" s="40"/>
      <c r="G767" s="40"/>
      <c r="H767" s="40"/>
      <c r="I767" s="40"/>
      <c r="J767" s="41"/>
    </row>
    <row r="768" spans="2:10" s="1" customFormat="1" ht="12.75" x14ac:dyDescent="0.2">
      <c r="B768" s="46"/>
      <c r="C768" s="59"/>
      <c r="D768" s="60"/>
      <c r="E768" s="40"/>
      <c r="F768" s="40"/>
      <c r="G768" s="40"/>
      <c r="H768" s="40"/>
      <c r="I768" s="40"/>
      <c r="J768" s="41"/>
    </row>
    <row r="769" spans="2:10" s="1" customFormat="1" ht="12.75" x14ac:dyDescent="0.2">
      <c r="B769" s="46"/>
      <c r="C769" s="59"/>
      <c r="D769" s="60"/>
      <c r="E769" s="40"/>
      <c r="F769" s="40"/>
      <c r="G769" s="40"/>
      <c r="H769" s="40"/>
      <c r="I769" s="40"/>
      <c r="J769" s="41"/>
    </row>
    <row r="770" spans="2:10" s="1" customFormat="1" ht="12.75" x14ac:dyDescent="0.2">
      <c r="B770" s="46"/>
      <c r="C770" s="59"/>
      <c r="D770" s="60"/>
      <c r="E770" s="40"/>
      <c r="F770" s="40"/>
      <c r="G770" s="40"/>
      <c r="H770" s="40"/>
      <c r="I770" s="40"/>
      <c r="J770" s="41"/>
    </row>
    <row r="771" spans="2:10" s="1" customFormat="1" ht="12.75" x14ac:dyDescent="0.2">
      <c r="B771" s="46"/>
      <c r="C771" s="59"/>
      <c r="D771" s="60"/>
      <c r="E771" s="40"/>
      <c r="F771" s="40"/>
      <c r="G771" s="40"/>
      <c r="H771" s="40"/>
      <c r="I771" s="40"/>
      <c r="J771" s="41"/>
    </row>
    <row r="772" spans="2:10" s="1" customFormat="1" ht="12.75" x14ac:dyDescent="0.2">
      <c r="B772" s="46"/>
      <c r="C772" s="59"/>
      <c r="D772" s="60"/>
      <c r="E772" s="40"/>
      <c r="F772" s="40"/>
      <c r="G772" s="40"/>
      <c r="H772" s="40"/>
      <c r="I772" s="40"/>
      <c r="J772" s="41"/>
    </row>
    <row r="773" spans="2:10" s="1" customFormat="1" ht="12.75" x14ac:dyDescent="0.2">
      <c r="B773" s="46"/>
      <c r="C773" s="59"/>
      <c r="D773" s="60"/>
      <c r="E773" s="40"/>
      <c r="F773" s="40"/>
      <c r="G773" s="40"/>
      <c r="H773" s="40"/>
      <c r="I773" s="40"/>
      <c r="J773" s="41"/>
    </row>
    <row r="774" spans="2:10" s="1" customFormat="1" ht="12.75" x14ac:dyDescent="0.2">
      <c r="B774" s="46"/>
      <c r="C774" s="59"/>
      <c r="D774" s="60"/>
      <c r="E774" s="40"/>
      <c r="F774" s="40"/>
      <c r="G774" s="40"/>
      <c r="H774" s="40"/>
      <c r="I774" s="40"/>
      <c r="J774" s="41"/>
    </row>
    <row r="775" spans="2:10" s="1" customFormat="1" ht="12.75" x14ac:dyDescent="0.2">
      <c r="B775" s="46"/>
      <c r="C775" s="59"/>
      <c r="D775" s="60"/>
      <c r="E775" s="40"/>
      <c r="F775" s="40"/>
      <c r="G775" s="40"/>
      <c r="H775" s="40"/>
      <c r="I775" s="40"/>
      <c r="J775" s="41"/>
    </row>
    <row r="776" spans="2:10" s="1" customFormat="1" ht="12.75" x14ac:dyDescent="0.2">
      <c r="B776" s="46"/>
      <c r="C776" s="59"/>
      <c r="D776" s="60"/>
      <c r="E776" s="40"/>
      <c r="F776" s="40"/>
      <c r="G776" s="40"/>
      <c r="H776" s="40"/>
      <c r="I776" s="40"/>
      <c r="J776" s="41"/>
    </row>
    <row r="777" spans="2:10" s="1" customFormat="1" ht="12.75" x14ac:dyDescent="0.2">
      <c r="B777" s="46"/>
      <c r="C777" s="59"/>
      <c r="D777" s="60"/>
      <c r="E777" s="40"/>
      <c r="F777" s="40"/>
      <c r="G777" s="40"/>
      <c r="H777" s="40"/>
      <c r="I777" s="40"/>
      <c r="J777" s="41"/>
    </row>
    <row r="778" spans="2:10" s="1" customFormat="1" ht="12.75" x14ac:dyDescent="0.2">
      <c r="B778" s="46"/>
      <c r="C778" s="59"/>
      <c r="D778" s="60"/>
      <c r="E778" s="40"/>
      <c r="F778" s="40"/>
      <c r="G778" s="40"/>
      <c r="H778" s="40"/>
      <c r="I778" s="40"/>
      <c r="J778" s="41"/>
    </row>
    <row r="779" spans="2:10" s="1" customFormat="1" ht="12.75" x14ac:dyDescent="0.2">
      <c r="B779" s="46"/>
      <c r="C779" s="59"/>
      <c r="D779" s="60"/>
      <c r="E779" s="40"/>
      <c r="F779" s="40"/>
      <c r="G779" s="40"/>
      <c r="H779" s="40"/>
      <c r="I779" s="40"/>
      <c r="J779" s="41"/>
    </row>
    <row r="780" spans="2:10" s="1" customFormat="1" ht="12.75" x14ac:dyDescent="0.2">
      <c r="B780" s="46"/>
      <c r="C780" s="59"/>
      <c r="D780" s="60"/>
      <c r="E780" s="40"/>
      <c r="F780" s="40"/>
      <c r="G780" s="40"/>
      <c r="H780" s="40"/>
      <c r="I780" s="40"/>
      <c r="J780" s="41"/>
    </row>
    <row r="781" spans="2:10" s="1" customFormat="1" ht="12.75" x14ac:dyDescent="0.2">
      <c r="B781" s="46"/>
      <c r="C781" s="59"/>
      <c r="D781" s="60"/>
      <c r="E781" s="40"/>
      <c r="F781" s="40"/>
      <c r="G781" s="40"/>
      <c r="H781" s="40"/>
      <c r="I781" s="40"/>
      <c r="J781" s="41"/>
    </row>
    <row r="782" spans="2:10" s="1" customFormat="1" ht="12.75" x14ac:dyDescent="0.2">
      <c r="B782" s="46"/>
      <c r="C782" s="59"/>
      <c r="D782" s="60"/>
      <c r="E782" s="40"/>
      <c r="F782" s="40"/>
      <c r="G782" s="40"/>
      <c r="H782" s="40"/>
      <c r="I782" s="40"/>
      <c r="J782" s="41"/>
    </row>
    <row r="783" spans="2:10" s="1" customFormat="1" ht="12.75" x14ac:dyDescent="0.2">
      <c r="B783" s="46"/>
      <c r="C783" s="59"/>
      <c r="D783" s="60"/>
      <c r="E783" s="40"/>
      <c r="F783" s="40"/>
      <c r="G783" s="40"/>
      <c r="H783" s="40"/>
      <c r="I783" s="40"/>
      <c r="J783" s="41"/>
    </row>
    <row r="784" spans="2:10" s="1" customFormat="1" ht="12.75" x14ac:dyDescent="0.2">
      <c r="B784" s="46"/>
      <c r="C784" s="59"/>
      <c r="D784" s="60"/>
      <c r="E784" s="40"/>
      <c r="F784" s="40"/>
      <c r="G784" s="40"/>
      <c r="H784" s="40"/>
      <c r="I784" s="40"/>
      <c r="J784" s="41"/>
    </row>
    <row r="785" spans="2:10" s="1" customFormat="1" ht="12.75" x14ac:dyDescent="0.2">
      <c r="B785" s="46"/>
      <c r="C785" s="59"/>
      <c r="D785" s="60"/>
      <c r="E785" s="40"/>
      <c r="F785" s="40"/>
      <c r="G785" s="40"/>
      <c r="H785" s="40"/>
      <c r="I785" s="40"/>
      <c r="J785" s="41"/>
    </row>
    <row r="786" spans="2:10" s="1" customFormat="1" ht="12.75" x14ac:dyDescent="0.2">
      <c r="B786" s="46"/>
      <c r="C786" s="59"/>
      <c r="D786" s="60"/>
      <c r="E786" s="40"/>
      <c r="F786" s="40"/>
      <c r="G786" s="40"/>
      <c r="H786" s="40"/>
      <c r="I786" s="40"/>
      <c r="J786" s="41"/>
    </row>
    <row r="787" spans="2:10" s="1" customFormat="1" ht="12.75" x14ac:dyDescent="0.2">
      <c r="B787" s="46"/>
      <c r="C787" s="59"/>
      <c r="D787" s="60"/>
      <c r="E787" s="40"/>
      <c r="F787" s="40"/>
      <c r="G787" s="40"/>
      <c r="H787" s="40"/>
      <c r="I787" s="40"/>
      <c r="J787" s="41"/>
    </row>
    <row r="788" spans="2:10" s="1" customFormat="1" ht="12.75" x14ac:dyDescent="0.2">
      <c r="B788" s="46"/>
      <c r="C788" s="59"/>
      <c r="D788" s="60"/>
      <c r="E788" s="40"/>
      <c r="F788" s="40"/>
      <c r="G788" s="40"/>
      <c r="H788" s="40"/>
      <c r="I788" s="40"/>
      <c r="J788" s="41"/>
    </row>
    <row r="789" spans="2:10" s="1" customFormat="1" ht="12.75" x14ac:dyDescent="0.2">
      <c r="B789" s="46"/>
      <c r="C789" s="59"/>
      <c r="D789" s="60"/>
      <c r="E789" s="40"/>
      <c r="F789" s="40"/>
      <c r="G789" s="40"/>
      <c r="H789" s="40"/>
      <c r="I789" s="40"/>
      <c r="J789" s="41"/>
    </row>
    <row r="790" spans="2:10" s="1" customFormat="1" ht="12.75" x14ac:dyDescent="0.2">
      <c r="B790" s="46"/>
      <c r="C790" s="59"/>
      <c r="D790" s="60"/>
      <c r="E790" s="40"/>
      <c r="F790" s="40"/>
      <c r="G790" s="40"/>
      <c r="H790" s="40"/>
      <c r="I790" s="40"/>
      <c r="J790" s="41"/>
    </row>
    <row r="791" spans="2:10" s="1" customFormat="1" ht="12.75" x14ac:dyDescent="0.2">
      <c r="B791" s="46"/>
      <c r="C791" s="59"/>
      <c r="D791" s="60"/>
      <c r="E791" s="40"/>
      <c r="F791" s="40"/>
      <c r="G791" s="40"/>
      <c r="H791" s="40"/>
      <c r="I791" s="40"/>
      <c r="J791" s="41"/>
    </row>
    <row r="792" spans="2:10" s="1" customFormat="1" ht="12.75" x14ac:dyDescent="0.2">
      <c r="B792" s="46"/>
      <c r="C792" s="59"/>
      <c r="D792" s="60"/>
      <c r="E792" s="40"/>
      <c r="F792" s="40"/>
      <c r="G792" s="40"/>
      <c r="H792" s="40"/>
      <c r="I792" s="40"/>
      <c r="J792" s="41"/>
    </row>
    <row r="793" spans="2:10" s="1" customFormat="1" ht="12.75" x14ac:dyDescent="0.2">
      <c r="B793" s="46"/>
      <c r="C793" s="59"/>
      <c r="D793" s="60"/>
      <c r="E793" s="40"/>
      <c r="F793" s="40"/>
      <c r="G793" s="40"/>
      <c r="H793" s="40"/>
      <c r="I793" s="40"/>
      <c r="J793" s="41"/>
    </row>
    <row r="794" spans="2:10" s="1" customFormat="1" ht="12.75" x14ac:dyDescent="0.2">
      <c r="B794" s="46"/>
      <c r="C794" s="59"/>
      <c r="D794" s="60"/>
      <c r="E794" s="40"/>
      <c r="F794" s="40"/>
      <c r="G794" s="40"/>
      <c r="H794" s="40"/>
      <c r="I794" s="40"/>
      <c r="J794" s="41"/>
    </row>
    <row r="795" spans="2:10" s="1" customFormat="1" ht="12.75" x14ac:dyDescent="0.2">
      <c r="B795" s="46"/>
      <c r="C795" s="59"/>
      <c r="D795" s="60"/>
      <c r="E795" s="40"/>
      <c r="F795" s="40"/>
      <c r="G795" s="40"/>
      <c r="H795" s="40"/>
      <c r="I795" s="40"/>
      <c r="J795" s="41"/>
    </row>
    <row r="796" spans="2:10" s="1" customFormat="1" ht="12.75" x14ac:dyDescent="0.2">
      <c r="B796" s="46"/>
      <c r="C796" s="59"/>
      <c r="D796" s="60"/>
      <c r="E796" s="40"/>
      <c r="F796" s="40"/>
      <c r="G796" s="40"/>
      <c r="H796" s="40"/>
      <c r="I796" s="40"/>
      <c r="J796" s="41"/>
    </row>
    <row r="797" spans="2:10" s="1" customFormat="1" ht="12.75" x14ac:dyDescent="0.2">
      <c r="B797" s="46"/>
      <c r="C797" s="59"/>
      <c r="D797" s="60"/>
      <c r="E797" s="40"/>
      <c r="F797" s="40"/>
      <c r="G797" s="40"/>
      <c r="H797" s="40"/>
      <c r="I797" s="40"/>
      <c r="J797" s="41"/>
    </row>
    <row r="798" spans="2:10" s="1" customFormat="1" ht="12.75" x14ac:dyDescent="0.2">
      <c r="B798" s="46"/>
      <c r="C798" s="59"/>
      <c r="D798" s="60"/>
      <c r="E798" s="40"/>
      <c r="F798" s="40"/>
      <c r="G798" s="40"/>
      <c r="H798" s="40"/>
      <c r="I798" s="40"/>
      <c r="J798" s="41"/>
    </row>
    <row r="799" spans="2:10" s="1" customFormat="1" ht="12.75" x14ac:dyDescent="0.2">
      <c r="B799" s="46"/>
      <c r="C799" s="59"/>
      <c r="D799" s="60"/>
      <c r="E799" s="40"/>
      <c r="F799" s="40"/>
      <c r="G799" s="40"/>
      <c r="H799" s="40"/>
      <c r="I799" s="40"/>
      <c r="J799" s="41"/>
    </row>
    <row r="800" spans="2:10" s="1" customFormat="1" ht="12.75" x14ac:dyDescent="0.2">
      <c r="B800" s="46"/>
      <c r="C800" s="59"/>
      <c r="D800" s="60"/>
      <c r="E800" s="40"/>
      <c r="F800" s="40"/>
      <c r="G800" s="40"/>
      <c r="H800" s="40"/>
      <c r="I800" s="40"/>
      <c r="J800" s="41"/>
    </row>
    <row r="801" spans="2:10" s="1" customFormat="1" ht="12.75" x14ac:dyDescent="0.2">
      <c r="B801" s="46"/>
      <c r="C801" s="59"/>
      <c r="D801" s="60"/>
      <c r="E801" s="40"/>
      <c r="F801" s="40"/>
      <c r="G801" s="40"/>
      <c r="H801" s="40"/>
      <c r="I801" s="40"/>
      <c r="J801" s="41"/>
    </row>
    <row r="802" spans="2:10" s="1" customFormat="1" ht="12.75" x14ac:dyDescent="0.2">
      <c r="B802" s="46"/>
      <c r="C802" s="59"/>
      <c r="D802" s="60"/>
      <c r="E802" s="40"/>
      <c r="F802" s="40"/>
      <c r="G802" s="40"/>
      <c r="H802" s="40"/>
      <c r="I802" s="40"/>
      <c r="J802" s="41"/>
    </row>
    <row r="803" spans="2:10" s="1" customFormat="1" ht="12.75" x14ac:dyDescent="0.2">
      <c r="B803" s="46"/>
      <c r="C803" s="59"/>
      <c r="D803" s="60"/>
      <c r="E803" s="40"/>
      <c r="F803" s="40"/>
      <c r="G803" s="40"/>
      <c r="H803" s="40"/>
      <c r="I803" s="40"/>
      <c r="J803" s="41"/>
    </row>
    <row r="804" spans="2:10" s="1" customFormat="1" ht="12.75" x14ac:dyDescent="0.2">
      <c r="B804" s="46"/>
      <c r="C804" s="59"/>
      <c r="D804" s="60"/>
      <c r="E804" s="40"/>
      <c r="F804" s="40"/>
      <c r="G804" s="40"/>
      <c r="H804" s="40"/>
      <c r="I804" s="40"/>
      <c r="J804" s="41"/>
    </row>
    <row r="805" spans="2:10" s="1" customFormat="1" ht="12.75" x14ac:dyDescent="0.2">
      <c r="B805" s="46"/>
      <c r="C805" s="59"/>
      <c r="D805" s="60"/>
      <c r="E805" s="40"/>
      <c r="F805" s="40"/>
      <c r="G805" s="40"/>
      <c r="H805" s="40"/>
      <c r="I805" s="40"/>
      <c r="J805" s="41"/>
    </row>
    <row r="806" spans="2:10" s="1" customFormat="1" ht="12.75" x14ac:dyDescent="0.2">
      <c r="B806" s="46"/>
      <c r="C806" s="59"/>
      <c r="D806" s="60"/>
      <c r="E806" s="40"/>
      <c r="F806" s="40"/>
      <c r="G806" s="40"/>
      <c r="H806" s="40"/>
      <c r="I806" s="40"/>
      <c r="J806" s="41"/>
    </row>
    <row r="807" spans="2:10" s="1" customFormat="1" ht="12.75" x14ac:dyDescent="0.2">
      <c r="B807" s="46"/>
      <c r="C807" s="59"/>
      <c r="D807" s="60"/>
      <c r="E807" s="40"/>
      <c r="F807" s="40"/>
      <c r="G807" s="40"/>
      <c r="H807" s="40"/>
      <c r="I807" s="40"/>
      <c r="J807" s="41"/>
    </row>
    <row r="808" spans="2:10" s="1" customFormat="1" ht="12.75" x14ac:dyDescent="0.2">
      <c r="B808" s="46"/>
      <c r="C808" s="59"/>
      <c r="D808" s="60"/>
      <c r="E808" s="40"/>
      <c r="F808" s="40"/>
      <c r="G808" s="40"/>
      <c r="H808" s="40"/>
      <c r="I808" s="40"/>
      <c r="J808" s="41"/>
    </row>
    <row r="809" spans="2:10" s="1" customFormat="1" ht="12.75" x14ac:dyDescent="0.2">
      <c r="B809" s="46"/>
      <c r="C809" s="59"/>
      <c r="D809" s="60"/>
      <c r="E809" s="40"/>
      <c r="F809" s="40"/>
      <c r="G809" s="40"/>
      <c r="H809" s="40"/>
      <c r="I809" s="40"/>
      <c r="J809" s="41"/>
    </row>
    <row r="810" spans="2:10" s="1" customFormat="1" ht="12.75" x14ac:dyDescent="0.2">
      <c r="B810" s="46"/>
      <c r="C810" s="59"/>
      <c r="D810" s="60"/>
      <c r="E810" s="40"/>
      <c r="F810" s="40"/>
      <c r="G810" s="40"/>
      <c r="H810" s="40"/>
      <c r="I810" s="40"/>
      <c r="J810" s="41"/>
    </row>
    <row r="811" spans="2:10" s="1" customFormat="1" ht="12.75" x14ac:dyDescent="0.2">
      <c r="B811" s="46"/>
      <c r="C811" s="59"/>
      <c r="D811" s="60"/>
      <c r="E811" s="40"/>
      <c r="F811" s="40"/>
      <c r="G811" s="40"/>
      <c r="H811" s="40"/>
      <c r="I811" s="40"/>
      <c r="J811" s="41"/>
    </row>
    <row r="812" spans="2:10" s="1" customFormat="1" ht="12.75" x14ac:dyDescent="0.2">
      <c r="B812" s="46"/>
      <c r="C812" s="59"/>
      <c r="D812" s="60"/>
      <c r="E812" s="40"/>
      <c r="F812" s="40"/>
      <c r="G812" s="40"/>
      <c r="H812" s="40"/>
      <c r="I812" s="40"/>
      <c r="J812" s="41"/>
    </row>
    <row r="813" spans="2:10" s="1" customFormat="1" ht="12.75" x14ac:dyDescent="0.2">
      <c r="B813" s="46"/>
      <c r="C813" s="59"/>
      <c r="D813" s="60"/>
      <c r="E813" s="40"/>
      <c r="F813" s="40"/>
      <c r="G813" s="40"/>
      <c r="H813" s="40"/>
      <c r="I813" s="40"/>
      <c r="J813" s="41"/>
    </row>
    <row r="814" spans="2:10" s="1" customFormat="1" ht="12.75" x14ac:dyDescent="0.2">
      <c r="B814" s="46"/>
      <c r="C814" s="59"/>
      <c r="D814" s="60"/>
      <c r="E814" s="40"/>
      <c r="F814" s="40"/>
      <c r="G814" s="40"/>
      <c r="H814" s="40"/>
      <c r="I814" s="40"/>
      <c r="J814" s="41"/>
    </row>
    <row r="815" spans="2:10" s="1" customFormat="1" ht="12.75" x14ac:dyDescent="0.2">
      <c r="B815" s="46"/>
      <c r="C815" s="59"/>
      <c r="D815" s="60"/>
      <c r="E815" s="40"/>
      <c r="F815" s="40"/>
      <c r="G815" s="40"/>
      <c r="H815" s="40"/>
      <c r="I815" s="40"/>
      <c r="J815" s="41"/>
    </row>
    <row r="816" spans="2:10" s="1" customFormat="1" ht="12.75" x14ac:dyDescent="0.2">
      <c r="B816" s="46"/>
      <c r="C816" s="59"/>
      <c r="D816" s="60"/>
      <c r="E816" s="40"/>
      <c r="F816" s="40"/>
      <c r="G816" s="40"/>
      <c r="H816" s="40"/>
      <c r="I816" s="40"/>
      <c r="J816" s="41"/>
    </row>
    <row r="817" spans="2:10" s="1" customFormat="1" ht="12.75" x14ac:dyDescent="0.2">
      <c r="C817" s="499" t="s">
        <v>37</v>
      </c>
      <c r="D817" s="499"/>
      <c r="E817" s="499"/>
      <c r="F817" s="499"/>
      <c r="G817" s="499"/>
      <c r="H817" s="499"/>
    </row>
    <row r="818" spans="2:10" s="1" customFormat="1" ht="12.75" x14ac:dyDescent="0.2">
      <c r="C818" s="499" t="s">
        <v>38</v>
      </c>
      <c r="D818" s="499"/>
      <c r="E818" s="499"/>
      <c r="F818" s="499"/>
      <c r="G818" s="499"/>
      <c r="H818" s="499"/>
    </row>
    <row r="819" spans="2:10" s="1" customFormat="1" ht="12.75" x14ac:dyDescent="0.2">
      <c r="C819" s="499" t="s">
        <v>39</v>
      </c>
      <c r="D819" s="499"/>
      <c r="E819" s="499"/>
      <c r="F819" s="499"/>
      <c r="G819" s="499"/>
      <c r="H819" s="499"/>
    </row>
    <row r="820" spans="2:10" s="1" customFormat="1" ht="12.75" x14ac:dyDescent="0.2">
      <c r="C820" s="500" t="s">
        <v>40</v>
      </c>
      <c r="D820" s="500"/>
      <c r="E820" s="500"/>
      <c r="F820" s="500"/>
      <c r="G820" s="500"/>
      <c r="H820" s="500"/>
    </row>
    <row r="821" spans="2:10" s="1" customFormat="1" ht="12.75" x14ac:dyDescent="0.2">
      <c r="C821" s="78"/>
      <c r="D821" s="78"/>
      <c r="E821" s="78"/>
      <c r="F821" s="78"/>
      <c r="G821" s="78"/>
      <c r="H821" s="78"/>
    </row>
    <row r="822" spans="2:10" s="1" customFormat="1" ht="15.75" x14ac:dyDescent="0.2">
      <c r="B822" s="501" t="s">
        <v>65</v>
      </c>
      <c r="C822" s="502"/>
      <c r="D822" s="502"/>
      <c r="E822" s="502"/>
      <c r="F822" s="502"/>
      <c r="G822" s="502"/>
      <c r="H822" s="502"/>
      <c r="I822" s="502"/>
      <c r="J822" s="503"/>
    </row>
    <row r="823" spans="2:10" s="1" customFormat="1" ht="20.25" x14ac:dyDescent="0.2">
      <c r="B823" s="543" t="s">
        <v>364</v>
      </c>
      <c r="C823" s="544"/>
      <c r="D823" s="544"/>
      <c r="E823" s="544"/>
      <c r="F823" s="544"/>
      <c r="G823" s="544"/>
      <c r="H823" s="544"/>
      <c r="I823" s="544"/>
      <c r="J823" s="545"/>
    </row>
    <row r="824" spans="2:10" s="1" customFormat="1" ht="13.5" thickBot="1" x14ac:dyDescent="0.25">
      <c r="B824" s="79"/>
      <c r="C824" s="79"/>
      <c r="D824" s="79"/>
      <c r="E824" s="79"/>
      <c r="F824" s="79"/>
      <c r="G824" s="79"/>
      <c r="H824" s="79"/>
      <c r="I824" s="79"/>
      <c r="J824" s="79"/>
    </row>
    <row r="825" spans="2:10" s="1" customFormat="1" ht="32.25" customHeight="1" x14ac:dyDescent="0.2">
      <c r="B825" s="494" t="s">
        <v>27</v>
      </c>
      <c r="C825" s="495"/>
      <c r="D825" s="495"/>
      <c r="E825" s="495"/>
      <c r="F825" s="495"/>
      <c r="G825" s="495"/>
      <c r="H825" s="495"/>
      <c r="I825" s="495"/>
      <c r="J825" s="496"/>
    </row>
    <row r="826" spans="2:10" s="1" customFormat="1" ht="12.75" x14ac:dyDescent="0.2">
      <c r="B826" s="2" t="s">
        <v>35</v>
      </c>
      <c r="C826" s="3" t="s">
        <v>36</v>
      </c>
      <c r="D826" s="3"/>
      <c r="E826" s="4"/>
      <c r="F826" s="5"/>
      <c r="G826" s="6" t="s">
        <v>8</v>
      </c>
      <c r="H826" s="497">
        <v>42879</v>
      </c>
      <c r="I826" s="497"/>
      <c r="J826" s="7"/>
    </row>
    <row r="827" spans="2:10" s="1" customFormat="1" ht="12.75" x14ac:dyDescent="0.2">
      <c r="B827" s="2" t="s">
        <v>33</v>
      </c>
      <c r="C827" s="3" t="s">
        <v>29</v>
      </c>
      <c r="D827" s="8"/>
      <c r="E827" s="8"/>
      <c r="F827" s="3"/>
      <c r="G827" s="9" t="s">
        <v>32</v>
      </c>
      <c r="H827" s="4" t="s">
        <v>29</v>
      </c>
      <c r="I827" s="10"/>
      <c r="J827" s="11"/>
    </row>
    <row r="828" spans="2:10" s="1" customFormat="1" ht="12.75" x14ac:dyDescent="0.2">
      <c r="B828" s="2" t="s">
        <v>34</v>
      </c>
      <c r="C828" s="3" t="s">
        <v>29</v>
      </c>
      <c r="D828" s="8"/>
      <c r="E828" s="8"/>
      <c r="F828" s="3"/>
      <c r="G828" s="9" t="s">
        <v>30</v>
      </c>
      <c r="H828" s="4" t="s">
        <v>31</v>
      </c>
      <c r="I828" s="10"/>
      <c r="J828" s="11"/>
    </row>
    <row r="829" spans="2:10" s="1" customFormat="1" ht="13.5" thickBot="1" x14ac:dyDescent="0.25">
      <c r="B829" s="12" t="s">
        <v>43</v>
      </c>
      <c r="C829" s="13" t="s">
        <v>44</v>
      </c>
      <c r="D829" s="14"/>
      <c r="E829" s="14"/>
      <c r="F829" s="13"/>
      <c r="G829" s="15" t="s">
        <v>41</v>
      </c>
      <c r="H829" s="16" t="s">
        <v>42</v>
      </c>
      <c r="I829" s="17"/>
      <c r="J829" s="18"/>
    </row>
    <row r="830" spans="2:10" s="1" customFormat="1" ht="12.75" x14ac:dyDescent="0.2">
      <c r="B830" s="79"/>
      <c r="C830" s="79"/>
      <c r="D830" s="79"/>
      <c r="E830" s="79"/>
      <c r="F830" s="79"/>
      <c r="G830" s="79"/>
      <c r="H830" s="79"/>
      <c r="I830" s="79"/>
      <c r="J830" s="79"/>
    </row>
    <row r="831" spans="2:10" s="1" customFormat="1" ht="12.75" x14ac:dyDescent="0.2">
      <c r="B831" s="21" t="s">
        <v>5</v>
      </c>
      <c r="C831" s="22" t="s">
        <v>0</v>
      </c>
      <c r="D831" s="22" t="s">
        <v>9</v>
      </c>
      <c r="E831" s="22" t="s">
        <v>10</v>
      </c>
      <c r="F831" s="22" t="s">
        <v>1</v>
      </c>
      <c r="G831" s="22" t="s">
        <v>2</v>
      </c>
      <c r="H831" s="22" t="s">
        <v>11</v>
      </c>
      <c r="I831" s="22" t="s">
        <v>6</v>
      </c>
      <c r="J831" s="22" t="s">
        <v>7</v>
      </c>
    </row>
    <row r="832" spans="2:10" s="1" customFormat="1" ht="12.75" x14ac:dyDescent="0.2">
      <c r="B832" s="55">
        <v>4.03</v>
      </c>
      <c r="C832" s="56" t="s">
        <v>222</v>
      </c>
      <c r="D832" s="60"/>
      <c r="E832" s="40"/>
      <c r="F832" s="40"/>
      <c r="G832" s="40"/>
      <c r="H832" s="40"/>
      <c r="I832" s="40"/>
      <c r="J832" s="41"/>
    </row>
    <row r="833" spans="2:10" s="1" customFormat="1" ht="12.75" x14ac:dyDescent="0.2">
      <c r="B833" s="57" t="s">
        <v>14</v>
      </c>
      <c r="C833" s="58" t="s">
        <v>225</v>
      </c>
      <c r="D833" s="60"/>
      <c r="E833" s="40"/>
      <c r="F833" s="40"/>
      <c r="G833" s="40"/>
      <c r="H833" s="40"/>
      <c r="I833" s="40"/>
      <c r="J833" s="41"/>
    </row>
    <row r="834" spans="2:10" s="1" customFormat="1" ht="12.75" x14ac:dyDescent="0.2">
      <c r="B834" s="43" t="s">
        <v>15</v>
      </c>
      <c r="C834" s="43" t="s">
        <v>359</v>
      </c>
      <c r="D834" s="60"/>
      <c r="E834" s="40"/>
      <c r="F834" s="40"/>
      <c r="G834" s="40"/>
      <c r="H834" s="40"/>
      <c r="I834" s="44">
        <f>SUM(H835:H835)</f>
        <v>5</v>
      </c>
      <c r="J834" s="45" t="str">
        <f>+J835</f>
        <v>ml</v>
      </c>
    </row>
    <row r="835" spans="2:10" s="1" customFormat="1" ht="12.75" x14ac:dyDescent="0.2">
      <c r="B835" s="43"/>
      <c r="C835" s="39" t="s">
        <v>387</v>
      </c>
      <c r="D835" s="40">
        <v>1</v>
      </c>
      <c r="E835" s="40">
        <v>5</v>
      </c>
      <c r="F835" s="40"/>
      <c r="G835" s="40"/>
      <c r="H835" s="40">
        <f>IF(AND(F835=0,G835=0),D835*E835,IF(AND(E835=0,G835=0),D835*F835,IF(AND(E835=0,F835=0),D835*G835,IF(AND(E835=0),D835*F835*G835,IF(AND(F835=0),D835*E835*G835,IF(AND(G835=0),D835*E835*F835,D835*E835*F835*G835))))))</f>
        <v>5</v>
      </c>
      <c r="I835" s="40"/>
      <c r="J835" s="41" t="str">
        <f>IF(AND(E835=0,F835&lt;&gt;0,G835&lt;&gt;0),"m2",IF(AND(F835=0,E835&lt;&gt;0,G835&lt;&gt;0),"m2",IF(AND(G835=0,E835&lt;&gt;0,F835&lt;&gt;0),"m2",IF(AND(F835=0,G835=0),"ml",IF(AND(E835=0,G835=0),"ml",IF(AND(E835=0,F835=0),"ml",IF(AND(E835&lt;&gt;0,F835&lt;&gt;0,G835&lt;&gt;0),"m3",0)))))))</f>
        <v>ml</v>
      </c>
    </row>
    <row r="836" spans="2:10" s="1" customFormat="1" ht="12.75" x14ac:dyDescent="0.2">
      <c r="B836" s="43"/>
      <c r="C836" s="39"/>
      <c r="D836" s="40"/>
      <c r="E836" s="40"/>
      <c r="F836" s="40"/>
      <c r="G836" s="40"/>
      <c r="H836" s="40">
        <f>IF(AND(F836=0,G836=0),D836*E836,IF(AND(E836=0,G836=0),D836*F836,IF(AND(E836=0,F836=0),D836*G836,IF(AND(E836=0),D836*F836*G836,IF(AND(F836=0),D836*E836*G836,IF(AND(G836=0),D836*E836*F836,D836*E836*F836*G836))))))</f>
        <v>0</v>
      </c>
      <c r="I836" s="40"/>
      <c r="J836" s="41" t="str">
        <f>IF(AND(E836=0,F836&lt;&gt;0,G836&lt;&gt;0),"m2",IF(AND(F836=0,E836&lt;&gt;0,G836&lt;&gt;0),"m2",IF(AND(G836=0,E836&lt;&gt;0,F836&lt;&gt;0),"m2",IF(AND(F836=0,G836=0),"ml",IF(AND(E836=0,G836=0),"ml",IF(AND(E836=0,F836=0),"ml",IF(AND(E836&lt;&gt;0,F836&lt;&gt;0,G836&lt;&gt;0),"m3",0)))))))</f>
        <v>ml</v>
      </c>
    </row>
    <row r="837" spans="2:10" s="1" customFormat="1" ht="12.75" x14ac:dyDescent="0.2">
      <c r="B837" s="43" t="s">
        <v>232</v>
      </c>
      <c r="C837" s="43" t="s">
        <v>235</v>
      </c>
      <c r="D837" s="60"/>
      <c r="E837" s="40"/>
      <c r="F837" s="40"/>
      <c r="G837" s="40"/>
      <c r="H837" s="40"/>
      <c r="I837" s="44">
        <f>SUM(H838:H838)</f>
        <v>0</v>
      </c>
      <c r="J837" s="45" t="str">
        <f>+J838</f>
        <v>ml</v>
      </c>
    </row>
    <row r="838" spans="2:10" s="1" customFormat="1" ht="12.75" x14ac:dyDescent="0.2">
      <c r="B838" s="57"/>
      <c r="C838" s="39" t="s">
        <v>378</v>
      </c>
      <c r="D838" s="40"/>
      <c r="E838" s="40"/>
      <c r="F838" s="40"/>
      <c r="G838" s="40"/>
      <c r="H838" s="40">
        <f>IF(AND(F838=0,G838=0),D838*E838,IF(AND(E838=0,G838=0),D838*F838,IF(AND(E838=0,F838=0),D838*G838,IF(AND(E838=0),D838*F838*G838,IF(AND(F838=0),D838*E838*G838,IF(AND(G838=0),D838*E838*F838,D838*E838*F838*G838))))))</f>
        <v>0</v>
      </c>
      <c r="I838" s="40"/>
      <c r="J838" s="41" t="str">
        <f>IF(AND(E838=0,F838&lt;&gt;0,G838&lt;&gt;0),"m2",IF(AND(F838=0,E838&lt;&gt;0,G838&lt;&gt;0),"m2",IF(AND(G838=0,E838&lt;&gt;0,F838&lt;&gt;0),"m2",IF(AND(F838=0,G838=0),"ml",IF(AND(E838=0,G838=0),"ml",IF(AND(E838=0,F838=0),"ml",IF(AND(E838&lt;&gt;0,F838&lt;&gt;0,G838&lt;&gt;0),"m3",0)))))))</f>
        <v>ml</v>
      </c>
    </row>
    <row r="839" spans="2:10" s="1" customFormat="1" ht="12.75" x14ac:dyDescent="0.2">
      <c r="B839" s="57"/>
      <c r="C839" s="39" t="s">
        <v>379</v>
      </c>
      <c r="D839" s="40"/>
      <c r="E839" s="40"/>
      <c r="F839" s="40"/>
      <c r="G839" s="40"/>
      <c r="H839" s="40">
        <f>IF(AND(F839=0,G839=0),D839*E839,IF(AND(E839=0,G839=0),D839*F839,IF(AND(E839=0,F839=0),D839*G839,IF(AND(E839=0),D839*F839*G839,IF(AND(F839=0),D839*E839*G839,IF(AND(G839=0),D839*E839*F839,D839*E839*F839*G839))))))</f>
        <v>0</v>
      </c>
      <c r="I839" s="40"/>
      <c r="J839" s="41" t="str">
        <f>IF(AND(E839=0,F839&lt;&gt;0,G839&lt;&gt;0),"m2",IF(AND(F839=0,E839&lt;&gt;0,G839&lt;&gt;0),"m2",IF(AND(G839=0,E839&lt;&gt;0,F839&lt;&gt;0),"m2",IF(AND(F839=0,G839=0),"ml",IF(AND(E839=0,G839=0),"ml",IF(AND(E839=0,F839=0),"ml",IF(AND(E839&lt;&gt;0,F839&lt;&gt;0,G839&lt;&gt;0),"m3",0)))))))</f>
        <v>ml</v>
      </c>
    </row>
    <row r="840" spans="2:10" s="1" customFormat="1" ht="12.75" x14ac:dyDescent="0.2">
      <c r="B840" s="43" t="s">
        <v>233</v>
      </c>
      <c r="C840" s="43" t="s">
        <v>236</v>
      </c>
      <c r="D840" s="60"/>
      <c r="E840" s="40"/>
      <c r="F840" s="40"/>
      <c r="G840" s="40"/>
      <c r="H840" s="40"/>
      <c r="I840" s="44">
        <f>SUM(H841:H841)</f>
        <v>103.6</v>
      </c>
      <c r="J840" s="45" t="str">
        <f>+J841</f>
        <v>ml</v>
      </c>
    </row>
    <row r="841" spans="2:10" s="1" customFormat="1" ht="12.75" x14ac:dyDescent="0.2">
      <c r="B841" s="57"/>
      <c r="C841" s="39" t="s">
        <v>378</v>
      </c>
      <c r="D841" s="40">
        <v>8</v>
      </c>
      <c r="E841" s="40">
        <v>12.95</v>
      </c>
      <c r="F841" s="40"/>
      <c r="G841" s="40"/>
      <c r="H841" s="40">
        <f>IF(AND(F841=0,G841=0),D841*E841,IF(AND(E841=0,G841=0),D841*F841,IF(AND(E841=0,F841=0),D841*G841,IF(AND(E841=0),D841*F841*G841,IF(AND(F841=0),D841*E841*G841,IF(AND(G841=0),D841*E841*F841,D841*E841*F841*G841))))))</f>
        <v>103.6</v>
      </c>
      <c r="I841" s="40"/>
      <c r="J841" s="41" t="str">
        <f>IF(AND(E841=0,F841&lt;&gt;0,G841&lt;&gt;0),"m2",IF(AND(F841=0,E841&lt;&gt;0,G841&lt;&gt;0),"m2",IF(AND(G841=0,E841&lt;&gt;0,F841&lt;&gt;0),"m2",IF(AND(F841=0,G841=0),"ml",IF(AND(E841=0,G841=0),"ml",IF(AND(E841=0,F841=0),"ml",IF(AND(E841&lt;&gt;0,F841&lt;&gt;0,G841&lt;&gt;0),"m3",0)))))))</f>
        <v>ml</v>
      </c>
    </row>
    <row r="842" spans="2:10" s="1" customFormat="1" ht="12.75" x14ac:dyDescent="0.2">
      <c r="B842" s="57"/>
      <c r="C842" s="39" t="s">
        <v>379</v>
      </c>
      <c r="D842" s="40">
        <v>1</v>
      </c>
      <c r="E842" s="40">
        <v>33.65</v>
      </c>
      <c r="F842" s="40"/>
      <c r="G842" s="40"/>
      <c r="H842" s="40">
        <f>IF(AND(F842=0,G842=0),D842*E842,IF(AND(E842=0,G842=0),D842*F842,IF(AND(E842=0,F842=0),D842*G842,IF(AND(E842=0),D842*F842*G842,IF(AND(F842=0),D842*E842*G842,IF(AND(G842=0),D842*E842*F842,D842*E842*F842*G842))))))</f>
        <v>33.65</v>
      </c>
      <c r="I842" s="40"/>
      <c r="J842" s="41" t="str">
        <f>IF(AND(E842=0,F842&lt;&gt;0,G842&lt;&gt;0),"m2",IF(AND(F842=0,E842&lt;&gt;0,G842&lt;&gt;0),"m2",IF(AND(G842=0,E842&lt;&gt;0,F842&lt;&gt;0),"m2",IF(AND(F842=0,G842=0),"ml",IF(AND(E842=0,G842=0),"ml",IF(AND(E842=0,F842=0),"ml",IF(AND(E842&lt;&gt;0,F842&lt;&gt;0,G842&lt;&gt;0),"m3",0)))))))</f>
        <v>ml</v>
      </c>
    </row>
    <row r="843" spans="2:10" s="1" customFormat="1" ht="12.75" x14ac:dyDescent="0.2">
      <c r="B843" s="43" t="s">
        <v>234</v>
      </c>
      <c r="C843" s="43" t="s">
        <v>267</v>
      </c>
      <c r="D843" s="60"/>
      <c r="E843" s="40"/>
      <c r="F843" s="40"/>
      <c r="G843" s="40"/>
      <c r="H843" s="40"/>
      <c r="I843" s="44">
        <f>SUM(H845:H850)</f>
        <v>32</v>
      </c>
      <c r="J843" s="45" t="str">
        <f>+J845</f>
        <v>ml</v>
      </c>
    </row>
    <row r="844" spans="2:10" s="1" customFormat="1" ht="12.75" x14ac:dyDescent="0.2">
      <c r="B844" s="43"/>
      <c r="C844" s="77" t="s">
        <v>71</v>
      </c>
      <c r="D844" s="60"/>
      <c r="E844" s="40"/>
      <c r="F844" s="40"/>
      <c r="G844" s="40"/>
      <c r="H844" s="40"/>
      <c r="I844" s="44"/>
      <c r="J844" s="45"/>
    </row>
    <row r="845" spans="2:10" s="1" customFormat="1" ht="12.75" x14ac:dyDescent="0.2">
      <c r="B845" s="43"/>
      <c r="C845" s="39" t="s">
        <v>349</v>
      </c>
      <c r="D845" s="40">
        <v>4</v>
      </c>
      <c r="E845" s="40">
        <v>3.25</v>
      </c>
      <c r="F845" s="40"/>
      <c r="G845" s="40"/>
      <c r="H845" s="40">
        <f t="shared" ref="H845:H850" si="37">IF(AND(F845=0,G845=0),D845*E845,IF(AND(E845=0,G845=0),D845*F845,IF(AND(E845=0,F845=0),D845*G845,IF(AND(E845=0),D845*F845*G845,IF(AND(F845=0),D845*E845*G845,IF(AND(G845=0),D845*E845*F845,D845*E845*F845*G845))))))</f>
        <v>13</v>
      </c>
      <c r="I845" s="40"/>
      <c r="J845" s="41" t="str">
        <f t="shared" ref="J845:J850" si="38">IF(AND(E845=0,F845&lt;&gt;0,G845&lt;&gt;0),"m2",IF(AND(F845=0,E845&lt;&gt;0,G845&lt;&gt;0),"m2",IF(AND(G845=0,E845&lt;&gt;0,F845&lt;&gt;0),"m2",IF(AND(F845=0,G845=0),"ml",IF(AND(E845=0,G845=0),"ml",IF(AND(E845=0,F845=0),"ml",IF(AND(E845&lt;&gt;0,F845&lt;&gt;0,G845&lt;&gt;0),"m3",0)))))))</f>
        <v>ml</v>
      </c>
    </row>
    <row r="846" spans="2:10" s="1" customFormat="1" ht="12.75" x14ac:dyDescent="0.2">
      <c r="B846" s="43"/>
      <c r="C846" s="39" t="s">
        <v>369</v>
      </c>
      <c r="D846" s="40">
        <v>2</v>
      </c>
      <c r="E846" s="40">
        <v>3</v>
      </c>
      <c r="F846" s="40"/>
      <c r="G846" s="40"/>
      <c r="H846" s="40">
        <f t="shared" si="37"/>
        <v>6</v>
      </c>
      <c r="I846" s="40"/>
      <c r="J846" s="41" t="str">
        <f t="shared" si="38"/>
        <v>ml</v>
      </c>
    </row>
    <row r="847" spans="2:10" s="1" customFormat="1" ht="12.75" x14ac:dyDescent="0.2">
      <c r="B847" s="43"/>
      <c r="C847" s="77" t="s">
        <v>72</v>
      </c>
      <c r="D847" s="40"/>
      <c r="E847" s="40"/>
      <c r="F847" s="40"/>
      <c r="G847" s="40"/>
      <c r="H847" s="40">
        <f t="shared" si="37"/>
        <v>0</v>
      </c>
      <c r="I847" s="40"/>
      <c r="J847" s="41" t="str">
        <f t="shared" si="38"/>
        <v>ml</v>
      </c>
    </row>
    <row r="848" spans="2:10" s="1" customFormat="1" ht="12.75" x14ac:dyDescent="0.2">
      <c r="B848" s="43"/>
      <c r="C848" s="39" t="s">
        <v>349</v>
      </c>
      <c r="D848" s="40">
        <v>2</v>
      </c>
      <c r="E848" s="40">
        <v>3.25</v>
      </c>
      <c r="F848" s="40"/>
      <c r="G848" s="40"/>
      <c r="H848" s="40">
        <f t="shared" si="37"/>
        <v>6.5</v>
      </c>
      <c r="I848" s="40"/>
      <c r="J848" s="41" t="str">
        <f t="shared" si="38"/>
        <v>ml</v>
      </c>
    </row>
    <row r="849" spans="2:10" s="1" customFormat="1" ht="12.75" x14ac:dyDescent="0.2">
      <c r="B849" s="43"/>
      <c r="C849" s="77" t="s">
        <v>73</v>
      </c>
      <c r="D849" s="40"/>
      <c r="E849" s="40"/>
      <c r="F849" s="40"/>
      <c r="G849" s="40"/>
      <c r="H849" s="40">
        <f t="shared" si="37"/>
        <v>0</v>
      </c>
      <c r="I849" s="40"/>
      <c r="J849" s="41" t="str">
        <f t="shared" si="38"/>
        <v>ml</v>
      </c>
    </row>
    <row r="850" spans="2:10" s="1" customFormat="1" ht="12.75" x14ac:dyDescent="0.2">
      <c r="B850" s="43"/>
      <c r="C850" s="39" t="s">
        <v>349</v>
      </c>
      <c r="D850" s="40">
        <v>2</v>
      </c>
      <c r="E850" s="40">
        <v>3.25</v>
      </c>
      <c r="F850" s="40"/>
      <c r="G850" s="40"/>
      <c r="H850" s="40">
        <f t="shared" si="37"/>
        <v>6.5</v>
      </c>
      <c r="I850" s="40"/>
      <c r="J850" s="41" t="str">
        <f t="shared" si="38"/>
        <v>ml</v>
      </c>
    </row>
    <row r="851" spans="2:10" s="1" customFormat="1" ht="12.75" x14ac:dyDescent="0.2">
      <c r="B851" s="43" t="s">
        <v>268</v>
      </c>
      <c r="C851" s="43" t="s">
        <v>347</v>
      </c>
      <c r="D851" s="60"/>
      <c r="E851" s="40"/>
      <c r="F851" s="40"/>
      <c r="G851" s="40"/>
      <c r="H851" s="40"/>
      <c r="I851" s="44">
        <f>SUM(H852:H858)</f>
        <v>11.75</v>
      </c>
      <c r="J851" s="45" t="str">
        <f>+J852</f>
        <v>ml</v>
      </c>
    </row>
    <row r="852" spans="2:10" s="1" customFormat="1" ht="12.75" x14ac:dyDescent="0.2">
      <c r="B852" s="57"/>
      <c r="C852" s="77" t="s">
        <v>71</v>
      </c>
      <c r="D852" s="40"/>
      <c r="E852" s="40"/>
      <c r="F852" s="40"/>
      <c r="G852" s="40"/>
      <c r="H852" s="40">
        <f t="shared" ref="H852:H858" si="39">IF(AND(F852=0,G852=0),D852*E852,IF(AND(E852=0,G852=0),D852*F852,IF(AND(E852=0,F852=0),D852*G852,IF(AND(E852=0),D852*F852*G852,IF(AND(F852=0),D852*E852*G852,IF(AND(G852=0),D852*E852*F852,D852*E852*F852*G852))))))</f>
        <v>0</v>
      </c>
      <c r="I852" s="40"/>
      <c r="J852" s="41" t="str">
        <f t="shared" ref="J852:J858" si="40">IF(AND(E852=0,F852&lt;&gt;0,G852&lt;&gt;0),"m2",IF(AND(F852=0,E852&lt;&gt;0,G852&lt;&gt;0),"m2",IF(AND(G852=0,E852&lt;&gt;0,F852&lt;&gt;0),"m2",IF(AND(F852=0,G852=0),"ml",IF(AND(E852=0,G852=0),"ml",IF(AND(E852=0,F852=0),"ml",IF(AND(E852&lt;&gt;0,F852&lt;&gt;0,G852&lt;&gt;0),"m3",0)))))))</f>
        <v>ml</v>
      </c>
    </row>
    <row r="853" spans="2:10" s="1" customFormat="1" ht="12.75" x14ac:dyDescent="0.2">
      <c r="B853" s="57"/>
      <c r="C853" s="39" t="s">
        <v>349</v>
      </c>
      <c r="D853" s="40">
        <v>1</v>
      </c>
      <c r="E853" s="40">
        <v>3.25</v>
      </c>
      <c r="F853" s="40"/>
      <c r="G853" s="40"/>
      <c r="H853" s="40">
        <f t="shared" si="39"/>
        <v>3.25</v>
      </c>
      <c r="I853" s="40"/>
      <c r="J853" s="41" t="str">
        <f t="shared" si="40"/>
        <v>ml</v>
      </c>
    </row>
    <row r="854" spans="2:10" s="1" customFormat="1" ht="12.75" x14ac:dyDescent="0.2">
      <c r="B854" s="57"/>
      <c r="C854" s="39" t="s">
        <v>369</v>
      </c>
      <c r="D854" s="40">
        <v>1</v>
      </c>
      <c r="E854" s="40">
        <v>2</v>
      </c>
      <c r="F854" s="40"/>
      <c r="G854" s="40"/>
      <c r="H854" s="40">
        <f t="shared" si="39"/>
        <v>2</v>
      </c>
      <c r="I854" s="40"/>
      <c r="J854" s="41" t="str">
        <f t="shared" si="40"/>
        <v>ml</v>
      </c>
    </row>
    <row r="855" spans="2:10" s="1" customFormat="1" ht="12.75" x14ac:dyDescent="0.2">
      <c r="B855" s="57"/>
      <c r="C855" s="77" t="s">
        <v>72</v>
      </c>
      <c r="D855" s="40"/>
      <c r="E855" s="40"/>
      <c r="F855" s="40"/>
      <c r="G855" s="40"/>
      <c r="H855" s="40">
        <f t="shared" si="39"/>
        <v>0</v>
      </c>
      <c r="I855" s="40"/>
      <c r="J855" s="41" t="str">
        <f t="shared" si="40"/>
        <v>ml</v>
      </c>
    </row>
    <row r="856" spans="2:10" s="1" customFormat="1" ht="12.75" x14ac:dyDescent="0.2">
      <c r="B856" s="57"/>
      <c r="C856" s="39" t="s">
        <v>349</v>
      </c>
      <c r="D856" s="40">
        <v>1</v>
      </c>
      <c r="E856" s="40">
        <v>3.25</v>
      </c>
      <c r="F856" s="40"/>
      <c r="G856" s="40"/>
      <c r="H856" s="40">
        <f t="shared" si="39"/>
        <v>3.25</v>
      </c>
      <c r="I856" s="40"/>
      <c r="J856" s="41" t="str">
        <f t="shared" si="40"/>
        <v>ml</v>
      </c>
    </row>
    <row r="857" spans="2:10" s="1" customFormat="1" ht="12.75" x14ac:dyDescent="0.2">
      <c r="B857" s="57"/>
      <c r="C857" s="77" t="s">
        <v>73</v>
      </c>
      <c r="D857" s="40"/>
      <c r="E857" s="40"/>
      <c r="F857" s="40"/>
      <c r="G857" s="40"/>
      <c r="H857" s="40">
        <f t="shared" si="39"/>
        <v>0</v>
      </c>
      <c r="I857" s="40"/>
      <c r="J857" s="41" t="str">
        <f t="shared" si="40"/>
        <v>ml</v>
      </c>
    </row>
    <row r="858" spans="2:10" s="1" customFormat="1" ht="12.75" x14ac:dyDescent="0.2">
      <c r="B858" s="57"/>
      <c r="C858" s="39" t="s">
        <v>349</v>
      </c>
      <c r="D858" s="40">
        <v>1</v>
      </c>
      <c r="E858" s="40">
        <v>3.25</v>
      </c>
      <c r="F858" s="40"/>
      <c r="G858" s="40"/>
      <c r="H858" s="40">
        <f t="shared" si="39"/>
        <v>3.25</v>
      </c>
      <c r="I858" s="40"/>
      <c r="J858" s="41" t="str">
        <f t="shared" si="40"/>
        <v>ml</v>
      </c>
    </row>
    <row r="859" spans="2:10" s="1" customFormat="1" ht="12.75" x14ac:dyDescent="0.2">
      <c r="B859" s="43" t="s">
        <v>270</v>
      </c>
      <c r="C859" s="43" t="s">
        <v>269</v>
      </c>
      <c r="D859" s="60"/>
      <c r="E859" s="40"/>
      <c r="F859" s="40"/>
      <c r="G859" s="40"/>
      <c r="H859" s="40"/>
      <c r="I859" s="44">
        <f>SUM(H860:H866)</f>
        <v>0</v>
      </c>
      <c r="J859" s="45" t="str">
        <f>+J860</f>
        <v>ml</v>
      </c>
    </row>
    <row r="860" spans="2:10" s="1" customFormat="1" ht="12.75" x14ac:dyDescent="0.2">
      <c r="B860" s="43"/>
      <c r="C860" s="77" t="s">
        <v>71</v>
      </c>
      <c r="D860" s="40"/>
      <c r="E860" s="40"/>
      <c r="F860" s="40"/>
      <c r="G860" s="40"/>
      <c r="H860" s="40">
        <f t="shared" ref="H860:H866" si="41">IF(AND(F860=0,G860=0),D860*E860,IF(AND(E860=0,G860=0),D860*F860,IF(AND(E860=0,F860=0),D860*G860,IF(AND(E860=0),D860*F860*G860,IF(AND(F860=0),D860*E860*G860,IF(AND(G860=0),D860*E860*F860,D860*E860*F860*G860))))))</f>
        <v>0</v>
      </c>
      <c r="I860" s="40"/>
      <c r="J860" s="41" t="str">
        <f t="shared" ref="J860:J866" si="42">IF(AND(E860=0,F860&lt;&gt;0,G860&lt;&gt;0),"m2",IF(AND(F860=0,E860&lt;&gt;0,G860&lt;&gt;0),"m2",IF(AND(G860=0,E860&lt;&gt;0,F860&lt;&gt;0),"m2",IF(AND(F860=0,G860=0),"ml",IF(AND(E860=0,G860=0),"ml",IF(AND(E860=0,F860=0),"ml",IF(AND(E860&lt;&gt;0,F860&lt;&gt;0,G860&lt;&gt;0),"m3",0)))))))</f>
        <v>ml</v>
      </c>
    </row>
    <row r="861" spans="2:10" s="1" customFormat="1" ht="12.75" x14ac:dyDescent="0.2">
      <c r="B861" s="43"/>
      <c r="C861" s="39" t="s">
        <v>349</v>
      </c>
      <c r="D861" s="40"/>
      <c r="E861" s="40"/>
      <c r="F861" s="40"/>
      <c r="G861" s="40"/>
      <c r="H861" s="40">
        <f t="shared" si="41"/>
        <v>0</v>
      </c>
      <c r="I861" s="40"/>
      <c r="J861" s="41" t="str">
        <f t="shared" si="42"/>
        <v>ml</v>
      </c>
    </row>
    <row r="862" spans="2:10" s="1" customFormat="1" ht="12.75" x14ac:dyDescent="0.2">
      <c r="B862" s="43"/>
      <c r="C862" s="39" t="s">
        <v>369</v>
      </c>
      <c r="D862" s="40"/>
      <c r="E862" s="40"/>
      <c r="F862" s="40"/>
      <c r="G862" s="40"/>
      <c r="H862" s="40">
        <f t="shared" si="41"/>
        <v>0</v>
      </c>
      <c r="I862" s="40"/>
      <c r="J862" s="41" t="str">
        <f t="shared" si="42"/>
        <v>ml</v>
      </c>
    </row>
    <row r="863" spans="2:10" s="1" customFormat="1" ht="12.75" x14ac:dyDescent="0.2">
      <c r="B863" s="43"/>
      <c r="C863" s="77" t="s">
        <v>72</v>
      </c>
      <c r="D863" s="40"/>
      <c r="E863" s="40"/>
      <c r="F863" s="40"/>
      <c r="G863" s="40"/>
      <c r="H863" s="40">
        <f t="shared" si="41"/>
        <v>0</v>
      </c>
      <c r="I863" s="40"/>
      <c r="J863" s="41" t="str">
        <f t="shared" si="42"/>
        <v>ml</v>
      </c>
    </row>
    <row r="864" spans="2:10" s="1" customFormat="1" ht="12.75" x14ac:dyDescent="0.2">
      <c r="B864" s="43"/>
      <c r="C864" s="39" t="s">
        <v>349</v>
      </c>
      <c r="D864" s="40"/>
      <c r="E864" s="40"/>
      <c r="F864" s="40"/>
      <c r="G864" s="40"/>
      <c r="H864" s="40">
        <f t="shared" si="41"/>
        <v>0</v>
      </c>
      <c r="I864" s="40"/>
      <c r="J864" s="41" t="str">
        <f t="shared" si="42"/>
        <v>ml</v>
      </c>
    </row>
    <row r="865" spans="2:10" s="1" customFormat="1" ht="12.75" x14ac:dyDescent="0.2">
      <c r="B865" s="43"/>
      <c r="C865" s="77" t="s">
        <v>73</v>
      </c>
      <c r="D865" s="40"/>
      <c r="E865" s="40"/>
      <c r="F865" s="40"/>
      <c r="G865" s="40"/>
      <c r="H865" s="40">
        <f t="shared" si="41"/>
        <v>0</v>
      </c>
      <c r="I865" s="40"/>
      <c r="J865" s="41" t="str">
        <f t="shared" si="42"/>
        <v>ml</v>
      </c>
    </row>
    <row r="866" spans="2:10" s="1" customFormat="1" ht="12.75" x14ac:dyDescent="0.2">
      <c r="B866" s="43"/>
      <c r="C866" s="39" t="s">
        <v>349</v>
      </c>
      <c r="D866" s="40"/>
      <c r="E866" s="40"/>
      <c r="F866" s="40"/>
      <c r="G866" s="40"/>
      <c r="H866" s="40">
        <f t="shared" si="41"/>
        <v>0</v>
      </c>
      <c r="I866" s="40"/>
      <c r="J866" s="41" t="str">
        <f t="shared" si="42"/>
        <v>ml</v>
      </c>
    </row>
    <row r="867" spans="2:10" s="1" customFormat="1" ht="12.75" x14ac:dyDescent="0.2">
      <c r="B867" s="43" t="s">
        <v>342</v>
      </c>
      <c r="C867" s="43" t="s">
        <v>271</v>
      </c>
      <c r="D867" s="60"/>
      <c r="E867" s="40"/>
      <c r="F867" s="40"/>
      <c r="G867" s="40"/>
      <c r="H867" s="40"/>
      <c r="I867" s="44">
        <f>SUM(H868:H868)</f>
        <v>2</v>
      </c>
      <c r="J867" s="45" t="str">
        <f>+J868</f>
        <v>und</v>
      </c>
    </row>
    <row r="868" spans="2:10" s="1" customFormat="1" ht="12.75" x14ac:dyDescent="0.2">
      <c r="B868" s="57"/>
      <c r="C868" s="39" t="s">
        <v>370</v>
      </c>
      <c r="D868" s="40">
        <v>2</v>
      </c>
      <c r="E868" s="40"/>
      <c r="F868" s="40"/>
      <c r="G868" s="40"/>
      <c r="H868" s="40">
        <f>+D868</f>
        <v>2</v>
      </c>
      <c r="I868" s="40"/>
      <c r="J868" s="41" t="s">
        <v>13</v>
      </c>
    </row>
    <row r="869" spans="2:10" s="1" customFormat="1" ht="12.75" x14ac:dyDescent="0.2">
      <c r="B869" s="43" t="s">
        <v>346</v>
      </c>
      <c r="C869" s="43" t="s">
        <v>348</v>
      </c>
      <c r="D869" s="60"/>
      <c r="E869" s="40"/>
      <c r="F869" s="40"/>
      <c r="G869" s="40"/>
      <c r="H869" s="40"/>
      <c r="I869" s="44">
        <f>SUM(H870:H870)</f>
        <v>2</v>
      </c>
      <c r="J869" s="45" t="str">
        <f>+J870</f>
        <v>und</v>
      </c>
    </row>
    <row r="870" spans="2:10" s="1" customFormat="1" ht="12.75" x14ac:dyDescent="0.2">
      <c r="B870" s="57"/>
      <c r="C870" s="39" t="s">
        <v>349</v>
      </c>
      <c r="D870" s="40">
        <v>2</v>
      </c>
      <c r="E870" s="40"/>
      <c r="F870" s="40"/>
      <c r="G870" s="40"/>
      <c r="H870" s="40">
        <f>+D870</f>
        <v>2</v>
      </c>
      <c r="I870" s="40"/>
      <c r="J870" s="41" t="s">
        <v>13</v>
      </c>
    </row>
    <row r="871" spans="2:10" s="1" customFormat="1" ht="12.75" x14ac:dyDescent="0.2">
      <c r="B871" s="57" t="s">
        <v>16</v>
      </c>
      <c r="C871" s="58" t="s">
        <v>224</v>
      </c>
      <c r="D871" s="60"/>
      <c r="E871" s="40"/>
      <c r="F871" s="40"/>
      <c r="G871" s="40"/>
      <c r="H871" s="40"/>
      <c r="I871" s="40"/>
      <c r="J871" s="41"/>
    </row>
    <row r="872" spans="2:10" s="1" customFormat="1" ht="12.75" x14ac:dyDescent="0.2">
      <c r="B872" s="43" t="s">
        <v>17</v>
      </c>
      <c r="C872" s="43" t="s">
        <v>343</v>
      </c>
      <c r="D872" s="60"/>
      <c r="E872" s="40"/>
      <c r="F872" s="40"/>
      <c r="G872" s="40"/>
      <c r="H872" s="40"/>
      <c r="I872" s="44">
        <f>SUM(H873:H873)</f>
        <v>0</v>
      </c>
      <c r="J872" s="45" t="str">
        <f>+J873</f>
        <v>ml</v>
      </c>
    </row>
    <row r="873" spans="2:10" s="1" customFormat="1" ht="12.75" x14ac:dyDescent="0.2">
      <c r="B873" s="57"/>
      <c r="C873" s="39" t="s">
        <v>344</v>
      </c>
      <c r="D873" s="40"/>
      <c r="E873" s="40"/>
      <c r="F873" s="40"/>
      <c r="G873" s="40"/>
      <c r="H873" s="40">
        <f>IF(AND(F873=0,G873=0),D873*E873,IF(AND(E873=0,G873=0),D873*F873,IF(AND(E873=0,F873=0),D873*G873,IF(AND(E873=0),D873*F873*G873,IF(AND(F873=0),D873*E873*G873,IF(AND(G873=0),D873*E873*F873,D873*E873*F873*G873))))))</f>
        <v>0</v>
      </c>
      <c r="I873" s="40"/>
      <c r="J873" s="41" t="str">
        <f>IF(AND(E873=0,F873&lt;&gt;0,G873&lt;&gt;0),"m2",IF(AND(F873=0,E873&lt;&gt;0,G873&lt;&gt;0),"m2",IF(AND(G873=0,E873&lt;&gt;0,F873&lt;&gt;0),"m2",IF(AND(F873=0,G873=0),"ml",IF(AND(E873=0,G873=0),"ml",IF(AND(E873=0,F873=0),"ml",IF(AND(E873&lt;&gt;0,F873&lt;&gt;0,G873&lt;&gt;0),"m3",0)))))))</f>
        <v>ml</v>
      </c>
    </row>
    <row r="874" spans="2:10" s="1" customFormat="1" ht="12.75" x14ac:dyDescent="0.2">
      <c r="B874" s="43" t="s">
        <v>240</v>
      </c>
      <c r="C874" s="43" t="s">
        <v>237</v>
      </c>
      <c r="D874" s="60"/>
      <c r="E874" s="40"/>
      <c r="F874" s="40"/>
      <c r="G874" s="40"/>
      <c r="H874" s="40"/>
      <c r="I874" s="44">
        <f>SUM(H875:H876)</f>
        <v>31.3</v>
      </c>
      <c r="J874" s="45" t="str">
        <f>+J875</f>
        <v>ml</v>
      </c>
    </row>
    <row r="875" spans="2:10" s="1" customFormat="1" ht="12.75" x14ac:dyDescent="0.2">
      <c r="B875" s="57"/>
      <c r="C875" s="39" t="s">
        <v>398</v>
      </c>
      <c r="D875" s="40">
        <v>1</v>
      </c>
      <c r="E875" s="40">
        <v>31.3</v>
      </c>
      <c r="F875" s="40"/>
      <c r="G875" s="40"/>
      <c r="H875" s="40">
        <f>IF(AND(F875=0,G875=0),D875*E875,IF(AND(E875=0,G875=0),D875*F875,IF(AND(E875=0,F875=0),D875*G875,IF(AND(E875=0),D875*F875*G875,IF(AND(F875=0),D875*E875*G875,IF(AND(G875=0),D875*E875*F875,D875*E875*F875*G875))))))</f>
        <v>31.3</v>
      </c>
      <c r="I875" s="40"/>
      <c r="J875" s="41" t="str">
        <f>IF(AND(E875=0,F875&lt;&gt;0,G875&lt;&gt;0),"m2",IF(AND(F875=0,E875&lt;&gt;0,G875&lt;&gt;0),"m2",IF(AND(G875=0,E875&lt;&gt;0,F875&lt;&gt;0),"m2",IF(AND(F875=0,G875=0),"ml",IF(AND(E875=0,G875=0),"ml",IF(AND(E875=0,F875=0),"ml",IF(AND(E875&lt;&gt;0,F875&lt;&gt;0,G875&lt;&gt;0),"m3",0)))))))</f>
        <v>ml</v>
      </c>
    </row>
    <row r="876" spans="2:10" s="1" customFormat="1" ht="12.75" x14ac:dyDescent="0.2">
      <c r="B876" s="57"/>
      <c r="C876" s="39"/>
      <c r="D876" s="40"/>
      <c r="E876" s="40"/>
      <c r="F876" s="40"/>
      <c r="G876" s="40"/>
      <c r="H876" s="40">
        <f>IF(AND(F876=0,G876=0),D876*E876,IF(AND(E876=0,G876=0),D876*F876,IF(AND(E876=0,F876=0),D876*G876,IF(AND(E876=0),D876*F876*G876,IF(AND(F876=0),D876*E876*G876,IF(AND(G876=0),D876*E876*F876,D876*E876*F876*G876))))))</f>
        <v>0</v>
      </c>
      <c r="I876" s="40"/>
      <c r="J876" s="41" t="str">
        <f>IF(AND(E876=0,F876&lt;&gt;0,G876&lt;&gt;0),"m2",IF(AND(F876=0,E876&lt;&gt;0,G876&lt;&gt;0),"m2",IF(AND(G876=0,E876&lt;&gt;0,F876&lt;&gt;0),"m2",IF(AND(F876=0,G876=0),"ml",IF(AND(E876=0,G876=0),"ml",IF(AND(E876=0,F876=0),"ml",IF(AND(E876&lt;&gt;0,F876&lt;&gt;0,G876&lt;&gt;0),"m3",0)))))))</f>
        <v>ml</v>
      </c>
    </row>
    <row r="877" spans="2:10" s="1" customFormat="1" ht="12.75" x14ac:dyDescent="0.2">
      <c r="B877" s="43" t="s">
        <v>241</v>
      </c>
      <c r="C877" s="43" t="s">
        <v>239</v>
      </c>
      <c r="D877" s="60"/>
      <c r="E877" s="40"/>
      <c r="F877" s="40"/>
      <c r="G877" s="40"/>
      <c r="H877" s="40"/>
      <c r="I877" s="44">
        <f>SUM(H878:H878)</f>
        <v>23.4</v>
      </c>
      <c r="J877" s="45" t="str">
        <f>+J878</f>
        <v>ml</v>
      </c>
    </row>
    <row r="878" spans="2:10" s="1" customFormat="1" ht="12.75" x14ac:dyDescent="0.2">
      <c r="B878" s="57"/>
      <c r="C878" s="39" t="s">
        <v>400</v>
      </c>
      <c r="D878" s="40">
        <v>1</v>
      </c>
      <c r="E878" s="40">
        <v>23.4</v>
      </c>
      <c r="F878" s="40"/>
      <c r="G878" s="40"/>
      <c r="H878" s="40">
        <f>IF(AND(F878=0,G878=0),D878*E878,IF(AND(E878=0,G878=0),D878*F878,IF(AND(E878=0,F878=0),D878*G878,IF(AND(E878=0),D878*F878*G878,IF(AND(F878=0),D878*E878*G878,IF(AND(G878=0),D878*E878*F878,D878*E878*F878*G878))))))</f>
        <v>23.4</v>
      </c>
      <c r="I878" s="40"/>
      <c r="J878" s="41" t="str">
        <f>IF(AND(E878=0,F878&lt;&gt;0,G878&lt;&gt;0),"m2",IF(AND(F878=0,E878&lt;&gt;0,G878&lt;&gt;0),"m2",IF(AND(G878=0,E878&lt;&gt;0,F878&lt;&gt;0),"m2",IF(AND(F878=0,G878=0),"ml",IF(AND(E878=0,G878=0),"ml",IF(AND(E878=0,F878=0),"ml",IF(AND(E878&lt;&gt;0,F878&lt;&gt;0,G878&lt;&gt;0),"m3",0)))))))</f>
        <v>ml</v>
      </c>
    </row>
    <row r="879" spans="2:10" s="1" customFormat="1" ht="12.75" x14ac:dyDescent="0.2">
      <c r="B879" s="43" t="s">
        <v>243</v>
      </c>
      <c r="C879" s="43" t="s">
        <v>242</v>
      </c>
      <c r="D879" s="60"/>
      <c r="E879" s="40"/>
      <c r="F879" s="40"/>
      <c r="G879" s="40"/>
      <c r="H879" s="40"/>
      <c r="I879" s="44">
        <f>SUM(H880:H880)</f>
        <v>0</v>
      </c>
      <c r="J879" s="45" t="str">
        <f>+J880</f>
        <v>ml</v>
      </c>
    </row>
    <row r="880" spans="2:10" s="1" customFormat="1" ht="12.75" x14ac:dyDescent="0.2">
      <c r="B880" s="57"/>
      <c r="C880" s="39" t="s">
        <v>401</v>
      </c>
      <c r="D880" s="40"/>
      <c r="E880" s="40"/>
      <c r="F880" s="40"/>
      <c r="G880" s="40"/>
      <c r="H880" s="40">
        <f>IF(AND(F880=0,G880=0),D880*E880,IF(AND(E880=0,G880=0),D880*F880,IF(AND(E880=0,F880=0),D880*G880,IF(AND(E880=0),D880*F880*G880,IF(AND(F880=0),D880*E880*G880,IF(AND(G880=0),D880*E880*F880,D880*E880*F880*G880))))))</f>
        <v>0</v>
      </c>
      <c r="I880" s="40"/>
      <c r="J880" s="41" t="str">
        <f>IF(AND(E880=0,F880&lt;&gt;0,G880&lt;&gt;0),"m2",IF(AND(F880=0,E880&lt;&gt;0,G880&lt;&gt;0),"m2",IF(AND(G880=0,E880&lt;&gt;0,F880&lt;&gt;0),"m2",IF(AND(F880=0,G880=0),"ml",IF(AND(E880=0,G880=0),"ml",IF(AND(E880=0,F880=0),"ml",IF(AND(E880&lt;&gt;0,F880&lt;&gt;0,G880&lt;&gt;0),"m3",0)))))))</f>
        <v>ml</v>
      </c>
    </row>
    <row r="881" spans="2:10" s="1" customFormat="1" ht="12.75" x14ac:dyDescent="0.2">
      <c r="B881" s="43" t="s">
        <v>244</v>
      </c>
      <c r="C881" s="43" t="s">
        <v>245</v>
      </c>
      <c r="D881" s="60"/>
      <c r="E881" s="40"/>
      <c r="F881" s="40"/>
      <c r="G881" s="40"/>
      <c r="H881" s="40"/>
      <c r="I881" s="44">
        <f>SUM(H882:H882)</f>
        <v>31.3</v>
      </c>
      <c r="J881" s="45" t="str">
        <f>+J882</f>
        <v>ml</v>
      </c>
    </row>
    <row r="882" spans="2:10" s="1" customFormat="1" ht="12.75" x14ac:dyDescent="0.2">
      <c r="B882" s="57"/>
      <c r="C882" s="39" t="s">
        <v>398</v>
      </c>
      <c r="D882" s="40">
        <v>1</v>
      </c>
      <c r="E882" s="40">
        <v>31.3</v>
      </c>
      <c r="F882" s="40"/>
      <c r="G882" s="40"/>
      <c r="H882" s="40">
        <f>IF(AND(F882=0,G882=0),D882*E882,IF(AND(E882=0,G882=0),D882*F882,IF(AND(E882=0,F882=0),D882*G882,IF(AND(E882=0),D882*F882*G882,IF(AND(F882=0),D882*E882*G882,IF(AND(G882=0),D882*E882*F882,D882*E882*F882*G882))))))</f>
        <v>31.3</v>
      </c>
      <c r="I882" s="40"/>
      <c r="J882" s="41" t="str">
        <f>IF(AND(E882=0,F882&lt;&gt;0,G882&lt;&gt;0),"m2",IF(AND(F882=0,E882&lt;&gt;0,G882&lt;&gt;0),"m2",IF(AND(G882=0,E882&lt;&gt;0,F882&lt;&gt;0),"m2",IF(AND(F882=0,G882=0),"ml",IF(AND(E882=0,G882=0),"ml",IF(AND(E882=0,F882=0),"ml",IF(AND(E882&lt;&gt;0,F882&lt;&gt;0,G882&lt;&gt;0),"m3",0)))))))</f>
        <v>ml</v>
      </c>
    </row>
    <row r="883" spans="2:10" s="1" customFormat="1" ht="12.75" x14ac:dyDescent="0.2">
      <c r="B883" s="43" t="s">
        <v>248</v>
      </c>
      <c r="C883" s="43" t="s">
        <v>246</v>
      </c>
      <c r="D883" s="60"/>
      <c r="E883" s="40"/>
      <c r="F883" s="40"/>
      <c r="G883" s="40"/>
      <c r="H883" s="40"/>
      <c r="I883" s="44">
        <f>SUM(H884:H884)</f>
        <v>23.4</v>
      </c>
      <c r="J883" s="45" t="str">
        <f>+J884</f>
        <v>ml</v>
      </c>
    </row>
    <row r="884" spans="2:10" s="1" customFormat="1" ht="12.75" x14ac:dyDescent="0.2">
      <c r="B884" s="57"/>
      <c r="C884" s="39" t="s">
        <v>238</v>
      </c>
      <c r="D884" s="40">
        <v>1</v>
      </c>
      <c r="E884" s="40">
        <v>23.4</v>
      </c>
      <c r="F884" s="40"/>
      <c r="G884" s="40"/>
      <c r="H884" s="40">
        <f>IF(AND(F884=0,G884=0),D884*E884,IF(AND(E884=0,G884=0),D884*F884,IF(AND(E884=0,F884=0),D884*G884,IF(AND(E884=0),D884*F884*G884,IF(AND(F884=0),D884*E884*G884,IF(AND(G884=0),D884*E884*F884,D884*E884*F884*G884))))))</f>
        <v>23.4</v>
      </c>
      <c r="I884" s="40"/>
      <c r="J884" s="41" t="str">
        <f>IF(AND(E884=0,F884&lt;&gt;0,G884&lt;&gt;0),"m2",IF(AND(F884=0,E884&lt;&gt;0,G884&lt;&gt;0),"m2",IF(AND(G884=0,E884&lt;&gt;0,F884&lt;&gt;0),"m2",IF(AND(F884=0,G884=0),"ml",IF(AND(E884=0,G884=0),"ml",IF(AND(E884=0,F884=0),"ml",IF(AND(E884&lt;&gt;0,F884&lt;&gt;0,G884&lt;&gt;0),"m3",0)))))))</f>
        <v>ml</v>
      </c>
    </row>
    <row r="885" spans="2:10" s="1" customFormat="1" ht="12.75" x14ac:dyDescent="0.2">
      <c r="B885" s="43" t="s">
        <v>249</v>
      </c>
      <c r="C885" s="43" t="s">
        <v>247</v>
      </c>
      <c r="D885" s="60"/>
      <c r="E885" s="40"/>
      <c r="F885" s="40"/>
      <c r="G885" s="40"/>
      <c r="H885" s="40"/>
      <c r="I885" s="44">
        <f>SUM(H886:H886)</f>
        <v>0</v>
      </c>
      <c r="J885" s="45" t="str">
        <f>+J886</f>
        <v>ml</v>
      </c>
    </row>
    <row r="886" spans="2:10" s="1" customFormat="1" ht="12.75" x14ac:dyDescent="0.2">
      <c r="B886" s="57"/>
      <c r="C886" s="39" t="s">
        <v>396</v>
      </c>
      <c r="D886" s="40"/>
      <c r="E886" s="40"/>
      <c r="F886" s="40"/>
      <c r="G886" s="40"/>
      <c r="H886" s="40">
        <f>IF(AND(F886=0,G886=0),D886*E886,IF(AND(E886=0,G886=0),D886*F886,IF(AND(E886=0,F886=0),D886*G886,IF(AND(E886=0),D886*F886*G886,IF(AND(F886=0),D886*E886*G886,IF(AND(G886=0),D886*E886*F886,D886*E886*F886*G886))))))</f>
        <v>0</v>
      </c>
      <c r="I886" s="40"/>
      <c r="J886" s="41" t="str">
        <f>IF(AND(E886=0,F886&lt;&gt;0,G886&lt;&gt;0),"m2",IF(AND(F886=0,E886&lt;&gt;0,G886&lt;&gt;0),"m2",IF(AND(G886=0,E886&lt;&gt;0,F886&lt;&gt;0),"m2",IF(AND(F886=0,G886=0),"ml",IF(AND(E886=0,G886=0),"ml",IF(AND(E886=0,F886=0),"ml",IF(AND(E886&lt;&gt;0,F886&lt;&gt;0,G886&lt;&gt;0),"m3",0)))))))</f>
        <v>ml</v>
      </c>
    </row>
    <row r="887" spans="2:10" s="1" customFormat="1" ht="12.75" x14ac:dyDescent="0.2">
      <c r="B887" s="43" t="s">
        <v>256</v>
      </c>
      <c r="C887" s="43" t="s">
        <v>226</v>
      </c>
      <c r="D887" s="60"/>
      <c r="E887" s="40"/>
      <c r="F887" s="40"/>
      <c r="G887" s="40"/>
      <c r="H887" s="40"/>
      <c r="I887" s="44">
        <f>SUM(H888:H889)</f>
        <v>0</v>
      </c>
      <c r="J887" s="45" t="str">
        <f>+J889</f>
        <v>ml</v>
      </c>
    </row>
    <row r="888" spans="2:10" s="1" customFormat="1" ht="12.75" x14ac:dyDescent="0.2">
      <c r="B888" s="43"/>
      <c r="C888" s="39" t="s">
        <v>371</v>
      </c>
      <c r="D888" s="40"/>
      <c r="E888" s="40"/>
      <c r="F888" s="40"/>
      <c r="G888" s="40"/>
      <c r="H888" s="40">
        <f>IF(AND(F888=0,G888=0),D888*E888,IF(AND(E888=0,G888=0),D888*F888,IF(AND(E888=0,F888=0),D888*G888,IF(AND(E888=0),D888*F888*G888,IF(AND(F888=0),D888*E888*G888,IF(AND(G888=0),D888*E888*F888,D888*E888*F888*G888))))))</f>
        <v>0</v>
      </c>
      <c r="I888" s="40"/>
      <c r="J888" s="41" t="str">
        <f>IF(AND(E888=0,F888&lt;&gt;0,G888&lt;&gt;0),"m2",IF(AND(F888=0,E888&lt;&gt;0,G888&lt;&gt;0),"m2",IF(AND(G888=0,E888&lt;&gt;0,F888&lt;&gt;0),"m2",IF(AND(F888=0,G888=0),"ml",IF(AND(E888=0,G888=0),"ml",IF(AND(E888=0,F888=0),"ml",IF(AND(E888&lt;&gt;0,F888&lt;&gt;0,G888&lt;&gt;0),"m3",0)))))))</f>
        <v>ml</v>
      </c>
    </row>
    <row r="889" spans="2:10" s="1" customFormat="1" ht="12.75" x14ac:dyDescent="0.2">
      <c r="B889" s="57"/>
      <c r="C889" s="39" t="s">
        <v>371</v>
      </c>
      <c r="D889" s="40"/>
      <c r="E889" s="40"/>
      <c r="F889" s="40"/>
      <c r="G889" s="40"/>
      <c r="H889" s="40">
        <f>IF(AND(F889=0,G889=0),D889*E889,IF(AND(E889=0,G889=0),D889*F889,IF(AND(E889=0,F889=0),D889*G889,IF(AND(E889=0),D889*F889*G889,IF(AND(F889=0),D889*E889*G889,IF(AND(G889=0),D889*E889*F889,D889*E889*F889*G889))))))</f>
        <v>0</v>
      </c>
      <c r="I889" s="40"/>
      <c r="J889" s="41" t="str">
        <f>IF(AND(E889=0,F889&lt;&gt;0,G889&lt;&gt;0),"m2",IF(AND(F889=0,E889&lt;&gt;0,G889&lt;&gt;0),"m2",IF(AND(G889=0,E889&lt;&gt;0,F889&lt;&gt;0),"m2",IF(AND(F889=0,G889=0),"ml",IF(AND(E889=0,G889=0),"ml",IF(AND(E889=0,F889=0),"ml",IF(AND(E889&lt;&gt;0,F889&lt;&gt;0,G889&lt;&gt;0),"m3",0)))))))</f>
        <v>ml</v>
      </c>
    </row>
    <row r="890" spans="2:10" s="1" customFormat="1" ht="12.75" x14ac:dyDescent="0.2">
      <c r="B890" s="43" t="s">
        <v>257</v>
      </c>
      <c r="C890" s="43" t="s">
        <v>228</v>
      </c>
      <c r="D890" s="60"/>
      <c r="E890" s="40"/>
      <c r="F890" s="40"/>
      <c r="G890" s="40"/>
      <c r="H890" s="40"/>
      <c r="I890" s="44">
        <f>SUM(H891:H891)</f>
        <v>15.8</v>
      </c>
      <c r="J890" s="45" t="str">
        <f>+J891</f>
        <v>ml</v>
      </c>
    </row>
    <row r="891" spans="2:10" s="1" customFormat="1" ht="12.75" x14ac:dyDescent="0.2">
      <c r="B891" s="57"/>
      <c r="C891" s="39" t="s">
        <v>399</v>
      </c>
      <c r="D891" s="40">
        <v>1</v>
      </c>
      <c r="E891" s="40">
        <v>15.8</v>
      </c>
      <c r="F891" s="40"/>
      <c r="G891" s="40"/>
      <c r="H891" s="40">
        <f>IF(AND(F891=0,G891=0),D891*E891,IF(AND(E891=0,G891=0),D891*F891,IF(AND(E891=0,F891=0),D891*G891,IF(AND(E891=0),D891*F891*G891,IF(AND(F891=0),D891*E891*G891,IF(AND(G891=0),D891*E891*F891,D891*E891*F891*G891))))))</f>
        <v>15.8</v>
      </c>
      <c r="I891" s="40"/>
      <c r="J891" s="41" t="str">
        <f>IF(AND(E891=0,F891&lt;&gt;0,G891&lt;&gt;0),"m2",IF(AND(F891=0,E891&lt;&gt;0,G891&lt;&gt;0),"m2",IF(AND(G891=0,E891&lt;&gt;0,F891&lt;&gt;0),"m2",IF(AND(F891=0,G891=0),"ml",IF(AND(E891=0,G891=0),"ml",IF(AND(E891=0,F891=0),"ml",IF(AND(E891&lt;&gt;0,F891&lt;&gt;0,G891&lt;&gt;0),"m3",0)))))))</f>
        <v>ml</v>
      </c>
    </row>
    <row r="892" spans="2:10" s="1" customFormat="1" ht="12.75" x14ac:dyDescent="0.2">
      <c r="B892" s="43" t="s">
        <v>258</v>
      </c>
      <c r="C892" s="43" t="s">
        <v>250</v>
      </c>
      <c r="D892" s="60"/>
      <c r="E892" s="40"/>
      <c r="F892" s="40"/>
      <c r="G892" s="40"/>
      <c r="H892" s="40"/>
      <c r="I892" s="44">
        <f>SUM(H893:H893)</f>
        <v>0</v>
      </c>
      <c r="J892" s="45" t="str">
        <f>+J893</f>
        <v>ml</v>
      </c>
    </row>
    <row r="893" spans="2:10" s="1" customFormat="1" ht="12.75" x14ac:dyDescent="0.2">
      <c r="B893" s="57"/>
      <c r="C893" s="39" t="s">
        <v>388</v>
      </c>
      <c r="D893" s="40"/>
      <c r="E893" s="40"/>
      <c r="F893" s="40"/>
      <c r="G893" s="40"/>
      <c r="H893" s="40">
        <f>IF(AND(F893=0,G893=0),D893*E893,IF(AND(E893=0,G893=0),D893*F893,IF(AND(E893=0,F893=0),D893*G893,IF(AND(E893=0),D893*F893*G893,IF(AND(F893=0),D893*E893*G893,IF(AND(G893=0),D893*E893*F893,D893*E893*F893*G893))))))</f>
        <v>0</v>
      </c>
      <c r="I893" s="40"/>
      <c r="J893" s="41" t="str">
        <f>IF(AND(E893=0,F893&lt;&gt;0,G893&lt;&gt;0),"m2",IF(AND(F893=0,E893&lt;&gt;0,G893&lt;&gt;0),"m2",IF(AND(G893=0,E893&lt;&gt;0,F893&lt;&gt;0),"m2",IF(AND(F893=0,G893=0),"ml",IF(AND(E893=0,G893=0),"ml",IF(AND(E893=0,F893=0),"ml",IF(AND(E893&lt;&gt;0,F893&lt;&gt;0,G893&lt;&gt;0),"m3",0)))))))</f>
        <v>ml</v>
      </c>
    </row>
    <row r="894" spans="2:10" s="1" customFormat="1" ht="12.75" x14ac:dyDescent="0.2">
      <c r="B894" s="43" t="s">
        <v>259</v>
      </c>
      <c r="C894" s="43" t="s">
        <v>251</v>
      </c>
      <c r="D894" s="60"/>
      <c r="E894" s="40"/>
      <c r="F894" s="40"/>
      <c r="G894" s="40"/>
      <c r="H894" s="40"/>
      <c r="I894" s="44">
        <f>SUM(H895:H895)</f>
        <v>0</v>
      </c>
      <c r="J894" s="45" t="str">
        <f>+J895</f>
        <v>ml</v>
      </c>
    </row>
    <row r="895" spans="2:10" s="1" customFormat="1" ht="12.75" x14ac:dyDescent="0.2">
      <c r="B895" s="57"/>
      <c r="C895" s="39" t="s">
        <v>389</v>
      </c>
      <c r="D895" s="40"/>
      <c r="E895" s="40"/>
      <c r="F895" s="40"/>
      <c r="G895" s="40"/>
      <c r="H895" s="40">
        <f>IF(AND(F895=0,G895=0),D895*E895,IF(AND(E895=0,G895=0),D895*F895,IF(AND(E895=0,F895=0),D895*G895,IF(AND(E895=0),D895*F895*G895,IF(AND(F895=0),D895*E895*G895,IF(AND(G895=0),D895*E895*F895,D895*E895*F895*G895))))))</f>
        <v>0</v>
      </c>
      <c r="I895" s="40"/>
      <c r="J895" s="41" t="str">
        <f>IF(AND(E895=0,F895&lt;&gt;0,G895&lt;&gt;0),"m2",IF(AND(F895=0,E895&lt;&gt;0,G895&lt;&gt;0),"m2",IF(AND(G895=0,E895&lt;&gt;0,F895&lt;&gt;0),"m2",IF(AND(F895=0,G895=0),"ml",IF(AND(E895=0,G895=0),"ml",IF(AND(E895=0,F895=0),"ml",IF(AND(E895&lt;&gt;0,F895&lt;&gt;0,G895&lt;&gt;0),"m3",0)))))))</f>
        <v>ml</v>
      </c>
    </row>
    <row r="896" spans="2:10" s="1" customFormat="1" ht="12.75" x14ac:dyDescent="0.2">
      <c r="B896" s="43" t="s">
        <v>260</v>
      </c>
      <c r="C896" s="43" t="s">
        <v>252</v>
      </c>
      <c r="D896" s="60"/>
      <c r="E896" s="40"/>
      <c r="F896" s="40"/>
      <c r="G896" s="40"/>
      <c r="H896" s="40"/>
      <c r="I896" s="44">
        <f>SUM(H897:H897)</f>
        <v>0</v>
      </c>
      <c r="J896" s="45" t="str">
        <f>+J897</f>
        <v>ml</v>
      </c>
    </row>
    <row r="897" spans="2:10" s="1" customFormat="1" ht="12.75" x14ac:dyDescent="0.2">
      <c r="B897" s="57"/>
      <c r="C897" s="39" t="s">
        <v>397</v>
      </c>
      <c r="D897" s="40"/>
      <c r="E897" s="40"/>
      <c r="F897" s="40"/>
      <c r="G897" s="40"/>
      <c r="H897" s="40">
        <f>IF(AND(F897=0,G897=0),D897*E897,IF(AND(E897=0,G897=0),D897*F897,IF(AND(E897=0,F897=0),D897*G897,IF(AND(E897=0),D897*F897*G897,IF(AND(F897=0),D897*E897*G897,IF(AND(G897=0),D897*E897*F897,D897*E897*F897*G897))))))</f>
        <v>0</v>
      </c>
      <c r="I897" s="40"/>
      <c r="J897" s="41" t="str">
        <f>IF(AND(E897=0,F897&lt;&gt;0,G897&lt;&gt;0),"m2",IF(AND(F897=0,E897&lt;&gt;0,G897&lt;&gt;0),"m2",IF(AND(G897=0,E897&lt;&gt;0,F897&lt;&gt;0),"m2",IF(AND(F897=0,G897=0),"ml",IF(AND(E897=0,G897=0),"ml",IF(AND(E897=0,F897=0),"ml",IF(AND(E897&lt;&gt;0,F897&lt;&gt;0,G897&lt;&gt;0),"m3",0)))))))</f>
        <v>ml</v>
      </c>
    </row>
    <row r="898" spans="2:10" s="1" customFormat="1" ht="12.75" x14ac:dyDescent="0.2">
      <c r="B898" s="43" t="s">
        <v>261</v>
      </c>
      <c r="C898" s="43" t="s">
        <v>253</v>
      </c>
      <c r="D898" s="60"/>
      <c r="E898" s="40"/>
      <c r="F898" s="40"/>
      <c r="G898" s="40"/>
      <c r="H898" s="40"/>
      <c r="I898" s="44">
        <f>SUM(H899:H899)</f>
        <v>1</v>
      </c>
      <c r="J898" s="45" t="str">
        <f>+J899</f>
        <v>und</v>
      </c>
    </row>
    <row r="899" spans="2:10" s="1" customFormat="1" ht="12.75" x14ac:dyDescent="0.2">
      <c r="B899" s="43"/>
      <c r="C899" s="39" t="s">
        <v>402</v>
      </c>
      <c r="D899" s="40">
        <v>1</v>
      </c>
      <c r="E899" s="40"/>
      <c r="F899" s="40"/>
      <c r="G899" s="40"/>
      <c r="H899" s="40">
        <f t="shared" ref="H899" si="43">+D899</f>
        <v>1</v>
      </c>
      <c r="I899" s="40"/>
      <c r="J899" s="41" t="s">
        <v>13</v>
      </c>
    </row>
    <row r="900" spans="2:10" s="1" customFormat="1" ht="12.75" x14ac:dyDescent="0.2">
      <c r="B900" s="43" t="s">
        <v>262</v>
      </c>
      <c r="C900" s="43" t="s">
        <v>254</v>
      </c>
      <c r="D900" s="60"/>
      <c r="E900" s="40"/>
      <c r="F900" s="40"/>
      <c r="G900" s="40"/>
      <c r="H900" s="40"/>
      <c r="I900" s="44">
        <f>SUM(H901:H901)</f>
        <v>0</v>
      </c>
      <c r="J900" s="45" t="str">
        <f>+J901</f>
        <v>und</v>
      </c>
    </row>
    <row r="901" spans="2:10" s="1" customFormat="1" ht="12.75" x14ac:dyDescent="0.2">
      <c r="B901" s="57"/>
      <c r="C901" s="39" t="s">
        <v>238</v>
      </c>
      <c r="D901" s="40"/>
      <c r="E901" s="40"/>
      <c r="F901" s="40"/>
      <c r="G901" s="40"/>
      <c r="H901" s="40">
        <f>+D901</f>
        <v>0</v>
      </c>
      <c r="I901" s="40"/>
      <c r="J901" s="41" t="s">
        <v>13</v>
      </c>
    </row>
    <row r="902" spans="2:10" s="1" customFormat="1" ht="12.75" x14ac:dyDescent="0.2">
      <c r="B902" s="43" t="s">
        <v>350</v>
      </c>
      <c r="C902" s="43" t="s">
        <v>255</v>
      </c>
      <c r="D902" s="60"/>
      <c r="E902" s="40"/>
      <c r="F902" s="40"/>
      <c r="G902" s="40"/>
      <c r="H902" s="40"/>
      <c r="I902" s="44">
        <f>SUM(H903:H903)</f>
        <v>0</v>
      </c>
      <c r="J902" s="45" t="str">
        <f>+J903</f>
        <v>und</v>
      </c>
    </row>
    <row r="903" spans="2:10" s="1" customFormat="1" ht="12.75" x14ac:dyDescent="0.2">
      <c r="B903" s="57"/>
      <c r="C903" s="39" t="s">
        <v>395</v>
      </c>
      <c r="D903" s="40"/>
      <c r="E903" s="40"/>
      <c r="F903" s="40"/>
      <c r="G903" s="40"/>
      <c r="H903" s="40">
        <f>+D903</f>
        <v>0</v>
      </c>
      <c r="I903" s="40"/>
      <c r="J903" s="41" t="s">
        <v>13</v>
      </c>
    </row>
    <row r="904" spans="2:10" s="1" customFormat="1" ht="12.75" x14ac:dyDescent="0.2">
      <c r="B904" s="57" t="s">
        <v>18</v>
      </c>
      <c r="C904" s="58" t="s">
        <v>223</v>
      </c>
      <c r="D904" s="60"/>
      <c r="E904" s="40"/>
      <c r="F904" s="40"/>
      <c r="G904" s="40"/>
      <c r="H904" s="40"/>
      <c r="I904" s="40"/>
      <c r="J904" s="41"/>
    </row>
    <row r="905" spans="2:10" s="1" customFormat="1" ht="12.75" x14ac:dyDescent="0.2">
      <c r="B905" s="43" t="s">
        <v>19</v>
      </c>
      <c r="C905" s="43" t="s">
        <v>265</v>
      </c>
      <c r="D905" s="60"/>
      <c r="E905" s="40"/>
      <c r="F905" s="40"/>
      <c r="G905" s="40"/>
      <c r="H905" s="40"/>
      <c r="I905" s="44">
        <f>SUM(H906:H907)</f>
        <v>2</v>
      </c>
      <c r="J905" s="45" t="str">
        <f>+J906</f>
        <v>und</v>
      </c>
    </row>
    <row r="906" spans="2:10" s="1" customFormat="1" ht="12.75" x14ac:dyDescent="0.2">
      <c r="B906" s="46"/>
      <c r="C906" s="39" t="s">
        <v>361</v>
      </c>
      <c r="D906" s="40"/>
      <c r="E906" s="40"/>
      <c r="F906" s="40"/>
      <c r="G906" s="40"/>
      <c r="H906" s="40">
        <f>+D906</f>
        <v>0</v>
      </c>
      <c r="I906" s="40"/>
      <c r="J906" s="41" t="s">
        <v>13</v>
      </c>
    </row>
    <row r="907" spans="2:10" s="1" customFormat="1" ht="12.75" x14ac:dyDescent="0.2">
      <c r="B907" s="46"/>
      <c r="C907" s="39" t="s">
        <v>231</v>
      </c>
      <c r="D907" s="40">
        <v>2</v>
      </c>
      <c r="E907" s="40"/>
      <c r="F907" s="40"/>
      <c r="G907" s="40"/>
      <c r="H907" s="40">
        <f>+D907</f>
        <v>2</v>
      </c>
      <c r="I907" s="40"/>
      <c r="J907" s="41" t="s">
        <v>13</v>
      </c>
    </row>
    <row r="908" spans="2:10" s="1" customFormat="1" ht="12.75" x14ac:dyDescent="0.2">
      <c r="B908" s="43" t="s">
        <v>20</v>
      </c>
      <c r="C908" s="43" t="s">
        <v>272</v>
      </c>
      <c r="D908" s="60"/>
      <c r="E908" s="40"/>
      <c r="F908" s="40"/>
      <c r="G908" s="40"/>
      <c r="H908" s="40"/>
      <c r="I908" s="44">
        <f>SUM(H909:H914)</f>
        <v>0</v>
      </c>
      <c r="J908" s="45" t="str">
        <f>+J909</f>
        <v>und</v>
      </c>
    </row>
    <row r="909" spans="2:10" s="1" customFormat="1" ht="12.75" x14ac:dyDescent="0.2">
      <c r="B909" s="46"/>
      <c r="C909" s="77" t="s">
        <v>71</v>
      </c>
      <c r="D909" s="40"/>
      <c r="E909" s="40"/>
      <c r="F909" s="40"/>
      <c r="G909" s="40"/>
      <c r="H909" s="40"/>
      <c r="I909" s="40"/>
      <c r="J909" s="41" t="s">
        <v>13</v>
      </c>
    </row>
    <row r="910" spans="2:10" s="1" customFormat="1" ht="12.75" x14ac:dyDescent="0.2">
      <c r="B910" s="46"/>
      <c r="C910" s="39" t="s">
        <v>349</v>
      </c>
      <c r="D910" s="40">
        <v>3</v>
      </c>
      <c r="E910" s="40"/>
      <c r="F910" s="40"/>
      <c r="G910" s="40"/>
      <c r="H910" s="40">
        <f>IF(AND(F910=0,G910=0),D910*E910,IF(AND(E910=0,G910=0),D910*F910,IF(AND(E910=0,F910=0),D910*G910,IF(AND(E910=0),D910*F910*G910,IF(AND(F910=0),D910*E910*G910,IF(AND(G910=0),D910*E910*F910,D910*E910*F910*G910))))))</f>
        <v>0</v>
      </c>
      <c r="I910" s="40"/>
      <c r="J910" s="41" t="s">
        <v>13</v>
      </c>
    </row>
    <row r="911" spans="2:10" s="1" customFormat="1" ht="12.75" x14ac:dyDescent="0.2">
      <c r="B911" s="46"/>
      <c r="C911" s="77" t="s">
        <v>72</v>
      </c>
      <c r="D911" s="40"/>
      <c r="E911" s="40"/>
      <c r="F911" s="40"/>
      <c r="G911" s="40"/>
      <c r="H911" s="40"/>
      <c r="I911" s="40"/>
      <c r="J911" s="41" t="s">
        <v>13</v>
      </c>
    </row>
    <row r="912" spans="2:10" s="1" customFormat="1" ht="12.75" x14ac:dyDescent="0.2">
      <c r="B912" s="46"/>
      <c r="C912" s="39" t="s">
        <v>349</v>
      </c>
      <c r="D912" s="40">
        <v>3</v>
      </c>
      <c r="E912" s="40"/>
      <c r="F912" s="40"/>
      <c r="G912" s="40"/>
      <c r="H912" s="40">
        <f>IF(AND(F912=0,G912=0),D912*E912,IF(AND(E912=0,G912=0),D912*F912,IF(AND(E912=0,F912=0),D912*G912,IF(AND(E912=0),D912*F912*G912,IF(AND(F912=0),D912*E912*G912,IF(AND(G912=0),D912*E912*F912,D912*E912*F912*G912))))))</f>
        <v>0</v>
      </c>
      <c r="I912" s="40"/>
      <c r="J912" s="41" t="s">
        <v>13</v>
      </c>
    </row>
    <row r="913" spans="2:10" s="1" customFormat="1" ht="12.75" x14ac:dyDescent="0.2">
      <c r="B913" s="46"/>
      <c r="C913" s="77" t="s">
        <v>73</v>
      </c>
      <c r="D913" s="40"/>
      <c r="E913" s="40"/>
      <c r="F913" s="40"/>
      <c r="G913" s="40"/>
      <c r="H913" s="40"/>
      <c r="I913" s="40"/>
      <c r="J913" s="41" t="s">
        <v>13</v>
      </c>
    </row>
    <row r="914" spans="2:10" s="1" customFormat="1" ht="12.75" x14ac:dyDescent="0.2">
      <c r="B914" s="46"/>
      <c r="C914" s="39" t="s">
        <v>349</v>
      </c>
      <c r="D914" s="40">
        <v>3</v>
      </c>
      <c r="E914" s="40"/>
      <c r="F914" s="40"/>
      <c r="G914" s="40"/>
      <c r="H914" s="40">
        <f>IF(AND(F914=0,G914=0),D914*E914,IF(AND(E914=0,G914=0),D914*F914,IF(AND(E914=0,F914=0),D914*G914,IF(AND(E914=0),D914*F914*G914,IF(AND(F914=0),D914*E914*G914,IF(AND(G914=0),D914*E914*F914,D914*E914*F914*G914))))))</f>
        <v>0</v>
      </c>
      <c r="I914" s="40"/>
      <c r="J914" s="41" t="s">
        <v>13</v>
      </c>
    </row>
    <row r="915" spans="2:10" s="1" customFormat="1" ht="12.75" x14ac:dyDescent="0.2">
      <c r="B915" s="43" t="s">
        <v>21</v>
      </c>
      <c r="C915" s="43" t="s">
        <v>266</v>
      </c>
      <c r="D915" s="60"/>
      <c r="E915" s="40"/>
      <c r="F915" s="40"/>
      <c r="G915" s="40"/>
      <c r="H915" s="40"/>
      <c r="I915" s="44">
        <f>SUM(H916:H918)</f>
        <v>0</v>
      </c>
      <c r="J915" s="45" t="str">
        <f>+J916</f>
        <v>und</v>
      </c>
    </row>
    <row r="916" spans="2:10" s="1" customFormat="1" ht="12.75" x14ac:dyDescent="0.2">
      <c r="B916" s="43"/>
      <c r="C916" s="39" t="s">
        <v>71</v>
      </c>
      <c r="D916" s="40"/>
      <c r="E916" s="40"/>
      <c r="F916" s="40"/>
      <c r="G916" s="40"/>
      <c r="H916" s="40">
        <f t="shared" ref="H916:H918" si="44">+D916</f>
        <v>0</v>
      </c>
      <c r="I916" s="40"/>
      <c r="J916" s="41" t="s">
        <v>13</v>
      </c>
    </row>
    <row r="917" spans="2:10" s="1" customFormat="1" ht="12.75" x14ac:dyDescent="0.2">
      <c r="B917" s="43"/>
      <c r="C917" s="39" t="s">
        <v>72</v>
      </c>
      <c r="D917" s="40"/>
      <c r="E917" s="40"/>
      <c r="F917" s="40"/>
      <c r="G917" s="40"/>
      <c r="H917" s="40">
        <f t="shared" si="44"/>
        <v>0</v>
      </c>
      <c r="I917" s="40"/>
      <c r="J917" s="41" t="s">
        <v>13</v>
      </c>
    </row>
    <row r="918" spans="2:10" s="1" customFormat="1" ht="12.75" x14ac:dyDescent="0.2">
      <c r="B918" s="43"/>
      <c r="C918" s="39" t="s">
        <v>73</v>
      </c>
      <c r="D918" s="40"/>
      <c r="E918" s="40"/>
      <c r="F918" s="40"/>
      <c r="G918" s="40"/>
      <c r="H918" s="40">
        <f t="shared" si="44"/>
        <v>0</v>
      </c>
      <c r="I918" s="40"/>
      <c r="J918" s="41" t="s">
        <v>13</v>
      </c>
    </row>
    <row r="919" spans="2:10" s="1" customFormat="1" ht="12.75" x14ac:dyDescent="0.2">
      <c r="B919" s="43" t="s">
        <v>273</v>
      </c>
      <c r="C919" s="43" t="s">
        <v>354</v>
      </c>
      <c r="D919" s="60"/>
      <c r="E919" s="40"/>
      <c r="F919" s="40"/>
      <c r="G919" s="40"/>
      <c r="H919" s="40"/>
      <c r="I919" s="44">
        <f>SUM(H920:H920)</f>
        <v>4</v>
      </c>
      <c r="J919" s="45" t="str">
        <f>+J920</f>
        <v>und</v>
      </c>
    </row>
    <row r="920" spans="2:10" s="1" customFormat="1" ht="12.75" x14ac:dyDescent="0.2">
      <c r="B920" s="43"/>
      <c r="C920" s="39" t="s">
        <v>375</v>
      </c>
      <c r="D920" s="40">
        <v>1</v>
      </c>
      <c r="E920" s="40">
        <v>4</v>
      </c>
      <c r="F920" s="40"/>
      <c r="G920" s="40"/>
      <c r="H920" s="40">
        <f>IF(AND(F920=0,G920=0),D920*E920,IF(AND(E920=0,G920=0),D920*F920,IF(AND(E920=0,F920=0),D920*G920,IF(AND(E920=0),D920*F920*G920,IF(AND(F920=0),D920*E920*G920,IF(AND(G920=0),D920*E920*F920,D920*E920*F920*G920))))))</f>
        <v>4</v>
      </c>
      <c r="I920" s="40"/>
      <c r="J920" s="41" t="s">
        <v>13</v>
      </c>
    </row>
    <row r="921" spans="2:10" s="1" customFormat="1" ht="12.75" x14ac:dyDescent="0.2">
      <c r="B921" s="43" t="s">
        <v>274</v>
      </c>
      <c r="C921" s="43" t="s">
        <v>357</v>
      </c>
      <c r="D921" s="60"/>
      <c r="E921" s="40"/>
      <c r="F921" s="40"/>
      <c r="G921" s="40"/>
      <c r="H921" s="40"/>
      <c r="I921" s="44">
        <f>SUM(H922:H922)</f>
        <v>1</v>
      </c>
      <c r="J921" s="45" t="str">
        <f>+J922</f>
        <v>und</v>
      </c>
    </row>
    <row r="922" spans="2:10" s="1" customFormat="1" ht="12.75" x14ac:dyDescent="0.2">
      <c r="B922" s="43"/>
      <c r="C922" s="39" t="s">
        <v>375</v>
      </c>
      <c r="D922" s="40">
        <v>1</v>
      </c>
      <c r="E922" s="40"/>
      <c r="F922" s="40"/>
      <c r="G922" s="40"/>
      <c r="H922" s="40">
        <f t="shared" ref="H922" si="45">+D922</f>
        <v>1</v>
      </c>
      <c r="I922" s="40"/>
      <c r="J922" s="41" t="s">
        <v>13</v>
      </c>
    </row>
    <row r="923" spans="2:10" s="1" customFormat="1" ht="12.75" x14ac:dyDescent="0.2">
      <c r="B923" s="43" t="s">
        <v>355</v>
      </c>
      <c r="C923" s="43" t="s">
        <v>263</v>
      </c>
      <c r="D923" s="60"/>
      <c r="E923" s="40"/>
      <c r="F923" s="40"/>
      <c r="G923" s="40"/>
      <c r="H923" s="40"/>
      <c r="I923" s="44">
        <f>SUM(H924:H924)</f>
        <v>2</v>
      </c>
      <c r="J923" s="45" t="str">
        <f>+J924</f>
        <v>und</v>
      </c>
    </row>
    <row r="924" spans="2:10" s="1" customFormat="1" ht="12.75" x14ac:dyDescent="0.2">
      <c r="B924" s="46"/>
      <c r="C924" s="39" t="s">
        <v>420</v>
      </c>
      <c r="D924" s="40">
        <v>2</v>
      </c>
      <c r="E924" s="40"/>
      <c r="F924" s="40"/>
      <c r="G924" s="40"/>
      <c r="H924" s="40">
        <f>+D924</f>
        <v>2</v>
      </c>
      <c r="I924" s="40"/>
      <c r="J924" s="41" t="s">
        <v>13</v>
      </c>
    </row>
    <row r="925" spans="2:10" s="1" customFormat="1" ht="12.75" x14ac:dyDescent="0.2">
      <c r="B925" s="43" t="s">
        <v>356</v>
      </c>
      <c r="C925" s="43" t="s">
        <v>264</v>
      </c>
      <c r="D925" s="60"/>
      <c r="E925" s="40"/>
      <c r="F925" s="40"/>
      <c r="G925" s="40"/>
      <c r="H925" s="40"/>
      <c r="I925" s="44">
        <f>SUM(H926:H926)</f>
        <v>0</v>
      </c>
      <c r="J925" s="45" t="str">
        <f>+J926</f>
        <v>und</v>
      </c>
    </row>
    <row r="926" spans="2:10" s="1" customFormat="1" ht="12.75" x14ac:dyDescent="0.2">
      <c r="B926" s="46"/>
      <c r="C926" s="39" t="s">
        <v>420</v>
      </c>
      <c r="D926" s="40"/>
      <c r="E926" s="40"/>
      <c r="F926" s="40"/>
      <c r="G926" s="40"/>
      <c r="H926" s="40">
        <f>+D926</f>
        <v>0</v>
      </c>
      <c r="I926" s="40"/>
      <c r="J926" s="41" t="s">
        <v>13</v>
      </c>
    </row>
    <row r="927" spans="2:10" s="1" customFormat="1" ht="12.75" x14ac:dyDescent="0.2">
      <c r="B927" s="46"/>
      <c r="C927" s="59"/>
      <c r="D927" s="60"/>
      <c r="E927" s="40"/>
      <c r="F927" s="40"/>
      <c r="G927" s="40"/>
      <c r="H927" s="40"/>
      <c r="I927" s="40"/>
      <c r="J927" s="41"/>
    </row>
    <row r="928" spans="2:10" s="1" customFormat="1" ht="12.75" x14ac:dyDescent="0.2">
      <c r="B928" s="46"/>
      <c r="C928" s="59"/>
      <c r="D928" s="60"/>
      <c r="E928" s="40"/>
      <c r="F928" s="40"/>
      <c r="G928" s="40"/>
      <c r="H928" s="40"/>
      <c r="I928" s="40"/>
      <c r="J928" s="41"/>
    </row>
    <row r="929" spans="2:10" s="1" customFormat="1" ht="12.75" x14ac:dyDescent="0.2">
      <c r="B929" s="46"/>
      <c r="C929" s="59"/>
      <c r="D929" s="60"/>
      <c r="E929" s="40"/>
      <c r="F929" s="40"/>
      <c r="G929" s="40"/>
      <c r="H929" s="40"/>
      <c r="I929" s="40"/>
      <c r="J929" s="41"/>
    </row>
    <row r="930" spans="2:10" s="1" customFormat="1" ht="12.75" x14ac:dyDescent="0.2">
      <c r="B930" s="46"/>
      <c r="C930" s="59"/>
      <c r="D930" s="60"/>
      <c r="E930" s="40"/>
      <c r="F930" s="40"/>
      <c r="G930" s="40"/>
      <c r="H930" s="40"/>
      <c r="I930" s="40"/>
      <c r="J930" s="41"/>
    </row>
    <row r="931" spans="2:10" s="1" customFormat="1" ht="12.75" x14ac:dyDescent="0.2">
      <c r="B931" s="46"/>
      <c r="C931" s="59"/>
      <c r="D931" s="60"/>
      <c r="E931" s="40"/>
      <c r="F931" s="40"/>
      <c r="G931" s="40"/>
      <c r="H931" s="40"/>
      <c r="I931" s="40"/>
      <c r="J931" s="41"/>
    </row>
    <row r="932" spans="2:10" s="1" customFormat="1" ht="12.75" x14ac:dyDescent="0.2">
      <c r="B932" s="46"/>
      <c r="C932" s="59"/>
      <c r="D932" s="60"/>
      <c r="E932" s="40"/>
      <c r="F932" s="40"/>
      <c r="G932" s="40"/>
      <c r="H932" s="40"/>
      <c r="I932" s="40"/>
      <c r="J932" s="41"/>
    </row>
    <row r="933" spans="2:10" s="1" customFormat="1" ht="12.75" x14ac:dyDescent="0.2">
      <c r="B933" s="46"/>
      <c r="C933" s="59"/>
      <c r="D933" s="60"/>
      <c r="E933" s="40"/>
      <c r="F933" s="40"/>
      <c r="G933" s="40"/>
      <c r="H933" s="40"/>
      <c r="I933" s="40"/>
      <c r="J933" s="41"/>
    </row>
    <row r="934" spans="2:10" s="1" customFormat="1" ht="12.75" x14ac:dyDescent="0.2">
      <c r="B934" s="46"/>
      <c r="C934" s="59"/>
      <c r="D934" s="60"/>
      <c r="E934" s="40"/>
      <c r="F934" s="40"/>
      <c r="G934" s="40"/>
      <c r="H934" s="40"/>
      <c r="I934" s="40"/>
      <c r="J934" s="41"/>
    </row>
    <row r="935" spans="2:10" s="1" customFormat="1" ht="12.75" x14ac:dyDescent="0.2">
      <c r="B935" s="46"/>
      <c r="C935" s="59"/>
      <c r="D935" s="60"/>
      <c r="E935" s="40"/>
      <c r="F935" s="40"/>
      <c r="G935" s="40"/>
      <c r="H935" s="40"/>
      <c r="I935" s="40"/>
      <c r="J935" s="41"/>
    </row>
    <row r="936" spans="2:10" s="1" customFormat="1" ht="12.75" x14ac:dyDescent="0.2">
      <c r="B936" s="46"/>
      <c r="C936" s="59"/>
      <c r="D936" s="60"/>
      <c r="E936" s="40"/>
      <c r="F936" s="40"/>
      <c r="G936" s="40"/>
      <c r="H936" s="40"/>
      <c r="I936" s="40"/>
      <c r="J936" s="41"/>
    </row>
    <row r="937" spans="2:10" s="1" customFormat="1" ht="12.75" x14ac:dyDescent="0.2">
      <c r="B937" s="46"/>
      <c r="C937" s="59"/>
      <c r="D937" s="60"/>
      <c r="E937" s="40"/>
      <c r="F937" s="40"/>
      <c r="G937" s="40"/>
      <c r="H937" s="40"/>
      <c r="I937" s="40"/>
      <c r="J937" s="41"/>
    </row>
    <row r="938" spans="2:10" s="1" customFormat="1" ht="12.75" x14ac:dyDescent="0.2">
      <c r="B938" s="46"/>
      <c r="C938" s="59"/>
      <c r="D938" s="60"/>
      <c r="E938" s="40"/>
      <c r="F938" s="40"/>
      <c r="G938" s="40"/>
      <c r="H938" s="40"/>
      <c r="I938" s="40"/>
      <c r="J938" s="41"/>
    </row>
    <row r="939" spans="2:10" s="1" customFormat="1" ht="12.75" x14ac:dyDescent="0.2">
      <c r="B939" s="46"/>
      <c r="C939" s="59"/>
      <c r="D939" s="60"/>
      <c r="E939" s="40"/>
      <c r="F939" s="40"/>
      <c r="G939" s="40"/>
      <c r="H939" s="40"/>
      <c r="I939" s="40"/>
      <c r="J939" s="41"/>
    </row>
    <row r="940" spans="2:10" s="1" customFormat="1" ht="12.75" x14ac:dyDescent="0.2">
      <c r="B940" s="46"/>
      <c r="C940" s="59"/>
      <c r="D940" s="60"/>
      <c r="E940" s="40"/>
      <c r="F940" s="40"/>
      <c r="G940" s="40"/>
      <c r="H940" s="40"/>
      <c r="I940" s="40"/>
      <c r="J940" s="41"/>
    </row>
    <row r="941" spans="2:10" s="1" customFormat="1" ht="12.75" x14ac:dyDescent="0.2">
      <c r="B941" s="46"/>
      <c r="C941" s="59"/>
      <c r="D941" s="60"/>
      <c r="E941" s="40"/>
      <c r="F941" s="40"/>
      <c r="G941" s="40"/>
      <c r="H941" s="40"/>
      <c r="I941" s="40"/>
      <c r="J941" s="41"/>
    </row>
    <row r="942" spans="2:10" s="1" customFormat="1" ht="12.75" x14ac:dyDescent="0.2">
      <c r="B942" s="46"/>
      <c r="C942" s="59"/>
      <c r="D942" s="60"/>
      <c r="E942" s="40"/>
      <c r="F942" s="40"/>
      <c r="G942" s="40"/>
      <c r="H942" s="40"/>
      <c r="I942" s="40"/>
      <c r="J942" s="41"/>
    </row>
    <row r="943" spans="2:10" s="1" customFormat="1" ht="12.75" x14ac:dyDescent="0.2">
      <c r="B943" s="46"/>
      <c r="C943" s="59"/>
      <c r="D943" s="60"/>
      <c r="E943" s="40"/>
      <c r="F943" s="40"/>
      <c r="G943" s="40"/>
      <c r="H943" s="40"/>
      <c r="I943" s="40"/>
      <c r="J943" s="41"/>
    </row>
    <row r="944" spans="2:10" s="1" customFormat="1" ht="12.75" x14ac:dyDescent="0.2">
      <c r="B944" s="46"/>
      <c r="C944" s="59"/>
      <c r="D944" s="60"/>
      <c r="E944" s="40"/>
      <c r="F944" s="40"/>
      <c r="G944" s="40"/>
      <c r="H944" s="40"/>
      <c r="I944" s="40"/>
      <c r="J944" s="41"/>
    </row>
    <row r="945" spans="2:10" s="1" customFormat="1" ht="12.75" x14ac:dyDescent="0.2">
      <c r="B945" s="46"/>
      <c r="C945" s="59"/>
      <c r="D945" s="60"/>
      <c r="E945" s="40"/>
      <c r="F945" s="40"/>
      <c r="G945" s="40"/>
      <c r="H945" s="40"/>
      <c r="I945" s="40"/>
      <c r="J945" s="41"/>
    </row>
    <row r="946" spans="2:10" s="1" customFormat="1" ht="12.75" x14ac:dyDescent="0.2">
      <c r="B946" s="46"/>
      <c r="C946" s="59"/>
      <c r="D946" s="60"/>
      <c r="E946" s="40"/>
      <c r="F946" s="40"/>
      <c r="G946" s="40"/>
      <c r="H946" s="40"/>
      <c r="I946" s="40"/>
      <c r="J946" s="41"/>
    </row>
    <row r="947" spans="2:10" s="1" customFormat="1" ht="12.75" x14ac:dyDescent="0.2">
      <c r="B947" s="46"/>
      <c r="C947" s="59"/>
      <c r="D947" s="60"/>
      <c r="E947" s="40"/>
      <c r="F947" s="40"/>
      <c r="G947" s="40"/>
      <c r="H947" s="40"/>
      <c r="I947" s="40"/>
      <c r="J947" s="41"/>
    </row>
    <row r="948" spans="2:10" s="1" customFormat="1" ht="12.75" x14ac:dyDescent="0.2">
      <c r="B948" s="46"/>
      <c r="C948" s="59"/>
      <c r="D948" s="60"/>
      <c r="E948" s="40"/>
      <c r="F948" s="40"/>
      <c r="G948" s="40"/>
      <c r="H948" s="40"/>
      <c r="I948" s="40"/>
      <c r="J948" s="41"/>
    </row>
    <row r="949" spans="2:10" s="1" customFormat="1" ht="12.75" x14ac:dyDescent="0.2">
      <c r="B949" s="46"/>
      <c r="C949" s="59"/>
      <c r="D949" s="60"/>
      <c r="E949" s="40"/>
      <c r="F949" s="40"/>
      <c r="G949" s="40"/>
      <c r="H949" s="40"/>
      <c r="I949" s="40"/>
      <c r="J949" s="41"/>
    </row>
    <row r="950" spans="2:10" s="1" customFormat="1" ht="12.75" x14ac:dyDescent="0.2">
      <c r="B950" s="46"/>
      <c r="C950" s="59"/>
      <c r="D950" s="60"/>
      <c r="E950" s="40"/>
      <c r="F950" s="40"/>
      <c r="G950" s="40"/>
      <c r="H950" s="40"/>
      <c r="I950" s="40"/>
      <c r="J950" s="41"/>
    </row>
    <row r="951" spans="2:10" s="1" customFormat="1" ht="12.75" x14ac:dyDescent="0.2">
      <c r="B951" s="46"/>
      <c r="C951" s="59"/>
      <c r="D951" s="60"/>
      <c r="E951" s="40"/>
      <c r="F951" s="40"/>
      <c r="G951" s="40"/>
      <c r="H951" s="40"/>
      <c r="I951" s="40"/>
      <c r="J951" s="41"/>
    </row>
    <row r="952" spans="2:10" s="1" customFormat="1" ht="12.75" x14ac:dyDescent="0.2">
      <c r="B952" s="46"/>
      <c r="C952" s="59"/>
      <c r="D952" s="60"/>
      <c r="E952" s="40"/>
      <c r="F952" s="40"/>
      <c r="G952" s="40"/>
      <c r="H952" s="40"/>
      <c r="I952" s="40"/>
      <c r="J952" s="41"/>
    </row>
    <row r="953" spans="2:10" s="1" customFormat="1" ht="12.75" x14ac:dyDescent="0.2">
      <c r="B953" s="46"/>
      <c r="C953" s="59"/>
      <c r="D953" s="60"/>
      <c r="E953" s="40"/>
      <c r="F953" s="40"/>
      <c r="G953" s="40"/>
      <c r="H953" s="40"/>
      <c r="I953" s="40"/>
      <c r="J953" s="41"/>
    </row>
    <row r="954" spans="2:10" s="1" customFormat="1" ht="12.75" x14ac:dyDescent="0.2">
      <c r="B954" s="46"/>
      <c r="C954" s="59"/>
      <c r="D954" s="60"/>
      <c r="E954" s="40"/>
      <c r="F954" s="40"/>
      <c r="G954" s="40"/>
      <c r="H954" s="40"/>
      <c r="I954" s="40"/>
      <c r="J954" s="41"/>
    </row>
    <row r="955" spans="2:10" s="1" customFormat="1" ht="12.75" x14ac:dyDescent="0.2">
      <c r="B955" s="46"/>
      <c r="C955" s="59"/>
      <c r="D955" s="60"/>
      <c r="E955" s="40"/>
      <c r="F955" s="40"/>
      <c r="G955" s="40"/>
      <c r="H955" s="40"/>
      <c r="I955" s="40"/>
      <c r="J955" s="41"/>
    </row>
    <row r="956" spans="2:10" s="1" customFormat="1" ht="12.75" x14ac:dyDescent="0.2">
      <c r="B956" s="46"/>
      <c r="C956" s="59"/>
      <c r="D956" s="60"/>
      <c r="E956" s="40"/>
      <c r="F956" s="40"/>
      <c r="G956" s="40"/>
      <c r="H956" s="40"/>
      <c r="I956" s="40"/>
      <c r="J956" s="41"/>
    </row>
    <row r="957" spans="2:10" s="1" customFormat="1" ht="12.75" x14ac:dyDescent="0.2">
      <c r="B957" s="46"/>
      <c r="C957" s="59"/>
      <c r="D957" s="60"/>
      <c r="E957" s="40"/>
      <c r="F957" s="40"/>
      <c r="G957" s="40"/>
      <c r="H957" s="40"/>
      <c r="I957" s="40"/>
      <c r="J957" s="41"/>
    </row>
    <row r="958" spans="2:10" s="1" customFormat="1" ht="12.75" x14ac:dyDescent="0.2">
      <c r="B958" s="46"/>
      <c r="C958" s="59"/>
      <c r="D958" s="60"/>
      <c r="E958" s="40"/>
      <c r="F958" s="40"/>
      <c r="G958" s="40"/>
      <c r="H958" s="40"/>
      <c r="I958" s="40"/>
      <c r="J958" s="41"/>
    </row>
    <row r="959" spans="2:10" s="1" customFormat="1" ht="12.75" x14ac:dyDescent="0.2">
      <c r="B959" s="46"/>
      <c r="C959" s="59"/>
      <c r="D959" s="60"/>
      <c r="E959" s="40"/>
      <c r="F959" s="40"/>
      <c r="G959" s="40"/>
      <c r="H959" s="40"/>
      <c r="I959" s="40"/>
      <c r="J959" s="41"/>
    </row>
    <row r="960" spans="2:10" s="1" customFormat="1" ht="12.75" x14ac:dyDescent="0.2">
      <c r="B960" s="46"/>
      <c r="C960" s="59"/>
      <c r="D960" s="60"/>
      <c r="E960" s="40"/>
      <c r="F960" s="40"/>
      <c r="G960" s="40"/>
      <c r="H960" s="40"/>
      <c r="I960" s="40"/>
      <c r="J960" s="41"/>
    </row>
    <row r="961" spans="2:10" s="1" customFormat="1" ht="12.75" x14ac:dyDescent="0.2">
      <c r="B961" s="46"/>
      <c r="C961" s="59"/>
      <c r="D961" s="60"/>
      <c r="E961" s="40"/>
      <c r="F961" s="40"/>
      <c r="G961" s="40"/>
      <c r="H961" s="40"/>
      <c r="I961" s="40"/>
      <c r="J961" s="41"/>
    </row>
    <row r="962" spans="2:10" s="1" customFormat="1" ht="12.75" x14ac:dyDescent="0.2">
      <c r="B962" s="46"/>
      <c r="C962" s="59"/>
      <c r="D962" s="60"/>
      <c r="E962" s="40"/>
      <c r="F962" s="40"/>
      <c r="G962" s="40"/>
      <c r="H962" s="40"/>
      <c r="I962" s="40"/>
      <c r="J962" s="41"/>
    </row>
    <row r="963" spans="2:10" s="1" customFormat="1" ht="12.75" x14ac:dyDescent="0.2">
      <c r="B963" s="46"/>
      <c r="C963" s="59"/>
      <c r="D963" s="60"/>
      <c r="E963" s="40"/>
      <c r="F963" s="40"/>
      <c r="G963" s="40"/>
      <c r="H963" s="40"/>
      <c r="I963" s="40"/>
      <c r="J963" s="41"/>
    </row>
    <row r="964" spans="2:10" s="1" customFormat="1" ht="12.75" x14ac:dyDescent="0.2">
      <c r="B964" s="46"/>
      <c r="C964" s="59"/>
      <c r="D964" s="60"/>
      <c r="E964" s="40"/>
      <c r="F964" s="40"/>
      <c r="G964" s="40"/>
      <c r="H964" s="40"/>
      <c r="I964" s="40"/>
      <c r="J964" s="41"/>
    </row>
    <row r="965" spans="2:10" s="1" customFormat="1" ht="12.75" x14ac:dyDescent="0.2">
      <c r="B965" s="46"/>
      <c r="C965" s="59"/>
      <c r="D965" s="60"/>
      <c r="E965" s="40"/>
      <c r="F965" s="40"/>
      <c r="G965" s="40"/>
      <c r="H965" s="40"/>
      <c r="I965" s="40"/>
      <c r="J965" s="41"/>
    </row>
    <row r="966" spans="2:10" s="1" customFormat="1" ht="12.75" x14ac:dyDescent="0.2">
      <c r="B966" s="46"/>
      <c r="C966" s="59"/>
      <c r="D966" s="60"/>
      <c r="E966" s="40"/>
      <c r="F966" s="40"/>
      <c r="G966" s="40"/>
      <c r="H966" s="40"/>
      <c r="I966" s="40"/>
      <c r="J966" s="41"/>
    </row>
    <row r="967" spans="2:10" s="1" customFormat="1" ht="12.75" x14ac:dyDescent="0.2">
      <c r="B967" s="46"/>
      <c r="C967" s="59"/>
      <c r="D967" s="60"/>
      <c r="E967" s="40"/>
      <c r="F967" s="40"/>
      <c r="G967" s="40"/>
      <c r="H967" s="40"/>
      <c r="I967" s="40"/>
      <c r="J967" s="41"/>
    </row>
    <row r="968" spans="2:10" s="1" customFormat="1" ht="12.75" x14ac:dyDescent="0.2">
      <c r="B968" s="46"/>
      <c r="C968" s="59"/>
      <c r="D968" s="60"/>
      <c r="E968" s="40"/>
      <c r="F968" s="40"/>
      <c r="G968" s="40"/>
      <c r="H968" s="40"/>
      <c r="I968" s="40"/>
      <c r="J968" s="41"/>
    </row>
    <row r="969" spans="2:10" s="1" customFormat="1" ht="12.75" x14ac:dyDescent="0.2">
      <c r="B969" s="46"/>
      <c r="C969" s="59"/>
      <c r="D969" s="60"/>
      <c r="E969" s="40"/>
      <c r="F969" s="40"/>
      <c r="G969" s="40"/>
      <c r="H969" s="40"/>
      <c r="I969" s="40"/>
      <c r="J969" s="41"/>
    </row>
    <row r="970" spans="2:10" s="1" customFormat="1" ht="12.75" x14ac:dyDescent="0.2">
      <c r="B970" s="46"/>
      <c r="C970" s="59"/>
      <c r="D970" s="60"/>
      <c r="E970" s="40"/>
      <c r="F970" s="40"/>
      <c r="G970" s="40"/>
      <c r="H970" s="40"/>
      <c r="I970" s="40"/>
      <c r="J970" s="41"/>
    </row>
    <row r="971" spans="2:10" s="1" customFormat="1" ht="12.75" x14ac:dyDescent="0.2">
      <c r="B971" s="46"/>
      <c r="C971" s="59"/>
      <c r="D971" s="60"/>
      <c r="E971" s="40"/>
      <c r="F971" s="40"/>
      <c r="G971" s="40"/>
      <c r="H971" s="40"/>
      <c r="I971" s="40"/>
      <c r="J971" s="41"/>
    </row>
    <row r="972" spans="2:10" s="1" customFormat="1" ht="12.75" x14ac:dyDescent="0.2">
      <c r="B972" s="46"/>
      <c r="C972" s="59"/>
      <c r="D972" s="60"/>
      <c r="E972" s="40"/>
      <c r="F972" s="40"/>
      <c r="G972" s="40"/>
      <c r="H972" s="40"/>
      <c r="I972" s="40"/>
      <c r="J972" s="41"/>
    </row>
    <row r="973" spans="2:10" s="1" customFormat="1" ht="12.75" x14ac:dyDescent="0.2">
      <c r="B973" s="46"/>
      <c r="C973" s="59"/>
      <c r="D973" s="60"/>
      <c r="E973" s="40"/>
      <c r="F973" s="40"/>
      <c r="G973" s="40"/>
      <c r="H973" s="40"/>
      <c r="I973" s="40"/>
      <c r="J973" s="41"/>
    </row>
    <row r="974" spans="2:10" s="1" customFormat="1" ht="12.75" x14ac:dyDescent="0.2">
      <c r="B974" s="46"/>
      <c r="C974" s="59"/>
      <c r="D974" s="60"/>
      <c r="E974" s="40"/>
      <c r="F974" s="40"/>
      <c r="G974" s="40"/>
      <c r="H974" s="40"/>
      <c r="I974" s="40"/>
      <c r="J974" s="41"/>
    </row>
    <row r="975" spans="2:10" s="1" customFormat="1" ht="12.75" x14ac:dyDescent="0.2">
      <c r="B975" s="46"/>
      <c r="C975" s="59"/>
      <c r="D975" s="60"/>
      <c r="E975" s="40"/>
      <c r="F975" s="40"/>
      <c r="G975" s="40"/>
      <c r="H975" s="40"/>
      <c r="I975" s="40"/>
      <c r="J975" s="41"/>
    </row>
    <row r="976" spans="2:10" s="1" customFormat="1" ht="12.75" x14ac:dyDescent="0.2">
      <c r="B976" s="46"/>
      <c r="C976" s="59"/>
      <c r="D976" s="60"/>
      <c r="E976" s="40"/>
      <c r="F976" s="40"/>
      <c r="G976" s="40"/>
      <c r="H976" s="40"/>
      <c r="I976" s="40"/>
      <c r="J976" s="41"/>
    </row>
    <row r="977" spans="2:10" s="1" customFormat="1" ht="12.75" x14ac:dyDescent="0.2">
      <c r="B977" s="46"/>
      <c r="C977" s="59"/>
      <c r="D977" s="60"/>
      <c r="E977" s="40"/>
      <c r="F977" s="40"/>
      <c r="G977" s="40"/>
      <c r="H977" s="40"/>
      <c r="I977" s="40"/>
      <c r="J977" s="41"/>
    </row>
    <row r="978" spans="2:10" s="1" customFormat="1" ht="12.75" x14ac:dyDescent="0.2">
      <c r="B978" s="46"/>
      <c r="C978" s="59"/>
      <c r="D978" s="60"/>
      <c r="E978" s="40"/>
      <c r="F978" s="40"/>
      <c r="G978" s="40"/>
      <c r="H978" s="40"/>
      <c r="I978" s="40"/>
      <c r="J978" s="41"/>
    </row>
    <row r="979" spans="2:10" s="1" customFormat="1" ht="12.75" x14ac:dyDescent="0.2">
      <c r="B979" s="46"/>
      <c r="C979" s="59"/>
      <c r="D979" s="60"/>
      <c r="E979" s="40"/>
      <c r="F979" s="40"/>
      <c r="G979" s="40"/>
      <c r="H979" s="40"/>
      <c r="I979" s="40"/>
      <c r="J979" s="41"/>
    </row>
    <row r="980" spans="2:10" s="1" customFormat="1" ht="12.75" x14ac:dyDescent="0.2">
      <c r="B980" s="46"/>
      <c r="C980" s="59"/>
      <c r="D980" s="60"/>
      <c r="E980" s="40"/>
      <c r="F980" s="40"/>
      <c r="G980" s="40"/>
      <c r="H980" s="40"/>
      <c r="I980" s="40"/>
      <c r="J980" s="41"/>
    </row>
    <row r="981" spans="2:10" s="1" customFormat="1" ht="12.75" x14ac:dyDescent="0.2">
      <c r="B981" s="46"/>
      <c r="C981" s="59"/>
      <c r="D981" s="60"/>
      <c r="E981" s="40"/>
      <c r="F981" s="40"/>
      <c r="G981" s="40"/>
      <c r="H981" s="40"/>
      <c r="I981" s="40"/>
      <c r="J981" s="41"/>
    </row>
    <row r="982" spans="2:10" s="1" customFormat="1" ht="12.75" x14ac:dyDescent="0.2">
      <c r="B982" s="46"/>
      <c r="C982" s="59"/>
      <c r="D982" s="60"/>
      <c r="E982" s="40"/>
      <c r="F982" s="40"/>
      <c r="G982" s="40"/>
      <c r="H982" s="40"/>
      <c r="I982" s="40"/>
      <c r="J982" s="41"/>
    </row>
    <row r="983" spans="2:10" s="1" customFormat="1" ht="12.75" x14ac:dyDescent="0.2">
      <c r="B983" s="46"/>
      <c r="C983" s="59"/>
      <c r="D983" s="60"/>
      <c r="E983" s="40"/>
      <c r="F983" s="40"/>
      <c r="G983" s="40"/>
      <c r="H983" s="40"/>
      <c r="I983" s="40"/>
      <c r="J983" s="41"/>
    </row>
    <row r="984" spans="2:10" s="1" customFormat="1" ht="12.75" x14ac:dyDescent="0.2">
      <c r="B984" s="46"/>
      <c r="C984" s="59"/>
      <c r="D984" s="60"/>
      <c r="E984" s="40"/>
      <c r="F984" s="40"/>
      <c r="G984" s="40"/>
      <c r="H984" s="40"/>
      <c r="I984" s="40"/>
      <c r="J984" s="41"/>
    </row>
    <row r="985" spans="2:10" s="1" customFormat="1" ht="12.75" x14ac:dyDescent="0.2">
      <c r="B985" s="46"/>
      <c r="C985" s="59"/>
      <c r="D985" s="60"/>
      <c r="E985" s="40"/>
      <c r="F985" s="40"/>
      <c r="G985" s="40"/>
      <c r="H985" s="40"/>
      <c r="I985" s="40"/>
      <c r="J985" s="41"/>
    </row>
    <row r="986" spans="2:10" s="1" customFormat="1" ht="12.75" x14ac:dyDescent="0.2">
      <c r="B986" s="46"/>
      <c r="C986" s="59"/>
      <c r="D986" s="60"/>
      <c r="E986" s="40"/>
      <c r="F986" s="40"/>
      <c r="G986" s="40"/>
      <c r="H986" s="40"/>
      <c r="I986" s="40"/>
      <c r="J986" s="41"/>
    </row>
    <row r="987" spans="2:10" s="1" customFormat="1" ht="12.75" x14ac:dyDescent="0.2">
      <c r="B987" s="46"/>
      <c r="C987" s="59"/>
      <c r="D987" s="60"/>
      <c r="E987" s="40"/>
      <c r="F987" s="40"/>
      <c r="G987" s="40"/>
      <c r="H987" s="40"/>
      <c r="I987" s="40"/>
      <c r="J987" s="41"/>
    </row>
    <row r="988" spans="2:10" s="1" customFormat="1" ht="12.75" x14ac:dyDescent="0.2">
      <c r="B988" s="46"/>
      <c r="C988" s="59"/>
      <c r="D988" s="60"/>
      <c r="E988" s="40"/>
      <c r="F988" s="40"/>
      <c r="G988" s="40"/>
      <c r="H988" s="40"/>
      <c r="I988" s="40"/>
      <c r="J988" s="41"/>
    </row>
    <row r="989" spans="2:10" s="1" customFormat="1" ht="12.75" x14ac:dyDescent="0.2">
      <c r="B989" s="46"/>
      <c r="C989" s="59"/>
      <c r="D989" s="60"/>
      <c r="E989" s="40"/>
      <c r="F989" s="40"/>
      <c r="G989" s="40"/>
      <c r="H989" s="40"/>
      <c r="I989" s="40"/>
      <c r="J989" s="41"/>
    </row>
    <row r="990" spans="2:10" s="1" customFormat="1" ht="12.75" x14ac:dyDescent="0.2">
      <c r="B990" s="46"/>
      <c r="C990" s="59"/>
      <c r="D990" s="60"/>
      <c r="E990" s="40"/>
      <c r="F990" s="40"/>
      <c r="G990" s="40"/>
      <c r="H990" s="40"/>
      <c r="I990" s="40"/>
      <c r="J990" s="41"/>
    </row>
    <row r="991" spans="2:10" s="1" customFormat="1" ht="12.75" x14ac:dyDescent="0.2">
      <c r="B991" s="46"/>
      <c r="C991" s="59"/>
      <c r="D991" s="60"/>
      <c r="E991" s="40"/>
      <c r="F991" s="40"/>
      <c r="G991" s="40"/>
      <c r="H991" s="40"/>
      <c r="I991" s="40"/>
      <c r="J991" s="41"/>
    </row>
    <row r="992" spans="2:10" s="1" customFormat="1" ht="12.75" x14ac:dyDescent="0.2">
      <c r="B992" s="46"/>
      <c r="C992" s="59"/>
      <c r="D992" s="60"/>
      <c r="E992" s="40"/>
      <c r="F992" s="40"/>
      <c r="G992" s="40"/>
      <c r="H992" s="40"/>
      <c r="I992" s="40"/>
      <c r="J992" s="41"/>
    </row>
    <row r="993" spans="2:10" s="1" customFormat="1" ht="12.75" x14ac:dyDescent="0.2">
      <c r="B993" s="46"/>
      <c r="C993" s="59"/>
      <c r="D993" s="60"/>
      <c r="E993" s="40"/>
      <c r="F993" s="40"/>
      <c r="G993" s="40"/>
      <c r="H993" s="40"/>
      <c r="I993" s="40"/>
      <c r="J993" s="41"/>
    </row>
    <row r="994" spans="2:10" s="1" customFormat="1" ht="12.75" x14ac:dyDescent="0.2">
      <c r="B994" s="46"/>
      <c r="C994" s="59"/>
      <c r="D994" s="60"/>
      <c r="E994" s="40"/>
      <c r="F994" s="40"/>
      <c r="G994" s="40"/>
      <c r="H994" s="40"/>
      <c r="I994" s="40"/>
      <c r="J994" s="41"/>
    </row>
    <row r="995" spans="2:10" s="1" customFormat="1" ht="12.75" x14ac:dyDescent="0.2">
      <c r="B995" s="46"/>
      <c r="C995" s="59"/>
      <c r="D995" s="60"/>
      <c r="E995" s="40"/>
      <c r="F995" s="40"/>
      <c r="G995" s="40"/>
      <c r="H995" s="40"/>
      <c r="I995" s="40"/>
      <c r="J995" s="41"/>
    </row>
    <row r="996" spans="2:10" s="1" customFormat="1" ht="12.75" x14ac:dyDescent="0.2">
      <c r="B996" s="46"/>
      <c r="C996" s="59"/>
      <c r="D996" s="60"/>
      <c r="E996" s="40"/>
      <c r="F996" s="40"/>
      <c r="G996" s="40"/>
      <c r="H996" s="40"/>
      <c r="I996" s="40"/>
      <c r="J996" s="41"/>
    </row>
    <row r="997" spans="2:10" s="1" customFormat="1" ht="12.75" x14ac:dyDescent="0.2">
      <c r="B997" s="46"/>
      <c r="C997" s="59"/>
      <c r="D997" s="60"/>
      <c r="E997" s="40"/>
      <c r="F997" s="40"/>
      <c r="G997" s="40"/>
      <c r="H997" s="40"/>
      <c r="I997" s="40"/>
      <c r="J997" s="41"/>
    </row>
    <row r="998" spans="2:10" s="1" customFormat="1" ht="12.75" x14ac:dyDescent="0.2">
      <c r="B998" s="46"/>
      <c r="C998" s="59"/>
      <c r="D998" s="60"/>
      <c r="E998" s="40"/>
      <c r="F998" s="40"/>
      <c r="G998" s="40"/>
      <c r="H998" s="40"/>
      <c r="I998" s="40"/>
      <c r="J998" s="41"/>
    </row>
    <row r="999" spans="2:10" s="1" customFormat="1" ht="12.75" x14ac:dyDescent="0.2">
      <c r="B999" s="46"/>
      <c r="C999" s="59"/>
      <c r="D999" s="60"/>
      <c r="E999" s="40"/>
      <c r="F999" s="40"/>
      <c r="G999" s="40"/>
      <c r="H999" s="40"/>
      <c r="I999" s="40"/>
      <c r="J999" s="41"/>
    </row>
    <row r="1000" spans="2:10" s="1" customFormat="1" ht="12.75" x14ac:dyDescent="0.2">
      <c r="B1000" s="46"/>
      <c r="C1000" s="59"/>
      <c r="D1000" s="60"/>
      <c r="E1000" s="40"/>
      <c r="F1000" s="40"/>
      <c r="G1000" s="40"/>
      <c r="H1000" s="40"/>
      <c r="I1000" s="40"/>
      <c r="J1000" s="41"/>
    </row>
    <row r="1001" spans="2:10" s="1" customFormat="1" ht="12.75" x14ac:dyDescent="0.2">
      <c r="B1001" s="46"/>
      <c r="C1001" s="59"/>
      <c r="D1001" s="60"/>
      <c r="E1001" s="40"/>
      <c r="F1001" s="40"/>
      <c r="G1001" s="40"/>
      <c r="H1001" s="40"/>
      <c r="I1001" s="40"/>
      <c r="J1001" s="41"/>
    </row>
    <row r="1002" spans="2:10" s="1" customFormat="1" ht="12.75" x14ac:dyDescent="0.2">
      <c r="B1002" s="46"/>
      <c r="C1002" s="59"/>
      <c r="D1002" s="60"/>
      <c r="E1002" s="40"/>
      <c r="F1002" s="40"/>
      <c r="G1002" s="40"/>
      <c r="H1002" s="40"/>
      <c r="I1002" s="40"/>
      <c r="J1002" s="41"/>
    </row>
    <row r="1003" spans="2:10" s="1" customFormat="1" ht="12.75" x14ac:dyDescent="0.2">
      <c r="B1003" s="46"/>
      <c r="C1003" s="59"/>
      <c r="D1003" s="60"/>
      <c r="E1003" s="40"/>
      <c r="F1003" s="40"/>
      <c r="G1003" s="40"/>
      <c r="H1003" s="40"/>
      <c r="I1003" s="40"/>
      <c r="J1003" s="41"/>
    </row>
    <row r="1004" spans="2:10" s="1" customFormat="1" ht="12.75" x14ac:dyDescent="0.2">
      <c r="B1004" s="46"/>
      <c r="C1004" s="59"/>
      <c r="D1004" s="60"/>
      <c r="E1004" s="40"/>
      <c r="F1004" s="40"/>
      <c r="G1004" s="40"/>
      <c r="H1004" s="40"/>
      <c r="I1004" s="40"/>
      <c r="J1004" s="41"/>
    </row>
    <row r="1005" spans="2:10" s="1" customFormat="1" ht="12.75" x14ac:dyDescent="0.2">
      <c r="B1005" s="46"/>
      <c r="C1005" s="59"/>
      <c r="D1005" s="60"/>
      <c r="E1005" s="40"/>
      <c r="F1005" s="40"/>
      <c r="G1005" s="40"/>
      <c r="H1005" s="40"/>
      <c r="I1005" s="40"/>
      <c r="J1005" s="41"/>
    </row>
    <row r="1006" spans="2:10" s="1" customFormat="1" ht="12.75" x14ac:dyDescent="0.2">
      <c r="B1006" s="46"/>
      <c r="C1006" s="59"/>
      <c r="D1006" s="60"/>
      <c r="E1006" s="40"/>
      <c r="F1006" s="40"/>
      <c r="G1006" s="40"/>
      <c r="H1006" s="40"/>
      <c r="I1006" s="40"/>
      <c r="J1006" s="41"/>
    </row>
    <row r="1007" spans="2:10" s="1" customFormat="1" ht="12.75" x14ac:dyDescent="0.2">
      <c r="C1007" s="499" t="s">
        <v>37</v>
      </c>
      <c r="D1007" s="499"/>
      <c r="E1007" s="499"/>
      <c r="F1007" s="499"/>
      <c r="G1007" s="499"/>
      <c r="H1007" s="499"/>
    </row>
    <row r="1008" spans="2:10" s="1" customFormat="1" ht="12.75" x14ac:dyDescent="0.2">
      <c r="C1008" s="499" t="s">
        <v>38</v>
      </c>
      <c r="D1008" s="499"/>
      <c r="E1008" s="499"/>
      <c r="F1008" s="499"/>
      <c r="G1008" s="499"/>
      <c r="H1008" s="499"/>
    </row>
    <row r="1009" spans="2:10" s="1" customFormat="1" ht="12.75" x14ac:dyDescent="0.2">
      <c r="C1009" s="499" t="s">
        <v>39</v>
      </c>
      <c r="D1009" s="499"/>
      <c r="E1009" s="499"/>
      <c r="F1009" s="499"/>
      <c r="G1009" s="499"/>
      <c r="H1009" s="499"/>
    </row>
    <row r="1010" spans="2:10" s="1" customFormat="1" ht="12.75" x14ac:dyDescent="0.2">
      <c r="C1010" s="500" t="s">
        <v>40</v>
      </c>
      <c r="D1010" s="500"/>
      <c r="E1010" s="500"/>
      <c r="F1010" s="500"/>
      <c r="G1010" s="500"/>
      <c r="H1010" s="500"/>
    </row>
    <row r="1011" spans="2:10" s="1" customFormat="1" ht="12.75" x14ac:dyDescent="0.2">
      <c r="C1011" s="78"/>
      <c r="D1011" s="78"/>
      <c r="E1011" s="78"/>
      <c r="F1011" s="78"/>
      <c r="G1011" s="78"/>
      <c r="H1011" s="78"/>
    </row>
    <row r="1012" spans="2:10" s="1" customFormat="1" ht="15.75" x14ac:dyDescent="0.2">
      <c r="B1012" s="501" t="s">
        <v>65</v>
      </c>
      <c r="C1012" s="502"/>
      <c r="D1012" s="502"/>
      <c r="E1012" s="502"/>
      <c r="F1012" s="502"/>
      <c r="G1012" s="502"/>
      <c r="H1012" s="502"/>
      <c r="I1012" s="502"/>
      <c r="J1012" s="503"/>
    </row>
    <row r="1013" spans="2:10" s="1" customFormat="1" ht="20.25" x14ac:dyDescent="0.2">
      <c r="B1013" s="543" t="s">
        <v>421</v>
      </c>
      <c r="C1013" s="544"/>
      <c r="D1013" s="544"/>
      <c r="E1013" s="544"/>
      <c r="F1013" s="544"/>
      <c r="G1013" s="544"/>
      <c r="H1013" s="544"/>
      <c r="I1013" s="544"/>
      <c r="J1013" s="545"/>
    </row>
    <row r="1014" spans="2:10" s="1" customFormat="1" ht="13.5" thickBot="1" x14ac:dyDescent="0.25">
      <c r="B1014" s="79"/>
      <c r="C1014" s="79"/>
      <c r="D1014" s="79"/>
      <c r="E1014" s="79"/>
      <c r="F1014" s="79"/>
      <c r="G1014" s="79"/>
      <c r="H1014" s="79"/>
      <c r="I1014" s="79"/>
      <c r="J1014" s="79"/>
    </row>
    <row r="1015" spans="2:10" s="1" customFormat="1" ht="28.5" customHeight="1" x14ac:dyDescent="0.2">
      <c r="B1015" s="494" t="s">
        <v>27</v>
      </c>
      <c r="C1015" s="495"/>
      <c r="D1015" s="495"/>
      <c r="E1015" s="495"/>
      <c r="F1015" s="495"/>
      <c r="G1015" s="495"/>
      <c r="H1015" s="495"/>
      <c r="I1015" s="495"/>
      <c r="J1015" s="496"/>
    </row>
    <row r="1016" spans="2:10" s="1" customFormat="1" ht="12.75" x14ac:dyDescent="0.2">
      <c r="B1016" s="2" t="s">
        <v>35</v>
      </c>
      <c r="C1016" s="3" t="s">
        <v>36</v>
      </c>
      <c r="D1016" s="3"/>
      <c r="E1016" s="4"/>
      <c r="F1016" s="5"/>
      <c r="G1016" s="6" t="s">
        <v>8</v>
      </c>
      <c r="H1016" s="497">
        <v>42879</v>
      </c>
      <c r="I1016" s="497"/>
      <c r="J1016" s="7"/>
    </row>
    <row r="1017" spans="2:10" s="1" customFormat="1" ht="12.75" x14ac:dyDescent="0.2">
      <c r="B1017" s="2" t="s">
        <v>33</v>
      </c>
      <c r="C1017" s="3" t="s">
        <v>29</v>
      </c>
      <c r="D1017" s="8"/>
      <c r="E1017" s="8"/>
      <c r="F1017" s="3"/>
      <c r="G1017" s="9" t="s">
        <v>32</v>
      </c>
      <c r="H1017" s="4" t="s">
        <v>29</v>
      </c>
      <c r="I1017" s="10"/>
      <c r="J1017" s="11"/>
    </row>
    <row r="1018" spans="2:10" s="1" customFormat="1" ht="12.75" x14ac:dyDescent="0.2">
      <c r="B1018" s="2" t="s">
        <v>34</v>
      </c>
      <c r="C1018" s="3" t="s">
        <v>29</v>
      </c>
      <c r="D1018" s="8"/>
      <c r="E1018" s="8"/>
      <c r="F1018" s="3"/>
      <c r="G1018" s="9" t="s">
        <v>30</v>
      </c>
      <c r="H1018" s="4" t="s">
        <v>31</v>
      </c>
      <c r="I1018" s="10"/>
      <c r="J1018" s="11"/>
    </row>
    <row r="1019" spans="2:10" s="1" customFormat="1" ht="13.5" thickBot="1" x14ac:dyDescent="0.25">
      <c r="B1019" s="12" t="s">
        <v>43</v>
      </c>
      <c r="C1019" s="13" t="s">
        <v>44</v>
      </c>
      <c r="D1019" s="14"/>
      <c r="E1019" s="14"/>
      <c r="F1019" s="13"/>
      <c r="G1019" s="15" t="s">
        <v>41</v>
      </c>
      <c r="H1019" s="16" t="s">
        <v>42</v>
      </c>
      <c r="I1019" s="17"/>
      <c r="J1019" s="18"/>
    </row>
    <row r="1020" spans="2:10" s="1" customFormat="1" ht="12.75" x14ac:dyDescent="0.2">
      <c r="B1020" s="79"/>
      <c r="C1020" s="79"/>
      <c r="D1020" s="79"/>
      <c r="E1020" s="79"/>
      <c r="F1020" s="79"/>
      <c r="G1020" s="79"/>
      <c r="H1020" s="79"/>
      <c r="I1020" s="79"/>
      <c r="J1020" s="79"/>
    </row>
    <row r="1021" spans="2:10" s="1" customFormat="1" ht="12.75" x14ac:dyDescent="0.2">
      <c r="B1021" s="21" t="s">
        <v>5</v>
      </c>
      <c r="C1021" s="22" t="s">
        <v>0</v>
      </c>
      <c r="D1021" s="22" t="s">
        <v>9</v>
      </c>
      <c r="E1021" s="22" t="s">
        <v>10</v>
      </c>
      <c r="F1021" s="22" t="s">
        <v>1</v>
      </c>
      <c r="G1021" s="22" t="s">
        <v>2</v>
      </c>
      <c r="H1021" s="22" t="s">
        <v>11</v>
      </c>
      <c r="I1021" s="22" t="s">
        <v>6</v>
      </c>
      <c r="J1021" s="22" t="s">
        <v>7</v>
      </c>
    </row>
    <row r="1022" spans="2:10" s="1" customFormat="1" ht="12.75" x14ac:dyDescent="0.2">
      <c r="B1022" s="55">
        <v>4.03</v>
      </c>
      <c r="C1022" s="56" t="s">
        <v>222</v>
      </c>
      <c r="D1022" s="60"/>
      <c r="E1022" s="40"/>
      <c r="F1022" s="40"/>
      <c r="G1022" s="40"/>
      <c r="H1022" s="40"/>
      <c r="I1022" s="40"/>
      <c r="J1022" s="41"/>
    </row>
    <row r="1023" spans="2:10" s="1" customFormat="1" ht="12.75" x14ac:dyDescent="0.2">
      <c r="B1023" s="57" t="s">
        <v>14</v>
      </c>
      <c r="C1023" s="58" t="s">
        <v>225</v>
      </c>
      <c r="D1023" s="60"/>
      <c r="E1023" s="40"/>
      <c r="F1023" s="40"/>
      <c r="G1023" s="40"/>
      <c r="H1023" s="40"/>
      <c r="I1023" s="40"/>
      <c r="J1023" s="41"/>
    </row>
    <row r="1024" spans="2:10" s="1" customFormat="1" ht="12.75" x14ac:dyDescent="0.2">
      <c r="B1024" s="43" t="s">
        <v>15</v>
      </c>
      <c r="C1024" s="43" t="s">
        <v>359</v>
      </c>
      <c r="D1024" s="60"/>
      <c r="E1024" s="40"/>
      <c r="F1024" s="40"/>
      <c r="G1024" s="40"/>
      <c r="H1024" s="40"/>
      <c r="I1024" s="44">
        <f>SUM(H1025:H1025)</f>
        <v>4</v>
      </c>
      <c r="J1024" s="45" t="str">
        <f>+J1025</f>
        <v>ml</v>
      </c>
    </row>
    <row r="1025" spans="2:10" s="1" customFormat="1" ht="12.75" x14ac:dyDescent="0.2">
      <c r="B1025" s="43"/>
      <c r="C1025" s="39" t="s">
        <v>387</v>
      </c>
      <c r="D1025" s="40">
        <v>1</v>
      </c>
      <c r="E1025" s="40">
        <v>4</v>
      </c>
      <c r="F1025" s="40"/>
      <c r="G1025" s="40"/>
      <c r="H1025" s="40">
        <f>IF(AND(F1025=0,G1025=0),D1025*E1025,IF(AND(E1025=0,G1025=0),D1025*F1025,IF(AND(E1025=0,F1025=0),D1025*G1025,IF(AND(E1025=0),D1025*F1025*G1025,IF(AND(F1025=0),D1025*E1025*G1025,IF(AND(G1025=0),D1025*E1025*F1025,D1025*E1025*F1025*G1025))))))</f>
        <v>4</v>
      </c>
      <c r="I1025" s="40"/>
      <c r="J1025" s="41" t="str">
        <f>IF(AND(E1025=0,F1025&lt;&gt;0,G1025&lt;&gt;0),"m2",IF(AND(F1025=0,E1025&lt;&gt;0,G1025&lt;&gt;0),"m2",IF(AND(G1025=0,E1025&lt;&gt;0,F1025&lt;&gt;0),"m2",IF(AND(F1025=0,G1025=0),"ml",IF(AND(E1025=0,G1025=0),"ml",IF(AND(E1025=0,F1025=0),"ml",IF(AND(E1025&lt;&gt;0,F1025&lt;&gt;0,G1025&lt;&gt;0),"m3",0)))))))</f>
        <v>ml</v>
      </c>
    </row>
    <row r="1026" spans="2:10" s="1" customFormat="1" ht="12.75" x14ac:dyDescent="0.2">
      <c r="B1026" s="43"/>
      <c r="C1026" s="39"/>
      <c r="D1026" s="40"/>
      <c r="E1026" s="40"/>
      <c r="F1026" s="40"/>
      <c r="G1026" s="40"/>
      <c r="H1026" s="40">
        <f>IF(AND(F1026=0,G1026=0),D1026*E1026,IF(AND(E1026=0,G1026=0),D1026*F1026,IF(AND(E1026=0,F1026=0),D1026*G1026,IF(AND(E1026=0),D1026*F1026*G1026,IF(AND(F1026=0),D1026*E1026*G1026,IF(AND(G1026=0),D1026*E1026*F1026,D1026*E1026*F1026*G1026))))))</f>
        <v>0</v>
      </c>
      <c r="I1026" s="40"/>
      <c r="J1026" s="41" t="str">
        <f>IF(AND(E1026=0,F1026&lt;&gt;0,G1026&lt;&gt;0),"m2",IF(AND(F1026=0,E1026&lt;&gt;0,G1026&lt;&gt;0),"m2",IF(AND(G1026=0,E1026&lt;&gt;0,F1026&lt;&gt;0),"m2",IF(AND(F1026=0,G1026=0),"ml",IF(AND(E1026=0,G1026=0),"ml",IF(AND(E1026=0,F1026=0),"ml",IF(AND(E1026&lt;&gt;0,F1026&lt;&gt;0,G1026&lt;&gt;0),"m3",0)))))))</f>
        <v>ml</v>
      </c>
    </row>
    <row r="1027" spans="2:10" s="1" customFormat="1" ht="12.75" x14ac:dyDescent="0.2">
      <c r="B1027" s="43" t="s">
        <v>232</v>
      </c>
      <c r="C1027" s="43" t="s">
        <v>235</v>
      </c>
      <c r="D1027" s="60"/>
      <c r="E1027" s="40"/>
      <c r="F1027" s="40"/>
      <c r="G1027" s="40"/>
      <c r="H1027" s="40"/>
      <c r="I1027" s="44">
        <f>SUM(H1028:H1028)</f>
        <v>58</v>
      </c>
      <c r="J1027" s="45" t="str">
        <f>+J1028</f>
        <v>ml</v>
      </c>
    </row>
    <row r="1028" spans="2:10" s="1" customFormat="1" ht="12.75" x14ac:dyDescent="0.2">
      <c r="B1028" s="57"/>
      <c r="C1028" s="39" t="s">
        <v>378</v>
      </c>
      <c r="D1028" s="40">
        <v>5</v>
      </c>
      <c r="E1028" s="40">
        <v>11.6</v>
      </c>
      <c r="F1028" s="40"/>
      <c r="G1028" s="40"/>
      <c r="H1028" s="40">
        <f>IF(AND(F1028=0,G1028=0),D1028*E1028,IF(AND(E1028=0,G1028=0),D1028*F1028,IF(AND(E1028=0,F1028=0),D1028*G1028,IF(AND(E1028=0),D1028*F1028*G1028,IF(AND(F1028=0),D1028*E1028*G1028,IF(AND(G1028=0),D1028*E1028*F1028,D1028*E1028*F1028*G1028))))))</f>
        <v>58</v>
      </c>
      <c r="I1028" s="40"/>
      <c r="J1028" s="41" t="str">
        <f>IF(AND(E1028=0,F1028&lt;&gt;0,G1028&lt;&gt;0),"m2",IF(AND(F1028=0,E1028&lt;&gt;0,G1028&lt;&gt;0),"m2",IF(AND(G1028=0,E1028&lt;&gt;0,F1028&lt;&gt;0),"m2",IF(AND(F1028=0,G1028=0),"ml",IF(AND(E1028=0,G1028=0),"ml",IF(AND(E1028=0,F1028=0),"ml",IF(AND(E1028&lt;&gt;0,F1028&lt;&gt;0,G1028&lt;&gt;0),"m3",0)))))))</f>
        <v>ml</v>
      </c>
    </row>
    <row r="1029" spans="2:10" s="1" customFormat="1" ht="12.75" x14ac:dyDescent="0.2">
      <c r="B1029" s="57"/>
      <c r="C1029" s="39" t="s">
        <v>379</v>
      </c>
      <c r="D1029" s="40">
        <v>1</v>
      </c>
      <c r="E1029" s="40">
        <v>19.3</v>
      </c>
      <c r="F1029" s="40"/>
      <c r="G1029" s="40"/>
      <c r="H1029" s="40">
        <f>IF(AND(F1029=0,G1029=0),D1029*E1029,IF(AND(E1029=0,G1029=0),D1029*F1029,IF(AND(E1029=0,F1029=0),D1029*G1029,IF(AND(E1029=0),D1029*F1029*G1029,IF(AND(F1029=0),D1029*E1029*G1029,IF(AND(G1029=0),D1029*E1029*F1029,D1029*E1029*F1029*G1029))))))</f>
        <v>19.3</v>
      </c>
      <c r="I1029" s="40"/>
      <c r="J1029" s="41" t="str">
        <f>IF(AND(E1029=0,F1029&lt;&gt;0,G1029&lt;&gt;0),"m2",IF(AND(F1029=0,E1029&lt;&gt;0,G1029&lt;&gt;0),"m2",IF(AND(G1029=0,E1029&lt;&gt;0,F1029&lt;&gt;0),"m2",IF(AND(F1029=0,G1029=0),"ml",IF(AND(E1029=0,G1029=0),"ml",IF(AND(E1029=0,F1029=0),"ml",IF(AND(E1029&lt;&gt;0,F1029&lt;&gt;0,G1029&lt;&gt;0),"m3",0)))))))</f>
        <v>ml</v>
      </c>
    </row>
    <row r="1030" spans="2:10" s="1" customFormat="1" ht="12.75" x14ac:dyDescent="0.2">
      <c r="B1030" s="43" t="s">
        <v>233</v>
      </c>
      <c r="C1030" s="43" t="s">
        <v>236</v>
      </c>
      <c r="D1030" s="60"/>
      <c r="E1030" s="40"/>
      <c r="F1030" s="40"/>
      <c r="G1030" s="40"/>
      <c r="H1030" s="40"/>
      <c r="I1030" s="44">
        <f>SUM(H1031:H1031)</f>
        <v>0</v>
      </c>
      <c r="J1030" s="45" t="str">
        <f>+J1031</f>
        <v>ml</v>
      </c>
    </row>
    <row r="1031" spans="2:10" s="1" customFormat="1" ht="12.75" x14ac:dyDescent="0.2">
      <c r="B1031" s="57"/>
      <c r="C1031" s="39" t="s">
        <v>378</v>
      </c>
      <c r="D1031" s="40"/>
      <c r="E1031" s="40"/>
      <c r="F1031" s="40"/>
      <c r="G1031" s="40"/>
      <c r="H1031" s="40">
        <f>IF(AND(F1031=0,G1031=0),D1031*E1031,IF(AND(E1031=0,G1031=0),D1031*F1031,IF(AND(E1031=0,F1031=0),D1031*G1031,IF(AND(E1031=0),D1031*F1031*G1031,IF(AND(F1031=0),D1031*E1031*G1031,IF(AND(G1031=0),D1031*E1031*F1031,D1031*E1031*F1031*G1031))))))</f>
        <v>0</v>
      </c>
      <c r="I1031" s="40"/>
      <c r="J1031" s="41" t="str">
        <f>IF(AND(E1031=0,F1031&lt;&gt;0,G1031&lt;&gt;0),"m2",IF(AND(F1031=0,E1031&lt;&gt;0,G1031&lt;&gt;0),"m2",IF(AND(G1031=0,E1031&lt;&gt;0,F1031&lt;&gt;0),"m2",IF(AND(F1031=0,G1031=0),"ml",IF(AND(E1031=0,G1031=0),"ml",IF(AND(E1031=0,F1031=0),"ml",IF(AND(E1031&lt;&gt;0,F1031&lt;&gt;0,G1031&lt;&gt;0),"m3",0)))))))</f>
        <v>ml</v>
      </c>
    </row>
    <row r="1032" spans="2:10" s="1" customFormat="1" ht="12.75" x14ac:dyDescent="0.2">
      <c r="B1032" s="57"/>
      <c r="C1032" s="39" t="s">
        <v>379</v>
      </c>
      <c r="D1032" s="40"/>
      <c r="E1032" s="40"/>
      <c r="F1032" s="40"/>
      <c r="G1032" s="40"/>
      <c r="H1032" s="40">
        <f>IF(AND(F1032=0,G1032=0),D1032*E1032,IF(AND(E1032=0,G1032=0),D1032*F1032,IF(AND(E1032=0,F1032=0),D1032*G1032,IF(AND(E1032=0),D1032*F1032*G1032,IF(AND(F1032=0),D1032*E1032*G1032,IF(AND(G1032=0),D1032*E1032*F1032,D1032*E1032*F1032*G1032))))))</f>
        <v>0</v>
      </c>
      <c r="I1032" s="40"/>
      <c r="J1032" s="41" t="str">
        <f>IF(AND(E1032=0,F1032&lt;&gt;0,G1032&lt;&gt;0),"m2",IF(AND(F1032=0,E1032&lt;&gt;0,G1032&lt;&gt;0),"m2",IF(AND(G1032=0,E1032&lt;&gt;0,F1032&lt;&gt;0),"m2",IF(AND(F1032=0,G1032=0),"ml",IF(AND(E1032=0,G1032=0),"ml",IF(AND(E1032=0,F1032=0),"ml",IF(AND(E1032&lt;&gt;0,F1032&lt;&gt;0,G1032&lt;&gt;0),"m3",0)))))))</f>
        <v>ml</v>
      </c>
    </row>
    <row r="1033" spans="2:10" s="1" customFormat="1" ht="12.75" x14ac:dyDescent="0.2">
      <c r="B1033" s="43" t="s">
        <v>234</v>
      </c>
      <c r="C1033" s="43" t="s">
        <v>267</v>
      </c>
      <c r="D1033" s="60"/>
      <c r="E1033" s="40"/>
      <c r="F1033" s="40"/>
      <c r="G1033" s="40"/>
      <c r="H1033" s="40"/>
      <c r="I1033" s="44">
        <f>SUM(H1035:H1040)</f>
        <v>63.75</v>
      </c>
      <c r="J1033" s="45" t="str">
        <f>+J1035</f>
        <v>ml</v>
      </c>
    </row>
    <row r="1034" spans="2:10" s="1" customFormat="1" ht="12.75" x14ac:dyDescent="0.2">
      <c r="B1034" s="43"/>
      <c r="C1034" s="77" t="s">
        <v>71</v>
      </c>
      <c r="D1034" s="60"/>
      <c r="E1034" s="40"/>
      <c r="F1034" s="40"/>
      <c r="G1034" s="40"/>
      <c r="H1034" s="40"/>
      <c r="I1034" s="44"/>
      <c r="J1034" s="45"/>
    </row>
    <row r="1035" spans="2:10" s="1" customFormat="1" ht="12.75" x14ac:dyDescent="0.2">
      <c r="B1035" s="43"/>
      <c r="C1035" s="39" t="s">
        <v>349</v>
      </c>
      <c r="D1035" s="40">
        <v>5</v>
      </c>
      <c r="E1035" s="40">
        <v>3.25</v>
      </c>
      <c r="F1035" s="40"/>
      <c r="G1035" s="40"/>
      <c r="H1035" s="40">
        <f t="shared" ref="H1035:H1040" si="46">IF(AND(F1035=0,G1035=0),D1035*E1035,IF(AND(E1035=0,G1035=0),D1035*F1035,IF(AND(E1035=0,F1035=0),D1035*G1035,IF(AND(E1035=0),D1035*F1035*G1035,IF(AND(F1035=0),D1035*E1035*G1035,IF(AND(G1035=0),D1035*E1035*F1035,D1035*E1035*F1035*G1035))))))</f>
        <v>16.25</v>
      </c>
      <c r="I1035" s="40"/>
      <c r="J1035" s="41" t="str">
        <f t="shared" ref="J1035:J1040" si="47">IF(AND(E1035=0,F1035&lt;&gt;0,G1035&lt;&gt;0),"m2",IF(AND(F1035=0,E1035&lt;&gt;0,G1035&lt;&gt;0),"m2",IF(AND(G1035=0,E1035&lt;&gt;0,F1035&lt;&gt;0),"m2",IF(AND(F1035=0,G1035=0),"ml",IF(AND(E1035=0,G1035=0),"ml",IF(AND(E1035=0,F1035=0),"ml",IF(AND(E1035&lt;&gt;0,F1035&lt;&gt;0,G1035&lt;&gt;0),"m3",0)))))))</f>
        <v>ml</v>
      </c>
    </row>
    <row r="1036" spans="2:10" s="1" customFormat="1" ht="12.75" x14ac:dyDescent="0.2">
      <c r="B1036" s="43"/>
      <c r="C1036" s="39" t="s">
        <v>369</v>
      </c>
      <c r="D1036" s="40">
        <v>5</v>
      </c>
      <c r="E1036" s="40">
        <v>3</v>
      </c>
      <c r="F1036" s="40"/>
      <c r="G1036" s="40"/>
      <c r="H1036" s="40">
        <f t="shared" si="46"/>
        <v>15</v>
      </c>
      <c r="I1036" s="40"/>
      <c r="J1036" s="41" t="str">
        <f t="shared" si="47"/>
        <v>ml</v>
      </c>
    </row>
    <row r="1037" spans="2:10" s="1" customFormat="1" ht="12.75" x14ac:dyDescent="0.2">
      <c r="B1037" s="43"/>
      <c r="C1037" s="77" t="s">
        <v>72</v>
      </c>
      <c r="D1037" s="40"/>
      <c r="E1037" s="40"/>
      <c r="F1037" s="40"/>
      <c r="G1037" s="40"/>
      <c r="H1037" s="40">
        <f t="shared" si="46"/>
        <v>0</v>
      </c>
      <c r="I1037" s="40"/>
      <c r="J1037" s="41" t="str">
        <f t="shared" si="47"/>
        <v>ml</v>
      </c>
    </row>
    <row r="1038" spans="2:10" s="1" customFormat="1" ht="12.75" x14ac:dyDescent="0.2">
      <c r="B1038" s="43"/>
      <c r="C1038" s="39" t="s">
        <v>349</v>
      </c>
      <c r="D1038" s="40">
        <v>5</v>
      </c>
      <c r="E1038" s="40">
        <v>3.25</v>
      </c>
      <c r="F1038" s="40"/>
      <c r="G1038" s="40"/>
      <c r="H1038" s="40">
        <f t="shared" si="46"/>
        <v>16.25</v>
      </c>
      <c r="I1038" s="40"/>
      <c r="J1038" s="41" t="str">
        <f t="shared" si="47"/>
        <v>ml</v>
      </c>
    </row>
    <row r="1039" spans="2:10" s="1" customFormat="1" ht="12.75" x14ac:dyDescent="0.2">
      <c r="B1039" s="43"/>
      <c r="C1039" s="77" t="s">
        <v>73</v>
      </c>
      <c r="D1039" s="40"/>
      <c r="E1039" s="40"/>
      <c r="F1039" s="40"/>
      <c r="G1039" s="40"/>
      <c r="H1039" s="40">
        <f t="shared" si="46"/>
        <v>0</v>
      </c>
      <c r="I1039" s="40"/>
      <c r="J1039" s="41" t="str">
        <f t="shared" si="47"/>
        <v>ml</v>
      </c>
    </row>
    <row r="1040" spans="2:10" s="1" customFormat="1" ht="12.75" x14ac:dyDescent="0.2">
      <c r="B1040" s="43"/>
      <c r="C1040" s="39" t="s">
        <v>349</v>
      </c>
      <c r="D1040" s="40">
        <v>5</v>
      </c>
      <c r="E1040" s="40">
        <v>3.25</v>
      </c>
      <c r="F1040" s="40"/>
      <c r="G1040" s="40"/>
      <c r="H1040" s="40">
        <f t="shared" si="46"/>
        <v>16.25</v>
      </c>
      <c r="I1040" s="40"/>
      <c r="J1040" s="41" t="str">
        <f t="shared" si="47"/>
        <v>ml</v>
      </c>
    </row>
    <row r="1041" spans="2:10" s="1" customFormat="1" ht="12.75" x14ac:dyDescent="0.2">
      <c r="B1041" s="43" t="s">
        <v>268</v>
      </c>
      <c r="C1041" s="43" t="s">
        <v>347</v>
      </c>
      <c r="D1041" s="60"/>
      <c r="E1041" s="40"/>
      <c r="F1041" s="40"/>
      <c r="G1041" s="40"/>
      <c r="H1041" s="40"/>
      <c r="I1041" s="44">
        <f>SUM(H1042:H1048)</f>
        <v>11.75</v>
      </c>
      <c r="J1041" s="45" t="str">
        <f>+J1042</f>
        <v>ml</v>
      </c>
    </row>
    <row r="1042" spans="2:10" s="1" customFormat="1" ht="12.75" x14ac:dyDescent="0.2">
      <c r="B1042" s="57"/>
      <c r="C1042" s="77" t="s">
        <v>71</v>
      </c>
      <c r="D1042" s="40"/>
      <c r="E1042" s="40"/>
      <c r="F1042" s="40"/>
      <c r="G1042" s="40"/>
      <c r="H1042" s="40">
        <f t="shared" ref="H1042:H1048" si="48">IF(AND(F1042=0,G1042=0),D1042*E1042,IF(AND(E1042=0,G1042=0),D1042*F1042,IF(AND(E1042=0,F1042=0),D1042*G1042,IF(AND(E1042=0),D1042*F1042*G1042,IF(AND(F1042=0),D1042*E1042*G1042,IF(AND(G1042=0),D1042*E1042*F1042,D1042*E1042*F1042*G1042))))))</f>
        <v>0</v>
      </c>
      <c r="I1042" s="40"/>
      <c r="J1042" s="41" t="str">
        <f t="shared" ref="J1042:J1048" si="49">IF(AND(E1042=0,F1042&lt;&gt;0,G1042&lt;&gt;0),"m2",IF(AND(F1042=0,E1042&lt;&gt;0,G1042&lt;&gt;0),"m2",IF(AND(G1042=0,E1042&lt;&gt;0,F1042&lt;&gt;0),"m2",IF(AND(F1042=0,G1042=0),"ml",IF(AND(E1042=0,G1042=0),"ml",IF(AND(E1042=0,F1042=0),"ml",IF(AND(E1042&lt;&gt;0,F1042&lt;&gt;0,G1042&lt;&gt;0),"m3",0)))))))</f>
        <v>ml</v>
      </c>
    </row>
    <row r="1043" spans="2:10" s="1" customFormat="1" ht="12.75" x14ac:dyDescent="0.2">
      <c r="B1043" s="57"/>
      <c r="C1043" s="39" t="s">
        <v>349</v>
      </c>
      <c r="D1043" s="40">
        <v>1</v>
      </c>
      <c r="E1043" s="40">
        <v>3.25</v>
      </c>
      <c r="F1043" s="40"/>
      <c r="G1043" s="40"/>
      <c r="H1043" s="40">
        <f t="shared" si="48"/>
        <v>3.25</v>
      </c>
      <c r="I1043" s="40"/>
      <c r="J1043" s="41" t="str">
        <f t="shared" si="49"/>
        <v>ml</v>
      </c>
    </row>
    <row r="1044" spans="2:10" s="1" customFormat="1" ht="12.75" x14ac:dyDescent="0.2">
      <c r="B1044" s="57"/>
      <c r="C1044" s="39" t="s">
        <v>369</v>
      </c>
      <c r="D1044" s="40">
        <v>1</v>
      </c>
      <c r="E1044" s="40">
        <v>2</v>
      </c>
      <c r="F1044" s="40"/>
      <c r="G1044" s="40"/>
      <c r="H1044" s="40">
        <f t="shared" si="48"/>
        <v>2</v>
      </c>
      <c r="I1044" s="40"/>
      <c r="J1044" s="41" t="str">
        <f t="shared" si="49"/>
        <v>ml</v>
      </c>
    </row>
    <row r="1045" spans="2:10" s="1" customFormat="1" ht="12.75" x14ac:dyDescent="0.2">
      <c r="B1045" s="57"/>
      <c r="C1045" s="77" t="s">
        <v>72</v>
      </c>
      <c r="D1045" s="40"/>
      <c r="E1045" s="40"/>
      <c r="F1045" s="40"/>
      <c r="G1045" s="40"/>
      <c r="H1045" s="40">
        <f t="shared" si="48"/>
        <v>0</v>
      </c>
      <c r="I1045" s="40"/>
      <c r="J1045" s="41" t="str">
        <f t="shared" si="49"/>
        <v>ml</v>
      </c>
    </row>
    <row r="1046" spans="2:10" s="1" customFormat="1" ht="12.75" x14ac:dyDescent="0.2">
      <c r="B1046" s="57"/>
      <c r="C1046" s="39" t="s">
        <v>349</v>
      </c>
      <c r="D1046" s="40">
        <v>1</v>
      </c>
      <c r="E1046" s="40">
        <v>3.25</v>
      </c>
      <c r="F1046" s="40"/>
      <c r="G1046" s="40"/>
      <c r="H1046" s="40">
        <f t="shared" si="48"/>
        <v>3.25</v>
      </c>
      <c r="I1046" s="40"/>
      <c r="J1046" s="41" t="str">
        <f t="shared" si="49"/>
        <v>ml</v>
      </c>
    </row>
    <row r="1047" spans="2:10" s="1" customFormat="1" ht="12.75" x14ac:dyDescent="0.2">
      <c r="B1047" s="57"/>
      <c r="C1047" s="77" t="s">
        <v>73</v>
      </c>
      <c r="D1047" s="40"/>
      <c r="E1047" s="40"/>
      <c r="F1047" s="40"/>
      <c r="G1047" s="40"/>
      <c r="H1047" s="40">
        <f t="shared" si="48"/>
        <v>0</v>
      </c>
      <c r="I1047" s="40"/>
      <c r="J1047" s="41" t="str">
        <f t="shared" si="49"/>
        <v>ml</v>
      </c>
    </row>
    <row r="1048" spans="2:10" s="1" customFormat="1" ht="12.75" x14ac:dyDescent="0.2">
      <c r="B1048" s="57"/>
      <c r="C1048" s="39" t="s">
        <v>349</v>
      </c>
      <c r="D1048" s="40">
        <v>1</v>
      </c>
      <c r="E1048" s="40">
        <v>3.25</v>
      </c>
      <c r="F1048" s="40"/>
      <c r="G1048" s="40"/>
      <c r="H1048" s="40">
        <f t="shared" si="48"/>
        <v>3.25</v>
      </c>
      <c r="I1048" s="40"/>
      <c r="J1048" s="41" t="str">
        <f t="shared" si="49"/>
        <v>ml</v>
      </c>
    </row>
    <row r="1049" spans="2:10" s="1" customFormat="1" ht="12.75" x14ac:dyDescent="0.2">
      <c r="B1049" s="43" t="s">
        <v>270</v>
      </c>
      <c r="C1049" s="43" t="s">
        <v>269</v>
      </c>
      <c r="D1049" s="60"/>
      <c r="E1049" s="40"/>
      <c r="F1049" s="40"/>
      <c r="G1049" s="40"/>
      <c r="H1049" s="40"/>
      <c r="I1049" s="44">
        <f>SUM(H1050:H1056)</f>
        <v>0</v>
      </c>
      <c r="J1049" s="45" t="str">
        <f>+J1050</f>
        <v>ml</v>
      </c>
    </row>
    <row r="1050" spans="2:10" s="1" customFormat="1" ht="12.75" x14ac:dyDescent="0.2">
      <c r="B1050" s="43"/>
      <c r="C1050" s="77" t="s">
        <v>71</v>
      </c>
      <c r="D1050" s="40"/>
      <c r="E1050" s="40"/>
      <c r="F1050" s="40"/>
      <c r="G1050" s="40"/>
      <c r="H1050" s="40">
        <f t="shared" ref="H1050:H1056" si="50">IF(AND(F1050=0,G1050=0),D1050*E1050,IF(AND(E1050=0,G1050=0),D1050*F1050,IF(AND(E1050=0,F1050=0),D1050*G1050,IF(AND(E1050=0),D1050*F1050*G1050,IF(AND(F1050=0),D1050*E1050*G1050,IF(AND(G1050=0),D1050*E1050*F1050,D1050*E1050*F1050*G1050))))))</f>
        <v>0</v>
      </c>
      <c r="I1050" s="40"/>
      <c r="J1050" s="41" t="str">
        <f t="shared" ref="J1050:J1056" si="51">IF(AND(E1050=0,F1050&lt;&gt;0,G1050&lt;&gt;0),"m2",IF(AND(F1050=0,E1050&lt;&gt;0,G1050&lt;&gt;0),"m2",IF(AND(G1050=0,E1050&lt;&gt;0,F1050&lt;&gt;0),"m2",IF(AND(F1050=0,G1050=0),"ml",IF(AND(E1050=0,G1050=0),"ml",IF(AND(E1050=0,F1050=0),"ml",IF(AND(E1050&lt;&gt;0,F1050&lt;&gt;0,G1050&lt;&gt;0),"m3",0)))))))</f>
        <v>ml</v>
      </c>
    </row>
    <row r="1051" spans="2:10" s="1" customFormat="1" ht="12.75" x14ac:dyDescent="0.2">
      <c r="B1051" s="43"/>
      <c r="C1051" s="39" t="s">
        <v>349</v>
      </c>
      <c r="D1051" s="40"/>
      <c r="E1051" s="40"/>
      <c r="F1051" s="40"/>
      <c r="G1051" s="40"/>
      <c r="H1051" s="40">
        <f t="shared" si="50"/>
        <v>0</v>
      </c>
      <c r="I1051" s="40"/>
      <c r="J1051" s="41" t="str">
        <f t="shared" si="51"/>
        <v>ml</v>
      </c>
    </row>
    <row r="1052" spans="2:10" s="1" customFormat="1" ht="12.75" x14ac:dyDescent="0.2">
      <c r="B1052" s="43"/>
      <c r="C1052" s="39" t="s">
        <v>369</v>
      </c>
      <c r="D1052" s="40"/>
      <c r="E1052" s="40"/>
      <c r="F1052" s="40"/>
      <c r="G1052" s="40"/>
      <c r="H1052" s="40">
        <f t="shared" si="50"/>
        <v>0</v>
      </c>
      <c r="I1052" s="40"/>
      <c r="J1052" s="41" t="str">
        <f t="shared" si="51"/>
        <v>ml</v>
      </c>
    </row>
    <row r="1053" spans="2:10" s="1" customFormat="1" ht="12.75" x14ac:dyDescent="0.2">
      <c r="B1053" s="43"/>
      <c r="C1053" s="77" t="s">
        <v>72</v>
      </c>
      <c r="D1053" s="40"/>
      <c r="E1053" s="40"/>
      <c r="F1053" s="40"/>
      <c r="G1053" s="40"/>
      <c r="H1053" s="40">
        <f t="shared" si="50"/>
        <v>0</v>
      </c>
      <c r="I1053" s="40"/>
      <c r="J1053" s="41" t="str">
        <f t="shared" si="51"/>
        <v>ml</v>
      </c>
    </row>
    <row r="1054" spans="2:10" s="1" customFormat="1" ht="12.75" x14ac:dyDescent="0.2">
      <c r="B1054" s="43"/>
      <c r="C1054" s="39" t="s">
        <v>349</v>
      </c>
      <c r="D1054" s="40"/>
      <c r="E1054" s="40"/>
      <c r="F1054" s="40"/>
      <c r="G1054" s="40"/>
      <c r="H1054" s="40">
        <f t="shared" si="50"/>
        <v>0</v>
      </c>
      <c r="I1054" s="40"/>
      <c r="J1054" s="41" t="str">
        <f t="shared" si="51"/>
        <v>ml</v>
      </c>
    </row>
    <row r="1055" spans="2:10" s="1" customFormat="1" ht="12.75" x14ac:dyDescent="0.2">
      <c r="B1055" s="43"/>
      <c r="C1055" s="77" t="s">
        <v>73</v>
      </c>
      <c r="D1055" s="40"/>
      <c r="E1055" s="40"/>
      <c r="F1055" s="40"/>
      <c r="G1055" s="40"/>
      <c r="H1055" s="40">
        <f t="shared" si="50"/>
        <v>0</v>
      </c>
      <c r="I1055" s="40"/>
      <c r="J1055" s="41" t="str">
        <f t="shared" si="51"/>
        <v>ml</v>
      </c>
    </row>
    <row r="1056" spans="2:10" s="1" customFormat="1" ht="12.75" x14ac:dyDescent="0.2">
      <c r="B1056" s="43"/>
      <c r="C1056" s="39" t="s">
        <v>349</v>
      </c>
      <c r="D1056" s="40"/>
      <c r="E1056" s="40"/>
      <c r="F1056" s="40"/>
      <c r="G1056" s="40"/>
      <c r="H1056" s="40">
        <f t="shared" si="50"/>
        <v>0</v>
      </c>
      <c r="I1056" s="40"/>
      <c r="J1056" s="41" t="str">
        <f t="shared" si="51"/>
        <v>ml</v>
      </c>
    </row>
    <row r="1057" spans="2:10" s="1" customFormat="1" ht="12.75" x14ac:dyDescent="0.2">
      <c r="B1057" s="43" t="s">
        <v>342</v>
      </c>
      <c r="C1057" s="43" t="s">
        <v>271</v>
      </c>
      <c r="D1057" s="60"/>
      <c r="E1057" s="40"/>
      <c r="F1057" s="40"/>
      <c r="G1057" s="40"/>
      <c r="H1057" s="40"/>
      <c r="I1057" s="44">
        <f>SUM(H1058:H1058)</f>
        <v>0</v>
      </c>
      <c r="J1057" s="45" t="str">
        <f>+J1058</f>
        <v>und</v>
      </c>
    </row>
    <row r="1058" spans="2:10" s="1" customFormat="1" ht="12.75" x14ac:dyDescent="0.2">
      <c r="B1058" s="57"/>
      <c r="C1058" s="39" t="s">
        <v>370</v>
      </c>
      <c r="D1058" s="40"/>
      <c r="E1058" s="40"/>
      <c r="F1058" s="40"/>
      <c r="G1058" s="40"/>
      <c r="H1058" s="40">
        <f>+D1058</f>
        <v>0</v>
      </c>
      <c r="I1058" s="40"/>
      <c r="J1058" s="41" t="s">
        <v>13</v>
      </c>
    </row>
    <row r="1059" spans="2:10" s="1" customFormat="1" ht="12.75" x14ac:dyDescent="0.2">
      <c r="B1059" s="43" t="s">
        <v>346</v>
      </c>
      <c r="C1059" s="43" t="s">
        <v>348</v>
      </c>
      <c r="D1059" s="60"/>
      <c r="E1059" s="40"/>
      <c r="F1059" s="40"/>
      <c r="G1059" s="40"/>
      <c r="H1059" s="40"/>
      <c r="I1059" s="44">
        <f>SUM(H1060:H1060)</f>
        <v>6</v>
      </c>
      <c r="J1059" s="45" t="str">
        <f>+J1060</f>
        <v>und</v>
      </c>
    </row>
    <row r="1060" spans="2:10" s="1" customFormat="1" ht="12.75" x14ac:dyDescent="0.2">
      <c r="B1060" s="57"/>
      <c r="C1060" s="39" t="s">
        <v>349</v>
      </c>
      <c r="D1060" s="40">
        <v>6</v>
      </c>
      <c r="E1060" s="40"/>
      <c r="F1060" s="40"/>
      <c r="G1060" s="40"/>
      <c r="H1060" s="40">
        <f>+D1060</f>
        <v>6</v>
      </c>
      <c r="I1060" s="40"/>
      <c r="J1060" s="41" t="s">
        <v>13</v>
      </c>
    </row>
    <row r="1061" spans="2:10" s="1" customFormat="1" ht="12.75" x14ac:dyDescent="0.2">
      <c r="B1061" s="57" t="s">
        <v>16</v>
      </c>
      <c r="C1061" s="58" t="s">
        <v>224</v>
      </c>
      <c r="D1061" s="60"/>
      <c r="E1061" s="40"/>
      <c r="F1061" s="40"/>
      <c r="G1061" s="40"/>
      <c r="H1061" s="40"/>
      <c r="I1061" s="40"/>
      <c r="J1061" s="41"/>
    </row>
    <row r="1062" spans="2:10" s="1" customFormat="1" ht="12.75" x14ac:dyDescent="0.2">
      <c r="B1062" s="43" t="s">
        <v>17</v>
      </c>
      <c r="C1062" s="43" t="s">
        <v>343</v>
      </c>
      <c r="D1062" s="60"/>
      <c r="E1062" s="40"/>
      <c r="F1062" s="40"/>
      <c r="G1062" s="40"/>
      <c r="H1062" s="40"/>
      <c r="I1062" s="44">
        <f>SUM(H1063:H1063)</f>
        <v>0</v>
      </c>
      <c r="J1062" s="45" t="str">
        <f>+J1063</f>
        <v>ml</v>
      </c>
    </row>
    <row r="1063" spans="2:10" s="1" customFormat="1" ht="12.75" x14ac:dyDescent="0.2">
      <c r="B1063" s="57"/>
      <c r="C1063" s="39" t="s">
        <v>344</v>
      </c>
      <c r="D1063" s="40"/>
      <c r="E1063" s="40"/>
      <c r="F1063" s="40"/>
      <c r="G1063" s="40"/>
      <c r="H1063" s="40">
        <f>IF(AND(F1063=0,G1063=0),D1063*E1063,IF(AND(E1063=0,G1063=0),D1063*F1063,IF(AND(E1063=0,F1063=0),D1063*G1063,IF(AND(E1063=0),D1063*F1063*G1063,IF(AND(F1063=0),D1063*E1063*G1063,IF(AND(G1063=0),D1063*E1063*F1063,D1063*E1063*F1063*G1063))))))</f>
        <v>0</v>
      </c>
      <c r="I1063" s="40"/>
      <c r="J1063" s="41" t="str">
        <f>IF(AND(E1063=0,F1063&lt;&gt;0,G1063&lt;&gt;0),"m2",IF(AND(F1063=0,E1063&lt;&gt;0,G1063&lt;&gt;0),"m2",IF(AND(G1063=0,E1063&lt;&gt;0,F1063&lt;&gt;0),"m2",IF(AND(F1063=0,G1063=0),"ml",IF(AND(E1063=0,G1063=0),"ml",IF(AND(E1063=0,F1063=0),"ml",IF(AND(E1063&lt;&gt;0,F1063&lt;&gt;0,G1063&lt;&gt;0),"m3",0)))))))</f>
        <v>ml</v>
      </c>
    </row>
    <row r="1064" spans="2:10" s="1" customFormat="1" ht="12.75" x14ac:dyDescent="0.2">
      <c r="B1064" s="43" t="s">
        <v>240</v>
      </c>
      <c r="C1064" s="43" t="s">
        <v>237</v>
      </c>
      <c r="D1064" s="60"/>
      <c r="E1064" s="40"/>
      <c r="F1064" s="40"/>
      <c r="G1064" s="40"/>
      <c r="H1064" s="40"/>
      <c r="I1064" s="44">
        <f>SUM(H1065:H1066)</f>
        <v>28.1</v>
      </c>
      <c r="J1064" s="45" t="str">
        <f>+J1065</f>
        <v>ml</v>
      </c>
    </row>
    <row r="1065" spans="2:10" s="1" customFormat="1" ht="12.75" x14ac:dyDescent="0.2">
      <c r="B1065" s="57"/>
      <c r="C1065" s="39" t="s">
        <v>422</v>
      </c>
      <c r="D1065" s="40">
        <v>1</v>
      </c>
      <c r="E1065" s="40">
        <v>14.1</v>
      </c>
      <c r="F1065" s="40"/>
      <c r="G1065" s="40"/>
      <c r="H1065" s="40">
        <f>IF(AND(F1065=0,G1065=0),D1065*E1065,IF(AND(E1065=0,G1065=0),D1065*F1065,IF(AND(E1065=0,F1065=0),D1065*G1065,IF(AND(E1065=0),D1065*F1065*G1065,IF(AND(F1065=0),D1065*E1065*G1065,IF(AND(G1065=0),D1065*E1065*F1065,D1065*E1065*F1065*G1065))))))</f>
        <v>14.1</v>
      </c>
      <c r="I1065" s="40"/>
      <c r="J1065" s="41" t="str">
        <f>IF(AND(E1065=0,F1065&lt;&gt;0,G1065&lt;&gt;0),"m2",IF(AND(F1065=0,E1065&lt;&gt;0,G1065&lt;&gt;0),"m2",IF(AND(G1065=0,E1065&lt;&gt;0,F1065&lt;&gt;0),"m2",IF(AND(F1065=0,G1065=0),"ml",IF(AND(E1065=0,G1065=0),"ml",IF(AND(E1065=0,F1065=0),"ml",IF(AND(E1065&lt;&gt;0,F1065&lt;&gt;0,G1065&lt;&gt;0),"m3",0)))))))</f>
        <v>ml</v>
      </c>
    </row>
    <row r="1066" spans="2:10" s="1" customFormat="1" ht="12.75" x14ac:dyDescent="0.2">
      <c r="B1066" s="57"/>
      <c r="C1066" s="39" t="s">
        <v>423</v>
      </c>
      <c r="D1066" s="40">
        <v>1</v>
      </c>
      <c r="E1066" s="40">
        <v>14</v>
      </c>
      <c r="F1066" s="40"/>
      <c r="G1066" s="40"/>
      <c r="H1066" s="40">
        <f>IF(AND(F1066=0,G1066=0),D1066*E1066,IF(AND(E1066=0,G1066=0),D1066*F1066,IF(AND(E1066=0,F1066=0),D1066*G1066,IF(AND(E1066=0),D1066*F1066*G1066,IF(AND(F1066=0),D1066*E1066*G1066,IF(AND(G1066=0),D1066*E1066*F1066,D1066*E1066*F1066*G1066))))))</f>
        <v>14</v>
      </c>
      <c r="I1066" s="40"/>
      <c r="J1066" s="41" t="str">
        <f>IF(AND(E1066=0,F1066&lt;&gt;0,G1066&lt;&gt;0),"m2",IF(AND(F1066=0,E1066&lt;&gt;0,G1066&lt;&gt;0),"m2",IF(AND(G1066=0,E1066&lt;&gt;0,F1066&lt;&gt;0),"m2",IF(AND(F1066=0,G1066=0),"ml",IF(AND(E1066=0,G1066=0),"ml",IF(AND(E1066=0,F1066=0),"ml",IF(AND(E1066&lt;&gt;0,F1066&lt;&gt;0,G1066&lt;&gt;0),"m3",0)))))))</f>
        <v>ml</v>
      </c>
    </row>
    <row r="1067" spans="2:10" s="1" customFormat="1" ht="12.75" x14ac:dyDescent="0.2">
      <c r="B1067" s="43" t="s">
        <v>241</v>
      </c>
      <c r="C1067" s="43" t="s">
        <v>239</v>
      </c>
      <c r="D1067" s="60"/>
      <c r="E1067" s="40"/>
      <c r="F1067" s="40"/>
      <c r="G1067" s="40"/>
      <c r="H1067" s="40"/>
      <c r="I1067" s="44">
        <f>SUM(H1068:H1068)</f>
        <v>0</v>
      </c>
      <c r="J1067" s="45" t="str">
        <f>+J1068</f>
        <v>ml</v>
      </c>
    </row>
    <row r="1068" spans="2:10" s="1" customFormat="1" ht="12.75" x14ac:dyDescent="0.2">
      <c r="B1068" s="57"/>
      <c r="C1068" s="39" t="s">
        <v>400</v>
      </c>
      <c r="D1068" s="40"/>
      <c r="E1068" s="40"/>
      <c r="F1068" s="40"/>
      <c r="G1068" s="40"/>
      <c r="H1068" s="40">
        <f>IF(AND(F1068=0,G1068=0),D1068*E1068,IF(AND(E1068=0,G1068=0),D1068*F1068,IF(AND(E1068=0,F1068=0),D1068*G1068,IF(AND(E1068=0),D1068*F1068*G1068,IF(AND(F1068=0),D1068*E1068*G1068,IF(AND(G1068=0),D1068*E1068*F1068,D1068*E1068*F1068*G1068))))))</f>
        <v>0</v>
      </c>
      <c r="I1068" s="40"/>
      <c r="J1068" s="41" t="str">
        <f>IF(AND(E1068=0,F1068&lt;&gt;0,G1068&lt;&gt;0),"m2",IF(AND(F1068=0,E1068&lt;&gt;0,G1068&lt;&gt;0),"m2",IF(AND(G1068=0,E1068&lt;&gt;0,F1068&lt;&gt;0),"m2",IF(AND(F1068=0,G1068=0),"ml",IF(AND(E1068=0,G1068=0),"ml",IF(AND(E1068=0,F1068=0),"ml",IF(AND(E1068&lt;&gt;0,F1068&lt;&gt;0,G1068&lt;&gt;0),"m3",0)))))))</f>
        <v>ml</v>
      </c>
    </row>
    <row r="1069" spans="2:10" s="1" customFormat="1" ht="12.75" x14ac:dyDescent="0.2">
      <c r="B1069" s="43" t="s">
        <v>243</v>
      </c>
      <c r="C1069" s="43" t="s">
        <v>242</v>
      </c>
      <c r="D1069" s="60"/>
      <c r="E1069" s="40"/>
      <c r="F1069" s="40"/>
      <c r="G1069" s="40"/>
      <c r="H1069" s="40"/>
      <c r="I1069" s="44">
        <f>SUM(H1070:H1070)</f>
        <v>0</v>
      </c>
      <c r="J1069" s="45" t="str">
        <f>+J1070</f>
        <v>ml</v>
      </c>
    </row>
    <row r="1070" spans="2:10" s="1" customFormat="1" ht="12.75" x14ac:dyDescent="0.2">
      <c r="B1070" s="57"/>
      <c r="C1070" s="39" t="s">
        <v>401</v>
      </c>
      <c r="D1070" s="40"/>
      <c r="E1070" s="40"/>
      <c r="F1070" s="40"/>
      <c r="G1070" s="40"/>
      <c r="H1070" s="40">
        <f>IF(AND(F1070=0,G1070=0),D1070*E1070,IF(AND(E1070=0,G1070=0),D1070*F1070,IF(AND(E1070=0,F1070=0),D1070*G1070,IF(AND(E1070=0),D1070*F1070*G1070,IF(AND(F1070=0),D1070*E1070*G1070,IF(AND(G1070=0),D1070*E1070*F1070,D1070*E1070*F1070*G1070))))))</f>
        <v>0</v>
      </c>
      <c r="I1070" s="40"/>
      <c r="J1070" s="41" t="str">
        <f>IF(AND(E1070=0,F1070&lt;&gt;0,G1070&lt;&gt;0),"m2",IF(AND(F1070=0,E1070&lt;&gt;0,G1070&lt;&gt;0),"m2",IF(AND(G1070=0,E1070&lt;&gt;0,F1070&lt;&gt;0),"m2",IF(AND(F1070=0,G1070=0),"ml",IF(AND(E1070=0,G1070=0),"ml",IF(AND(E1070=0,F1070=0),"ml",IF(AND(E1070&lt;&gt;0,F1070&lt;&gt;0,G1070&lt;&gt;0),"m3",0)))))))</f>
        <v>ml</v>
      </c>
    </row>
    <row r="1071" spans="2:10" s="1" customFormat="1" ht="12.75" x14ac:dyDescent="0.2">
      <c r="B1071" s="43" t="s">
        <v>244</v>
      </c>
      <c r="C1071" s="43" t="s">
        <v>245</v>
      </c>
      <c r="D1071" s="60"/>
      <c r="E1071" s="40"/>
      <c r="F1071" s="40"/>
      <c r="G1071" s="40"/>
      <c r="H1071" s="40"/>
      <c r="I1071" s="44">
        <f>SUM(H1072:H1073)</f>
        <v>28.1</v>
      </c>
      <c r="J1071" s="45" t="str">
        <f>+J1072</f>
        <v>ml</v>
      </c>
    </row>
    <row r="1072" spans="2:10" s="1" customFormat="1" ht="12.75" x14ac:dyDescent="0.2">
      <c r="B1072" s="57"/>
      <c r="C1072" s="39" t="s">
        <v>422</v>
      </c>
      <c r="D1072" s="40">
        <v>1</v>
      </c>
      <c r="E1072" s="40">
        <v>14.1</v>
      </c>
      <c r="F1072" s="40"/>
      <c r="G1072" s="40"/>
      <c r="H1072" s="40">
        <f>IF(AND(F1072=0,G1072=0),D1072*E1072,IF(AND(E1072=0,G1072=0),D1072*F1072,IF(AND(E1072=0,F1072=0),D1072*G1072,IF(AND(E1072=0),D1072*F1072*G1072,IF(AND(F1072=0),D1072*E1072*G1072,IF(AND(G1072=0),D1072*E1072*F1072,D1072*E1072*F1072*G1072))))))</f>
        <v>14.1</v>
      </c>
      <c r="I1072" s="40"/>
      <c r="J1072" s="41" t="str">
        <f>IF(AND(E1072=0,F1072&lt;&gt;0,G1072&lt;&gt;0),"m2",IF(AND(F1072=0,E1072&lt;&gt;0,G1072&lt;&gt;0),"m2",IF(AND(G1072=0,E1072&lt;&gt;0,F1072&lt;&gt;0),"m2",IF(AND(F1072=0,G1072=0),"ml",IF(AND(E1072=0,G1072=0),"ml",IF(AND(E1072=0,F1072=0),"ml",IF(AND(E1072&lt;&gt;0,F1072&lt;&gt;0,G1072&lt;&gt;0),"m3",0)))))))</f>
        <v>ml</v>
      </c>
    </row>
    <row r="1073" spans="2:10" s="1" customFormat="1" ht="12.75" x14ac:dyDescent="0.2">
      <c r="B1073" s="57"/>
      <c r="C1073" s="39" t="s">
        <v>423</v>
      </c>
      <c r="D1073" s="40">
        <v>1</v>
      </c>
      <c r="E1073" s="40">
        <v>14</v>
      </c>
      <c r="F1073" s="40"/>
      <c r="G1073" s="40"/>
      <c r="H1073" s="40">
        <f>IF(AND(F1073=0,G1073=0),D1073*E1073,IF(AND(E1073=0,G1073=0),D1073*F1073,IF(AND(E1073=0,F1073=0),D1073*G1073,IF(AND(E1073=0),D1073*F1073*G1073,IF(AND(F1073=0),D1073*E1073*G1073,IF(AND(G1073=0),D1073*E1073*F1073,D1073*E1073*F1073*G1073))))))</f>
        <v>14</v>
      </c>
      <c r="I1073" s="40"/>
      <c r="J1073" s="41" t="str">
        <f>IF(AND(E1073=0,F1073&lt;&gt;0,G1073&lt;&gt;0),"m2",IF(AND(F1073=0,E1073&lt;&gt;0,G1073&lt;&gt;0),"m2",IF(AND(G1073=0,E1073&lt;&gt;0,F1073&lt;&gt;0),"m2",IF(AND(F1073=0,G1073=0),"ml",IF(AND(E1073=0,G1073=0),"ml",IF(AND(E1073=0,F1073=0),"ml",IF(AND(E1073&lt;&gt;0,F1073&lt;&gt;0,G1073&lt;&gt;0),"m3",0)))))))</f>
        <v>ml</v>
      </c>
    </row>
    <row r="1074" spans="2:10" s="1" customFormat="1" ht="12.75" x14ac:dyDescent="0.2">
      <c r="B1074" s="43" t="s">
        <v>248</v>
      </c>
      <c r="C1074" s="43" t="s">
        <v>246</v>
      </c>
      <c r="D1074" s="60"/>
      <c r="E1074" s="40"/>
      <c r="F1074" s="40"/>
      <c r="G1074" s="40"/>
      <c r="H1074" s="40"/>
      <c r="I1074" s="44">
        <f>SUM(H1075:H1075)</f>
        <v>0</v>
      </c>
      <c r="J1074" s="45" t="str">
        <f>+J1075</f>
        <v>ml</v>
      </c>
    </row>
    <row r="1075" spans="2:10" s="1" customFormat="1" ht="12.75" x14ac:dyDescent="0.2">
      <c r="B1075" s="57"/>
      <c r="C1075" s="39" t="s">
        <v>238</v>
      </c>
      <c r="D1075" s="40"/>
      <c r="E1075" s="40"/>
      <c r="F1075" s="40"/>
      <c r="G1075" s="40"/>
      <c r="H1075" s="40">
        <f>IF(AND(F1075=0,G1075=0),D1075*E1075,IF(AND(E1075=0,G1075=0),D1075*F1075,IF(AND(E1075=0,F1075=0),D1075*G1075,IF(AND(E1075=0),D1075*F1075*G1075,IF(AND(F1075=0),D1075*E1075*G1075,IF(AND(G1075=0),D1075*E1075*F1075,D1075*E1075*F1075*G1075))))))</f>
        <v>0</v>
      </c>
      <c r="I1075" s="40"/>
      <c r="J1075" s="41" t="str">
        <f>IF(AND(E1075=0,F1075&lt;&gt;0,G1075&lt;&gt;0),"m2",IF(AND(F1075=0,E1075&lt;&gt;0,G1075&lt;&gt;0),"m2",IF(AND(G1075=0,E1075&lt;&gt;0,F1075&lt;&gt;0),"m2",IF(AND(F1075=0,G1075=0),"ml",IF(AND(E1075=0,G1075=0),"ml",IF(AND(E1075=0,F1075=0),"ml",IF(AND(E1075&lt;&gt;0,F1075&lt;&gt;0,G1075&lt;&gt;0),"m3",0)))))))</f>
        <v>ml</v>
      </c>
    </row>
    <row r="1076" spans="2:10" s="1" customFormat="1" ht="12.75" x14ac:dyDescent="0.2">
      <c r="B1076" s="43" t="s">
        <v>249</v>
      </c>
      <c r="C1076" s="43" t="s">
        <v>247</v>
      </c>
      <c r="D1076" s="60"/>
      <c r="E1076" s="40"/>
      <c r="F1076" s="40"/>
      <c r="G1076" s="40"/>
      <c r="H1076" s="40"/>
      <c r="I1076" s="44">
        <f>SUM(H1077:H1077)</f>
        <v>0</v>
      </c>
      <c r="J1076" s="45" t="str">
        <f>+J1077</f>
        <v>ml</v>
      </c>
    </row>
    <row r="1077" spans="2:10" s="1" customFormat="1" ht="12.75" x14ac:dyDescent="0.2">
      <c r="B1077" s="57"/>
      <c r="C1077" s="39" t="s">
        <v>396</v>
      </c>
      <c r="D1077" s="40"/>
      <c r="E1077" s="40"/>
      <c r="F1077" s="40"/>
      <c r="G1077" s="40"/>
      <c r="H1077" s="40">
        <f>IF(AND(F1077=0,G1077=0),D1077*E1077,IF(AND(E1077=0,G1077=0),D1077*F1077,IF(AND(E1077=0,F1077=0),D1077*G1077,IF(AND(E1077=0),D1077*F1077*G1077,IF(AND(F1077=0),D1077*E1077*G1077,IF(AND(G1077=0),D1077*E1077*F1077,D1077*E1077*F1077*G1077))))))</f>
        <v>0</v>
      </c>
      <c r="I1077" s="40"/>
      <c r="J1077" s="41" t="str">
        <f>IF(AND(E1077=0,F1077&lt;&gt;0,G1077&lt;&gt;0),"m2",IF(AND(F1077=0,E1077&lt;&gt;0,G1077&lt;&gt;0),"m2",IF(AND(G1077=0,E1077&lt;&gt;0,F1077&lt;&gt;0),"m2",IF(AND(F1077=0,G1077=0),"ml",IF(AND(E1077=0,G1077=0),"ml",IF(AND(E1077=0,F1077=0),"ml",IF(AND(E1077&lt;&gt;0,F1077&lt;&gt;0,G1077&lt;&gt;0),"m3",0)))))))</f>
        <v>ml</v>
      </c>
    </row>
    <row r="1078" spans="2:10" s="1" customFormat="1" ht="12.75" x14ac:dyDescent="0.2">
      <c r="B1078" s="43" t="s">
        <v>256</v>
      </c>
      <c r="C1078" s="43" t="s">
        <v>226</v>
      </c>
      <c r="D1078" s="60"/>
      <c r="E1078" s="40"/>
      <c r="F1078" s="40"/>
      <c r="G1078" s="40"/>
      <c r="H1078" s="40"/>
      <c r="I1078" s="44">
        <f>SUM(H1079:H1080)</f>
        <v>0</v>
      </c>
      <c r="J1078" s="45" t="str">
        <f>+J1080</f>
        <v>ml</v>
      </c>
    </row>
    <row r="1079" spans="2:10" s="1" customFormat="1" ht="12.75" x14ac:dyDescent="0.2">
      <c r="B1079" s="43"/>
      <c r="C1079" s="39" t="s">
        <v>371</v>
      </c>
      <c r="D1079" s="40"/>
      <c r="E1079" s="40"/>
      <c r="F1079" s="40"/>
      <c r="G1079" s="40"/>
      <c r="H1079" s="40">
        <f>IF(AND(F1079=0,G1079=0),D1079*E1079,IF(AND(E1079=0,G1079=0),D1079*F1079,IF(AND(E1079=0,F1079=0),D1079*G1079,IF(AND(E1079=0),D1079*F1079*G1079,IF(AND(F1079=0),D1079*E1079*G1079,IF(AND(G1079=0),D1079*E1079*F1079,D1079*E1079*F1079*G1079))))))</f>
        <v>0</v>
      </c>
      <c r="I1079" s="40"/>
      <c r="J1079" s="41" t="str">
        <f>IF(AND(E1079=0,F1079&lt;&gt;0,G1079&lt;&gt;0),"m2",IF(AND(F1079=0,E1079&lt;&gt;0,G1079&lt;&gt;0),"m2",IF(AND(G1079=0,E1079&lt;&gt;0,F1079&lt;&gt;0),"m2",IF(AND(F1079=0,G1079=0),"ml",IF(AND(E1079=0,G1079=0),"ml",IF(AND(E1079=0,F1079=0),"ml",IF(AND(E1079&lt;&gt;0,F1079&lt;&gt;0,G1079&lt;&gt;0),"m3",0)))))))</f>
        <v>ml</v>
      </c>
    </row>
    <row r="1080" spans="2:10" s="1" customFormat="1" ht="12.75" x14ac:dyDescent="0.2">
      <c r="B1080" s="57"/>
      <c r="C1080" s="39" t="s">
        <v>371</v>
      </c>
      <c r="D1080" s="40"/>
      <c r="E1080" s="40"/>
      <c r="F1080" s="40"/>
      <c r="G1080" s="40"/>
      <c r="H1080" s="40">
        <f>IF(AND(F1080=0,G1080=0),D1080*E1080,IF(AND(E1080=0,G1080=0),D1080*F1080,IF(AND(E1080=0,F1080=0),D1080*G1080,IF(AND(E1080=0),D1080*F1080*G1080,IF(AND(F1080=0),D1080*E1080*G1080,IF(AND(G1080=0),D1080*E1080*F1080,D1080*E1080*F1080*G1080))))))</f>
        <v>0</v>
      </c>
      <c r="I1080" s="40"/>
      <c r="J1080" s="41" t="str">
        <f>IF(AND(E1080=0,F1080&lt;&gt;0,G1080&lt;&gt;0),"m2",IF(AND(F1080=0,E1080&lt;&gt;0,G1080&lt;&gt;0),"m2",IF(AND(G1080=0,E1080&lt;&gt;0,F1080&lt;&gt;0),"m2",IF(AND(F1080=0,G1080=0),"ml",IF(AND(E1080=0,G1080=0),"ml",IF(AND(E1080=0,F1080=0),"ml",IF(AND(E1080&lt;&gt;0,F1080&lt;&gt;0,G1080&lt;&gt;0),"m3",0)))))))</f>
        <v>ml</v>
      </c>
    </row>
    <row r="1081" spans="2:10" s="1" customFormat="1" ht="12.75" x14ac:dyDescent="0.2">
      <c r="B1081" s="43" t="s">
        <v>257</v>
      </c>
      <c r="C1081" s="43" t="s">
        <v>228</v>
      </c>
      <c r="D1081" s="60"/>
      <c r="E1081" s="40"/>
      <c r="F1081" s="40"/>
      <c r="G1081" s="40"/>
      <c r="H1081" s="40"/>
      <c r="I1081" s="44">
        <f>SUM(H1082:H1082)</f>
        <v>0</v>
      </c>
      <c r="J1081" s="45" t="str">
        <f>+J1082</f>
        <v>ml</v>
      </c>
    </row>
    <row r="1082" spans="2:10" s="1" customFormat="1" ht="12.75" x14ac:dyDescent="0.2">
      <c r="B1082" s="57"/>
      <c r="C1082" s="39" t="s">
        <v>399</v>
      </c>
      <c r="D1082" s="40"/>
      <c r="E1082" s="40"/>
      <c r="F1082" s="40"/>
      <c r="G1082" s="40"/>
      <c r="H1082" s="40">
        <f>IF(AND(F1082=0,G1082=0),D1082*E1082,IF(AND(E1082=0,G1082=0),D1082*F1082,IF(AND(E1082=0,F1082=0),D1082*G1082,IF(AND(E1082=0),D1082*F1082*G1082,IF(AND(F1082=0),D1082*E1082*G1082,IF(AND(G1082=0),D1082*E1082*F1082,D1082*E1082*F1082*G1082))))))</f>
        <v>0</v>
      </c>
      <c r="I1082" s="40"/>
      <c r="J1082" s="41" t="str">
        <f>IF(AND(E1082=0,F1082&lt;&gt;0,G1082&lt;&gt;0),"m2",IF(AND(F1082=0,E1082&lt;&gt;0,G1082&lt;&gt;0),"m2",IF(AND(G1082=0,E1082&lt;&gt;0,F1082&lt;&gt;0),"m2",IF(AND(F1082=0,G1082=0),"ml",IF(AND(E1082=0,G1082=0),"ml",IF(AND(E1082=0,F1082=0),"ml",IF(AND(E1082&lt;&gt;0,F1082&lt;&gt;0,G1082&lt;&gt;0),"m3",0)))))))</f>
        <v>ml</v>
      </c>
    </row>
    <row r="1083" spans="2:10" s="1" customFormat="1" ht="12.75" x14ac:dyDescent="0.2">
      <c r="B1083" s="43" t="s">
        <v>258</v>
      </c>
      <c r="C1083" s="43" t="s">
        <v>250</v>
      </c>
      <c r="D1083" s="60"/>
      <c r="E1083" s="40"/>
      <c r="F1083" s="40"/>
      <c r="G1083" s="40"/>
      <c r="H1083" s="40"/>
      <c r="I1083" s="44">
        <f>SUM(H1084:H1084)</f>
        <v>0</v>
      </c>
      <c r="J1083" s="45" t="str">
        <f>+J1084</f>
        <v>ml</v>
      </c>
    </row>
    <row r="1084" spans="2:10" s="1" customFormat="1" ht="12.75" x14ac:dyDescent="0.2">
      <c r="B1084" s="57"/>
      <c r="C1084" s="39" t="s">
        <v>388</v>
      </c>
      <c r="D1084" s="40"/>
      <c r="E1084" s="40"/>
      <c r="F1084" s="40"/>
      <c r="G1084" s="40"/>
      <c r="H1084" s="40">
        <f>IF(AND(F1084=0,G1084=0),D1084*E1084,IF(AND(E1084=0,G1084=0),D1084*F1084,IF(AND(E1084=0,F1084=0),D1084*G1084,IF(AND(E1084=0),D1084*F1084*G1084,IF(AND(F1084=0),D1084*E1084*G1084,IF(AND(G1084=0),D1084*E1084*F1084,D1084*E1084*F1084*G1084))))))</f>
        <v>0</v>
      </c>
      <c r="I1084" s="40"/>
      <c r="J1084" s="41" t="str">
        <f>IF(AND(E1084=0,F1084&lt;&gt;0,G1084&lt;&gt;0),"m2",IF(AND(F1084=0,E1084&lt;&gt;0,G1084&lt;&gt;0),"m2",IF(AND(G1084=0,E1084&lt;&gt;0,F1084&lt;&gt;0),"m2",IF(AND(F1084=0,G1084=0),"ml",IF(AND(E1084=0,G1084=0),"ml",IF(AND(E1084=0,F1084=0),"ml",IF(AND(E1084&lt;&gt;0,F1084&lt;&gt;0,G1084&lt;&gt;0),"m3",0)))))))</f>
        <v>ml</v>
      </c>
    </row>
    <row r="1085" spans="2:10" s="1" customFormat="1" ht="12.75" x14ac:dyDescent="0.2">
      <c r="B1085" s="43" t="s">
        <v>259</v>
      </c>
      <c r="C1085" s="43" t="s">
        <v>251</v>
      </c>
      <c r="D1085" s="60"/>
      <c r="E1085" s="40"/>
      <c r="F1085" s="40"/>
      <c r="G1085" s="40"/>
      <c r="H1085" s="40"/>
      <c r="I1085" s="44">
        <f>SUM(H1086:H1086)</f>
        <v>0</v>
      </c>
      <c r="J1085" s="45" t="str">
        <f>+J1086</f>
        <v>ml</v>
      </c>
    </row>
    <row r="1086" spans="2:10" s="1" customFormat="1" ht="12.75" x14ac:dyDescent="0.2">
      <c r="B1086" s="57"/>
      <c r="C1086" s="39" t="s">
        <v>389</v>
      </c>
      <c r="D1086" s="40"/>
      <c r="E1086" s="40"/>
      <c r="F1086" s="40"/>
      <c r="G1086" s="40"/>
      <c r="H1086" s="40">
        <f>IF(AND(F1086=0,G1086=0),D1086*E1086,IF(AND(E1086=0,G1086=0),D1086*F1086,IF(AND(E1086=0,F1086=0),D1086*G1086,IF(AND(E1086=0),D1086*F1086*G1086,IF(AND(F1086=0),D1086*E1086*G1086,IF(AND(G1086=0),D1086*E1086*F1086,D1086*E1086*F1086*G1086))))))</f>
        <v>0</v>
      </c>
      <c r="I1086" s="40"/>
      <c r="J1086" s="41" t="str">
        <f>IF(AND(E1086=0,F1086&lt;&gt;0,G1086&lt;&gt;0),"m2",IF(AND(F1086=0,E1086&lt;&gt;0,G1086&lt;&gt;0),"m2",IF(AND(G1086=0,E1086&lt;&gt;0,F1086&lt;&gt;0),"m2",IF(AND(F1086=0,G1086=0),"ml",IF(AND(E1086=0,G1086=0),"ml",IF(AND(E1086=0,F1086=0),"ml",IF(AND(E1086&lt;&gt;0,F1086&lt;&gt;0,G1086&lt;&gt;0),"m3",0)))))))</f>
        <v>ml</v>
      </c>
    </row>
    <row r="1087" spans="2:10" s="1" customFormat="1" ht="12.75" x14ac:dyDescent="0.2">
      <c r="B1087" s="43" t="s">
        <v>260</v>
      </c>
      <c r="C1087" s="43" t="s">
        <v>252</v>
      </c>
      <c r="D1087" s="60"/>
      <c r="E1087" s="40"/>
      <c r="F1087" s="40"/>
      <c r="G1087" s="40"/>
      <c r="H1087" s="40"/>
      <c r="I1087" s="44">
        <f>SUM(H1088:H1088)</f>
        <v>0</v>
      </c>
      <c r="J1087" s="45" t="str">
        <f>+J1088</f>
        <v>ml</v>
      </c>
    </row>
    <row r="1088" spans="2:10" s="1" customFormat="1" ht="12.75" x14ac:dyDescent="0.2">
      <c r="B1088" s="57"/>
      <c r="C1088" s="39" t="s">
        <v>397</v>
      </c>
      <c r="D1088" s="40"/>
      <c r="E1088" s="40"/>
      <c r="F1088" s="40"/>
      <c r="G1088" s="40"/>
      <c r="H1088" s="40">
        <f>IF(AND(F1088=0,G1088=0),D1088*E1088,IF(AND(E1088=0,G1088=0),D1088*F1088,IF(AND(E1088=0,F1088=0),D1088*G1088,IF(AND(E1088=0),D1088*F1088*G1088,IF(AND(F1088=0),D1088*E1088*G1088,IF(AND(G1088=0),D1088*E1088*F1088,D1088*E1088*F1088*G1088))))))</f>
        <v>0</v>
      </c>
      <c r="I1088" s="40"/>
      <c r="J1088" s="41" t="str">
        <f>IF(AND(E1088=0,F1088&lt;&gt;0,G1088&lt;&gt;0),"m2",IF(AND(F1088=0,E1088&lt;&gt;0,G1088&lt;&gt;0),"m2",IF(AND(G1088=0,E1088&lt;&gt;0,F1088&lt;&gt;0),"m2",IF(AND(F1088=0,G1088=0),"ml",IF(AND(E1088=0,G1088=0),"ml",IF(AND(E1088=0,F1088=0),"ml",IF(AND(E1088&lt;&gt;0,F1088&lt;&gt;0,G1088&lt;&gt;0),"m3",0)))))))</f>
        <v>ml</v>
      </c>
    </row>
    <row r="1089" spans="2:10" s="1" customFormat="1" ht="12.75" x14ac:dyDescent="0.2">
      <c r="B1089" s="43" t="s">
        <v>261</v>
      </c>
      <c r="C1089" s="43" t="s">
        <v>253</v>
      </c>
      <c r="D1089" s="60"/>
      <c r="E1089" s="40"/>
      <c r="F1089" s="40"/>
      <c r="G1089" s="40"/>
      <c r="H1089" s="40"/>
      <c r="I1089" s="44">
        <f>SUM(H1090:H1090)</f>
        <v>0</v>
      </c>
      <c r="J1089" s="45" t="str">
        <f>+J1090</f>
        <v>und</v>
      </c>
    </row>
    <row r="1090" spans="2:10" s="1" customFormat="1" ht="12.75" x14ac:dyDescent="0.2">
      <c r="B1090" s="43"/>
      <c r="C1090" s="39" t="s">
        <v>402</v>
      </c>
      <c r="D1090" s="40"/>
      <c r="E1090" s="40"/>
      <c r="F1090" s="40"/>
      <c r="G1090" s="40"/>
      <c r="H1090" s="40">
        <f t="shared" ref="H1090" si="52">+D1090</f>
        <v>0</v>
      </c>
      <c r="I1090" s="40"/>
      <c r="J1090" s="41" t="s">
        <v>13</v>
      </c>
    </row>
    <row r="1091" spans="2:10" s="1" customFormat="1" ht="12.75" x14ac:dyDescent="0.2">
      <c r="B1091" s="43" t="s">
        <v>262</v>
      </c>
      <c r="C1091" s="43" t="s">
        <v>254</v>
      </c>
      <c r="D1091" s="60"/>
      <c r="E1091" s="40"/>
      <c r="F1091" s="40"/>
      <c r="G1091" s="40"/>
      <c r="H1091" s="40"/>
      <c r="I1091" s="44">
        <f>SUM(H1092:H1092)</f>
        <v>0</v>
      </c>
      <c r="J1091" s="45" t="str">
        <f>+J1092</f>
        <v>und</v>
      </c>
    </row>
    <row r="1092" spans="2:10" s="1" customFormat="1" ht="12.75" x14ac:dyDescent="0.2">
      <c r="B1092" s="57"/>
      <c r="C1092" s="39" t="s">
        <v>238</v>
      </c>
      <c r="D1092" s="40"/>
      <c r="E1092" s="40"/>
      <c r="F1092" s="40"/>
      <c r="G1092" s="40"/>
      <c r="H1092" s="40">
        <f>+D1092</f>
        <v>0</v>
      </c>
      <c r="I1092" s="40"/>
      <c r="J1092" s="41" t="s">
        <v>13</v>
      </c>
    </row>
    <row r="1093" spans="2:10" s="1" customFormat="1" ht="12.75" x14ac:dyDescent="0.2">
      <c r="B1093" s="43" t="s">
        <v>350</v>
      </c>
      <c r="C1093" s="43" t="s">
        <v>255</v>
      </c>
      <c r="D1093" s="60"/>
      <c r="E1093" s="40"/>
      <c r="F1093" s="40"/>
      <c r="G1093" s="40"/>
      <c r="H1093" s="40"/>
      <c r="I1093" s="44">
        <f>SUM(H1094:H1094)</f>
        <v>0</v>
      </c>
      <c r="J1093" s="45" t="str">
        <f>+J1094</f>
        <v>und</v>
      </c>
    </row>
    <row r="1094" spans="2:10" s="1" customFormat="1" ht="12.75" x14ac:dyDescent="0.2">
      <c r="B1094" s="57"/>
      <c r="C1094" s="39" t="s">
        <v>395</v>
      </c>
      <c r="D1094" s="40"/>
      <c r="E1094" s="40"/>
      <c r="F1094" s="40"/>
      <c r="G1094" s="40"/>
      <c r="H1094" s="40">
        <f>+D1094</f>
        <v>0</v>
      </c>
      <c r="I1094" s="40"/>
      <c r="J1094" s="41" t="s">
        <v>13</v>
      </c>
    </row>
    <row r="1095" spans="2:10" s="1" customFormat="1" ht="12.75" x14ac:dyDescent="0.2">
      <c r="B1095" s="57" t="s">
        <v>18</v>
      </c>
      <c r="C1095" s="58" t="s">
        <v>223</v>
      </c>
      <c r="D1095" s="60"/>
      <c r="E1095" s="40"/>
      <c r="F1095" s="40"/>
      <c r="G1095" s="40"/>
      <c r="H1095" s="40"/>
      <c r="I1095" s="40"/>
      <c r="J1095" s="41"/>
    </row>
    <row r="1096" spans="2:10" s="1" customFormat="1" ht="12.75" x14ac:dyDescent="0.2">
      <c r="B1096" s="43" t="s">
        <v>19</v>
      </c>
      <c r="C1096" s="43" t="s">
        <v>265</v>
      </c>
      <c r="D1096" s="60"/>
      <c r="E1096" s="40"/>
      <c r="F1096" s="40"/>
      <c r="G1096" s="40"/>
      <c r="H1096" s="40"/>
      <c r="I1096" s="44">
        <f>SUM(H1097:H1098)</f>
        <v>5</v>
      </c>
      <c r="J1096" s="45" t="str">
        <f>+J1097</f>
        <v>und</v>
      </c>
    </row>
    <row r="1097" spans="2:10" s="1" customFormat="1" ht="12.75" x14ac:dyDescent="0.2">
      <c r="B1097" s="46"/>
      <c r="C1097" s="39" t="s">
        <v>361</v>
      </c>
      <c r="D1097" s="40"/>
      <c r="E1097" s="40"/>
      <c r="F1097" s="40"/>
      <c r="G1097" s="40"/>
      <c r="H1097" s="40">
        <f>+D1097</f>
        <v>0</v>
      </c>
      <c r="I1097" s="40"/>
      <c r="J1097" s="41" t="s">
        <v>13</v>
      </c>
    </row>
    <row r="1098" spans="2:10" s="1" customFormat="1" ht="12.75" x14ac:dyDescent="0.2">
      <c r="B1098" s="46"/>
      <c r="C1098" s="39" t="s">
        <v>231</v>
      </c>
      <c r="D1098" s="40">
        <v>5</v>
      </c>
      <c r="E1098" s="40"/>
      <c r="F1098" s="40"/>
      <c r="G1098" s="40"/>
      <c r="H1098" s="40">
        <f>+D1098</f>
        <v>5</v>
      </c>
      <c r="I1098" s="40"/>
      <c r="J1098" s="41" t="s">
        <v>13</v>
      </c>
    </row>
    <row r="1099" spans="2:10" s="1" customFormat="1" ht="12.75" x14ac:dyDescent="0.2">
      <c r="B1099" s="43" t="s">
        <v>20</v>
      </c>
      <c r="C1099" s="43" t="s">
        <v>272</v>
      </c>
      <c r="D1099" s="60"/>
      <c r="E1099" s="40"/>
      <c r="F1099" s="40"/>
      <c r="G1099" s="40"/>
      <c r="H1099" s="40"/>
      <c r="I1099" s="44">
        <f>SUM(H1100:H1105)</f>
        <v>0</v>
      </c>
      <c r="J1099" s="45" t="str">
        <f>+J1100</f>
        <v>und</v>
      </c>
    </row>
    <row r="1100" spans="2:10" s="1" customFormat="1" ht="12.75" x14ac:dyDescent="0.2">
      <c r="B1100" s="46"/>
      <c r="C1100" s="77" t="s">
        <v>71</v>
      </c>
      <c r="D1100" s="40"/>
      <c r="E1100" s="40"/>
      <c r="F1100" s="40"/>
      <c r="G1100" s="40"/>
      <c r="H1100" s="40"/>
      <c r="I1100" s="40"/>
      <c r="J1100" s="41" t="s">
        <v>13</v>
      </c>
    </row>
    <row r="1101" spans="2:10" s="1" customFormat="1" ht="12.75" x14ac:dyDescent="0.2">
      <c r="B1101" s="46"/>
      <c r="C1101" s="39" t="s">
        <v>349</v>
      </c>
      <c r="D1101" s="40">
        <v>3</v>
      </c>
      <c r="E1101" s="40"/>
      <c r="F1101" s="40"/>
      <c r="G1101" s="40"/>
      <c r="H1101" s="40">
        <f>IF(AND(F1101=0,G1101=0),D1101*E1101,IF(AND(E1101=0,G1101=0),D1101*F1101,IF(AND(E1101=0,F1101=0),D1101*G1101,IF(AND(E1101=0),D1101*F1101*G1101,IF(AND(F1101=0),D1101*E1101*G1101,IF(AND(G1101=0),D1101*E1101*F1101,D1101*E1101*F1101*G1101))))))</f>
        <v>0</v>
      </c>
      <c r="I1101" s="40"/>
      <c r="J1101" s="41" t="s">
        <v>13</v>
      </c>
    </row>
    <row r="1102" spans="2:10" s="1" customFormat="1" ht="12.75" x14ac:dyDescent="0.2">
      <c r="B1102" s="46"/>
      <c r="C1102" s="77" t="s">
        <v>72</v>
      </c>
      <c r="D1102" s="40"/>
      <c r="E1102" s="40"/>
      <c r="F1102" s="40"/>
      <c r="G1102" s="40"/>
      <c r="H1102" s="40"/>
      <c r="I1102" s="40"/>
      <c r="J1102" s="41" t="s">
        <v>13</v>
      </c>
    </row>
    <row r="1103" spans="2:10" s="1" customFormat="1" ht="12.75" x14ac:dyDescent="0.2">
      <c r="B1103" s="46"/>
      <c r="C1103" s="39" t="s">
        <v>349</v>
      </c>
      <c r="D1103" s="40">
        <v>3</v>
      </c>
      <c r="E1103" s="40"/>
      <c r="F1103" s="40"/>
      <c r="G1103" s="40"/>
      <c r="H1103" s="40">
        <f>IF(AND(F1103=0,G1103=0),D1103*E1103,IF(AND(E1103=0,G1103=0),D1103*F1103,IF(AND(E1103=0,F1103=0),D1103*G1103,IF(AND(E1103=0),D1103*F1103*G1103,IF(AND(F1103=0),D1103*E1103*G1103,IF(AND(G1103=0),D1103*E1103*F1103,D1103*E1103*F1103*G1103))))))</f>
        <v>0</v>
      </c>
      <c r="I1103" s="40"/>
      <c r="J1103" s="41" t="s">
        <v>13</v>
      </c>
    </row>
    <row r="1104" spans="2:10" s="1" customFormat="1" ht="12.75" x14ac:dyDescent="0.2">
      <c r="B1104" s="46"/>
      <c r="C1104" s="77" t="s">
        <v>73</v>
      </c>
      <c r="D1104" s="40"/>
      <c r="E1104" s="40"/>
      <c r="F1104" s="40"/>
      <c r="G1104" s="40"/>
      <c r="H1104" s="40"/>
      <c r="I1104" s="40"/>
      <c r="J1104" s="41" t="s">
        <v>13</v>
      </c>
    </row>
    <row r="1105" spans="2:10" s="1" customFormat="1" ht="12.75" x14ac:dyDescent="0.2">
      <c r="B1105" s="46"/>
      <c r="C1105" s="39" t="s">
        <v>349</v>
      </c>
      <c r="D1105" s="40">
        <v>3</v>
      </c>
      <c r="E1105" s="40"/>
      <c r="F1105" s="40"/>
      <c r="G1105" s="40"/>
      <c r="H1105" s="40">
        <f>IF(AND(F1105=0,G1105=0),D1105*E1105,IF(AND(E1105=0,G1105=0),D1105*F1105,IF(AND(E1105=0,F1105=0),D1105*G1105,IF(AND(E1105=0),D1105*F1105*G1105,IF(AND(F1105=0),D1105*E1105*G1105,IF(AND(G1105=0),D1105*E1105*F1105,D1105*E1105*F1105*G1105))))))</f>
        <v>0</v>
      </c>
      <c r="I1105" s="40"/>
      <c r="J1105" s="41" t="s">
        <v>13</v>
      </c>
    </row>
    <row r="1106" spans="2:10" s="1" customFormat="1" ht="12.75" x14ac:dyDescent="0.2">
      <c r="B1106" s="43" t="s">
        <v>21</v>
      </c>
      <c r="C1106" s="43" t="s">
        <v>266</v>
      </c>
      <c r="D1106" s="60"/>
      <c r="E1106" s="40"/>
      <c r="F1106" s="40"/>
      <c r="G1106" s="40"/>
      <c r="H1106" s="40"/>
      <c r="I1106" s="44">
        <f>SUM(H1107:H1109)</f>
        <v>0</v>
      </c>
      <c r="J1106" s="45" t="str">
        <f>+J1107</f>
        <v>und</v>
      </c>
    </row>
    <row r="1107" spans="2:10" s="1" customFormat="1" ht="12.75" x14ac:dyDescent="0.2">
      <c r="B1107" s="43"/>
      <c r="C1107" s="39" t="s">
        <v>71</v>
      </c>
      <c r="D1107" s="40"/>
      <c r="E1107" s="40"/>
      <c r="F1107" s="40"/>
      <c r="G1107" s="40"/>
      <c r="H1107" s="40">
        <f t="shared" ref="H1107:H1109" si="53">+D1107</f>
        <v>0</v>
      </c>
      <c r="I1107" s="40"/>
      <c r="J1107" s="41" t="s">
        <v>13</v>
      </c>
    </row>
    <row r="1108" spans="2:10" s="1" customFormat="1" ht="12.75" x14ac:dyDescent="0.2">
      <c r="B1108" s="43"/>
      <c r="C1108" s="39" t="s">
        <v>72</v>
      </c>
      <c r="D1108" s="40"/>
      <c r="E1108" s="40"/>
      <c r="F1108" s="40"/>
      <c r="G1108" s="40"/>
      <c r="H1108" s="40">
        <f t="shared" si="53"/>
        <v>0</v>
      </c>
      <c r="I1108" s="40"/>
      <c r="J1108" s="41" t="s">
        <v>13</v>
      </c>
    </row>
    <row r="1109" spans="2:10" s="1" customFormat="1" ht="12.75" x14ac:dyDescent="0.2">
      <c r="B1109" s="43"/>
      <c r="C1109" s="39" t="s">
        <v>73</v>
      </c>
      <c r="D1109" s="40"/>
      <c r="E1109" s="40"/>
      <c r="F1109" s="40"/>
      <c r="G1109" s="40"/>
      <c r="H1109" s="40">
        <f t="shared" si="53"/>
        <v>0</v>
      </c>
      <c r="I1109" s="40"/>
      <c r="J1109" s="41" t="s">
        <v>13</v>
      </c>
    </row>
    <row r="1110" spans="2:10" s="1" customFormat="1" ht="12.75" x14ac:dyDescent="0.2">
      <c r="B1110" s="43" t="s">
        <v>273</v>
      </c>
      <c r="C1110" s="43" t="s">
        <v>354</v>
      </c>
      <c r="D1110" s="60"/>
      <c r="E1110" s="40"/>
      <c r="F1110" s="40"/>
      <c r="G1110" s="40"/>
      <c r="H1110" s="40"/>
      <c r="I1110" s="44">
        <f>SUM(H1111:H1111)</f>
        <v>4</v>
      </c>
      <c r="J1110" s="45" t="str">
        <f>+J1111</f>
        <v>und</v>
      </c>
    </row>
    <row r="1111" spans="2:10" s="1" customFormat="1" ht="12.75" x14ac:dyDescent="0.2">
      <c r="B1111" s="43"/>
      <c r="C1111" s="39" t="s">
        <v>375</v>
      </c>
      <c r="D1111" s="40">
        <v>1</v>
      </c>
      <c r="E1111" s="40">
        <v>4</v>
      </c>
      <c r="F1111" s="40"/>
      <c r="G1111" s="40"/>
      <c r="H1111" s="40">
        <f>IF(AND(F1111=0,G1111=0),D1111*E1111,IF(AND(E1111=0,G1111=0),D1111*F1111,IF(AND(E1111=0,F1111=0),D1111*G1111,IF(AND(E1111=0),D1111*F1111*G1111,IF(AND(F1111=0),D1111*E1111*G1111,IF(AND(G1111=0),D1111*E1111*F1111,D1111*E1111*F1111*G1111))))))</f>
        <v>4</v>
      </c>
      <c r="I1111" s="40"/>
      <c r="J1111" s="41" t="s">
        <v>13</v>
      </c>
    </row>
    <row r="1112" spans="2:10" s="1" customFormat="1" ht="12.75" x14ac:dyDescent="0.2">
      <c r="B1112" s="43" t="s">
        <v>274</v>
      </c>
      <c r="C1112" s="43" t="s">
        <v>357</v>
      </c>
      <c r="D1112" s="60"/>
      <c r="E1112" s="40"/>
      <c r="F1112" s="40"/>
      <c r="G1112" s="40"/>
      <c r="H1112" s="40"/>
      <c r="I1112" s="44">
        <f>SUM(H1113:H1113)</f>
        <v>1</v>
      </c>
      <c r="J1112" s="45" t="str">
        <f>+J1113</f>
        <v>und</v>
      </c>
    </row>
    <row r="1113" spans="2:10" s="1" customFormat="1" ht="12.75" x14ac:dyDescent="0.2">
      <c r="B1113" s="43"/>
      <c r="C1113" s="39" t="s">
        <v>375</v>
      </c>
      <c r="D1113" s="40">
        <v>1</v>
      </c>
      <c r="E1113" s="40"/>
      <c r="F1113" s="40"/>
      <c r="G1113" s="40"/>
      <c r="H1113" s="40">
        <f t="shared" ref="H1113" si="54">+D1113</f>
        <v>1</v>
      </c>
      <c r="I1113" s="40"/>
      <c r="J1113" s="41" t="s">
        <v>13</v>
      </c>
    </row>
    <row r="1114" spans="2:10" s="1" customFormat="1" ht="12.75" x14ac:dyDescent="0.2">
      <c r="B1114" s="43" t="s">
        <v>355</v>
      </c>
      <c r="C1114" s="43" t="s">
        <v>263</v>
      </c>
      <c r="D1114" s="60"/>
      <c r="E1114" s="40"/>
      <c r="F1114" s="40"/>
      <c r="G1114" s="40"/>
      <c r="H1114" s="40"/>
      <c r="I1114" s="44">
        <f>SUM(H1115:H1115)</f>
        <v>0</v>
      </c>
      <c r="J1114" s="45" t="str">
        <f>+J1115</f>
        <v>und</v>
      </c>
    </row>
    <row r="1115" spans="2:10" s="1" customFormat="1" ht="12.75" x14ac:dyDescent="0.2">
      <c r="B1115" s="46"/>
      <c r="C1115" s="39" t="s">
        <v>420</v>
      </c>
      <c r="D1115" s="40"/>
      <c r="E1115" s="40"/>
      <c r="F1115" s="40"/>
      <c r="G1115" s="40"/>
      <c r="H1115" s="40">
        <f>+D1115</f>
        <v>0</v>
      </c>
      <c r="I1115" s="40"/>
      <c r="J1115" s="41" t="s">
        <v>13</v>
      </c>
    </row>
    <row r="1116" spans="2:10" s="1" customFormat="1" ht="12.75" x14ac:dyDescent="0.2">
      <c r="B1116" s="43" t="s">
        <v>356</v>
      </c>
      <c r="C1116" s="43" t="s">
        <v>264</v>
      </c>
      <c r="D1116" s="60"/>
      <c r="E1116" s="40"/>
      <c r="F1116" s="40"/>
      <c r="G1116" s="40"/>
      <c r="H1116" s="40"/>
      <c r="I1116" s="44">
        <f>SUM(H1117:H1117)</f>
        <v>0</v>
      </c>
      <c r="J1116" s="45" t="str">
        <f>+J1117</f>
        <v>und</v>
      </c>
    </row>
    <row r="1117" spans="2:10" s="1" customFormat="1" ht="12.75" x14ac:dyDescent="0.2">
      <c r="B1117" s="46"/>
      <c r="C1117" s="39" t="s">
        <v>420</v>
      </c>
      <c r="D1117" s="40"/>
      <c r="E1117" s="40"/>
      <c r="F1117" s="40"/>
      <c r="G1117" s="40"/>
      <c r="H1117" s="40">
        <f>+D1117</f>
        <v>0</v>
      </c>
      <c r="I1117" s="40"/>
      <c r="J1117" s="41" t="s">
        <v>13</v>
      </c>
    </row>
    <row r="1118" spans="2:10" s="1" customFormat="1" ht="12.75" x14ac:dyDescent="0.2">
      <c r="B1118" s="46"/>
      <c r="C1118" s="59"/>
      <c r="D1118" s="60"/>
      <c r="E1118" s="40"/>
      <c r="F1118" s="40"/>
      <c r="G1118" s="40"/>
      <c r="H1118" s="40"/>
      <c r="I1118" s="40"/>
      <c r="J1118" s="41"/>
    </row>
    <row r="1119" spans="2:10" s="1" customFormat="1" ht="12.75" x14ac:dyDescent="0.2">
      <c r="B1119" s="46"/>
      <c r="C1119" s="59"/>
      <c r="D1119" s="60"/>
      <c r="E1119" s="40"/>
      <c r="F1119" s="40"/>
      <c r="G1119" s="40"/>
      <c r="H1119" s="40"/>
      <c r="I1119" s="40"/>
      <c r="J1119" s="41"/>
    </row>
    <row r="1120" spans="2:10" s="1" customFormat="1" ht="12.75" x14ac:dyDescent="0.2">
      <c r="B1120" s="46"/>
      <c r="C1120" s="59"/>
      <c r="D1120" s="60"/>
      <c r="E1120" s="40"/>
      <c r="F1120" s="40"/>
      <c r="G1120" s="40"/>
      <c r="H1120" s="40"/>
      <c r="I1120" s="40"/>
      <c r="J1120" s="41"/>
    </row>
    <row r="1121" spans="2:10" s="1" customFormat="1" ht="12.75" x14ac:dyDescent="0.2">
      <c r="B1121" s="46"/>
      <c r="C1121" s="59"/>
      <c r="D1121" s="60"/>
      <c r="E1121" s="40"/>
      <c r="F1121" s="40"/>
      <c r="G1121" s="40"/>
      <c r="H1121" s="40"/>
      <c r="I1121" s="40"/>
      <c r="J1121" s="41"/>
    </row>
    <row r="1122" spans="2:10" s="1" customFormat="1" ht="12.75" x14ac:dyDescent="0.2">
      <c r="B1122" s="46"/>
      <c r="C1122" s="59"/>
      <c r="D1122" s="60"/>
      <c r="E1122" s="40"/>
      <c r="F1122" s="40"/>
      <c r="G1122" s="40"/>
      <c r="H1122" s="40"/>
      <c r="I1122" s="40"/>
      <c r="J1122" s="41"/>
    </row>
    <row r="1123" spans="2:10" s="1" customFormat="1" ht="12.75" x14ac:dyDescent="0.2">
      <c r="B1123" s="46"/>
      <c r="C1123" s="59"/>
      <c r="D1123" s="60"/>
      <c r="E1123" s="40"/>
      <c r="F1123" s="40"/>
      <c r="G1123" s="40"/>
      <c r="H1123" s="40"/>
      <c r="I1123" s="40"/>
      <c r="J1123" s="41"/>
    </row>
    <row r="1124" spans="2:10" s="1" customFormat="1" ht="12.75" x14ac:dyDescent="0.2">
      <c r="B1124" s="46"/>
      <c r="C1124" s="59"/>
      <c r="D1124" s="60"/>
      <c r="E1124" s="40"/>
      <c r="F1124" s="40"/>
      <c r="G1124" s="40"/>
      <c r="H1124" s="40"/>
      <c r="I1124" s="40"/>
      <c r="J1124" s="41"/>
    </row>
    <row r="1125" spans="2:10" s="1" customFormat="1" ht="12.75" x14ac:dyDescent="0.2">
      <c r="B1125" s="46"/>
      <c r="C1125" s="59"/>
      <c r="D1125" s="60"/>
      <c r="E1125" s="40"/>
      <c r="F1125" s="40"/>
      <c r="G1125" s="40"/>
      <c r="H1125" s="40"/>
      <c r="I1125" s="40"/>
      <c r="J1125" s="41"/>
    </row>
    <row r="1126" spans="2:10" s="1" customFormat="1" ht="12.75" x14ac:dyDescent="0.2">
      <c r="B1126" s="46"/>
      <c r="C1126" s="59"/>
      <c r="D1126" s="60"/>
      <c r="E1126" s="40"/>
      <c r="F1126" s="40"/>
      <c r="G1126" s="40"/>
      <c r="H1126" s="40"/>
      <c r="I1126" s="40"/>
      <c r="J1126" s="41"/>
    </row>
    <row r="1127" spans="2:10" s="1" customFormat="1" ht="12.75" x14ac:dyDescent="0.2">
      <c r="B1127" s="46"/>
      <c r="C1127" s="59"/>
      <c r="D1127" s="60"/>
      <c r="E1127" s="40"/>
      <c r="F1127" s="40"/>
      <c r="G1127" s="40"/>
      <c r="H1127" s="40"/>
      <c r="I1127" s="40"/>
      <c r="J1127" s="41"/>
    </row>
    <row r="1128" spans="2:10" s="1" customFormat="1" ht="12.75" x14ac:dyDescent="0.2">
      <c r="B1128" s="46"/>
      <c r="C1128" s="59"/>
      <c r="D1128" s="60"/>
      <c r="E1128" s="40"/>
      <c r="F1128" s="40"/>
      <c r="G1128" s="40"/>
      <c r="H1128" s="40"/>
      <c r="I1128" s="40"/>
      <c r="J1128" s="41"/>
    </row>
    <row r="1129" spans="2:10" s="1" customFormat="1" ht="12.75" x14ac:dyDescent="0.2">
      <c r="B1129" s="46"/>
      <c r="C1129" s="59"/>
      <c r="D1129" s="60"/>
      <c r="E1129" s="40"/>
      <c r="F1129" s="40"/>
      <c r="G1129" s="40"/>
      <c r="H1129" s="40"/>
      <c r="I1129" s="40"/>
      <c r="J1129" s="41"/>
    </row>
    <row r="1130" spans="2:10" s="1" customFormat="1" ht="12.75" x14ac:dyDescent="0.2">
      <c r="B1130" s="46"/>
      <c r="C1130" s="59"/>
      <c r="D1130" s="60"/>
      <c r="E1130" s="40"/>
      <c r="F1130" s="40"/>
      <c r="G1130" s="40"/>
      <c r="H1130" s="40"/>
      <c r="I1130" s="40"/>
      <c r="J1130" s="41"/>
    </row>
    <row r="1131" spans="2:10" s="1" customFormat="1" ht="12.75" x14ac:dyDescent="0.2">
      <c r="B1131" s="46"/>
      <c r="C1131" s="59"/>
      <c r="D1131" s="60"/>
      <c r="E1131" s="40"/>
      <c r="F1131" s="40"/>
      <c r="G1131" s="40"/>
      <c r="H1131" s="40"/>
      <c r="I1131" s="40"/>
      <c r="J1131" s="41"/>
    </row>
    <row r="1132" spans="2:10" s="1" customFormat="1" ht="12.75" x14ac:dyDescent="0.2">
      <c r="B1132" s="46"/>
      <c r="C1132" s="59"/>
      <c r="D1132" s="60"/>
      <c r="E1132" s="40"/>
      <c r="F1132" s="40"/>
      <c r="G1132" s="40"/>
      <c r="H1132" s="40"/>
      <c r="I1132" s="40"/>
      <c r="J1132" s="41"/>
    </row>
    <row r="1133" spans="2:10" s="1" customFormat="1" ht="12.75" x14ac:dyDescent="0.2">
      <c r="B1133" s="46"/>
      <c r="C1133" s="59"/>
      <c r="D1133" s="60"/>
      <c r="E1133" s="40"/>
      <c r="F1133" s="40"/>
      <c r="G1133" s="40"/>
      <c r="H1133" s="40"/>
      <c r="I1133" s="40"/>
      <c r="J1133" s="41"/>
    </row>
    <row r="1134" spans="2:10" s="1" customFormat="1" ht="12.75" x14ac:dyDescent="0.2">
      <c r="B1134" s="46"/>
      <c r="C1134" s="59"/>
      <c r="D1134" s="60"/>
      <c r="E1134" s="40"/>
      <c r="F1134" s="40"/>
      <c r="G1134" s="40"/>
      <c r="H1134" s="40"/>
      <c r="I1134" s="40"/>
      <c r="J1134" s="41"/>
    </row>
    <row r="1135" spans="2:10" s="1" customFormat="1" ht="12.75" x14ac:dyDescent="0.2">
      <c r="B1135" s="46"/>
      <c r="C1135" s="59"/>
      <c r="D1135" s="60"/>
      <c r="E1135" s="40"/>
      <c r="F1135" s="40"/>
      <c r="G1135" s="40"/>
      <c r="H1135" s="40"/>
      <c r="I1135" s="40"/>
      <c r="J1135" s="41"/>
    </row>
    <row r="1136" spans="2:10" s="1" customFormat="1" ht="12.75" x14ac:dyDescent="0.2">
      <c r="B1136" s="46"/>
      <c r="C1136" s="59"/>
      <c r="D1136" s="60"/>
      <c r="E1136" s="40"/>
      <c r="F1136" s="40"/>
      <c r="G1136" s="40"/>
      <c r="H1136" s="40"/>
      <c r="I1136" s="40"/>
      <c r="J1136" s="41"/>
    </row>
    <row r="1137" spans="2:10" s="1" customFormat="1" ht="12.75" x14ac:dyDescent="0.2">
      <c r="B1137" s="46"/>
      <c r="C1137" s="59"/>
      <c r="D1137" s="60"/>
      <c r="E1137" s="40"/>
      <c r="F1137" s="40"/>
      <c r="G1137" s="40"/>
      <c r="H1137" s="40"/>
      <c r="I1137" s="40"/>
      <c r="J1137" s="41"/>
    </row>
    <row r="1138" spans="2:10" s="1" customFormat="1" ht="12.75" x14ac:dyDescent="0.2">
      <c r="B1138" s="46"/>
      <c r="C1138" s="59"/>
      <c r="D1138" s="60"/>
      <c r="E1138" s="40"/>
      <c r="F1138" s="40"/>
      <c r="G1138" s="40"/>
      <c r="H1138" s="40"/>
      <c r="I1138" s="40"/>
      <c r="J1138" s="41"/>
    </row>
    <row r="1139" spans="2:10" s="1" customFormat="1" ht="12.75" x14ac:dyDescent="0.2">
      <c r="B1139" s="46"/>
      <c r="C1139" s="59"/>
      <c r="D1139" s="60"/>
      <c r="E1139" s="40"/>
      <c r="F1139" s="40"/>
      <c r="G1139" s="40"/>
      <c r="H1139" s="40"/>
      <c r="I1139" s="40"/>
      <c r="J1139" s="41"/>
    </row>
    <row r="1140" spans="2:10" s="1" customFormat="1" ht="12.75" x14ac:dyDescent="0.2">
      <c r="B1140" s="46"/>
      <c r="C1140" s="59"/>
      <c r="D1140" s="60"/>
      <c r="E1140" s="40"/>
      <c r="F1140" s="40"/>
      <c r="G1140" s="40"/>
      <c r="H1140" s="40"/>
      <c r="I1140" s="40"/>
      <c r="J1140" s="41"/>
    </row>
    <row r="1141" spans="2:10" s="1" customFormat="1" ht="12.75" x14ac:dyDescent="0.2">
      <c r="B1141" s="46"/>
      <c r="C1141" s="59"/>
      <c r="D1141" s="60"/>
      <c r="E1141" s="40"/>
      <c r="F1141" s="40"/>
      <c r="G1141" s="40"/>
      <c r="H1141" s="40"/>
      <c r="I1141" s="40"/>
      <c r="J1141" s="41"/>
    </row>
    <row r="1142" spans="2:10" s="1" customFormat="1" ht="12.75" x14ac:dyDescent="0.2">
      <c r="B1142" s="46"/>
      <c r="C1142" s="59"/>
      <c r="D1142" s="60"/>
      <c r="E1142" s="40"/>
      <c r="F1142" s="40"/>
      <c r="G1142" s="40"/>
      <c r="H1142" s="40"/>
      <c r="I1142" s="40"/>
      <c r="J1142" s="41"/>
    </row>
    <row r="1143" spans="2:10" s="1" customFormat="1" ht="12.75" x14ac:dyDescent="0.2">
      <c r="B1143" s="46"/>
      <c r="C1143" s="59"/>
      <c r="D1143" s="60"/>
      <c r="E1143" s="40"/>
      <c r="F1143" s="40"/>
      <c r="G1143" s="40"/>
      <c r="H1143" s="40"/>
      <c r="I1143" s="40"/>
      <c r="J1143" s="41"/>
    </row>
    <row r="1144" spans="2:10" s="1" customFormat="1" ht="12.75" x14ac:dyDescent="0.2">
      <c r="B1144" s="46"/>
      <c r="C1144" s="59"/>
      <c r="D1144" s="60"/>
      <c r="E1144" s="40"/>
      <c r="F1144" s="40"/>
      <c r="G1144" s="40"/>
      <c r="H1144" s="40"/>
      <c r="I1144" s="40"/>
      <c r="J1144" s="41"/>
    </row>
    <row r="1145" spans="2:10" s="1" customFormat="1" ht="12.75" x14ac:dyDescent="0.2">
      <c r="B1145" s="46"/>
      <c r="C1145" s="59"/>
      <c r="D1145" s="60"/>
      <c r="E1145" s="40"/>
      <c r="F1145" s="40"/>
      <c r="G1145" s="40"/>
      <c r="H1145" s="40"/>
      <c r="I1145" s="40"/>
      <c r="J1145" s="41"/>
    </row>
    <row r="1146" spans="2:10" s="1" customFormat="1" ht="12.75" x14ac:dyDescent="0.2">
      <c r="B1146" s="46"/>
      <c r="C1146" s="59"/>
      <c r="D1146" s="60"/>
      <c r="E1146" s="40"/>
      <c r="F1146" s="40"/>
      <c r="G1146" s="40"/>
      <c r="H1146" s="40"/>
      <c r="I1146" s="40"/>
      <c r="J1146" s="41"/>
    </row>
    <row r="1147" spans="2:10" s="1" customFormat="1" ht="12.75" x14ac:dyDescent="0.2">
      <c r="B1147" s="46"/>
      <c r="C1147" s="59"/>
      <c r="D1147" s="60"/>
      <c r="E1147" s="40"/>
      <c r="F1147" s="40"/>
      <c r="G1147" s="40"/>
      <c r="H1147" s="40"/>
      <c r="I1147" s="40"/>
      <c r="J1147" s="41"/>
    </row>
    <row r="1148" spans="2:10" s="1" customFormat="1" ht="12.75" x14ac:dyDescent="0.2">
      <c r="B1148" s="46"/>
      <c r="C1148" s="59"/>
      <c r="D1148" s="60"/>
      <c r="E1148" s="40"/>
      <c r="F1148" s="40"/>
      <c r="G1148" s="40"/>
      <c r="H1148" s="40"/>
      <c r="I1148" s="40"/>
      <c r="J1148" s="41"/>
    </row>
    <row r="1149" spans="2:10" s="1" customFormat="1" ht="12.75" x14ac:dyDescent="0.2">
      <c r="B1149" s="46"/>
      <c r="C1149" s="59"/>
      <c r="D1149" s="60"/>
      <c r="E1149" s="40"/>
      <c r="F1149" s="40"/>
      <c r="G1149" s="40"/>
      <c r="H1149" s="40"/>
      <c r="I1149" s="40"/>
      <c r="J1149" s="41"/>
    </row>
    <row r="1150" spans="2:10" s="1" customFormat="1" ht="12.75" x14ac:dyDescent="0.2">
      <c r="B1150" s="46"/>
      <c r="C1150" s="59"/>
      <c r="D1150" s="60"/>
      <c r="E1150" s="40"/>
      <c r="F1150" s="40"/>
      <c r="G1150" s="40"/>
      <c r="H1150" s="40"/>
      <c r="I1150" s="40"/>
      <c r="J1150" s="41"/>
    </row>
    <row r="1151" spans="2:10" s="1" customFormat="1" ht="12.75" x14ac:dyDescent="0.2">
      <c r="B1151" s="46"/>
      <c r="C1151" s="59"/>
      <c r="D1151" s="60"/>
      <c r="E1151" s="40"/>
      <c r="F1151" s="40"/>
      <c r="G1151" s="40"/>
      <c r="H1151" s="40"/>
      <c r="I1151" s="40"/>
      <c r="J1151" s="41"/>
    </row>
    <row r="1152" spans="2:10" s="1" customFormat="1" ht="12.75" x14ac:dyDescent="0.2">
      <c r="B1152" s="46"/>
      <c r="C1152" s="59"/>
      <c r="D1152" s="60"/>
      <c r="E1152" s="40"/>
      <c r="F1152" s="40"/>
      <c r="G1152" s="40"/>
      <c r="H1152" s="40"/>
      <c r="I1152" s="40"/>
      <c r="J1152" s="41"/>
    </row>
    <row r="1153" spans="2:10" s="1" customFormat="1" ht="12.75" x14ac:dyDescent="0.2">
      <c r="B1153" s="46"/>
      <c r="C1153" s="59"/>
      <c r="D1153" s="60"/>
      <c r="E1153" s="40"/>
      <c r="F1153" s="40"/>
      <c r="G1153" s="40"/>
      <c r="H1153" s="40"/>
      <c r="I1153" s="40"/>
      <c r="J1153" s="41"/>
    </row>
    <row r="1154" spans="2:10" s="1" customFormat="1" ht="12.75" x14ac:dyDescent="0.2">
      <c r="B1154" s="46"/>
      <c r="C1154" s="59"/>
      <c r="D1154" s="60"/>
      <c r="E1154" s="40"/>
      <c r="F1154" s="40"/>
      <c r="G1154" s="40"/>
      <c r="H1154" s="40"/>
      <c r="I1154" s="40"/>
      <c r="J1154" s="41"/>
    </row>
    <row r="1155" spans="2:10" s="1" customFormat="1" ht="12.75" x14ac:dyDescent="0.2">
      <c r="B1155" s="46"/>
      <c r="C1155" s="59"/>
      <c r="D1155" s="60"/>
      <c r="E1155" s="40"/>
      <c r="F1155" s="40"/>
      <c r="G1155" s="40"/>
      <c r="H1155" s="40"/>
      <c r="I1155" s="40"/>
      <c r="J1155" s="41"/>
    </row>
    <row r="1156" spans="2:10" s="1" customFormat="1" ht="12.75" x14ac:dyDescent="0.2">
      <c r="B1156" s="46"/>
      <c r="C1156" s="59"/>
      <c r="D1156" s="60"/>
      <c r="E1156" s="40"/>
      <c r="F1156" s="40"/>
      <c r="G1156" s="40"/>
      <c r="H1156" s="40"/>
      <c r="I1156" s="40"/>
      <c r="J1156" s="41"/>
    </row>
    <row r="1157" spans="2:10" s="1" customFormat="1" ht="12.75" x14ac:dyDescent="0.2">
      <c r="B1157" s="46"/>
      <c r="C1157" s="59"/>
      <c r="D1157" s="60"/>
      <c r="E1157" s="40"/>
      <c r="F1157" s="40"/>
      <c r="G1157" s="40"/>
      <c r="H1157" s="40"/>
      <c r="I1157" s="40"/>
      <c r="J1157" s="41"/>
    </row>
    <row r="1158" spans="2:10" s="1" customFormat="1" ht="12.75" x14ac:dyDescent="0.2">
      <c r="B1158" s="46"/>
      <c r="C1158" s="59"/>
      <c r="D1158" s="60"/>
      <c r="E1158" s="40"/>
      <c r="F1158" s="40"/>
      <c r="G1158" s="40"/>
      <c r="H1158" s="40"/>
      <c r="I1158" s="40"/>
      <c r="J1158" s="41"/>
    </row>
    <row r="1159" spans="2:10" s="1" customFormat="1" ht="12.75" x14ac:dyDescent="0.2">
      <c r="B1159" s="46"/>
      <c r="C1159" s="59"/>
      <c r="D1159" s="60"/>
      <c r="E1159" s="40"/>
      <c r="F1159" s="40"/>
      <c r="G1159" s="40"/>
      <c r="H1159" s="40"/>
      <c r="I1159" s="40"/>
      <c r="J1159" s="41"/>
    </row>
    <row r="1160" spans="2:10" s="1" customFormat="1" ht="12.75" x14ac:dyDescent="0.2">
      <c r="B1160" s="46"/>
      <c r="C1160" s="59"/>
      <c r="D1160" s="60"/>
      <c r="E1160" s="40"/>
      <c r="F1160" s="40"/>
      <c r="G1160" s="40"/>
      <c r="H1160" s="40"/>
      <c r="I1160" s="40"/>
      <c r="J1160" s="41"/>
    </row>
    <row r="1161" spans="2:10" s="1" customFormat="1" ht="12.75" x14ac:dyDescent="0.2">
      <c r="B1161" s="46"/>
      <c r="C1161" s="59"/>
      <c r="D1161" s="60"/>
      <c r="E1161" s="40"/>
      <c r="F1161" s="40"/>
      <c r="G1161" s="40"/>
      <c r="H1161" s="40"/>
      <c r="I1161" s="40"/>
      <c r="J1161" s="41"/>
    </row>
    <row r="1162" spans="2:10" s="1" customFormat="1" ht="12.75" x14ac:dyDescent="0.2">
      <c r="B1162" s="46"/>
      <c r="C1162" s="59"/>
      <c r="D1162" s="60"/>
      <c r="E1162" s="40"/>
      <c r="F1162" s="40"/>
      <c r="G1162" s="40"/>
      <c r="H1162" s="40"/>
      <c r="I1162" s="40"/>
      <c r="J1162" s="41"/>
    </row>
    <row r="1163" spans="2:10" s="1" customFormat="1" ht="12.75" x14ac:dyDescent="0.2">
      <c r="B1163" s="46"/>
      <c r="C1163" s="59"/>
      <c r="D1163" s="60"/>
      <c r="E1163" s="40"/>
      <c r="F1163" s="40"/>
      <c r="G1163" s="40"/>
      <c r="H1163" s="40"/>
      <c r="I1163" s="40"/>
      <c r="J1163" s="41"/>
    </row>
    <row r="1164" spans="2:10" s="1" customFormat="1" ht="12.75" x14ac:dyDescent="0.2">
      <c r="B1164" s="46"/>
      <c r="C1164" s="59"/>
      <c r="D1164" s="60"/>
      <c r="E1164" s="40"/>
      <c r="F1164" s="40"/>
      <c r="G1164" s="40"/>
      <c r="H1164" s="40"/>
      <c r="I1164" s="40"/>
      <c r="J1164" s="41"/>
    </row>
    <row r="1165" spans="2:10" s="1" customFormat="1" ht="12.75" x14ac:dyDescent="0.2">
      <c r="B1165" s="46"/>
      <c r="C1165" s="59"/>
      <c r="D1165" s="60"/>
      <c r="E1165" s="40"/>
      <c r="F1165" s="40"/>
      <c r="G1165" s="40"/>
      <c r="H1165" s="40"/>
      <c r="I1165" s="40"/>
      <c r="J1165" s="41"/>
    </row>
    <row r="1166" spans="2:10" s="1" customFormat="1" ht="12.75" x14ac:dyDescent="0.2">
      <c r="B1166" s="46"/>
      <c r="C1166" s="59"/>
      <c r="D1166" s="60"/>
      <c r="E1166" s="40"/>
      <c r="F1166" s="40"/>
      <c r="G1166" s="40"/>
      <c r="H1166" s="40"/>
      <c r="I1166" s="40"/>
      <c r="J1166" s="41"/>
    </row>
    <row r="1167" spans="2:10" s="1" customFormat="1" ht="12.75" x14ac:dyDescent="0.2">
      <c r="B1167" s="46"/>
      <c r="C1167" s="59"/>
      <c r="D1167" s="60"/>
      <c r="E1167" s="40"/>
      <c r="F1167" s="40"/>
      <c r="G1167" s="40"/>
      <c r="H1167" s="40"/>
      <c r="I1167" s="40"/>
      <c r="J1167" s="41"/>
    </row>
    <row r="1168" spans="2:10" s="1" customFormat="1" ht="12.75" x14ac:dyDescent="0.2">
      <c r="B1168" s="46"/>
      <c r="C1168" s="59"/>
      <c r="D1168" s="60"/>
      <c r="E1168" s="40"/>
      <c r="F1168" s="40"/>
      <c r="G1168" s="40"/>
      <c r="H1168" s="40"/>
      <c r="I1168" s="40"/>
      <c r="J1168" s="41"/>
    </row>
    <row r="1169" spans="2:10" s="1" customFormat="1" ht="12.75" x14ac:dyDescent="0.2">
      <c r="B1169" s="46"/>
      <c r="C1169" s="59"/>
      <c r="D1169" s="60"/>
      <c r="E1169" s="40"/>
      <c r="F1169" s="40"/>
      <c r="G1169" s="40"/>
      <c r="H1169" s="40"/>
      <c r="I1169" s="40"/>
      <c r="J1169" s="41"/>
    </row>
    <row r="1170" spans="2:10" s="1" customFormat="1" ht="12.75" x14ac:dyDescent="0.2">
      <c r="B1170" s="46"/>
      <c r="C1170" s="59"/>
      <c r="D1170" s="60"/>
      <c r="E1170" s="40"/>
      <c r="F1170" s="40"/>
      <c r="G1170" s="40"/>
      <c r="H1170" s="40"/>
      <c r="I1170" s="40"/>
      <c r="J1170" s="41"/>
    </row>
    <row r="1171" spans="2:10" s="1" customFormat="1" ht="12.75" x14ac:dyDescent="0.2">
      <c r="B1171" s="46"/>
      <c r="C1171" s="59"/>
      <c r="D1171" s="60"/>
      <c r="E1171" s="40"/>
      <c r="F1171" s="40"/>
      <c r="G1171" s="40"/>
      <c r="H1171" s="40"/>
      <c r="I1171" s="40"/>
      <c r="J1171" s="41"/>
    </row>
    <row r="1172" spans="2:10" s="1" customFormat="1" ht="12.75" x14ac:dyDescent="0.2">
      <c r="B1172" s="46"/>
      <c r="C1172" s="59"/>
      <c r="D1172" s="60"/>
      <c r="E1172" s="40"/>
      <c r="F1172" s="40"/>
      <c r="G1172" s="40"/>
      <c r="H1172" s="40"/>
      <c r="I1172" s="40"/>
      <c r="J1172" s="41"/>
    </row>
    <row r="1173" spans="2:10" s="1" customFormat="1" ht="12.75" x14ac:dyDescent="0.2">
      <c r="B1173" s="46"/>
      <c r="C1173" s="59"/>
      <c r="D1173" s="60"/>
      <c r="E1173" s="40"/>
      <c r="F1173" s="40"/>
      <c r="G1173" s="40"/>
      <c r="H1173" s="40"/>
      <c r="I1173" s="40"/>
      <c r="J1173" s="41"/>
    </row>
    <row r="1174" spans="2:10" s="1" customFormat="1" ht="12.75" x14ac:dyDescent="0.2">
      <c r="B1174" s="46"/>
      <c r="C1174" s="59"/>
      <c r="D1174" s="60"/>
      <c r="E1174" s="40"/>
      <c r="F1174" s="40"/>
      <c r="G1174" s="40"/>
      <c r="H1174" s="40"/>
      <c r="I1174" s="40"/>
      <c r="J1174" s="41"/>
    </row>
    <row r="1175" spans="2:10" s="1" customFormat="1" ht="12.75" x14ac:dyDescent="0.2">
      <c r="B1175" s="46"/>
      <c r="C1175" s="59"/>
      <c r="D1175" s="60"/>
      <c r="E1175" s="40"/>
      <c r="F1175" s="40"/>
      <c r="G1175" s="40"/>
      <c r="H1175" s="40"/>
      <c r="I1175" s="40"/>
      <c r="J1175" s="41"/>
    </row>
    <row r="1176" spans="2:10" s="1" customFormat="1" ht="12.75" x14ac:dyDescent="0.2">
      <c r="B1176" s="46"/>
      <c r="C1176" s="59"/>
      <c r="D1176" s="60"/>
      <c r="E1176" s="40"/>
      <c r="F1176" s="40"/>
      <c r="G1176" s="40"/>
      <c r="H1176" s="40"/>
      <c r="I1176" s="40"/>
      <c r="J1176" s="41"/>
    </row>
    <row r="1177" spans="2:10" s="1" customFormat="1" ht="12.75" x14ac:dyDescent="0.2">
      <c r="B1177" s="46"/>
      <c r="C1177" s="59"/>
      <c r="D1177" s="60"/>
      <c r="E1177" s="40"/>
      <c r="F1177" s="40"/>
      <c r="G1177" s="40"/>
      <c r="H1177" s="40"/>
      <c r="I1177" s="40"/>
      <c r="J1177" s="41"/>
    </row>
    <row r="1178" spans="2:10" s="1" customFormat="1" ht="12.75" x14ac:dyDescent="0.2">
      <c r="B1178" s="46"/>
      <c r="C1178" s="59"/>
      <c r="D1178" s="60"/>
      <c r="E1178" s="40"/>
      <c r="F1178" s="40"/>
      <c r="G1178" s="40"/>
      <c r="H1178" s="40"/>
      <c r="I1178" s="40"/>
      <c r="J1178" s="41"/>
    </row>
    <row r="1179" spans="2:10" s="1" customFormat="1" ht="12.75" x14ac:dyDescent="0.2">
      <c r="B1179" s="46"/>
      <c r="C1179" s="59"/>
      <c r="D1179" s="60"/>
      <c r="E1179" s="40"/>
      <c r="F1179" s="40"/>
      <c r="G1179" s="40"/>
      <c r="H1179" s="40"/>
      <c r="I1179" s="40"/>
      <c r="J1179" s="41"/>
    </row>
    <row r="1180" spans="2:10" s="1" customFormat="1" ht="12.75" x14ac:dyDescent="0.2">
      <c r="B1180" s="46"/>
      <c r="C1180" s="59"/>
      <c r="D1180" s="60"/>
      <c r="E1180" s="40"/>
      <c r="F1180" s="40"/>
      <c r="G1180" s="40"/>
      <c r="H1180" s="40"/>
      <c r="I1180" s="40"/>
      <c r="J1180" s="41"/>
    </row>
    <row r="1181" spans="2:10" s="1" customFormat="1" ht="12.75" x14ac:dyDescent="0.2">
      <c r="B1181" s="46"/>
      <c r="C1181" s="59"/>
      <c r="D1181" s="60"/>
      <c r="E1181" s="40"/>
      <c r="F1181" s="40"/>
      <c r="G1181" s="40"/>
      <c r="H1181" s="40"/>
      <c r="I1181" s="40"/>
      <c r="J1181" s="41"/>
    </row>
    <row r="1182" spans="2:10" s="1" customFormat="1" ht="12.75" x14ac:dyDescent="0.2">
      <c r="B1182" s="46"/>
      <c r="C1182" s="59"/>
      <c r="D1182" s="60"/>
      <c r="E1182" s="40"/>
      <c r="F1182" s="40"/>
      <c r="G1182" s="40"/>
      <c r="H1182" s="40"/>
      <c r="I1182" s="40"/>
      <c r="J1182" s="41"/>
    </row>
    <row r="1183" spans="2:10" s="1" customFormat="1" ht="12.75" x14ac:dyDescent="0.2">
      <c r="B1183" s="46"/>
      <c r="C1183" s="59"/>
      <c r="D1183" s="60"/>
      <c r="E1183" s="40"/>
      <c r="F1183" s="40"/>
      <c r="G1183" s="40"/>
      <c r="H1183" s="40"/>
      <c r="I1183" s="40"/>
      <c r="J1183" s="41"/>
    </row>
    <row r="1184" spans="2:10" s="1" customFormat="1" ht="12.75" x14ac:dyDescent="0.2">
      <c r="B1184" s="46"/>
      <c r="C1184" s="59"/>
      <c r="D1184" s="60"/>
      <c r="E1184" s="40"/>
      <c r="F1184" s="40"/>
      <c r="G1184" s="40"/>
      <c r="H1184" s="40"/>
      <c r="I1184" s="40"/>
      <c r="J1184" s="41"/>
    </row>
    <row r="1185" spans="2:10" s="1" customFormat="1" ht="12.75" x14ac:dyDescent="0.2">
      <c r="B1185" s="46"/>
      <c r="C1185" s="59"/>
      <c r="D1185" s="60"/>
      <c r="E1185" s="40"/>
      <c r="F1185" s="40"/>
      <c r="G1185" s="40"/>
      <c r="H1185" s="40"/>
      <c r="I1185" s="40"/>
      <c r="J1185" s="41"/>
    </row>
    <row r="1186" spans="2:10" s="1" customFormat="1" ht="12.75" x14ac:dyDescent="0.2">
      <c r="B1186" s="46"/>
      <c r="C1186" s="59"/>
      <c r="D1186" s="60"/>
      <c r="E1186" s="40"/>
      <c r="F1186" s="40"/>
      <c r="G1186" s="40"/>
      <c r="H1186" s="40"/>
      <c r="I1186" s="40"/>
      <c r="J1186" s="41"/>
    </row>
    <row r="1187" spans="2:10" s="1" customFormat="1" ht="12.75" x14ac:dyDescent="0.2">
      <c r="B1187" s="46"/>
      <c r="C1187" s="59"/>
      <c r="D1187" s="60"/>
      <c r="E1187" s="40"/>
      <c r="F1187" s="40"/>
      <c r="G1187" s="40"/>
      <c r="H1187" s="40"/>
      <c r="I1187" s="40"/>
      <c r="J1187" s="41"/>
    </row>
    <row r="1188" spans="2:10" s="1" customFormat="1" ht="12.75" x14ac:dyDescent="0.2">
      <c r="B1188" s="46"/>
      <c r="C1188" s="59"/>
      <c r="D1188" s="60"/>
      <c r="E1188" s="40"/>
      <c r="F1188" s="40"/>
      <c r="G1188" s="40"/>
      <c r="H1188" s="40"/>
      <c r="I1188" s="40"/>
      <c r="J1188" s="41"/>
    </row>
    <row r="1189" spans="2:10" s="1" customFormat="1" ht="12.75" x14ac:dyDescent="0.2">
      <c r="B1189" s="46"/>
      <c r="C1189" s="59"/>
      <c r="D1189" s="60"/>
      <c r="E1189" s="40"/>
      <c r="F1189" s="40"/>
      <c r="G1189" s="40"/>
      <c r="H1189" s="40"/>
      <c r="I1189" s="40"/>
      <c r="J1189" s="41"/>
    </row>
    <row r="1190" spans="2:10" s="1" customFormat="1" ht="12.75" x14ac:dyDescent="0.2">
      <c r="B1190" s="46"/>
      <c r="C1190" s="59"/>
      <c r="D1190" s="60"/>
      <c r="E1190" s="40"/>
      <c r="F1190" s="40"/>
      <c r="G1190" s="40"/>
      <c r="H1190" s="40"/>
      <c r="I1190" s="40"/>
      <c r="J1190" s="41"/>
    </row>
    <row r="1191" spans="2:10" s="1" customFormat="1" ht="12.75" x14ac:dyDescent="0.2">
      <c r="B1191" s="46"/>
      <c r="C1191" s="59"/>
      <c r="D1191" s="60"/>
      <c r="E1191" s="40"/>
      <c r="F1191" s="40"/>
      <c r="G1191" s="40"/>
      <c r="H1191" s="40"/>
      <c r="I1191" s="40"/>
      <c r="J1191" s="41"/>
    </row>
    <row r="1192" spans="2:10" s="1" customFormat="1" ht="12.75" x14ac:dyDescent="0.2">
      <c r="B1192" s="46"/>
      <c r="C1192" s="59"/>
      <c r="D1192" s="60"/>
      <c r="E1192" s="40"/>
      <c r="F1192" s="40"/>
      <c r="G1192" s="40"/>
      <c r="H1192" s="40"/>
      <c r="I1192" s="40"/>
      <c r="J1192" s="41"/>
    </row>
    <row r="1193" spans="2:10" s="1" customFormat="1" ht="12.75" x14ac:dyDescent="0.2">
      <c r="B1193" s="46"/>
      <c r="C1193" s="59"/>
      <c r="D1193" s="60"/>
      <c r="E1193" s="40"/>
      <c r="F1193" s="40"/>
      <c r="G1193" s="40"/>
      <c r="H1193" s="40"/>
      <c r="I1193" s="40"/>
      <c r="J1193" s="41"/>
    </row>
    <row r="1194" spans="2:10" s="1" customFormat="1" ht="12.75" x14ac:dyDescent="0.2">
      <c r="B1194" s="46"/>
      <c r="C1194" s="59"/>
      <c r="D1194" s="60"/>
      <c r="E1194" s="40"/>
      <c r="F1194" s="40"/>
      <c r="G1194" s="40"/>
      <c r="H1194" s="40"/>
      <c r="I1194" s="40"/>
      <c r="J1194" s="41"/>
    </row>
    <row r="1195" spans="2:10" s="1" customFormat="1" ht="12.75" x14ac:dyDescent="0.2">
      <c r="B1195" s="46"/>
      <c r="C1195" s="59"/>
      <c r="D1195" s="60"/>
      <c r="E1195" s="40"/>
      <c r="F1195" s="40"/>
      <c r="G1195" s="40"/>
      <c r="H1195" s="40"/>
      <c r="I1195" s="40"/>
      <c r="J1195" s="41"/>
    </row>
    <row r="1196" spans="2:10" s="1" customFormat="1" ht="12.75" x14ac:dyDescent="0.2">
      <c r="B1196" s="46"/>
      <c r="C1196" s="59"/>
      <c r="D1196" s="60"/>
      <c r="E1196" s="40"/>
      <c r="F1196" s="40"/>
      <c r="G1196" s="40"/>
      <c r="H1196" s="40"/>
      <c r="I1196" s="40"/>
      <c r="J1196" s="41"/>
    </row>
    <row r="1197" spans="2:10" s="1" customFormat="1" ht="12.75" x14ac:dyDescent="0.2">
      <c r="C1197" s="499" t="s">
        <v>37</v>
      </c>
      <c r="D1197" s="499"/>
      <c r="E1197" s="499"/>
      <c r="F1197" s="499"/>
      <c r="G1197" s="499"/>
      <c r="H1197" s="499"/>
    </row>
    <row r="1198" spans="2:10" s="1" customFormat="1" ht="12.75" x14ac:dyDescent="0.2">
      <c r="C1198" s="499" t="s">
        <v>38</v>
      </c>
      <c r="D1198" s="499"/>
      <c r="E1198" s="499"/>
      <c r="F1198" s="499"/>
      <c r="G1198" s="499"/>
      <c r="H1198" s="499"/>
    </row>
    <row r="1199" spans="2:10" s="1" customFormat="1" ht="12.75" x14ac:dyDescent="0.2">
      <c r="C1199" s="499" t="s">
        <v>39</v>
      </c>
      <c r="D1199" s="499"/>
      <c r="E1199" s="499"/>
      <c r="F1199" s="499"/>
      <c r="G1199" s="499"/>
      <c r="H1199" s="499"/>
    </row>
    <row r="1200" spans="2:10" s="1" customFormat="1" ht="12.75" x14ac:dyDescent="0.2">
      <c r="C1200" s="500" t="s">
        <v>40</v>
      </c>
      <c r="D1200" s="500"/>
      <c r="E1200" s="500"/>
      <c r="F1200" s="500"/>
      <c r="G1200" s="500"/>
      <c r="H1200" s="500"/>
    </row>
    <row r="1201" spans="2:10" s="1" customFormat="1" ht="12.75" x14ac:dyDescent="0.2">
      <c r="C1201" s="78"/>
      <c r="D1201" s="78"/>
      <c r="E1201" s="78"/>
      <c r="F1201" s="78"/>
      <c r="G1201" s="78"/>
      <c r="H1201" s="78"/>
    </row>
    <row r="1202" spans="2:10" s="1" customFormat="1" ht="15.75" x14ac:dyDescent="0.2">
      <c r="B1202" s="501" t="s">
        <v>65</v>
      </c>
      <c r="C1202" s="502"/>
      <c r="D1202" s="502"/>
      <c r="E1202" s="502"/>
      <c r="F1202" s="502"/>
      <c r="G1202" s="502"/>
      <c r="H1202" s="502"/>
      <c r="I1202" s="502"/>
      <c r="J1202" s="503"/>
    </row>
    <row r="1203" spans="2:10" s="1" customFormat="1" ht="20.25" x14ac:dyDescent="0.2">
      <c r="B1203" s="543" t="s">
        <v>365</v>
      </c>
      <c r="C1203" s="544"/>
      <c r="D1203" s="544"/>
      <c r="E1203" s="544"/>
      <c r="F1203" s="544"/>
      <c r="G1203" s="544"/>
      <c r="H1203" s="544"/>
      <c r="I1203" s="544"/>
      <c r="J1203" s="545"/>
    </row>
    <row r="1204" spans="2:10" s="1" customFormat="1" ht="13.5" thickBot="1" x14ac:dyDescent="0.25">
      <c r="B1204" s="79"/>
      <c r="C1204" s="79"/>
      <c r="D1204" s="79"/>
      <c r="E1204" s="79"/>
      <c r="F1204" s="79"/>
      <c r="G1204" s="79"/>
      <c r="H1204" s="79"/>
      <c r="I1204" s="79"/>
      <c r="J1204" s="79"/>
    </row>
    <row r="1205" spans="2:10" s="1" customFormat="1" ht="12.75" x14ac:dyDescent="0.2">
      <c r="B1205" s="494" t="s">
        <v>27</v>
      </c>
      <c r="C1205" s="495"/>
      <c r="D1205" s="495"/>
      <c r="E1205" s="495"/>
      <c r="F1205" s="495"/>
      <c r="G1205" s="495"/>
      <c r="H1205" s="495"/>
      <c r="I1205" s="495"/>
      <c r="J1205" s="496"/>
    </row>
    <row r="1206" spans="2:10" s="1" customFormat="1" ht="12.75" x14ac:dyDescent="0.2">
      <c r="B1206" s="2" t="s">
        <v>35</v>
      </c>
      <c r="C1206" s="3" t="s">
        <v>36</v>
      </c>
      <c r="D1206" s="3"/>
      <c r="E1206" s="4"/>
      <c r="F1206" s="5"/>
      <c r="G1206" s="6" t="s">
        <v>8</v>
      </c>
      <c r="H1206" s="497">
        <v>42879</v>
      </c>
      <c r="I1206" s="497"/>
      <c r="J1206" s="7"/>
    </row>
    <row r="1207" spans="2:10" s="1" customFormat="1" ht="12.75" x14ac:dyDescent="0.2">
      <c r="B1207" s="2" t="s">
        <v>33</v>
      </c>
      <c r="C1207" s="3" t="s">
        <v>29</v>
      </c>
      <c r="D1207" s="8"/>
      <c r="E1207" s="8"/>
      <c r="F1207" s="3"/>
      <c r="G1207" s="9" t="s">
        <v>32</v>
      </c>
      <c r="H1207" s="4" t="s">
        <v>29</v>
      </c>
      <c r="I1207" s="10"/>
      <c r="J1207" s="11"/>
    </row>
    <row r="1208" spans="2:10" s="1" customFormat="1" ht="12.75" x14ac:dyDescent="0.2">
      <c r="B1208" s="2" t="s">
        <v>34</v>
      </c>
      <c r="C1208" s="3" t="s">
        <v>29</v>
      </c>
      <c r="D1208" s="8"/>
      <c r="E1208" s="8"/>
      <c r="F1208" s="3"/>
      <c r="G1208" s="9" t="s">
        <v>30</v>
      </c>
      <c r="H1208" s="4" t="s">
        <v>31</v>
      </c>
      <c r="I1208" s="10"/>
      <c r="J1208" s="11"/>
    </row>
    <row r="1209" spans="2:10" s="1" customFormat="1" ht="13.5" thickBot="1" x14ac:dyDescent="0.25">
      <c r="B1209" s="12" t="s">
        <v>43</v>
      </c>
      <c r="C1209" s="13" t="s">
        <v>44</v>
      </c>
      <c r="D1209" s="14"/>
      <c r="E1209" s="14"/>
      <c r="F1209" s="13"/>
      <c r="G1209" s="15" t="s">
        <v>41</v>
      </c>
      <c r="H1209" s="16" t="s">
        <v>42</v>
      </c>
      <c r="I1209" s="17"/>
      <c r="J1209" s="18"/>
    </row>
    <row r="1210" spans="2:10" s="1" customFormat="1" ht="12.75" x14ac:dyDescent="0.2">
      <c r="B1210" s="79"/>
      <c r="C1210" s="79"/>
      <c r="D1210" s="79"/>
      <c r="E1210" s="79"/>
      <c r="F1210" s="79"/>
      <c r="G1210" s="79"/>
      <c r="H1210" s="79"/>
      <c r="I1210" s="79"/>
      <c r="J1210" s="79"/>
    </row>
    <row r="1211" spans="2:10" s="1" customFormat="1" ht="12.75" x14ac:dyDescent="0.2">
      <c r="B1211" s="21" t="s">
        <v>5</v>
      </c>
      <c r="C1211" s="22" t="s">
        <v>0</v>
      </c>
      <c r="D1211" s="22" t="s">
        <v>9</v>
      </c>
      <c r="E1211" s="22" t="s">
        <v>10</v>
      </c>
      <c r="F1211" s="22" t="s">
        <v>1</v>
      </c>
      <c r="G1211" s="22" t="s">
        <v>2</v>
      </c>
      <c r="H1211" s="22" t="s">
        <v>11</v>
      </c>
      <c r="I1211" s="22" t="s">
        <v>6</v>
      </c>
      <c r="J1211" s="22" t="s">
        <v>7</v>
      </c>
    </row>
    <row r="1212" spans="2:10" s="1" customFormat="1" ht="12.75" x14ac:dyDescent="0.2">
      <c r="B1212" s="55">
        <v>4.03</v>
      </c>
      <c r="C1212" s="56" t="s">
        <v>222</v>
      </c>
      <c r="D1212" s="60"/>
      <c r="E1212" s="40"/>
      <c r="F1212" s="40"/>
      <c r="G1212" s="40"/>
      <c r="H1212" s="40"/>
      <c r="I1212" s="40"/>
      <c r="J1212" s="41"/>
    </row>
    <row r="1213" spans="2:10" s="1" customFormat="1" ht="12.75" x14ac:dyDescent="0.2">
      <c r="B1213" s="57" t="s">
        <v>14</v>
      </c>
      <c r="C1213" s="58" t="s">
        <v>225</v>
      </c>
      <c r="D1213" s="60"/>
      <c r="E1213" s="40"/>
      <c r="F1213" s="40"/>
      <c r="G1213" s="40"/>
      <c r="H1213" s="40"/>
      <c r="I1213" s="40"/>
      <c r="J1213" s="41"/>
    </row>
    <row r="1214" spans="2:10" s="1" customFormat="1" ht="12.75" x14ac:dyDescent="0.2">
      <c r="B1214" s="43" t="s">
        <v>15</v>
      </c>
      <c r="C1214" s="43" t="s">
        <v>359</v>
      </c>
      <c r="D1214" s="60"/>
      <c r="E1214" s="40"/>
      <c r="F1214" s="40"/>
      <c r="G1214" s="40"/>
      <c r="H1214" s="40"/>
      <c r="I1214" s="44">
        <f>SUM(H1215:H1215)</f>
        <v>0</v>
      </c>
      <c r="J1214" s="45" t="str">
        <f>+J1215</f>
        <v>ml</v>
      </c>
    </row>
    <row r="1215" spans="2:10" s="1" customFormat="1" ht="12.75" x14ac:dyDescent="0.2">
      <c r="B1215" s="43"/>
      <c r="C1215" s="39" t="s">
        <v>387</v>
      </c>
      <c r="D1215" s="40"/>
      <c r="E1215" s="40"/>
      <c r="F1215" s="40"/>
      <c r="G1215" s="40"/>
      <c r="H1215" s="40">
        <f>IF(AND(F1215=0,G1215=0),D1215*E1215,IF(AND(E1215=0,G1215=0),D1215*F1215,IF(AND(E1215=0,F1215=0),D1215*G1215,IF(AND(E1215=0),D1215*F1215*G1215,IF(AND(F1215=0),D1215*E1215*G1215,IF(AND(G1215=0),D1215*E1215*F1215,D1215*E1215*F1215*G1215))))))</f>
        <v>0</v>
      </c>
      <c r="I1215" s="40"/>
      <c r="J1215" s="41" t="str">
        <f>IF(AND(E1215=0,F1215&lt;&gt;0,G1215&lt;&gt;0),"m2",IF(AND(F1215=0,E1215&lt;&gt;0,G1215&lt;&gt;0),"m2",IF(AND(G1215=0,E1215&lt;&gt;0,F1215&lt;&gt;0),"m2",IF(AND(F1215=0,G1215=0),"ml",IF(AND(E1215=0,G1215=0),"ml",IF(AND(E1215=0,F1215=0),"ml",IF(AND(E1215&lt;&gt;0,F1215&lt;&gt;0,G1215&lt;&gt;0),"m3",0)))))))</f>
        <v>ml</v>
      </c>
    </row>
    <row r="1216" spans="2:10" s="1" customFormat="1" ht="12.75" x14ac:dyDescent="0.2">
      <c r="B1216" s="43"/>
      <c r="C1216" s="39"/>
      <c r="D1216" s="40"/>
      <c r="E1216" s="40"/>
      <c r="F1216" s="40"/>
      <c r="G1216" s="40"/>
      <c r="H1216" s="40">
        <f>IF(AND(F1216=0,G1216=0),D1216*E1216,IF(AND(E1216=0,G1216=0),D1216*F1216,IF(AND(E1216=0,F1216=0),D1216*G1216,IF(AND(E1216=0),D1216*F1216*G1216,IF(AND(F1216=0),D1216*E1216*G1216,IF(AND(G1216=0),D1216*E1216*F1216,D1216*E1216*F1216*G1216))))))</f>
        <v>0</v>
      </c>
      <c r="I1216" s="40"/>
      <c r="J1216" s="41" t="str">
        <f>IF(AND(E1216=0,F1216&lt;&gt;0,G1216&lt;&gt;0),"m2",IF(AND(F1216=0,E1216&lt;&gt;0,G1216&lt;&gt;0),"m2",IF(AND(G1216=0,E1216&lt;&gt;0,F1216&lt;&gt;0),"m2",IF(AND(F1216=0,G1216=0),"ml",IF(AND(E1216=0,G1216=0),"ml",IF(AND(E1216=0,F1216=0),"ml",IF(AND(E1216&lt;&gt;0,F1216&lt;&gt;0,G1216&lt;&gt;0),"m3",0)))))))</f>
        <v>ml</v>
      </c>
    </row>
    <row r="1217" spans="2:10" s="1" customFormat="1" ht="12.75" x14ac:dyDescent="0.2">
      <c r="B1217" s="43" t="s">
        <v>232</v>
      </c>
      <c r="C1217" s="43" t="s">
        <v>235</v>
      </c>
      <c r="D1217" s="60"/>
      <c r="E1217" s="40"/>
      <c r="F1217" s="40"/>
      <c r="G1217" s="40"/>
      <c r="H1217" s="40"/>
      <c r="I1217" s="44">
        <f>SUM(H1218:H1218)</f>
        <v>7</v>
      </c>
      <c r="J1217" s="45" t="str">
        <f>+J1218</f>
        <v>ml</v>
      </c>
    </row>
    <row r="1218" spans="2:10" s="1" customFormat="1" ht="12.75" x14ac:dyDescent="0.2">
      <c r="B1218" s="57"/>
      <c r="C1218" s="39" t="s">
        <v>378</v>
      </c>
      <c r="D1218" s="40">
        <v>2</v>
      </c>
      <c r="E1218" s="40">
        <v>3.5</v>
      </c>
      <c r="F1218" s="40"/>
      <c r="G1218" s="40"/>
      <c r="H1218" s="40">
        <f>IF(AND(F1218=0,G1218=0),D1218*E1218,IF(AND(E1218=0,G1218=0),D1218*F1218,IF(AND(E1218=0,F1218=0),D1218*G1218,IF(AND(E1218=0),D1218*F1218*G1218,IF(AND(F1218=0),D1218*E1218*G1218,IF(AND(G1218=0),D1218*E1218*F1218,D1218*E1218*F1218*G1218))))))</f>
        <v>7</v>
      </c>
      <c r="I1218" s="40"/>
      <c r="J1218" s="41" t="str">
        <f>IF(AND(E1218=0,F1218&lt;&gt;0,G1218&lt;&gt;0),"m2",IF(AND(F1218=0,E1218&lt;&gt;0,G1218&lt;&gt;0),"m2",IF(AND(G1218=0,E1218&lt;&gt;0,F1218&lt;&gt;0),"m2",IF(AND(F1218=0,G1218=0),"ml",IF(AND(E1218=0,G1218=0),"ml",IF(AND(E1218=0,F1218=0),"ml",IF(AND(E1218&lt;&gt;0,F1218&lt;&gt;0,G1218&lt;&gt;0),"m3",0)))))))</f>
        <v>ml</v>
      </c>
    </row>
    <row r="1219" spans="2:10" s="1" customFormat="1" ht="12.75" x14ac:dyDescent="0.2">
      <c r="B1219" s="57"/>
      <c r="C1219" s="39" t="s">
        <v>379</v>
      </c>
      <c r="D1219" s="40">
        <v>1</v>
      </c>
      <c r="E1219" s="40">
        <v>4</v>
      </c>
      <c r="F1219" s="40"/>
      <c r="G1219" s="40"/>
      <c r="H1219" s="40">
        <f>IF(AND(F1219=0,G1219=0),D1219*E1219,IF(AND(E1219=0,G1219=0),D1219*F1219,IF(AND(E1219=0,F1219=0),D1219*G1219,IF(AND(E1219=0),D1219*F1219*G1219,IF(AND(F1219=0),D1219*E1219*G1219,IF(AND(G1219=0),D1219*E1219*F1219,D1219*E1219*F1219*G1219))))))</f>
        <v>4</v>
      </c>
      <c r="I1219" s="40"/>
      <c r="J1219" s="41" t="str">
        <f>IF(AND(E1219=0,F1219&lt;&gt;0,G1219&lt;&gt;0),"m2",IF(AND(F1219=0,E1219&lt;&gt;0,G1219&lt;&gt;0),"m2",IF(AND(G1219=0,E1219&lt;&gt;0,F1219&lt;&gt;0),"m2",IF(AND(F1219=0,G1219=0),"ml",IF(AND(E1219=0,G1219=0),"ml",IF(AND(E1219=0,F1219=0),"ml",IF(AND(E1219&lt;&gt;0,F1219&lt;&gt;0,G1219&lt;&gt;0),"m3",0)))))))</f>
        <v>ml</v>
      </c>
    </row>
    <row r="1220" spans="2:10" s="1" customFormat="1" ht="12.75" x14ac:dyDescent="0.2">
      <c r="B1220" s="43" t="s">
        <v>233</v>
      </c>
      <c r="C1220" s="43" t="s">
        <v>236</v>
      </c>
      <c r="D1220" s="60"/>
      <c r="E1220" s="40"/>
      <c r="F1220" s="40"/>
      <c r="G1220" s="40"/>
      <c r="H1220" s="40"/>
      <c r="I1220" s="44">
        <f>SUM(H1221:H1221)</f>
        <v>0</v>
      </c>
      <c r="J1220" s="45" t="str">
        <f>+J1221</f>
        <v>ml</v>
      </c>
    </row>
    <row r="1221" spans="2:10" s="1" customFormat="1" ht="12.75" x14ac:dyDescent="0.2">
      <c r="B1221" s="57"/>
      <c r="C1221" s="39" t="s">
        <v>231</v>
      </c>
      <c r="D1221" s="40"/>
      <c r="E1221" s="40"/>
      <c r="F1221" s="40"/>
      <c r="G1221" s="40"/>
      <c r="H1221" s="40">
        <f>IF(AND(F1221=0,G1221=0),D1221*E1221,IF(AND(E1221=0,G1221=0),D1221*F1221,IF(AND(E1221=0,F1221=0),D1221*G1221,IF(AND(E1221=0),D1221*F1221*G1221,IF(AND(F1221=0),D1221*E1221*G1221,IF(AND(G1221=0),D1221*E1221*F1221,D1221*E1221*F1221*G1221))))))</f>
        <v>0</v>
      </c>
      <c r="I1221" s="40"/>
      <c r="J1221" s="41" t="str">
        <f>IF(AND(E1221=0,F1221&lt;&gt;0,G1221&lt;&gt;0),"m2",IF(AND(F1221=0,E1221&lt;&gt;0,G1221&lt;&gt;0),"m2",IF(AND(G1221=0,E1221&lt;&gt;0,F1221&lt;&gt;0),"m2",IF(AND(F1221=0,G1221=0),"ml",IF(AND(E1221=0,G1221=0),"ml",IF(AND(E1221=0,F1221=0),"ml",IF(AND(E1221&lt;&gt;0,F1221&lt;&gt;0,G1221&lt;&gt;0),"m3",0)))))))</f>
        <v>ml</v>
      </c>
    </row>
    <row r="1222" spans="2:10" s="1" customFormat="1" ht="12.75" x14ac:dyDescent="0.2">
      <c r="B1222" s="43" t="s">
        <v>234</v>
      </c>
      <c r="C1222" s="43" t="s">
        <v>267</v>
      </c>
      <c r="D1222" s="60"/>
      <c r="E1222" s="40"/>
      <c r="F1222" s="40"/>
      <c r="G1222" s="40"/>
      <c r="H1222" s="40"/>
      <c r="I1222" s="44">
        <f>SUM(H1224:H1229)</f>
        <v>25.5</v>
      </c>
      <c r="J1222" s="45" t="str">
        <f>+J1224</f>
        <v>ml</v>
      </c>
    </row>
    <row r="1223" spans="2:10" s="1" customFormat="1" ht="12.75" x14ac:dyDescent="0.2">
      <c r="B1223" s="43"/>
      <c r="C1223" s="77" t="s">
        <v>71</v>
      </c>
      <c r="D1223" s="60"/>
      <c r="E1223" s="40"/>
      <c r="F1223" s="40"/>
      <c r="G1223" s="40"/>
      <c r="H1223" s="40"/>
      <c r="I1223" s="44"/>
      <c r="J1223" s="45"/>
    </row>
    <row r="1224" spans="2:10" s="1" customFormat="1" ht="12.75" x14ac:dyDescent="0.2">
      <c r="B1224" s="43"/>
      <c r="C1224" s="39" t="s">
        <v>349</v>
      </c>
      <c r="D1224" s="40">
        <f>+D1218</f>
        <v>2</v>
      </c>
      <c r="E1224" s="40">
        <v>3.25</v>
      </c>
      <c r="F1224" s="40"/>
      <c r="G1224" s="40"/>
      <c r="H1224" s="40">
        <f t="shared" ref="H1224:H1229" si="55">IF(AND(F1224=0,G1224=0),D1224*E1224,IF(AND(E1224=0,G1224=0),D1224*F1224,IF(AND(E1224=0,F1224=0),D1224*G1224,IF(AND(E1224=0),D1224*F1224*G1224,IF(AND(F1224=0),D1224*E1224*G1224,IF(AND(G1224=0),D1224*E1224*F1224,D1224*E1224*F1224*G1224))))))</f>
        <v>6.5</v>
      </c>
      <c r="I1224" s="40"/>
      <c r="J1224" s="41" t="str">
        <f t="shared" ref="J1224:J1229" si="56">IF(AND(E1224=0,F1224&lt;&gt;0,G1224&lt;&gt;0),"m2",IF(AND(F1224=0,E1224&lt;&gt;0,G1224&lt;&gt;0),"m2",IF(AND(G1224=0,E1224&lt;&gt;0,F1224&lt;&gt;0),"m2",IF(AND(F1224=0,G1224=0),"ml",IF(AND(E1224=0,G1224=0),"ml",IF(AND(E1224=0,F1224=0),"ml",IF(AND(E1224&lt;&gt;0,F1224&lt;&gt;0,G1224&lt;&gt;0),"m3",0)))))))</f>
        <v>ml</v>
      </c>
    </row>
    <row r="1225" spans="2:10" s="1" customFormat="1" ht="12.75" x14ac:dyDescent="0.2">
      <c r="B1225" s="43"/>
      <c r="C1225" s="39" t="s">
        <v>369</v>
      </c>
      <c r="D1225" s="40">
        <f>+D1224</f>
        <v>2</v>
      </c>
      <c r="E1225" s="40">
        <v>3</v>
      </c>
      <c r="F1225" s="40"/>
      <c r="G1225" s="40"/>
      <c r="H1225" s="40">
        <f t="shared" si="55"/>
        <v>6</v>
      </c>
      <c r="I1225" s="40"/>
      <c r="J1225" s="41" t="str">
        <f t="shared" si="56"/>
        <v>ml</v>
      </c>
    </row>
    <row r="1226" spans="2:10" s="1" customFormat="1" ht="12.75" x14ac:dyDescent="0.2">
      <c r="B1226" s="43"/>
      <c r="C1226" s="77" t="s">
        <v>72</v>
      </c>
      <c r="D1226" s="40"/>
      <c r="E1226" s="40"/>
      <c r="F1226" s="40"/>
      <c r="G1226" s="40"/>
      <c r="H1226" s="40">
        <f t="shared" si="55"/>
        <v>0</v>
      </c>
      <c r="I1226" s="40"/>
      <c r="J1226" s="41" t="str">
        <f t="shared" si="56"/>
        <v>ml</v>
      </c>
    </row>
    <row r="1227" spans="2:10" s="1" customFormat="1" ht="12.75" x14ac:dyDescent="0.2">
      <c r="B1227" s="43"/>
      <c r="C1227" s="39" t="s">
        <v>349</v>
      </c>
      <c r="D1227" s="40">
        <f>+D1224</f>
        <v>2</v>
      </c>
      <c r="E1227" s="40">
        <v>3.25</v>
      </c>
      <c r="F1227" s="40"/>
      <c r="G1227" s="40"/>
      <c r="H1227" s="40">
        <f t="shared" si="55"/>
        <v>6.5</v>
      </c>
      <c r="I1227" s="40"/>
      <c r="J1227" s="41" t="str">
        <f t="shared" si="56"/>
        <v>ml</v>
      </c>
    </row>
    <row r="1228" spans="2:10" s="1" customFormat="1" ht="12.75" x14ac:dyDescent="0.2">
      <c r="B1228" s="43"/>
      <c r="C1228" s="77" t="s">
        <v>73</v>
      </c>
      <c r="D1228" s="40"/>
      <c r="E1228" s="40"/>
      <c r="F1228" s="40"/>
      <c r="G1228" s="40"/>
      <c r="H1228" s="40">
        <f t="shared" si="55"/>
        <v>0</v>
      </c>
      <c r="I1228" s="40"/>
      <c r="J1228" s="41" t="str">
        <f t="shared" si="56"/>
        <v>ml</v>
      </c>
    </row>
    <row r="1229" spans="2:10" s="1" customFormat="1" ht="12.75" x14ac:dyDescent="0.2">
      <c r="B1229" s="43"/>
      <c r="C1229" s="39" t="s">
        <v>349</v>
      </c>
      <c r="D1229" s="40">
        <f>+D1224</f>
        <v>2</v>
      </c>
      <c r="E1229" s="40">
        <v>3.25</v>
      </c>
      <c r="F1229" s="40"/>
      <c r="G1229" s="40"/>
      <c r="H1229" s="40">
        <f t="shared" si="55"/>
        <v>6.5</v>
      </c>
      <c r="I1229" s="40"/>
      <c r="J1229" s="41" t="str">
        <f t="shared" si="56"/>
        <v>ml</v>
      </c>
    </row>
    <row r="1230" spans="2:10" s="1" customFormat="1" ht="12.75" x14ac:dyDescent="0.2">
      <c r="B1230" s="43" t="s">
        <v>268</v>
      </c>
      <c r="C1230" s="43" t="s">
        <v>347</v>
      </c>
      <c r="D1230" s="60"/>
      <c r="E1230" s="40"/>
      <c r="F1230" s="40"/>
      <c r="G1230" s="40"/>
      <c r="H1230" s="40"/>
      <c r="I1230" s="44">
        <f>SUM(H1231:H1237)</f>
        <v>0</v>
      </c>
      <c r="J1230" s="45" t="str">
        <f>+J1231</f>
        <v>ml</v>
      </c>
    </row>
    <row r="1231" spans="2:10" s="1" customFormat="1" ht="12.75" x14ac:dyDescent="0.2">
      <c r="B1231" s="57"/>
      <c r="C1231" s="77" t="s">
        <v>71</v>
      </c>
      <c r="D1231" s="40"/>
      <c r="E1231" s="40"/>
      <c r="F1231" s="40"/>
      <c r="G1231" s="40"/>
      <c r="H1231" s="40">
        <f t="shared" ref="H1231:H1237" si="57">IF(AND(F1231=0,G1231=0),D1231*E1231,IF(AND(E1231=0,G1231=0),D1231*F1231,IF(AND(E1231=0,F1231=0),D1231*G1231,IF(AND(E1231=0),D1231*F1231*G1231,IF(AND(F1231=0),D1231*E1231*G1231,IF(AND(G1231=0),D1231*E1231*F1231,D1231*E1231*F1231*G1231))))))</f>
        <v>0</v>
      </c>
      <c r="I1231" s="40"/>
      <c r="J1231" s="41" t="str">
        <f t="shared" ref="J1231:J1237" si="58">IF(AND(E1231=0,F1231&lt;&gt;0,G1231&lt;&gt;0),"m2",IF(AND(F1231=0,E1231&lt;&gt;0,G1231&lt;&gt;0),"m2",IF(AND(G1231=0,E1231&lt;&gt;0,F1231&lt;&gt;0),"m2",IF(AND(F1231=0,G1231=0),"ml",IF(AND(E1231=0,G1231=0),"ml",IF(AND(E1231=0,F1231=0),"ml",IF(AND(E1231&lt;&gt;0,F1231&lt;&gt;0,G1231&lt;&gt;0),"m3",0)))))))</f>
        <v>ml</v>
      </c>
    </row>
    <row r="1232" spans="2:10" s="1" customFormat="1" ht="12.75" x14ac:dyDescent="0.2">
      <c r="B1232" s="57"/>
      <c r="C1232" s="39" t="s">
        <v>349</v>
      </c>
      <c r="D1232" s="40"/>
      <c r="E1232" s="40"/>
      <c r="F1232" s="40"/>
      <c r="G1232" s="40"/>
      <c r="H1232" s="40">
        <f t="shared" si="57"/>
        <v>0</v>
      </c>
      <c r="I1232" s="40"/>
      <c r="J1232" s="41" t="str">
        <f t="shared" si="58"/>
        <v>ml</v>
      </c>
    </row>
    <row r="1233" spans="2:10" s="1" customFormat="1" ht="12.75" x14ac:dyDescent="0.2">
      <c r="B1233" s="57"/>
      <c r="C1233" s="39" t="s">
        <v>369</v>
      </c>
      <c r="D1233" s="40"/>
      <c r="E1233" s="40"/>
      <c r="F1233" s="40"/>
      <c r="G1233" s="40"/>
      <c r="H1233" s="40">
        <f t="shared" si="57"/>
        <v>0</v>
      </c>
      <c r="I1233" s="40"/>
      <c r="J1233" s="41" t="str">
        <f t="shared" si="58"/>
        <v>ml</v>
      </c>
    </row>
    <row r="1234" spans="2:10" s="1" customFormat="1" ht="12.75" x14ac:dyDescent="0.2">
      <c r="B1234" s="57"/>
      <c r="C1234" s="77" t="s">
        <v>72</v>
      </c>
      <c r="D1234" s="40"/>
      <c r="E1234" s="40"/>
      <c r="F1234" s="40"/>
      <c r="G1234" s="40"/>
      <c r="H1234" s="40">
        <f t="shared" si="57"/>
        <v>0</v>
      </c>
      <c r="I1234" s="40"/>
      <c r="J1234" s="41" t="str">
        <f t="shared" si="58"/>
        <v>ml</v>
      </c>
    </row>
    <row r="1235" spans="2:10" s="1" customFormat="1" ht="12.75" x14ac:dyDescent="0.2">
      <c r="B1235" s="57"/>
      <c r="C1235" s="39" t="s">
        <v>349</v>
      </c>
      <c r="D1235" s="40"/>
      <c r="E1235" s="40"/>
      <c r="F1235" s="40"/>
      <c r="G1235" s="40"/>
      <c r="H1235" s="40">
        <f t="shared" si="57"/>
        <v>0</v>
      </c>
      <c r="I1235" s="40"/>
      <c r="J1235" s="41" t="str">
        <f t="shared" si="58"/>
        <v>ml</v>
      </c>
    </row>
    <row r="1236" spans="2:10" s="1" customFormat="1" ht="12.75" x14ac:dyDescent="0.2">
      <c r="B1236" s="57"/>
      <c r="C1236" s="77" t="s">
        <v>73</v>
      </c>
      <c r="D1236" s="40"/>
      <c r="E1236" s="40"/>
      <c r="F1236" s="40"/>
      <c r="G1236" s="40"/>
      <c r="H1236" s="40">
        <f t="shared" si="57"/>
        <v>0</v>
      </c>
      <c r="I1236" s="40"/>
      <c r="J1236" s="41" t="str">
        <f t="shared" si="58"/>
        <v>ml</v>
      </c>
    </row>
    <row r="1237" spans="2:10" s="1" customFormat="1" ht="12.75" x14ac:dyDescent="0.2">
      <c r="B1237" s="57"/>
      <c r="C1237" s="39" t="s">
        <v>349</v>
      </c>
      <c r="D1237" s="40"/>
      <c r="E1237" s="40"/>
      <c r="F1237" s="40"/>
      <c r="G1237" s="40"/>
      <c r="H1237" s="40">
        <f t="shared" si="57"/>
        <v>0</v>
      </c>
      <c r="I1237" s="40"/>
      <c r="J1237" s="41" t="str">
        <f t="shared" si="58"/>
        <v>ml</v>
      </c>
    </row>
    <row r="1238" spans="2:10" s="1" customFormat="1" ht="12.75" x14ac:dyDescent="0.2">
      <c r="B1238" s="43" t="s">
        <v>270</v>
      </c>
      <c r="C1238" s="43" t="s">
        <v>269</v>
      </c>
      <c r="D1238" s="60"/>
      <c r="E1238" s="40"/>
      <c r="F1238" s="40"/>
      <c r="G1238" s="40"/>
      <c r="H1238" s="40"/>
      <c r="I1238" s="44">
        <f>SUM(H1239:H1241)</f>
        <v>0</v>
      </c>
      <c r="J1238" s="45" t="str">
        <f>+J1239</f>
        <v>ml</v>
      </c>
    </row>
    <row r="1239" spans="2:10" s="1" customFormat="1" ht="12.75" x14ac:dyDescent="0.2">
      <c r="B1239" s="57"/>
      <c r="C1239" s="39" t="s">
        <v>71</v>
      </c>
      <c r="D1239" s="40"/>
      <c r="E1239" s="40"/>
      <c r="F1239" s="40"/>
      <c r="G1239" s="40"/>
      <c r="H1239" s="40">
        <f>IF(AND(F1239=0,G1239=0),D1239*E1239,IF(AND(E1239=0,G1239=0),D1239*F1239,IF(AND(E1239=0,F1239=0),D1239*G1239,IF(AND(E1239=0),D1239*F1239*G1239,IF(AND(F1239=0),D1239*E1239*G1239,IF(AND(G1239=0),D1239*E1239*F1239,D1239*E1239*F1239*G1239))))))</f>
        <v>0</v>
      </c>
      <c r="I1239" s="40"/>
      <c r="J1239" s="41" t="str">
        <f>IF(AND(E1239=0,F1239&lt;&gt;0,G1239&lt;&gt;0),"m2",IF(AND(F1239=0,E1239&lt;&gt;0,G1239&lt;&gt;0),"m2",IF(AND(G1239=0,E1239&lt;&gt;0,F1239&lt;&gt;0),"m2",IF(AND(F1239=0,G1239=0),"ml",IF(AND(E1239=0,G1239=0),"ml",IF(AND(E1239=0,F1239=0),"ml",IF(AND(E1239&lt;&gt;0,F1239&lt;&gt;0,G1239&lt;&gt;0),"m3",0)))))))</f>
        <v>ml</v>
      </c>
    </row>
    <row r="1240" spans="2:10" s="1" customFormat="1" ht="12.75" x14ac:dyDescent="0.2">
      <c r="B1240" s="57"/>
      <c r="C1240" s="39" t="s">
        <v>72</v>
      </c>
      <c r="D1240" s="40"/>
      <c r="E1240" s="40"/>
      <c r="F1240" s="40"/>
      <c r="G1240" s="40"/>
      <c r="H1240" s="40">
        <f>IF(AND(F1240=0,G1240=0),D1240*E1240,IF(AND(E1240=0,G1240=0),D1240*F1240,IF(AND(E1240=0,F1240=0),D1240*G1240,IF(AND(E1240=0),D1240*F1240*G1240,IF(AND(F1240=0),D1240*E1240*G1240,IF(AND(G1240=0),D1240*E1240*F1240,D1240*E1240*F1240*G1240))))))</f>
        <v>0</v>
      </c>
      <c r="I1240" s="40"/>
      <c r="J1240" s="41" t="str">
        <f>IF(AND(E1240=0,F1240&lt;&gt;0,G1240&lt;&gt;0),"m2",IF(AND(F1240=0,E1240&lt;&gt;0,G1240&lt;&gt;0),"m2",IF(AND(G1240=0,E1240&lt;&gt;0,F1240&lt;&gt;0),"m2",IF(AND(F1240=0,G1240=0),"ml",IF(AND(E1240=0,G1240=0),"ml",IF(AND(E1240=0,F1240=0),"ml",IF(AND(E1240&lt;&gt;0,F1240&lt;&gt;0,G1240&lt;&gt;0),"m3",0)))))))</f>
        <v>ml</v>
      </c>
    </row>
    <row r="1241" spans="2:10" s="1" customFormat="1" ht="12.75" x14ac:dyDescent="0.2">
      <c r="B1241" s="57"/>
      <c r="C1241" s="39" t="s">
        <v>73</v>
      </c>
      <c r="D1241" s="40"/>
      <c r="E1241" s="40"/>
      <c r="F1241" s="40"/>
      <c r="G1241" s="40"/>
      <c r="H1241" s="40">
        <f>IF(AND(F1241=0,G1241=0),D1241*E1241,IF(AND(E1241=0,G1241=0),D1241*F1241,IF(AND(E1241=0,F1241=0),D1241*G1241,IF(AND(E1241=0),D1241*F1241*G1241,IF(AND(F1241=0),D1241*E1241*G1241,IF(AND(G1241=0),D1241*E1241*F1241,D1241*E1241*F1241*G1241))))))</f>
        <v>0</v>
      </c>
      <c r="I1241" s="40"/>
      <c r="J1241" s="41" t="str">
        <f>IF(AND(E1241=0,F1241&lt;&gt;0,G1241&lt;&gt;0),"m2",IF(AND(F1241=0,E1241&lt;&gt;0,G1241&lt;&gt;0),"m2",IF(AND(G1241=0,E1241&lt;&gt;0,F1241&lt;&gt;0),"m2",IF(AND(F1241=0,G1241=0),"ml",IF(AND(E1241=0,G1241=0),"ml",IF(AND(E1241=0,F1241=0),"ml",IF(AND(E1241&lt;&gt;0,F1241&lt;&gt;0,G1241&lt;&gt;0),"m3",0)))))))</f>
        <v>ml</v>
      </c>
    </row>
    <row r="1242" spans="2:10" s="1" customFormat="1" ht="12.75" x14ac:dyDescent="0.2">
      <c r="B1242" s="43" t="s">
        <v>342</v>
      </c>
      <c r="C1242" s="43" t="s">
        <v>271</v>
      </c>
      <c r="D1242" s="60"/>
      <c r="E1242" s="40"/>
      <c r="F1242" s="40"/>
      <c r="G1242" s="40"/>
      <c r="H1242" s="40"/>
      <c r="I1242" s="44">
        <f>SUM(H1243:H1243)</f>
        <v>0</v>
      </c>
      <c r="J1242" s="45" t="str">
        <f>+J1243</f>
        <v>und</v>
      </c>
    </row>
    <row r="1243" spans="2:10" s="1" customFormat="1" ht="12.75" x14ac:dyDescent="0.2">
      <c r="B1243" s="57"/>
      <c r="C1243" s="39" t="s">
        <v>370</v>
      </c>
      <c r="D1243" s="40"/>
      <c r="E1243" s="40"/>
      <c r="F1243" s="40"/>
      <c r="G1243" s="40"/>
      <c r="H1243" s="40">
        <f>+D1243</f>
        <v>0</v>
      </c>
      <c r="I1243" s="40"/>
      <c r="J1243" s="41" t="s">
        <v>13</v>
      </c>
    </row>
    <row r="1244" spans="2:10" s="1" customFormat="1" ht="12.75" x14ac:dyDescent="0.2">
      <c r="B1244" s="43" t="s">
        <v>346</v>
      </c>
      <c r="C1244" s="43" t="s">
        <v>348</v>
      </c>
      <c r="D1244" s="60"/>
      <c r="E1244" s="40"/>
      <c r="F1244" s="40"/>
      <c r="G1244" s="40"/>
      <c r="H1244" s="40"/>
      <c r="I1244" s="44">
        <f>SUM(H1245:H1245)</f>
        <v>2</v>
      </c>
      <c r="J1244" s="45" t="str">
        <f>+J1245</f>
        <v>und</v>
      </c>
    </row>
    <row r="1245" spans="2:10" s="1" customFormat="1" ht="12.75" x14ac:dyDescent="0.2">
      <c r="B1245" s="57"/>
      <c r="C1245" s="39" t="s">
        <v>349</v>
      </c>
      <c r="D1245" s="40">
        <f>+D1218</f>
        <v>2</v>
      </c>
      <c r="E1245" s="40"/>
      <c r="F1245" s="40"/>
      <c r="G1245" s="40"/>
      <c r="H1245" s="40">
        <f>+D1245</f>
        <v>2</v>
      </c>
      <c r="I1245" s="40"/>
      <c r="J1245" s="41" t="s">
        <v>13</v>
      </c>
    </row>
    <row r="1246" spans="2:10" s="1" customFormat="1" ht="12.75" x14ac:dyDescent="0.2">
      <c r="B1246" s="57" t="s">
        <v>16</v>
      </c>
      <c r="C1246" s="58" t="s">
        <v>224</v>
      </c>
      <c r="D1246" s="60"/>
      <c r="E1246" s="40"/>
      <c r="F1246" s="40"/>
      <c r="G1246" s="40"/>
      <c r="H1246" s="40"/>
      <c r="I1246" s="40"/>
      <c r="J1246" s="41"/>
    </row>
    <row r="1247" spans="2:10" s="1" customFormat="1" ht="12.75" x14ac:dyDescent="0.2">
      <c r="B1247" s="43" t="s">
        <v>17</v>
      </c>
      <c r="C1247" s="43" t="s">
        <v>343</v>
      </c>
      <c r="D1247" s="60"/>
      <c r="E1247" s="40"/>
      <c r="F1247" s="40"/>
      <c r="G1247" s="40"/>
      <c r="H1247" s="40"/>
      <c r="I1247" s="44">
        <f>SUM(H1248:H1248)</f>
        <v>0</v>
      </c>
      <c r="J1247" s="45" t="str">
        <f>+J1248</f>
        <v>ml</v>
      </c>
    </row>
    <row r="1248" spans="2:10" s="1" customFormat="1" ht="12.75" x14ac:dyDescent="0.2">
      <c r="B1248" s="57"/>
      <c r="C1248" s="39" t="s">
        <v>344</v>
      </c>
      <c r="D1248" s="40"/>
      <c r="E1248" s="40"/>
      <c r="F1248" s="40"/>
      <c r="G1248" s="40"/>
      <c r="H1248" s="40">
        <f>IF(AND(F1248=0,G1248=0),D1248*E1248,IF(AND(E1248=0,G1248=0),D1248*F1248,IF(AND(E1248=0,F1248=0),D1248*G1248,IF(AND(E1248=0),D1248*F1248*G1248,IF(AND(F1248=0),D1248*E1248*G1248,IF(AND(G1248=0),D1248*E1248*F1248,D1248*E1248*F1248*G1248))))))</f>
        <v>0</v>
      </c>
      <c r="I1248" s="40"/>
      <c r="J1248" s="41" t="str">
        <f>IF(AND(E1248=0,F1248&lt;&gt;0,G1248&lt;&gt;0),"m2",IF(AND(F1248=0,E1248&lt;&gt;0,G1248&lt;&gt;0),"m2",IF(AND(G1248=0,E1248&lt;&gt;0,F1248&lt;&gt;0),"m2",IF(AND(F1248=0,G1248=0),"ml",IF(AND(E1248=0,G1248=0),"ml",IF(AND(E1248=0,F1248=0),"ml",IF(AND(E1248&lt;&gt;0,F1248&lt;&gt;0,G1248&lt;&gt;0),"m3",0)))))))</f>
        <v>ml</v>
      </c>
    </row>
    <row r="1249" spans="2:10" s="1" customFormat="1" ht="12.75" x14ac:dyDescent="0.2">
      <c r="B1249" s="43" t="s">
        <v>240</v>
      </c>
      <c r="C1249" s="43" t="s">
        <v>237</v>
      </c>
      <c r="D1249" s="60"/>
      <c r="E1249" s="40"/>
      <c r="F1249" s="40"/>
      <c r="G1249" s="40"/>
      <c r="H1249" s="40"/>
      <c r="I1249" s="44">
        <f>SUM(H1250:H1251)</f>
        <v>0</v>
      </c>
      <c r="J1249" s="45" t="str">
        <f>+J1250</f>
        <v>ml</v>
      </c>
    </row>
    <row r="1250" spans="2:10" s="1" customFormat="1" ht="12.75" x14ac:dyDescent="0.2">
      <c r="B1250" s="57"/>
      <c r="C1250" s="39" t="s">
        <v>371</v>
      </c>
      <c r="D1250" s="40"/>
      <c r="E1250" s="40"/>
      <c r="F1250" s="40"/>
      <c r="G1250" s="40"/>
      <c r="H1250" s="40">
        <f>IF(AND(F1250=0,G1250=0),D1250*E1250,IF(AND(E1250=0,G1250=0),D1250*F1250,IF(AND(E1250=0,F1250=0),D1250*G1250,IF(AND(E1250=0),D1250*F1250*G1250,IF(AND(F1250=0),D1250*E1250*G1250,IF(AND(G1250=0),D1250*E1250*F1250,D1250*E1250*F1250*G1250))))))</f>
        <v>0</v>
      </c>
      <c r="I1250" s="40"/>
      <c r="J1250" s="41" t="str">
        <f>IF(AND(E1250=0,F1250&lt;&gt;0,G1250&lt;&gt;0),"m2",IF(AND(F1250=0,E1250&lt;&gt;0,G1250&lt;&gt;0),"m2",IF(AND(G1250=0,E1250&lt;&gt;0,F1250&lt;&gt;0),"m2",IF(AND(F1250=0,G1250=0),"ml",IF(AND(E1250=0,G1250=0),"ml",IF(AND(E1250=0,F1250=0),"ml",IF(AND(E1250&lt;&gt;0,F1250&lt;&gt;0,G1250&lt;&gt;0),"m3",0)))))))</f>
        <v>ml</v>
      </c>
    </row>
    <row r="1251" spans="2:10" s="1" customFormat="1" ht="12.75" x14ac:dyDescent="0.2">
      <c r="B1251" s="57"/>
      <c r="C1251" s="39" t="s">
        <v>371</v>
      </c>
      <c r="D1251" s="40"/>
      <c r="E1251" s="40"/>
      <c r="F1251" s="40"/>
      <c r="G1251" s="40"/>
      <c r="H1251" s="40">
        <f>IF(AND(F1251=0,G1251=0),D1251*E1251,IF(AND(E1251=0,G1251=0),D1251*F1251,IF(AND(E1251=0,F1251=0),D1251*G1251,IF(AND(E1251=0),D1251*F1251*G1251,IF(AND(F1251=0),D1251*E1251*G1251,IF(AND(G1251=0),D1251*E1251*F1251,D1251*E1251*F1251*G1251))))))</f>
        <v>0</v>
      </c>
      <c r="I1251" s="40"/>
      <c r="J1251" s="41" t="str">
        <f>IF(AND(E1251=0,F1251&lt;&gt;0,G1251&lt;&gt;0),"m2",IF(AND(F1251=0,E1251&lt;&gt;0,G1251&lt;&gt;0),"m2",IF(AND(G1251=0,E1251&lt;&gt;0,F1251&lt;&gt;0),"m2",IF(AND(F1251=0,G1251=0),"ml",IF(AND(E1251=0,G1251=0),"ml",IF(AND(E1251=0,F1251=0),"ml",IF(AND(E1251&lt;&gt;0,F1251&lt;&gt;0,G1251&lt;&gt;0),"m3",0)))))))</f>
        <v>ml</v>
      </c>
    </row>
    <row r="1252" spans="2:10" s="1" customFormat="1" ht="12.75" x14ac:dyDescent="0.2">
      <c r="B1252" s="43" t="s">
        <v>241</v>
      </c>
      <c r="C1252" s="43" t="s">
        <v>239</v>
      </c>
      <c r="D1252" s="60"/>
      <c r="E1252" s="40"/>
      <c r="F1252" s="40"/>
      <c r="G1252" s="40"/>
      <c r="H1252" s="40"/>
      <c r="I1252" s="44">
        <f>SUM(H1253:H1253)</f>
        <v>0</v>
      </c>
      <c r="J1252" s="45" t="str">
        <f>+J1253</f>
        <v>ml</v>
      </c>
    </row>
    <row r="1253" spans="2:10" s="1" customFormat="1" ht="12.75" x14ac:dyDescent="0.2">
      <c r="B1253" s="57"/>
      <c r="C1253" s="39" t="s">
        <v>238</v>
      </c>
      <c r="D1253" s="40"/>
      <c r="E1253" s="40"/>
      <c r="F1253" s="40"/>
      <c r="G1253" s="40"/>
      <c r="H1253" s="40">
        <f>IF(AND(F1253=0,G1253=0),D1253*E1253,IF(AND(E1253=0,G1253=0),D1253*F1253,IF(AND(E1253=0,F1253=0),D1253*G1253,IF(AND(E1253=0),D1253*F1253*G1253,IF(AND(F1253=0),D1253*E1253*G1253,IF(AND(G1253=0),D1253*E1253*F1253,D1253*E1253*F1253*G1253))))))</f>
        <v>0</v>
      </c>
      <c r="I1253" s="40"/>
      <c r="J1253" s="41" t="str">
        <f>IF(AND(E1253=0,F1253&lt;&gt;0,G1253&lt;&gt;0),"m2",IF(AND(F1253=0,E1253&lt;&gt;0,G1253&lt;&gt;0),"m2",IF(AND(G1253=0,E1253&lt;&gt;0,F1253&lt;&gt;0),"m2",IF(AND(F1253=0,G1253=0),"ml",IF(AND(E1253=0,G1253=0),"ml",IF(AND(E1253=0,F1253=0),"ml",IF(AND(E1253&lt;&gt;0,F1253&lt;&gt;0,G1253&lt;&gt;0),"m3",0)))))))</f>
        <v>ml</v>
      </c>
    </row>
    <row r="1254" spans="2:10" s="1" customFormat="1" ht="12.75" x14ac:dyDescent="0.2">
      <c r="B1254" s="43" t="s">
        <v>243</v>
      </c>
      <c r="C1254" s="43" t="s">
        <v>242</v>
      </c>
      <c r="D1254" s="60"/>
      <c r="E1254" s="40"/>
      <c r="F1254" s="40"/>
      <c r="G1254" s="40"/>
      <c r="H1254" s="40"/>
      <c r="I1254" s="44">
        <f>SUM(H1255:H1255)</f>
        <v>0</v>
      </c>
      <c r="J1254" s="45" t="str">
        <f>+J1255</f>
        <v>ml</v>
      </c>
    </row>
    <row r="1255" spans="2:10" s="1" customFormat="1" ht="12.75" x14ac:dyDescent="0.2">
      <c r="B1255" s="57"/>
      <c r="C1255" s="39" t="s">
        <v>238</v>
      </c>
      <c r="D1255" s="40"/>
      <c r="E1255" s="40"/>
      <c r="F1255" s="40"/>
      <c r="G1255" s="40"/>
      <c r="H1255" s="40">
        <f>IF(AND(F1255=0,G1255=0),D1255*E1255,IF(AND(E1255=0,G1255=0),D1255*F1255,IF(AND(E1255=0,F1255=0),D1255*G1255,IF(AND(E1255=0),D1255*F1255*G1255,IF(AND(F1255=0),D1255*E1255*G1255,IF(AND(G1255=0),D1255*E1255*F1255,D1255*E1255*F1255*G1255))))))</f>
        <v>0</v>
      </c>
      <c r="I1255" s="40"/>
      <c r="J1255" s="41" t="str">
        <f>IF(AND(E1255=0,F1255&lt;&gt;0,G1255&lt;&gt;0),"m2",IF(AND(F1255=0,E1255&lt;&gt;0,G1255&lt;&gt;0),"m2",IF(AND(G1255=0,E1255&lt;&gt;0,F1255&lt;&gt;0),"m2",IF(AND(F1255=0,G1255=0),"ml",IF(AND(E1255=0,G1255=0),"ml",IF(AND(E1255=0,F1255=0),"ml",IF(AND(E1255&lt;&gt;0,F1255&lt;&gt;0,G1255&lt;&gt;0),"m3",0)))))))</f>
        <v>ml</v>
      </c>
    </row>
    <row r="1256" spans="2:10" s="1" customFormat="1" ht="12.75" x14ac:dyDescent="0.2">
      <c r="B1256" s="43" t="s">
        <v>244</v>
      </c>
      <c r="C1256" s="43" t="s">
        <v>245</v>
      </c>
      <c r="D1256" s="60"/>
      <c r="E1256" s="40"/>
      <c r="F1256" s="40"/>
      <c r="G1256" s="40"/>
      <c r="H1256" s="40"/>
      <c r="I1256" s="44">
        <f>SUM(H1257:H1257)</f>
        <v>0</v>
      </c>
      <c r="J1256" s="45" t="str">
        <f>+J1257</f>
        <v>ml</v>
      </c>
    </row>
    <row r="1257" spans="2:10" s="1" customFormat="1" ht="12.75" x14ac:dyDescent="0.2">
      <c r="B1257" s="57"/>
      <c r="C1257" s="39" t="s">
        <v>238</v>
      </c>
      <c r="D1257" s="40"/>
      <c r="E1257" s="40"/>
      <c r="F1257" s="40"/>
      <c r="G1257" s="40"/>
      <c r="H1257" s="40">
        <f>IF(AND(F1257=0,G1257=0),D1257*E1257,IF(AND(E1257=0,G1257=0),D1257*F1257,IF(AND(E1257=0,F1257=0),D1257*G1257,IF(AND(E1257=0),D1257*F1257*G1257,IF(AND(F1257=0),D1257*E1257*G1257,IF(AND(G1257=0),D1257*E1257*F1257,D1257*E1257*F1257*G1257))))))</f>
        <v>0</v>
      </c>
      <c r="I1257" s="40"/>
      <c r="J1257" s="41" t="str">
        <f>IF(AND(E1257=0,F1257&lt;&gt;0,G1257&lt;&gt;0),"m2",IF(AND(F1257=0,E1257&lt;&gt;0,G1257&lt;&gt;0),"m2",IF(AND(G1257=0,E1257&lt;&gt;0,F1257&lt;&gt;0),"m2",IF(AND(F1257=0,G1257=0),"ml",IF(AND(E1257=0,G1257=0),"ml",IF(AND(E1257=0,F1257=0),"ml",IF(AND(E1257&lt;&gt;0,F1257&lt;&gt;0,G1257&lt;&gt;0),"m3",0)))))))</f>
        <v>ml</v>
      </c>
    </row>
    <row r="1258" spans="2:10" s="1" customFormat="1" ht="12.75" x14ac:dyDescent="0.2">
      <c r="B1258" s="43" t="s">
        <v>248</v>
      </c>
      <c r="C1258" s="43" t="s">
        <v>246</v>
      </c>
      <c r="D1258" s="60"/>
      <c r="E1258" s="40"/>
      <c r="F1258" s="40"/>
      <c r="G1258" s="40"/>
      <c r="H1258" s="40"/>
      <c r="I1258" s="44">
        <f>SUM(H1259:H1259)</f>
        <v>0</v>
      </c>
      <c r="J1258" s="45" t="str">
        <f>+J1259</f>
        <v>ml</v>
      </c>
    </row>
    <row r="1259" spans="2:10" s="1" customFormat="1" ht="12.75" x14ac:dyDescent="0.2">
      <c r="B1259" s="57"/>
      <c r="C1259" s="39" t="s">
        <v>238</v>
      </c>
      <c r="D1259" s="40"/>
      <c r="E1259" s="40"/>
      <c r="F1259" s="40"/>
      <c r="G1259" s="40"/>
      <c r="H1259" s="40">
        <f>IF(AND(F1259=0,G1259=0),D1259*E1259,IF(AND(E1259=0,G1259=0),D1259*F1259,IF(AND(E1259=0,F1259=0),D1259*G1259,IF(AND(E1259=0),D1259*F1259*G1259,IF(AND(F1259=0),D1259*E1259*G1259,IF(AND(G1259=0),D1259*E1259*F1259,D1259*E1259*F1259*G1259))))))</f>
        <v>0</v>
      </c>
      <c r="I1259" s="40"/>
      <c r="J1259" s="41" t="str">
        <f>IF(AND(E1259=0,F1259&lt;&gt;0,G1259&lt;&gt;0),"m2",IF(AND(F1259=0,E1259&lt;&gt;0,G1259&lt;&gt;0),"m2",IF(AND(G1259=0,E1259&lt;&gt;0,F1259&lt;&gt;0),"m2",IF(AND(F1259=0,G1259=0),"ml",IF(AND(E1259=0,G1259=0),"ml",IF(AND(E1259=0,F1259=0),"ml",IF(AND(E1259&lt;&gt;0,F1259&lt;&gt;0,G1259&lt;&gt;0),"m3",0)))))))</f>
        <v>ml</v>
      </c>
    </row>
    <row r="1260" spans="2:10" s="1" customFormat="1" ht="12.75" x14ac:dyDescent="0.2">
      <c r="B1260" s="43" t="s">
        <v>249</v>
      </c>
      <c r="C1260" s="43" t="s">
        <v>247</v>
      </c>
      <c r="D1260" s="60"/>
      <c r="E1260" s="40"/>
      <c r="F1260" s="40"/>
      <c r="G1260" s="40"/>
      <c r="H1260" s="40"/>
      <c r="I1260" s="44">
        <f>SUM(H1261:H1261)</f>
        <v>0</v>
      </c>
      <c r="J1260" s="45" t="str">
        <f>+J1261</f>
        <v>ml</v>
      </c>
    </row>
    <row r="1261" spans="2:10" s="1" customFormat="1" ht="12.75" x14ac:dyDescent="0.2">
      <c r="B1261" s="57"/>
      <c r="C1261" s="39" t="s">
        <v>238</v>
      </c>
      <c r="D1261" s="40"/>
      <c r="E1261" s="40"/>
      <c r="F1261" s="40"/>
      <c r="G1261" s="40"/>
      <c r="H1261" s="40">
        <f>IF(AND(F1261=0,G1261=0),D1261*E1261,IF(AND(E1261=0,G1261=0),D1261*F1261,IF(AND(E1261=0,F1261=0),D1261*G1261,IF(AND(E1261=0),D1261*F1261*G1261,IF(AND(F1261=0),D1261*E1261*G1261,IF(AND(G1261=0),D1261*E1261*F1261,D1261*E1261*F1261*G1261))))))</f>
        <v>0</v>
      </c>
      <c r="I1261" s="40"/>
      <c r="J1261" s="41" t="str">
        <f>IF(AND(E1261=0,F1261&lt;&gt;0,G1261&lt;&gt;0),"m2",IF(AND(F1261=0,E1261&lt;&gt;0,G1261&lt;&gt;0),"m2",IF(AND(G1261=0,E1261&lt;&gt;0,F1261&lt;&gt;0),"m2",IF(AND(F1261=0,G1261=0),"ml",IF(AND(E1261=0,G1261=0),"ml",IF(AND(E1261=0,F1261=0),"ml",IF(AND(E1261&lt;&gt;0,F1261&lt;&gt;0,G1261&lt;&gt;0),"m3",0)))))))</f>
        <v>ml</v>
      </c>
    </row>
    <row r="1262" spans="2:10" s="1" customFormat="1" ht="12.75" x14ac:dyDescent="0.2">
      <c r="B1262" s="43" t="s">
        <v>256</v>
      </c>
      <c r="C1262" s="43" t="s">
        <v>226</v>
      </c>
      <c r="D1262" s="60"/>
      <c r="E1262" s="40"/>
      <c r="F1262" s="40"/>
      <c r="G1262" s="40"/>
      <c r="H1262" s="40"/>
      <c r="I1262" s="44">
        <f>SUM(H1263:H1264)</f>
        <v>0</v>
      </c>
      <c r="J1262" s="45" t="str">
        <f>+J1264</f>
        <v>ml</v>
      </c>
    </row>
    <row r="1263" spans="2:10" s="1" customFormat="1" ht="12.75" x14ac:dyDescent="0.2">
      <c r="B1263" s="43"/>
      <c r="C1263" s="39" t="s">
        <v>371</v>
      </c>
      <c r="D1263" s="40"/>
      <c r="E1263" s="40"/>
      <c r="F1263" s="40"/>
      <c r="G1263" s="40"/>
      <c r="H1263" s="40">
        <f>IF(AND(F1263=0,G1263=0),D1263*E1263,IF(AND(E1263=0,G1263=0),D1263*F1263,IF(AND(E1263=0,F1263=0),D1263*G1263,IF(AND(E1263=0),D1263*F1263*G1263,IF(AND(F1263=0),D1263*E1263*G1263,IF(AND(G1263=0),D1263*E1263*F1263,D1263*E1263*F1263*G1263))))))</f>
        <v>0</v>
      </c>
      <c r="I1263" s="40"/>
      <c r="J1263" s="41" t="str">
        <f>IF(AND(E1263=0,F1263&lt;&gt;0,G1263&lt;&gt;0),"m2",IF(AND(F1263=0,E1263&lt;&gt;0,G1263&lt;&gt;0),"m2",IF(AND(G1263=0,E1263&lt;&gt;0,F1263&lt;&gt;0),"m2",IF(AND(F1263=0,G1263=0),"ml",IF(AND(E1263=0,G1263=0),"ml",IF(AND(E1263=0,F1263=0),"ml",IF(AND(E1263&lt;&gt;0,F1263&lt;&gt;0,G1263&lt;&gt;0),"m3",0)))))))</f>
        <v>ml</v>
      </c>
    </row>
    <row r="1264" spans="2:10" s="1" customFormat="1" ht="12.75" x14ac:dyDescent="0.2">
      <c r="B1264" s="57"/>
      <c r="C1264" s="39" t="s">
        <v>371</v>
      </c>
      <c r="D1264" s="40"/>
      <c r="E1264" s="40"/>
      <c r="F1264" s="40"/>
      <c r="G1264" s="40"/>
      <c r="H1264" s="40">
        <f>IF(AND(F1264=0,G1264=0),D1264*E1264,IF(AND(E1264=0,G1264=0),D1264*F1264,IF(AND(E1264=0,F1264=0),D1264*G1264,IF(AND(E1264=0),D1264*F1264*G1264,IF(AND(F1264=0),D1264*E1264*G1264,IF(AND(G1264=0),D1264*E1264*F1264,D1264*E1264*F1264*G1264))))))</f>
        <v>0</v>
      </c>
      <c r="I1264" s="40"/>
      <c r="J1264" s="41" t="str">
        <f>IF(AND(E1264=0,F1264&lt;&gt;0,G1264&lt;&gt;0),"m2",IF(AND(F1264=0,E1264&lt;&gt;0,G1264&lt;&gt;0),"m2",IF(AND(G1264=0,E1264&lt;&gt;0,F1264&lt;&gt;0),"m2",IF(AND(F1264=0,G1264=0),"ml",IF(AND(E1264=0,G1264=0),"ml",IF(AND(E1264=0,F1264=0),"ml",IF(AND(E1264&lt;&gt;0,F1264&lt;&gt;0,G1264&lt;&gt;0),"m3",0)))))))</f>
        <v>ml</v>
      </c>
    </row>
    <row r="1265" spans="2:10" s="1" customFormat="1" ht="12.75" x14ac:dyDescent="0.2">
      <c r="B1265" s="43" t="s">
        <v>257</v>
      </c>
      <c r="C1265" s="43" t="s">
        <v>228</v>
      </c>
      <c r="D1265" s="60"/>
      <c r="E1265" s="40"/>
      <c r="F1265" s="40"/>
      <c r="G1265" s="40"/>
      <c r="H1265" s="40"/>
      <c r="I1265" s="44">
        <f>SUM(H1266:H1266)</f>
        <v>0</v>
      </c>
      <c r="J1265" s="45" t="str">
        <f>+J1266</f>
        <v>ml</v>
      </c>
    </row>
    <row r="1266" spans="2:10" s="1" customFormat="1" ht="12.75" x14ac:dyDescent="0.2">
      <c r="B1266" s="57"/>
      <c r="C1266" s="39" t="s">
        <v>380</v>
      </c>
      <c r="D1266" s="40"/>
      <c r="E1266" s="40"/>
      <c r="F1266" s="40"/>
      <c r="G1266" s="40"/>
      <c r="H1266" s="40">
        <f>IF(AND(F1266=0,G1266=0),D1266*E1266,IF(AND(E1266=0,G1266=0),D1266*F1266,IF(AND(E1266=0,F1266=0),D1266*G1266,IF(AND(E1266=0),D1266*F1266*G1266,IF(AND(F1266=0),D1266*E1266*G1266,IF(AND(G1266=0),D1266*E1266*F1266,D1266*E1266*F1266*G1266))))))</f>
        <v>0</v>
      </c>
      <c r="I1266" s="40"/>
      <c r="J1266" s="41" t="str">
        <f>IF(AND(E1266=0,F1266&lt;&gt;0,G1266&lt;&gt;0),"m2",IF(AND(F1266=0,E1266&lt;&gt;0,G1266&lt;&gt;0),"m2",IF(AND(G1266=0,E1266&lt;&gt;0,F1266&lt;&gt;0),"m2",IF(AND(F1266=0,G1266=0),"ml",IF(AND(E1266=0,G1266=0),"ml",IF(AND(E1266=0,F1266=0),"ml",IF(AND(E1266&lt;&gt;0,F1266&lt;&gt;0,G1266&lt;&gt;0),"m3",0)))))))</f>
        <v>ml</v>
      </c>
    </row>
    <row r="1267" spans="2:10" s="1" customFormat="1" ht="12.75" x14ac:dyDescent="0.2">
      <c r="B1267" s="43" t="s">
        <v>258</v>
      </c>
      <c r="C1267" s="43" t="s">
        <v>250</v>
      </c>
      <c r="D1267" s="60"/>
      <c r="E1267" s="40"/>
      <c r="F1267" s="40"/>
      <c r="G1267" s="40"/>
      <c r="H1267" s="40"/>
      <c r="I1267" s="44">
        <f>SUM(H1268:H1268)</f>
        <v>0</v>
      </c>
      <c r="J1267" s="45" t="str">
        <f>+J1268</f>
        <v>ml</v>
      </c>
    </row>
    <row r="1268" spans="2:10" s="1" customFormat="1" ht="12.75" x14ac:dyDescent="0.2">
      <c r="B1268" s="57"/>
      <c r="C1268" s="39" t="s">
        <v>386</v>
      </c>
      <c r="D1268" s="40"/>
      <c r="E1268" s="40"/>
      <c r="F1268" s="40"/>
      <c r="G1268" s="40"/>
      <c r="H1268" s="40">
        <f>IF(AND(F1268=0,G1268=0),D1268*E1268,IF(AND(E1268=0,G1268=0),D1268*F1268,IF(AND(E1268=0,F1268=0),D1268*G1268,IF(AND(E1268=0),D1268*F1268*G1268,IF(AND(F1268=0),D1268*E1268*G1268,IF(AND(G1268=0),D1268*E1268*F1268,D1268*E1268*F1268*G1268))))))</f>
        <v>0</v>
      </c>
      <c r="I1268" s="40"/>
      <c r="J1268" s="41" t="str">
        <f>IF(AND(E1268=0,F1268&lt;&gt;0,G1268&lt;&gt;0),"m2",IF(AND(F1268=0,E1268&lt;&gt;0,G1268&lt;&gt;0),"m2",IF(AND(G1268=0,E1268&lt;&gt;0,F1268&lt;&gt;0),"m2",IF(AND(F1268=0,G1268=0),"ml",IF(AND(E1268=0,G1268=0),"ml",IF(AND(E1268=0,F1268=0),"ml",IF(AND(E1268&lt;&gt;0,F1268&lt;&gt;0,G1268&lt;&gt;0),"m3",0)))))))</f>
        <v>ml</v>
      </c>
    </row>
    <row r="1269" spans="2:10" s="1" customFormat="1" ht="12.75" x14ac:dyDescent="0.2">
      <c r="B1269" s="43" t="s">
        <v>259</v>
      </c>
      <c r="C1269" s="43" t="s">
        <v>251</v>
      </c>
      <c r="D1269" s="60"/>
      <c r="E1269" s="40"/>
      <c r="F1269" s="40"/>
      <c r="G1269" s="40"/>
      <c r="H1269" s="40"/>
      <c r="I1269" s="44">
        <f>SUM(H1270:H1270)</f>
        <v>0</v>
      </c>
      <c r="J1269" s="45" t="str">
        <f>+J1270</f>
        <v>ml</v>
      </c>
    </row>
    <row r="1270" spans="2:10" s="1" customFormat="1" ht="12.75" x14ac:dyDescent="0.2">
      <c r="B1270" s="57"/>
      <c r="C1270" s="39" t="s">
        <v>238</v>
      </c>
      <c r="D1270" s="40"/>
      <c r="E1270" s="40"/>
      <c r="F1270" s="40"/>
      <c r="G1270" s="40"/>
      <c r="H1270" s="40">
        <f>IF(AND(F1270=0,G1270=0),D1270*E1270,IF(AND(E1270=0,G1270=0),D1270*F1270,IF(AND(E1270=0,F1270=0),D1270*G1270,IF(AND(E1270=0),D1270*F1270*G1270,IF(AND(F1270=0),D1270*E1270*G1270,IF(AND(G1270=0),D1270*E1270*F1270,D1270*E1270*F1270*G1270))))))</f>
        <v>0</v>
      </c>
      <c r="I1270" s="40"/>
      <c r="J1270" s="41" t="str">
        <f>IF(AND(E1270=0,F1270&lt;&gt;0,G1270&lt;&gt;0),"m2",IF(AND(F1270=0,E1270&lt;&gt;0,G1270&lt;&gt;0),"m2",IF(AND(G1270=0,E1270&lt;&gt;0,F1270&lt;&gt;0),"m2",IF(AND(F1270=0,G1270=0),"ml",IF(AND(E1270=0,G1270=0),"ml",IF(AND(E1270=0,F1270=0),"ml",IF(AND(E1270&lt;&gt;0,F1270&lt;&gt;0,G1270&lt;&gt;0),"m3",0)))))))</f>
        <v>ml</v>
      </c>
    </row>
    <row r="1271" spans="2:10" s="1" customFormat="1" ht="12.75" x14ac:dyDescent="0.2">
      <c r="B1271" s="43" t="s">
        <v>260</v>
      </c>
      <c r="C1271" s="43" t="s">
        <v>252</v>
      </c>
      <c r="D1271" s="60"/>
      <c r="E1271" s="40"/>
      <c r="F1271" s="40"/>
      <c r="G1271" s="40"/>
      <c r="H1271" s="40"/>
      <c r="I1271" s="44">
        <f>SUM(H1272:H1272)</f>
        <v>0</v>
      </c>
      <c r="J1271" s="45" t="str">
        <f>+J1272</f>
        <v>ml</v>
      </c>
    </row>
    <row r="1272" spans="2:10" s="1" customFormat="1" ht="12.75" x14ac:dyDescent="0.2">
      <c r="B1272" s="57"/>
      <c r="C1272" s="39" t="s">
        <v>238</v>
      </c>
      <c r="D1272" s="40"/>
      <c r="E1272" s="40"/>
      <c r="F1272" s="40"/>
      <c r="G1272" s="40"/>
      <c r="H1272" s="40">
        <f>IF(AND(F1272=0,G1272=0),D1272*E1272,IF(AND(E1272=0,G1272=0),D1272*F1272,IF(AND(E1272=0,F1272=0),D1272*G1272,IF(AND(E1272=0),D1272*F1272*G1272,IF(AND(F1272=0),D1272*E1272*G1272,IF(AND(G1272=0),D1272*E1272*F1272,D1272*E1272*F1272*G1272))))))</f>
        <v>0</v>
      </c>
      <c r="I1272" s="40"/>
      <c r="J1272" s="41" t="str">
        <f>IF(AND(E1272=0,F1272&lt;&gt;0,G1272&lt;&gt;0),"m2",IF(AND(F1272=0,E1272&lt;&gt;0,G1272&lt;&gt;0),"m2",IF(AND(G1272=0,E1272&lt;&gt;0,F1272&lt;&gt;0),"m2",IF(AND(F1272=0,G1272=0),"ml",IF(AND(E1272=0,G1272=0),"ml",IF(AND(E1272=0,F1272=0),"ml",IF(AND(E1272&lt;&gt;0,F1272&lt;&gt;0,G1272&lt;&gt;0),"m3",0)))))))</f>
        <v>ml</v>
      </c>
    </row>
    <row r="1273" spans="2:10" s="1" customFormat="1" ht="12.75" x14ac:dyDescent="0.2">
      <c r="B1273" s="43" t="s">
        <v>261</v>
      </c>
      <c r="C1273" s="43" t="s">
        <v>253</v>
      </c>
      <c r="D1273" s="60"/>
      <c r="E1273" s="40"/>
      <c r="F1273" s="40"/>
      <c r="G1273" s="40"/>
      <c r="H1273" s="40"/>
      <c r="I1273" s="44">
        <f>SUM(H1274:H1276)</f>
        <v>0</v>
      </c>
      <c r="J1273" s="45" t="str">
        <f>+J1276</f>
        <v>und</v>
      </c>
    </row>
    <row r="1274" spans="2:10" s="1" customFormat="1" ht="12.75" x14ac:dyDescent="0.2">
      <c r="B1274" s="43"/>
      <c r="C1274" s="39" t="s">
        <v>383</v>
      </c>
      <c r="D1274" s="40"/>
      <c r="E1274" s="40"/>
      <c r="F1274" s="40"/>
      <c r="G1274" s="40"/>
      <c r="H1274" s="40">
        <f t="shared" ref="H1274:H1276" si="59">+D1274</f>
        <v>0</v>
      </c>
      <c r="I1274" s="40"/>
      <c r="J1274" s="41" t="s">
        <v>13</v>
      </c>
    </row>
    <row r="1275" spans="2:10" s="1" customFormat="1" ht="12.75" x14ac:dyDescent="0.2">
      <c r="B1275" s="43"/>
      <c r="C1275" s="39" t="s">
        <v>381</v>
      </c>
      <c r="D1275" s="40"/>
      <c r="E1275" s="40"/>
      <c r="F1275" s="40"/>
      <c r="G1275" s="40"/>
      <c r="H1275" s="40">
        <f t="shared" si="59"/>
        <v>0</v>
      </c>
      <c r="I1275" s="40"/>
      <c r="J1275" s="41" t="s">
        <v>13</v>
      </c>
    </row>
    <row r="1276" spans="2:10" s="1" customFormat="1" ht="12.75" x14ac:dyDescent="0.2">
      <c r="B1276" s="57"/>
      <c r="C1276" s="39" t="s">
        <v>382</v>
      </c>
      <c r="D1276" s="40"/>
      <c r="E1276" s="40"/>
      <c r="F1276" s="40"/>
      <c r="G1276" s="40"/>
      <c r="H1276" s="40">
        <f t="shared" si="59"/>
        <v>0</v>
      </c>
      <c r="I1276" s="40"/>
      <c r="J1276" s="41" t="s">
        <v>13</v>
      </c>
    </row>
    <row r="1277" spans="2:10" s="1" customFormat="1" ht="12.75" x14ac:dyDescent="0.2">
      <c r="B1277" s="43" t="s">
        <v>262</v>
      </c>
      <c r="C1277" s="43" t="s">
        <v>254</v>
      </c>
      <c r="D1277" s="60"/>
      <c r="E1277" s="40"/>
      <c r="F1277" s="40"/>
      <c r="G1277" s="40"/>
      <c r="H1277" s="40"/>
      <c r="I1277" s="44">
        <f>SUM(H1278:H1278)</f>
        <v>0</v>
      </c>
      <c r="J1277" s="45" t="str">
        <f>+J1278</f>
        <v>und</v>
      </c>
    </row>
    <row r="1278" spans="2:10" s="1" customFormat="1" ht="12.75" x14ac:dyDescent="0.2">
      <c r="B1278" s="57"/>
      <c r="C1278" s="39" t="s">
        <v>238</v>
      </c>
      <c r="D1278" s="40"/>
      <c r="E1278" s="40"/>
      <c r="F1278" s="40"/>
      <c r="G1278" s="40"/>
      <c r="H1278" s="40">
        <f>+D1278</f>
        <v>0</v>
      </c>
      <c r="I1278" s="40"/>
      <c r="J1278" s="41" t="s">
        <v>13</v>
      </c>
    </row>
    <row r="1279" spans="2:10" s="1" customFormat="1" ht="12.75" x14ac:dyDescent="0.2">
      <c r="B1279" s="43" t="s">
        <v>350</v>
      </c>
      <c r="C1279" s="43" t="s">
        <v>255</v>
      </c>
      <c r="D1279" s="60"/>
      <c r="E1279" s="40"/>
      <c r="F1279" s="40"/>
      <c r="G1279" s="40"/>
      <c r="H1279" s="40"/>
      <c r="I1279" s="44">
        <f>SUM(H1280:H1280)</f>
        <v>0</v>
      </c>
      <c r="J1279" s="45" t="str">
        <f>+J1280</f>
        <v>und</v>
      </c>
    </row>
    <row r="1280" spans="2:10" s="1" customFormat="1" ht="12.75" x14ac:dyDescent="0.2">
      <c r="B1280" s="57"/>
      <c r="C1280" s="39" t="s">
        <v>377</v>
      </c>
      <c r="D1280" s="40"/>
      <c r="E1280" s="40"/>
      <c r="F1280" s="40"/>
      <c r="G1280" s="40"/>
      <c r="H1280" s="40">
        <f>+D1280</f>
        <v>0</v>
      </c>
      <c r="I1280" s="40"/>
      <c r="J1280" s="41" t="s">
        <v>13</v>
      </c>
    </row>
    <row r="1281" spans="2:10" s="1" customFormat="1" ht="12.75" x14ac:dyDescent="0.2">
      <c r="B1281" s="57" t="s">
        <v>18</v>
      </c>
      <c r="C1281" s="58" t="s">
        <v>223</v>
      </c>
      <c r="D1281" s="60"/>
      <c r="E1281" s="40"/>
      <c r="F1281" s="40"/>
      <c r="G1281" s="40"/>
      <c r="H1281" s="40"/>
      <c r="I1281" s="40"/>
      <c r="J1281" s="41"/>
    </row>
    <row r="1282" spans="2:10" s="1" customFormat="1" ht="12.75" x14ac:dyDescent="0.2">
      <c r="B1282" s="43" t="s">
        <v>19</v>
      </c>
      <c r="C1282" s="43" t="s">
        <v>265</v>
      </c>
      <c r="D1282" s="60"/>
      <c r="E1282" s="40"/>
      <c r="F1282" s="40"/>
      <c r="G1282" s="40"/>
      <c r="H1282" s="40"/>
      <c r="I1282" s="44">
        <f>SUM(H1283:H1284)</f>
        <v>3</v>
      </c>
      <c r="J1282" s="45" t="str">
        <f>+J1283</f>
        <v>und</v>
      </c>
    </row>
    <row r="1283" spans="2:10" s="1" customFormat="1" ht="12.75" x14ac:dyDescent="0.2">
      <c r="B1283" s="46"/>
      <c r="C1283" s="39" t="s">
        <v>361</v>
      </c>
      <c r="D1283" s="40"/>
      <c r="E1283" s="40"/>
      <c r="F1283" s="40"/>
      <c r="G1283" s="40"/>
      <c r="H1283" s="40">
        <f>+D1283</f>
        <v>0</v>
      </c>
      <c r="I1283" s="40"/>
      <c r="J1283" s="41" t="s">
        <v>13</v>
      </c>
    </row>
    <row r="1284" spans="2:10" s="1" customFormat="1" ht="12.75" x14ac:dyDescent="0.2">
      <c r="B1284" s="46"/>
      <c r="C1284" s="39" t="s">
        <v>231</v>
      </c>
      <c r="D1284" s="40">
        <v>3</v>
      </c>
      <c r="E1284" s="40"/>
      <c r="F1284" s="40"/>
      <c r="G1284" s="40"/>
      <c r="H1284" s="40">
        <f>+D1284</f>
        <v>3</v>
      </c>
      <c r="I1284" s="40"/>
      <c r="J1284" s="41" t="s">
        <v>13</v>
      </c>
    </row>
    <row r="1285" spans="2:10" s="1" customFormat="1" ht="12.75" x14ac:dyDescent="0.2">
      <c r="B1285" s="43" t="s">
        <v>20</v>
      </c>
      <c r="C1285" s="43" t="s">
        <v>272</v>
      </c>
      <c r="D1285" s="60"/>
      <c r="E1285" s="40"/>
      <c r="F1285" s="40"/>
      <c r="G1285" s="40"/>
      <c r="H1285" s="40"/>
      <c r="I1285" s="44">
        <f>SUM(H1286:H1291)</f>
        <v>0</v>
      </c>
      <c r="J1285" s="45" t="str">
        <f>+J1286</f>
        <v>und</v>
      </c>
    </row>
    <row r="1286" spans="2:10" s="1" customFormat="1" ht="12.75" x14ac:dyDescent="0.2">
      <c r="B1286" s="46"/>
      <c r="C1286" s="77" t="s">
        <v>71</v>
      </c>
      <c r="D1286" s="40"/>
      <c r="E1286" s="40"/>
      <c r="F1286" s="40"/>
      <c r="G1286" s="40"/>
      <c r="H1286" s="40"/>
      <c r="I1286" s="40"/>
      <c r="J1286" s="41" t="s">
        <v>13</v>
      </c>
    </row>
    <row r="1287" spans="2:10" s="1" customFormat="1" ht="12.75" x14ac:dyDescent="0.2">
      <c r="B1287" s="46"/>
      <c r="C1287" s="39" t="s">
        <v>349</v>
      </c>
      <c r="D1287" s="40"/>
      <c r="E1287" s="40"/>
      <c r="F1287" s="40"/>
      <c r="G1287" s="40"/>
      <c r="H1287" s="40">
        <f>IF(AND(F1287=0,G1287=0),D1287*E1287,IF(AND(E1287=0,G1287=0),D1287*F1287,IF(AND(E1287=0,F1287=0),D1287*G1287,IF(AND(E1287=0),D1287*F1287*G1287,IF(AND(F1287=0),D1287*E1287*G1287,IF(AND(G1287=0),D1287*E1287*F1287,D1287*E1287*F1287*G1287))))))</f>
        <v>0</v>
      </c>
      <c r="I1287" s="40"/>
      <c r="J1287" s="41" t="s">
        <v>13</v>
      </c>
    </row>
    <row r="1288" spans="2:10" s="1" customFormat="1" ht="12.75" x14ac:dyDescent="0.2">
      <c r="B1288" s="46"/>
      <c r="C1288" s="77" t="s">
        <v>72</v>
      </c>
      <c r="D1288" s="40"/>
      <c r="E1288" s="40"/>
      <c r="F1288" s="40"/>
      <c r="G1288" s="40"/>
      <c r="H1288" s="40"/>
      <c r="I1288" s="40"/>
      <c r="J1288" s="41" t="s">
        <v>13</v>
      </c>
    </row>
    <row r="1289" spans="2:10" s="1" customFormat="1" ht="12.75" x14ac:dyDescent="0.2">
      <c r="B1289" s="46"/>
      <c r="C1289" s="39" t="s">
        <v>349</v>
      </c>
      <c r="D1289" s="40"/>
      <c r="E1289" s="40"/>
      <c r="F1289" s="40"/>
      <c r="G1289" s="40"/>
      <c r="H1289" s="40">
        <f>IF(AND(F1289=0,G1289=0),D1289*E1289,IF(AND(E1289=0,G1289=0),D1289*F1289,IF(AND(E1289=0,F1289=0),D1289*G1289,IF(AND(E1289=0),D1289*F1289*G1289,IF(AND(F1289=0),D1289*E1289*G1289,IF(AND(G1289=0),D1289*E1289*F1289,D1289*E1289*F1289*G1289))))))</f>
        <v>0</v>
      </c>
      <c r="I1289" s="40"/>
      <c r="J1289" s="41" t="s">
        <v>13</v>
      </c>
    </row>
    <row r="1290" spans="2:10" s="1" customFormat="1" ht="12.75" x14ac:dyDescent="0.2">
      <c r="B1290" s="46"/>
      <c r="C1290" s="77" t="s">
        <v>73</v>
      </c>
      <c r="D1290" s="40"/>
      <c r="E1290" s="40"/>
      <c r="F1290" s="40"/>
      <c r="G1290" s="40"/>
      <c r="H1290" s="40"/>
      <c r="I1290" s="40"/>
      <c r="J1290" s="41" t="s">
        <v>13</v>
      </c>
    </row>
    <row r="1291" spans="2:10" s="1" customFormat="1" ht="12.75" x14ac:dyDescent="0.2">
      <c r="B1291" s="46"/>
      <c r="C1291" s="39" t="s">
        <v>349</v>
      </c>
      <c r="D1291" s="40"/>
      <c r="E1291" s="40"/>
      <c r="F1291" s="40"/>
      <c r="G1291" s="40"/>
      <c r="H1291" s="40">
        <f>IF(AND(F1291=0,G1291=0),D1291*E1291,IF(AND(E1291=0,G1291=0),D1291*F1291,IF(AND(E1291=0,F1291=0),D1291*G1291,IF(AND(E1291=0),D1291*F1291*G1291,IF(AND(F1291=0),D1291*E1291*G1291,IF(AND(G1291=0),D1291*E1291*F1291,D1291*E1291*F1291*G1291))))))</f>
        <v>0</v>
      </c>
      <c r="I1291" s="40"/>
      <c r="J1291" s="41" t="s">
        <v>13</v>
      </c>
    </row>
    <row r="1292" spans="2:10" s="1" customFormat="1" ht="12.75" x14ac:dyDescent="0.2">
      <c r="B1292" s="43" t="s">
        <v>21</v>
      </c>
      <c r="C1292" s="43" t="s">
        <v>266</v>
      </c>
      <c r="D1292" s="60"/>
      <c r="E1292" s="40"/>
      <c r="F1292" s="40"/>
      <c r="G1292" s="40"/>
      <c r="H1292" s="40"/>
      <c r="I1292" s="44">
        <f>SUM(H1293:H1295)</f>
        <v>0</v>
      </c>
      <c r="J1292" s="45" t="str">
        <f>+J1293</f>
        <v>und</v>
      </c>
    </row>
    <row r="1293" spans="2:10" s="1" customFormat="1" ht="12.75" x14ac:dyDescent="0.2">
      <c r="B1293" s="43"/>
      <c r="C1293" s="39" t="s">
        <v>71</v>
      </c>
      <c r="D1293" s="40"/>
      <c r="E1293" s="40"/>
      <c r="F1293" s="40"/>
      <c r="G1293" s="40"/>
      <c r="H1293" s="40">
        <f t="shared" ref="H1293:H1295" si="60">+D1293</f>
        <v>0</v>
      </c>
      <c r="I1293" s="40"/>
      <c r="J1293" s="41" t="s">
        <v>13</v>
      </c>
    </row>
    <row r="1294" spans="2:10" s="1" customFormat="1" ht="12.75" x14ac:dyDescent="0.2">
      <c r="B1294" s="43"/>
      <c r="C1294" s="39" t="s">
        <v>72</v>
      </c>
      <c r="D1294" s="40"/>
      <c r="E1294" s="40"/>
      <c r="F1294" s="40"/>
      <c r="G1294" s="40"/>
      <c r="H1294" s="40">
        <f t="shared" si="60"/>
        <v>0</v>
      </c>
      <c r="I1294" s="40"/>
      <c r="J1294" s="41" t="s">
        <v>13</v>
      </c>
    </row>
    <row r="1295" spans="2:10" s="1" customFormat="1" ht="12.75" x14ac:dyDescent="0.2">
      <c r="B1295" s="43"/>
      <c r="C1295" s="39" t="s">
        <v>73</v>
      </c>
      <c r="D1295" s="40"/>
      <c r="E1295" s="40"/>
      <c r="F1295" s="40"/>
      <c r="G1295" s="40"/>
      <c r="H1295" s="40">
        <f t="shared" si="60"/>
        <v>0</v>
      </c>
      <c r="I1295" s="40"/>
      <c r="J1295" s="41" t="s">
        <v>13</v>
      </c>
    </row>
    <row r="1296" spans="2:10" s="1" customFormat="1" ht="12.75" x14ac:dyDescent="0.2">
      <c r="B1296" s="43" t="s">
        <v>273</v>
      </c>
      <c r="C1296" s="43" t="s">
        <v>354</v>
      </c>
      <c r="D1296" s="60"/>
      <c r="E1296" s="40"/>
      <c r="F1296" s="40"/>
      <c r="G1296" s="40"/>
      <c r="H1296" s="40"/>
      <c r="I1296" s="44">
        <f>SUM(H1297:H1297)</f>
        <v>0</v>
      </c>
      <c r="J1296" s="45" t="str">
        <f>+J1297</f>
        <v>und</v>
      </c>
    </row>
    <row r="1297" spans="2:10" s="1" customFormat="1" ht="12.75" x14ac:dyDescent="0.2">
      <c r="B1297" s="43"/>
      <c r="C1297" s="39" t="s">
        <v>375</v>
      </c>
      <c r="D1297" s="40"/>
      <c r="E1297" s="40"/>
      <c r="F1297" s="40"/>
      <c r="G1297" s="40"/>
      <c r="H1297" s="40">
        <f>IF(AND(F1297=0,G1297=0),D1297*E1297,IF(AND(E1297=0,G1297=0),D1297*F1297,IF(AND(E1297=0,F1297=0),D1297*G1297,IF(AND(E1297=0),D1297*F1297*G1297,IF(AND(F1297=0),D1297*E1297*G1297,IF(AND(G1297=0),D1297*E1297*F1297,D1297*E1297*F1297*G1297))))))</f>
        <v>0</v>
      </c>
      <c r="I1297" s="40"/>
      <c r="J1297" s="41" t="s">
        <v>13</v>
      </c>
    </row>
    <row r="1298" spans="2:10" s="1" customFormat="1" ht="12.75" x14ac:dyDescent="0.2">
      <c r="B1298" s="43" t="s">
        <v>274</v>
      </c>
      <c r="C1298" s="43" t="s">
        <v>357</v>
      </c>
      <c r="D1298" s="60"/>
      <c r="E1298" s="40"/>
      <c r="F1298" s="40"/>
      <c r="G1298" s="40"/>
      <c r="H1298" s="40"/>
      <c r="I1298" s="44">
        <f>SUM(H1299:H1299)</f>
        <v>0</v>
      </c>
      <c r="J1298" s="45" t="str">
        <f>+J1299</f>
        <v>und</v>
      </c>
    </row>
    <row r="1299" spans="2:10" s="1" customFormat="1" ht="12.75" x14ac:dyDescent="0.2">
      <c r="B1299" s="43"/>
      <c r="C1299" s="39" t="s">
        <v>375</v>
      </c>
      <c r="D1299" s="40"/>
      <c r="E1299" s="40"/>
      <c r="F1299" s="40"/>
      <c r="G1299" s="40"/>
      <c r="H1299" s="40">
        <f t="shared" ref="H1299" si="61">+D1299</f>
        <v>0</v>
      </c>
      <c r="I1299" s="40"/>
      <c r="J1299" s="41" t="s">
        <v>13</v>
      </c>
    </row>
    <row r="1300" spans="2:10" s="1" customFormat="1" ht="12.75" x14ac:dyDescent="0.2">
      <c r="B1300" s="43" t="s">
        <v>355</v>
      </c>
      <c r="C1300" s="43" t="s">
        <v>263</v>
      </c>
      <c r="D1300" s="60"/>
      <c r="E1300" s="40"/>
      <c r="F1300" s="40"/>
      <c r="G1300" s="40"/>
      <c r="H1300" s="40"/>
      <c r="I1300" s="44">
        <f>SUM(H1301:H1301)</f>
        <v>0</v>
      </c>
      <c r="J1300" s="45" t="str">
        <f>+J1301</f>
        <v>und</v>
      </c>
    </row>
    <row r="1301" spans="2:10" s="1" customFormat="1" ht="12.75" x14ac:dyDescent="0.2">
      <c r="B1301" s="46"/>
      <c r="C1301" s="39" t="s">
        <v>385</v>
      </c>
      <c r="D1301" s="40"/>
      <c r="E1301" s="40"/>
      <c r="F1301" s="40"/>
      <c r="G1301" s="40"/>
      <c r="H1301" s="40">
        <f>+D1301</f>
        <v>0</v>
      </c>
      <c r="I1301" s="40"/>
      <c r="J1301" s="41" t="s">
        <v>13</v>
      </c>
    </row>
    <row r="1302" spans="2:10" s="1" customFormat="1" ht="12.75" x14ac:dyDescent="0.2">
      <c r="B1302" s="43" t="s">
        <v>356</v>
      </c>
      <c r="C1302" s="43" t="s">
        <v>264</v>
      </c>
      <c r="D1302" s="60"/>
      <c r="E1302" s="40"/>
      <c r="F1302" s="40"/>
      <c r="G1302" s="40"/>
      <c r="H1302" s="40"/>
      <c r="I1302" s="44">
        <f>SUM(H1303:H1303)</f>
        <v>0</v>
      </c>
      <c r="J1302" s="45" t="str">
        <f>+J1303</f>
        <v>und</v>
      </c>
    </row>
    <row r="1303" spans="2:10" s="1" customFormat="1" ht="12.75" x14ac:dyDescent="0.2">
      <c r="B1303" s="46"/>
      <c r="C1303" s="39" t="s">
        <v>384</v>
      </c>
      <c r="D1303" s="40"/>
      <c r="E1303" s="40"/>
      <c r="F1303" s="40"/>
      <c r="G1303" s="40"/>
      <c r="H1303" s="40">
        <f>+D1303</f>
        <v>0</v>
      </c>
      <c r="I1303" s="40"/>
      <c r="J1303" s="41" t="s">
        <v>13</v>
      </c>
    </row>
    <row r="1304" spans="2:10" s="1" customFormat="1" ht="12.75" x14ac:dyDescent="0.2">
      <c r="B1304" s="46"/>
      <c r="C1304" s="59"/>
      <c r="D1304" s="60"/>
      <c r="E1304" s="40"/>
      <c r="F1304" s="40"/>
      <c r="G1304" s="40"/>
      <c r="H1304" s="40"/>
      <c r="I1304" s="40"/>
      <c r="J1304" s="41"/>
    </row>
    <row r="1305" spans="2:10" s="1" customFormat="1" ht="12.75" x14ac:dyDescent="0.2">
      <c r="B1305" s="46"/>
      <c r="C1305" s="59"/>
      <c r="D1305" s="60"/>
      <c r="E1305" s="40"/>
      <c r="F1305" s="40"/>
      <c r="G1305" s="40"/>
      <c r="H1305" s="40"/>
      <c r="I1305" s="40"/>
      <c r="J1305" s="41"/>
    </row>
    <row r="1306" spans="2:10" s="1" customFormat="1" ht="12.75" x14ac:dyDescent="0.2">
      <c r="B1306" s="46"/>
      <c r="C1306" s="59"/>
      <c r="D1306" s="60"/>
      <c r="E1306" s="40"/>
      <c r="F1306" s="40"/>
      <c r="G1306" s="40"/>
      <c r="H1306" s="40"/>
      <c r="I1306" s="40"/>
      <c r="J1306" s="41"/>
    </row>
    <row r="1307" spans="2:10" s="1" customFormat="1" ht="12.75" x14ac:dyDescent="0.2">
      <c r="B1307" s="46"/>
      <c r="C1307" s="59"/>
      <c r="D1307" s="60"/>
      <c r="E1307" s="40"/>
      <c r="F1307" s="40"/>
      <c r="G1307" s="40"/>
      <c r="H1307" s="40"/>
      <c r="I1307" s="40"/>
      <c r="J1307" s="41"/>
    </row>
    <row r="1308" spans="2:10" s="1" customFormat="1" ht="12.75" x14ac:dyDescent="0.2">
      <c r="B1308" s="46"/>
      <c r="C1308" s="59"/>
      <c r="D1308" s="60"/>
      <c r="E1308" s="40"/>
      <c r="F1308" s="40"/>
      <c r="G1308" s="40"/>
      <c r="H1308" s="40"/>
      <c r="I1308" s="40"/>
      <c r="J1308" s="41"/>
    </row>
    <row r="1309" spans="2:10" s="1" customFormat="1" ht="12.75" x14ac:dyDescent="0.2">
      <c r="B1309" s="46"/>
      <c r="C1309" s="59"/>
      <c r="D1309" s="60"/>
      <c r="E1309" s="40"/>
      <c r="F1309" s="40"/>
      <c r="G1309" s="40"/>
      <c r="H1309" s="40"/>
      <c r="I1309" s="40"/>
      <c r="J1309" s="41"/>
    </row>
    <row r="1310" spans="2:10" s="1" customFormat="1" ht="12.75" x14ac:dyDescent="0.2">
      <c r="B1310" s="46"/>
      <c r="C1310" s="59"/>
      <c r="D1310" s="60"/>
      <c r="E1310" s="40"/>
      <c r="F1310" s="40"/>
      <c r="G1310" s="40"/>
      <c r="H1310" s="40"/>
      <c r="I1310" s="40"/>
      <c r="J1310" s="41"/>
    </row>
    <row r="1311" spans="2:10" s="1" customFormat="1" ht="12.75" x14ac:dyDescent="0.2">
      <c r="B1311" s="46"/>
      <c r="C1311" s="59"/>
      <c r="D1311" s="60"/>
      <c r="E1311" s="40"/>
      <c r="F1311" s="40"/>
      <c r="G1311" s="40"/>
      <c r="H1311" s="40"/>
      <c r="I1311" s="40"/>
      <c r="J1311" s="41"/>
    </row>
    <row r="1312" spans="2:10" s="1" customFormat="1" ht="12.75" x14ac:dyDescent="0.2">
      <c r="B1312" s="46"/>
      <c r="C1312" s="59"/>
      <c r="D1312" s="60"/>
      <c r="E1312" s="40"/>
      <c r="F1312" s="40"/>
      <c r="G1312" s="40"/>
      <c r="H1312" s="40"/>
      <c r="I1312" s="40"/>
      <c r="J1312" s="41"/>
    </row>
    <row r="1313" spans="2:10" s="1" customFormat="1" ht="12.75" x14ac:dyDescent="0.2">
      <c r="B1313" s="46"/>
      <c r="C1313" s="59"/>
      <c r="D1313" s="60"/>
      <c r="E1313" s="40"/>
      <c r="F1313" s="40"/>
      <c r="G1313" s="40"/>
      <c r="H1313" s="40"/>
      <c r="I1313" s="40"/>
      <c r="J1313" s="41"/>
    </row>
    <row r="1314" spans="2:10" s="1" customFormat="1" ht="12.75" x14ac:dyDescent="0.2">
      <c r="B1314" s="46"/>
      <c r="C1314" s="59"/>
      <c r="D1314" s="60"/>
      <c r="E1314" s="40"/>
      <c r="F1314" s="40"/>
      <c r="G1314" s="40"/>
      <c r="H1314" s="40"/>
      <c r="I1314" s="40"/>
      <c r="J1314" s="41"/>
    </row>
    <row r="1315" spans="2:10" s="1" customFormat="1" ht="12.75" x14ac:dyDescent="0.2">
      <c r="B1315" s="46"/>
      <c r="C1315" s="59"/>
      <c r="D1315" s="60"/>
      <c r="E1315" s="40"/>
      <c r="F1315" s="40"/>
      <c r="G1315" s="40"/>
      <c r="H1315" s="40"/>
      <c r="I1315" s="40"/>
      <c r="J1315" s="41"/>
    </row>
    <row r="1316" spans="2:10" s="1" customFormat="1" ht="12.75" x14ac:dyDescent="0.2">
      <c r="B1316" s="46"/>
      <c r="C1316" s="59"/>
      <c r="D1316" s="60"/>
      <c r="E1316" s="40"/>
      <c r="F1316" s="40"/>
      <c r="G1316" s="40"/>
      <c r="H1316" s="40"/>
      <c r="I1316" s="40"/>
      <c r="J1316" s="41"/>
    </row>
    <row r="1317" spans="2:10" s="1" customFormat="1" ht="12.75" x14ac:dyDescent="0.2">
      <c r="B1317" s="46"/>
      <c r="C1317" s="59"/>
      <c r="D1317" s="60"/>
      <c r="E1317" s="40"/>
      <c r="F1317" s="40"/>
      <c r="G1317" s="40"/>
      <c r="H1317" s="40"/>
      <c r="I1317" s="40"/>
      <c r="J1317" s="41"/>
    </row>
    <row r="1318" spans="2:10" s="1" customFormat="1" ht="12.75" x14ac:dyDescent="0.2">
      <c r="B1318" s="46"/>
      <c r="C1318" s="59"/>
      <c r="D1318" s="60"/>
      <c r="E1318" s="40"/>
      <c r="F1318" s="40"/>
      <c r="G1318" s="40"/>
      <c r="H1318" s="40"/>
      <c r="I1318" s="40"/>
      <c r="J1318" s="41"/>
    </row>
    <row r="1319" spans="2:10" s="1" customFormat="1" ht="12.75" x14ac:dyDescent="0.2">
      <c r="B1319" s="46"/>
      <c r="C1319" s="59"/>
      <c r="D1319" s="60"/>
      <c r="E1319" s="40"/>
      <c r="F1319" s="40"/>
      <c r="G1319" s="40"/>
      <c r="H1319" s="40"/>
      <c r="I1319" s="40"/>
      <c r="J1319" s="41"/>
    </row>
    <row r="1320" spans="2:10" s="1" customFormat="1" ht="12.75" x14ac:dyDescent="0.2">
      <c r="B1320" s="46"/>
      <c r="C1320" s="59"/>
      <c r="D1320" s="60"/>
      <c r="E1320" s="40"/>
      <c r="F1320" s="40"/>
      <c r="G1320" s="40"/>
      <c r="H1320" s="40"/>
      <c r="I1320" s="40"/>
      <c r="J1320" s="41"/>
    </row>
    <row r="1321" spans="2:10" s="1" customFormat="1" ht="12.75" x14ac:dyDescent="0.2">
      <c r="B1321" s="46"/>
      <c r="C1321" s="59"/>
      <c r="D1321" s="60"/>
      <c r="E1321" s="40"/>
      <c r="F1321" s="40"/>
      <c r="G1321" s="40"/>
      <c r="H1321" s="40"/>
      <c r="I1321" s="40"/>
      <c r="J1321" s="41"/>
    </row>
    <row r="1322" spans="2:10" s="1" customFormat="1" ht="12.75" x14ac:dyDescent="0.2">
      <c r="B1322" s="46"/>
      <c r="C1322" s="59"/>
      <c r="D1322" s="60"/>
      <c r="E1322" s="40"/>
      <c r="F1322" s="40"/>
      <c r="G1322" s="40"/>
      <c r="H1322" s="40"/>
      <c r="I1322" s="40"/>
      <c r="J1322" s="41"/>
    </row>
    <row r="1323" spans="2:10" s="1" customFormat="1" ht="12.75" x14ac:dyDescent="0.2">
      <c r="B1323" s="46"/>
      <c r="C1323" s="59"/>
      <c r="D1323" s="60"/>
      <c r="E1323" s="40"/>
      <c r="F1323" s="40"/>
      <c r="G1323" s="40"/>
      <c r="H1323" s="40"/>
      <c r="I1323" s="40"/>
      <c r="J1323" s="41"/>
    </row>
    <row r="1324" spans="2:10" s="1" customFormat="1" ht="12.75" x14ac:dyDescent="0.2">
      <c r="B1324" s="46"/>
      <c r="C1324" s="59"/>
      <c r="D1324" s="60"/>
      <c r="E1324" s="40"/>
      <c r="F1324" s="40"/>
      <c r="G1324" s="40"/>
      <c r="H1324" s="40"/>
      <c r="I1324" s="40"/>
      <c r="J1324" s="41"/>
    </row>
    <row r="1325" spans="2:10" s="1" customFormat="1" ht="12.75" x14ac:dyDescent="0.2">
      <c r="B1325" s="46"/>
      <c r="C1325" s="59"/>
      <c r="D1325" s="60"/>
      <c r="E1325" s="40"/>
      <c r="F1325" s="40"/>
      <c r="G1325" s="40"/>
      <c r="H1325" s="40"/>
      <c r="I1325" s="40"/>
      <c r="J1325" s="41"/>
    </row>
    <row r="1326" spans="2:10" s="1" customFormat="1" ht="12.75" x14ac:dyDescent="0.2">
      <c r="B1326" s="46"/>
      <c r="C1326" s="59"/>
      <c r="D1326" s="60"/>
      <c r="E1326" s="40"/>
      <c r="F1326" s="40"/>
      <c r="G1326" s="40"/>
      <c r="H1326" s="40"/>
      <c r="I1326" s="40"/>
      <c r="J1326" s="41"/>
    </row>
    <row r="1327" spans="2:10" s="1" customFormat="1" ht="12.75" x14ac:dyDescent="0.2">
      <c r="B1327" s="46"/>
      <c r="C1327" s="59"/>
      <c r="D1327" s="60"/>
      <c r="E1327" s="40"/>
      <c r="F1327" s="40"/>
      <c r="G1327" s="40"/>
      <c r="H1327" s="40"/>
      <c r="I1327" s="40"/>
      <c r="J1327" s="41"/>
    </row>
    <row r="1328" spans="2:10" s="1" customFormat="1" ht="12.75" x14ac:dyDescent="0.2">
      <c r="B1328" s="46"/>
      <c r="C1328" s="59"/>
      <c r="D1328" s="60"/>
      <c r="E1328" s="40"/>
      <c r="F1328" s="40"/>
      <c r="G1328" s="40"/>
      <c r="H1328" s="40"/>
      <c r="I1328" s="40"/>
      <c r="J1328" s="41"/>
    </row>
    <row r="1329" spans="2:10" s="1" customFormat="1" ht="12.75" x14ac:dyDescent="0.2">
      <c r="B1329" s="46"/>
      <c r="C1329" s="59"/>
      <c r="D1329" s="60"/>
      <c r="E1329" s="40"/>
      <c r="F1329" s="40"/>
      <c r="G1329" s="40"/>
      <c r="H1329" s="40"/>
      <c r="I1329" s="40"/>
      <c r="J1329" s="41"/>
    </row>
    <row r="1330" spans="2:10" s="1" customFormat="1" ht="12.75" x14ac:dyDescent="0.2">
      <c r="B1330" s="46"/>
      <c r="C1330" s="59"/>
      <c r="D1330" s="60"/>
      <c r="E1330" s="40"/>
      <c r="F1330" s="40"/>
      <c r="G1330" s="40"/>
      <c r="H1330" s="40"/>
      <c r="I1330" s="40"/>
      <c r="J1330" s="41"/>
    </row>
    <row r="1331" spans="2:10" s="1" customFormat="1" ht="12.75" x14ac:dyDescent="0.2">
      <c r="B1331" s="46"/>
      <c r="C1331" s="59"/>
      <c r="D1331" s="60"/>
      <c r="E1331" s="40"/>
      <c r="F1331" s="40"/>
      <c r="G1331" s="40"/>
      <c r="H1331" s="40"/>
      <c r="I1331" s="40"/>
      <c r="J1331" s="41"/>
    </row>
    <row r="1332" spans="2:10" s="1" customFormat="1" ht="12.75" x14ac:dyDescent="0.2">
      <c r="B1332" s="46"/>
      <c r="C1332" s="59"/>
      <c r="D1332" s="60"/>
      <c r="E1332" s="40"/>
      <c r="F1332" s="40"/>
      <c r="G1332" s="40"/>
      <c r="H1332" s="40"/>
      <c r="I1332" s="40"/>
      <c r="J1332" s="41"/>
    </row>
    <row r="1333" spans="2:10" s="1" customFormat="1" ht="12.75" x14ac:dyDescent="0.2">
      <c r="B1333" s="46"/>
      <c r="C1333" s="59"/>
      <c r="D1333" s="60"/>
      <c r="E1333" s="40"/>
      <c r="F1333" s="40"/>
      <c r="G1333" s="40"/>
      <c r="H1333" s="40"/>
      <c r="I1333" s="40"/>
      <c r="J1333" s="41"/>
    </row>
    <row r="1334" spans="2:10" s="1" customFormat="1" ht="12.75" x14ac:dyDescent="0.2">
      <c r="B1334" s="46"/>
      <c r="C1334" s="59"/>
      <c r="D1334" s="60"/>
      <c r="E1334" s="40"/>
      <c r="F1334" s="40"/>
      <c r="G1334" s="40"/>
      <c r="H1334" s="40"/>
      <c r="I1334" s="40"/>
      <c r="J1334" s="41"/>
    </row>
    <row r="1335" spans="2:10" s="1" customFormat="1" ht="12.75" x14ac:dyDescent="0.2">
      <c r="B1335" s="46"/>
      <c r="C1335" s="59"/>
      <c r="D1335" s="60"/>
      <c r="E1335" s="40"/>
      <c r="F1335" s="40"/>
      <c r="G1335" s="40"/>
      <c r="H1335" s="40"/>
      <c r="I1335" s="40"/>
      <c r="J1335" s="41"/>
    </row>
    <row r="1336" spans="2:10" s="1" customFormat="1" ht="12.75" x14ac:dyDescent="0.2">
      <c r="B1336" s="46"/>
      <c r="C1336" s="59"/>
      <c r="D1336" s="60"/>
      <c r="E1336" s="40"/>
      <c r="F1336" s="40"/>
      <c r="G1336" s="40"/>
      <c r="H1336" s="40"/>
      <c r="I1336" s="40"/>
      <c r="J1336" s="41"/>
    </row>
    <row r="1337" spans="2:10" s="1" customFormat="1" ht="12.75" x14ac:dyDescent="0.2">
      <c r="B1337" s="46"/>
      <c r="C1337" s="59"/>
      <c r="D1337" s="60"/>
      <c r="E1337" s="40"/>
      <c r="F1337" s="40"/>
      <c r="G1337" s="40"/>
      <c r="H1337" s="40"/>
      <c r="I1337" s="40"/>
      <c r="J1337" s="41"/>
    </row>
    <row r="1338" spans="2:10" s="1" customFormat="1" ht="12.75" x14ac:dyDescent="0.2">
      <c r="B1338" s="46"/>
      <c r="C1338" s="59"/>
      <c r="D1338" s="60"/>
      <c r="E1338" s="40"/>
      <c r="F1338" s="40"/>
      <c r="G1338" s="40"/>
      <c r="H1338" s="40"/>
      <c r="I1338" s="40"/>
      <c r="J1338" s="41"/>
    </row>
    <row r="1339" spans="2:10" s="1" customFormat="1" ht="12.75" x14ac:dyDescent="0.2">
      <c r="B1339" s="46"/>
      <c r="C1339" s="59"/>
      <c r="D1339" s="60"/>
      <c r="E1339" s="40"/>
      <c r="F1339" s="40"/>
      <c r="G1339" s="40"/>
      <c r="H1339" s="40"/>
      <c r="I1339" s="40"/>
      <c r="J1339" s="41"/>
    </row>
    <row r="1340" spans="2:10" s="1" customFormat="1" ht="12.75" x14ac:dyDescent="0.2">
      <c r="B1340" s="46"/>
      <c r="C1340" s="59"/>
      <c r="D1340" s="60"/>
      <c r="E1340" s="40"/>
      <c r="F1340" s="40"/>
      <c r="G1340" s="40"/>
      <c r="H1340" s="40"/>
      <c r="I1340" s="40"/>
      <c r="J1340" s="41"/>
    </row>
    <row r="1341" spans="2:10" s="1" customFormat="1" ht="12.75" x14ac:dyDescent="0.2">
      <c r="B1341" s="46"/>
      <c r="C1341" s="59"/>
      <c r="D1341" s="60"/>
      <c r="E1341" s="40"/>
      <c r="F1341" s="40"/>
      <c r="G1341" s="40"/>
      <c r="H1341" s="40"/>
      <c r="I1341" s="40"/>
      <c r="J1341" s="41"/>
    </row>
    <row r="1342" spans="2:10" s="1" customFormat="1" ht="12.75" x14ac:dyDescent="0.2">
      <c r="B1342" s="46"/>
      <c r="C1342" s="59"/>
      <c r="D1342" s="60"/>
      <c r="E1342" s="40"/>
      <c r="F1342" s="40"/>
      <c r="G1342" s="40"/>
      <c r="H1342" s="40"/>
      <c r="I1342" s="40"/>
      <c r="J1342" s="41"/>
    </row>
    <row r="1343" spans="2:10" s="1" customFormat="1" ht="12.75" x14ac:dyDescent="0.2">
      <c r="B1343" s="46"/>
      <c r="C1343" s="59"/>
      <c r="D1343" s="60"/>
      <c r="E1343" s="40"/>
      <c r="F1343" s="40"/>
      <c r="G1343" s="40"/>
      <c r="H1343" s="40"/>
      <c r="I1343" s="40"/>
      <c r="J1343" s="41"/>
    </row>
    <row r="1344" spans="2:10" s="1" customFormat="1" ht="12.75" x14ac:dyDescent="0.2">
      <c r="B1344" s="46"/>
      <c r="C1344" s="59"/>
      <c r="D1344" s="60"/>
      <c r="E1344" s="40"/>
      <c r="F1344" s="40"/>
      <c r="G1344" s="40"/>
      <c r="H1344" s="40"/>
      <c r="I1344" s="40"/>
      <c r="J1344" s="41"/>
    </row>
    <row r="1345" spans="2:10" s="1" customFormat="1" ht="12.75" x14ac:dyDescent="0.2">
      <c r="B1345" s="46"/>
      <c r="C1345" s="59"/>
      <c r="D1345" s="60"/>
      <c r="E1345" s="40"/>
      <c r="F1345" s="40"/>
      <c r="G1345" s="40"/>
      <c r="H1345" s="40"/>
      <c r="I1345" s="40"/>
      <c r="J1345" s="41"/>
    </row>
    <row r="1346" spans="2:10" s="1" customFormat="1" ht="12.75" x14ac:dyDescent="0.2">
      <c r="B1346" s="46"/>
      <c r="C1346" s="59"/>
      <c r="D1346" s="60"/>
      <c r="E1346" s="40"/>
      <c r="F1346" s="40"/>
      <c r="G1346" s="40"/>
      <c r="H1346" s="40"/>
      <c r="I1346" s="40"/>
      <c r="J1346" s="41"/>
    </row>
    <row r="1347" spans="2:10" s="1" customFormat="1" ht="12.75" x14ac:dyDescent="0.2">
      <c r="B1347" s="46"/>
      <c r="C1347" s="59"/>
      <c r="D1347" s="60"/>
      <c r="E1347" s="40"/>
      <c r="F1347" s="40"/>
      <c r="G1347" s="40"/>
      <c r="H1347" s="40"/>
      <c r="I1347" s="40"/>
      <c r="J1347" s="41"/>
    </row>
    <row r="1348" spans="2:10" s="1" customFormat="1" ht="12.75" x14ac:dyDescent="0.2">
      <c r="B1348" s="46"/>
      <c r="C1348" s="59"/>
      <c r="D1348" s="60"/>
      <c r="E1348" s="40"/>
      <c r="F1348" s="40"/>
      <c r="G1348" s="40"/>
      <c r="H1348" s="40"/>
      <c r="I1348" s="40"/>
      <c r="J1348" s="41"/>
    </row>
    <row r="1349" spans="2:10" s="1" customFormat="1" ht="12.75" x14ac:dyDescent="0.2">
      <c r="B1349" s="46"/>
      <c r="C1349" s="59"/>
      <c r="D1349" s="60"/>
      <c r="E1349" s="40"/>
      <c r="F1349" s="40"/>
      <c r="G1349" s="40"/>
      <c r="H1349" s="40"/>
      <c r="I1349" s="40"/>
      <c r="J1349" s="41"/>
    </row>
    <row r="1350" spans="2:10" s="1" customFormat="1" ht="12.75" x14ac:dyDescent="0.2">
      <c r="B1350" s="46"/>
      <c r="C1350" s="59"/>
      <c r="D1350" s="60"/>
      <c r="E1350" s="40"/>
      <c r="F1350" s="40"/>
      <c r="G1350" s="40"/>
      <c r="H1350" s="40"/>
      <c r="I1350" s="40"/>
      <c r="J1350" s="41"/>
    </row>
    <row r="1351" spans="2:10" s="1" customFormat="1" ht="12.75" x14ac:dyDescent="0.2">
      <c r="B1351" s="46"/>
      <c r="C1351" s="59"/>
      <c r="D1351" s="60"/>
      <c r="E1351" s="40"/>
      <c r="F1351" s="40"/>
      <c r="G1351" s="40"/>
      <c r="H1351" s="40"/>
      <c r="I1351" s="40"/>
      <c r="J1351" s="41"/>
    </row>
    <row r="1352" spans="2:10" s="1" customFormat="1" ht="12.75" x14ac:dyDescent="0.2">
      <c r="B1352" s="46"/>
      <c r="C1352" s="59"/>
      <c r="D1352" s="60"/>
      <c r="E1352" s="40"/>
      <c r="F1352" s="40"/>
      <c r="G1352" s="40"/>
      <c r="H1352" s="40"/>
      <c r="I1352" s="40"/>
      <c r="J1352" s="41"/>
    </row>
    <row r="1353" spans="2:10" s="1" customFormat="1" ht="12.75" x14ac:dyDescent="0.2">
      <c r="B1353" s="46"/>
      <c r="C1353" s="59"/>
      <c r="D1353" s="60"/>
      <c r="E1353" s="40"/>
      <c r="F1353" s="40"/>
      <c r="G1353" s="40"/>
      <c r="H1353" s="40"/>
      <c r="I1353" s="40"/>
      <c r="J1353" s="41"/>
    </row>
    <row r="1354" spans="2:10" s="1" customFormat="1" ht="12.75" x14ac:dyDescent="0.2">
      <c r="B1354" s="46"/>
      <c r="C1354" s="59"/>
      <c r="D1354" s="60"/>
      <c r="E1354" s="40"/>
      <c r="F1354" s="40"/>
      <c r="G1354" s="40"/>
      <c r="H1354" s="40"/>
      <c r="I1354" s="40"/>
      <c r="J1354" s="41"/>
    </row>
    <row r="1355" spans="2:10" s="1" customFormat="1" ht="12.75" x14ac:dyDescent="0.2">
      <c r="B1355" s="46"/>
      <c r="C1355" s="59"/>
      <c r="D1355" s="60"/>
      <c r="E1355" s="40"/>
      <c r="F1355" s="40"/>
      <c r="G1355" s="40"/>
      <c r="H1355" s="40"/>
      <c r="I1355" s="40"/>
      <c r="J1355" s="41"/>
    </row>
    <row r="1356" spans="2:10" s="1" customFormat="1" ht="12.75" x14ac:dyDescent="0.2">
      <c r="B1356" s="46"/>
      <c r="C1356" s="59"/>
      <c r="D1356" s="60"/>
      <c r="E1356" s="40"/>
      <c r="F1356" s="40"/>
      <c r="G1356" s="40"/>
      <c r="H1356" s="40"/>
      <c r="I1356" s="40"/>
      <c r="J1356" s="41"/>
    </row>
    <row r="1357" spans="2:10" s="1" customFormat="1" ht="12.75" x14ac:dyDescent="0.2">
      <c r="B1357" s="46"/>
      <c r="C1357" s="59"/>
      <c r="D1357" s="60"/>
      <c r="E1357" s="40"/>
      <c r="F1357" s="40"/>
      <c r="G1357" s="40"/>
      <c r="H1357" s="40"/>
      <c r="I1357" s="40"/>
      <c r="J1357" s="41"/>
    </row>
    <row r="1358" spans="2:10" s="1" customFormat="1" ht="12.75" x14ac:dyDescent="0.2">
      <c r="B1358" s="46"/>
      <c r="C1358" s="59"/>
      <c r="D1358" s="60"/>
      <c r="E1358" s="40"/>
      <c r="F1358" s="40"/>
      <c r="G1358" s="40"/>
      <c r="H1358" s="40"/>
      <c r="I1358" s="40"/>
      <c r="J1358" s="41"/>
    </row>
    <row r="1359" spans="2:10" s="1" customFormat="1" ht="12.75" x14ac:dyDescent="0.2">
      <c r="B1359" s="46"/>
      <c r="C1359" s="59"/>
      <c r="D1359" s="60"/>
      <c r="E1359" s="40"/>
      <c r="F1359" s="40"/>
      <c r="G1359" s="40"/>
      <c r="H1359" s="40"/>
      <c r="I1359" s="40"/>
      <c r="J1359" s="41"/>
    </row>
    <row r="1360" spans="2:10" s="1" customFormat="1" ht="12.75" x14ac:dyDescent="0.2">
      <c r="B1360" s="46"/>
      <c r="C1360" s="59"/>
      <c r="D1360" s="60"/>
      <c r="E1360" s="40"/>
      <c r="F1360" s="40"/>
      <c r="G1360" s="40"/>
      <c r="H1360" s="40"/>
      <c r="I1360" s="40"/>
      <c r="J1360" s="41"/>
    </row>
    <row r="1361" spans="2:10" s="1" customFormat="1" ht="12.75" x14ac:dyDescent="0.2">
      <c r="B1361" s="46"/>
      <c r="C1361" s="59"/>
      <c r="D1361" s="60"/>
      <c r="E1361" s="40"/>
      <c r="F1361" s="40"/>
      <c r="G1361" s="40"/>
      <c r="H1361" s="40"/>
      <c r="I1361" s="40"/>
      <c r="J1361" s="41"/>
    </row>
    <row r="1362" spans="2:10" s="1" customFormat="1" ht="12.75" x14ac:dyDescent="0.2">
      <c r="B1362" s="46"/>
      <c r="C1362" s="59"/>
      <c r="D1362" s="60"/>
      <c r="E1362" s="40"/>
      <c r="F1362" s="40"/>
      <c r="G1362" s="40"/>
      <c r="H1362" s="40"/>
      <c r="I1362" s="40"/>
      <c r="J1362" s="41"/>
    </row>
    <row r="1363" spans="2:10" s="1" customFormat="1" ht="12.75" x14ac:dyDescent="0.2">
      <c r="B1363" s="46"/>
      <c r="C1363" s="59"/>
      <c r="D1363" s="60"/>
      <c r="E1363" s="40"/>
      <c r="F1363" s="40"/>
      <c r="G1363" s="40"/>
      <c r="H1363" s="40"/>
      <c r="I1363" s="40"/>
      <c r="J1363" s="41"/>
    </row>
    <row r="1364" spans="2:10" s="1" customFormat="1" ht="12.75" x14ac:dyDescent="0.2">
      <c r="B1364" s="46"/>
      <c r="C1364" s="59"/>
      <c r="D1364" s="60"/>
      <c r="E1364" s="40"/>
      <c r="F1364" s="40"/>
      <c r="G1364" s="40"/>
      <c r="H1364" s="40"/>
      <c r="I1364" s="40"/>
      <c r="J1364" s="41"/>
    </row>
    <row r="1365" spans="2:10" s="1" customFormat="1" ht="12.75" x14ac:dyDescent="0.2">
      <c r="B1365" s="46"/>
      <c r="C1365" s="59"/>
      <c r="D1365" s="60"/>
      <c r="E1365" s="40"/>
      <c r="F1365" s="40"/>
      <c r="G1365" s="40"/>
      <c r="H1365" s="40"/>
      <c r="I1365" s="40"/>
      <c r="J1365" s="41"/>
    </row>
    <row r="1366" spans="2:10" s="1" customFormat="1" ht="12.75" x14ac:dyDescent="0.2">
      <c r="B1366" s="46"/>
      <c r="C1366" s="59"/>
      <c r="D1366" s="60"/>
      <c r="E1366" s="40"/>
      <c r="F1366" s="40"/>
      <c r="G1366" s="40"/>
      <c r="H1366" s="40"/>
      <c r="I1366" s="40"/>
      <c r="J1366" s="41"/>
    </row>
    <row r="1367" spans="2:10" s="1" customFormat="1" ht="12.75" x14ac:dyDescent="0.2">
      <c r="B1367" s="46"/>
      <c r="C1367" s="59"/>
      <c r="D1367" s="60"/>
      <c r="E1367" s="40"/>
      <c r="F1367" s="40"/>
      <c r="G1367" s="40"/>
      <c r="H1367" s="40"/>
      <c r="I1367" s="40"/>
      <c r="J1367" s="41"/>
    </row>
    <row r="1368" spans="2:10" s="1" customFormat="1" ht="12.75" x14ac:dyDescent="0.2">
      <c r="B1368" s="46"/>
      <c r="C1368" s="59"/>
      <c r="D1368" s="60"/>
      <c r="E1368" s="40"/>
      <c r="F1368" s="40"/>
      <c r="G1368" s="40"/>
      <c r="H1368" s="40"/>
      <c r="I1368" s="40"/>
      <c r="J1368" s="41"/>
    </row>
    <row r="1369" spans="2:10" s="1" customFormat="1" ht="12.75" x14ac:dyDescent="0.2">
      <c r="B1369" s="46"/>
      <c r="C1369" s="59"/>
      <c r="D1369" s="60"/>
      <c r="E1369" s="40"/>
      <c r="F1369" s="40"/>
      <c r="G1369" s="40"/>
      <c r="H1369" s="40"/>
      <c r="I1369" s="40"/>
      <c r="J1369" s="41"/>
    </row>
    <row r="1370" spans="2:10" s="1" customFormat="1" ht="12.75" x14ac:dyDescent="0.2">
      <c r="B1370" s="46"/>
      <c r="C1370" s="59"/>
      <c r="D1370" s="60"/>
      <c r="E1370" s="40"/>
      <c r="F1370" s="40"/>
      <c r="G1370" s="40"/>
      <c r="H1370" s="40"/>
      <c r="I1370" s="40"/>
      <c r="J1370" s="41"/>
    </row>
    <row r="1371" spans="2:10" s="1" customFormat="1" ht="12.75" x14ac:dyDescent="0.2">
      <c r="B1371" s="46"/>
      <c r="C1371" s="59"/>
      <c r="D1371" s="60"/>
      <c r="E1371" s="40"/>
      <c r="F1371" s="40"/>
      <c r="G1371" s="40"/>
      <c r="H1371" s="40"/>
      <c r="I1371" s="40"/>
      <c r="J1371" s="41"/>
    </row>
    <row r="1372" spans="2:10" s="1" customFormat="1" ht="12.75" x14ac:dyDescent="0.2">
      <c r="B1372" s="46"/>
      <c r="C1372" s="59"/>
      <c r="D1372" s="60"/>
      <c r="E1372" s="40"/>
      <c r="F1372" s="40"/>
      <c r="G1372" s="40"/>
      <c r="H1372" s="40"/>
      <c r="I1372" s="40"/>
      <c r="J1372" s="41"/>
    </row>
    <row r="1373" spans="2:10" s="1" customFormat="1" ht="12.75" x14ac:dyDescent="0.2">
      <c r="B1373" s="46"/>
      <c r="C1373" s="59"/>
      <c r="D1373" s="60"/>
      <c r="E1373" s="40"/>
      <c r="F1373" s="40"/>
      <c r="G1373" s="40"/>
      <c r="H1373" s="40"/>
      <c r="I1373" s="40"/>
      <c r="J1373" s="41"/>
    </row>
    <row r="1374" spans="2:10" s="1" customFormat="1" ht="12.75" x14ac:dyDescent="0.2">
      <c r="B1374" s="46"/>
      <c r="C1374" s="59"/>
      <c r="D1374" s="60"/>
      <c r="E1374" s="40"/>
      <c r="F1374" s="40"/>
      <c r="G1374" s="40"/>
      <c r="H1374" s="40"/>
      <c r="I1374" s="40"/>
      <c r="J1374" s="41"/>
    </row>
    <row r="1375" spans="2:10" s="1" customFormat="1" ht="12.75" x14ac:dyDescent="0.2">
      <c r="B1375" s="46"/>
      <c r="C1375" s="59"/>
      <c r="D1375" s="60"/>
      <c r="E1375" s="40"/>
      <c r="F1375" s="40"/>
      <c r="G1375" s="40"/>
      <c r="H1375" s="40"/>
      <c r="I1375" s="40"/>
      <c r="J1375" s="41"/>
    </row>
    <row r="1376" spans="2:10" s="1" customFormat="1" ht="12.75" x14ac:dyDescent="0.2">
      <c r="B1376" s="46"/>
      <c r="C1376" s="59"/>
      <c r="D1376" s="60"/>
      <c r="E1376" s="40"/>
      <c r="F1376" s="40"/>
      <c r="G1376" s="40"/>
      <c r="H1376" s="40"/>
      <c r="I1376" s="40"/>
      <c r="J1376" s="41"/>
    </row>
    <row r="1377" spans="2:10" s="1" customFormat="1" ht="12.75" x14ac:dyDescent="0.2">
      <c r="B1377" s="46"/>
      <c r="C1377" s="59"/>
      <c r="D1377" s="60"/>
      <c r="E1377" s="40"/>
      <c r="F1377" s="40"/>
      <c r="G1377" s="40"/>
      <c r="H1377" s="40"/>
      <c r="I1377" s="40"/>
      <c r="J1377" s="41"/>
    </row>
    <row r="1378" spans="2:10" s="1" customFormat="1" ht="12.75" x14ac:dyDescent="0.2">
      <c r="B1378" s="46"/>
      <c r="C1378" s="59"/>
      <c r="D1378" s="60"/>
      <c r="E1378" s="40"/>
      <c r="F1378" s="40"/>
      <c r="G1378" s="40"/>
      <c r="H1378" s="40"/>
      <c r="I1378" s="40"/>
      <c r="J1378" s="41"/>
    </row>
    <row r="1379" spans="2:10" s="1" customFormat="1" ht="12.75" x14ac:dyDescent="0.2">
      <c r="B1379" s="46"/>
      <c r="C1379" s="59"/>
      <c r="D1379" s="60"/>
      <c r="E1379" s="40"/>
      <c r="F1379" s="40"/>
      <c r="G1379" s="40"/>
      <c r="H1379" s="40"/>
      <c r="I1379" s="40"/>
      <c r="J1379" s="41"/>
    </row>
    <row r="1380" spans="2:10" s="1" customFormat="1" ht="12.75" x14ac:dyDescent="0.2">
      <c r="B1380" s="46"/>
      <c r="C1380" s="59"/>
      <c r="D1380" s="60"/>
      <c r="E1380" s="40"/>
      <c r="F1380" s="40"/>
      <c r="G1380" s="40"/>
      <c r="H1380" s="40"/>
      <c r="I1380" s="40"/>
      <c r="J1380" s="41"/>
    </row>
    <row r="1381" spans="2:10" s="1" customFormat="1" ht="12.75" x14ac:dyDescent="0.2">
      <c r="B1381" s="46"/>
      <c r="C1381" s="59"/>
      <c r="D1381" s="60"/>
      <c r="E1381" s="40"/>
      <c r="F1381" s="40"/>
      <c r="G1381" s="40"/>
      <c r="H1381" s="40"/>
      <c r="I1381" s="40"/>
      <c r="J1381" s="41"/>
    </row>
    <row r="1382" spans="2:10" s="1" customFormat="1" ht="12.75" x14ac:dyDescent="0.2">
      <c r="B1382" s="46"/>
      <c r="C1382" s="59"/>
      <c r="D1382" s="60"/>
      <c r="E1382" s="40"/>
      <c r="F1382" s="40"/>
      <c r="G1382" s="40"/>
      <c r="H1382" s="40"/>
      <c r="I1382" s="40"/>
      <c r="J1382" s="41"/>
    </row>
    <row r="1383" spans="2:10" s="1" customFormat="1" ht="12.75" x14ac:dyDescent="0.2">
      <c r="B1383" s="46"/>
      <c r="C1383" s="59"/>
      <c r="D1383" s="60"/>
      <c r="E1383" s="40"/>
      <c r="F1383" s="40"/>
      <c r="G1383" s="40"/>
      <c r="H1383" s="40"/>
      <c r="I1383" s="40"/>
      <c r="J1383" s="41"/>
    </row>
    <row r="1384" spans="2:10" s="1" customFormat="1" ht="12.75" x14ac:dyDescent="0.2">
      <c r="B1384" s="46"/>
      <c r="C1384" s="59"/>
      <c r="D1384" s="60"/>
      <c r="E1384" s="40"/>
      <c r="F1384" s="40"/>
      <c r="G1384" s="40"/>
      <c r="H1384" s="40"/>
      <c r="I1384" s="40"/>
      <c r="J1384" s="41"/>
    </row>
    <row r="1385" spans="2:10" s="1" customFormat="1" ht="12.75" x14ac:dyDescent="0.2">
      <c r="B1385" s="46"/>
      <c r="C1385" s="59"/>
      <c r="D1385" s="60"/>
      <c r="E1385" s="40"/>
      <c r="F1385" s="40"/>
      <c r="G1385" s="40"/>
      <c r="H1385" s="40"/>
      <c r="I1385" s="40"/>
      <c r="J1385" s="41"/>
    </row>
    <row r="1386" spans="2:10" s="1" customFormat="1" ht="12.75" x14ac:dyDescent="0.2">
      <c r="B1386" s="46"/>
      <c r="C1386" s="59"/>
      <c r="D1386" s="60"/>
      <c r="E1386" s="40"/>
      <c r="F1386" s="40"/>
      <c r="G1386" s="40"/>
      <c r="H1386" s="40"/>
      <c r="I1386" s="40"/>
      <c r="J1386" s="41"/>
    </row>
    <row r="1387" spans="2:10" s="1" customFormat="1" ht="12.75" x14ac:dyDescent="0.2">
      <c r="B1387" s="46"/>
      <c r="C1387" s="59"/>
      <c r="D1387" s="60"/>
      <c r="E1387" s="40"/>
      <c r="F1387" s="40"/>
      <c r="G1387" s="40"/>
      <c r="H1387" s="40"/>
      <c r="I1387" s="40"/>
      <c r="J1387" s="41"/>
    </row>
    <row r="1388" spans="2:10" s="1" customFormat="1" ht="12.75" x14ac:dyDescent="0.2">
      <c r="C1388" s="499" t="s">
        <v>37</v>
      </c>
      <c r="D1388" s="499"/>
      <c r="E1388" s="499"/>
      <c r="F1388" s="499"/>
      <c r="G1388" s="499"/>
      <c r="H1388" s="499"/>
    </row>
    <row r="1389" spans="2:10" s="1" customFormat="1" ht="12.75" x14ac:dyDescent="0.2">
      <c r="C1389" s="499" t="s">
        <v>38</v>
      </c>
      <c r="D1389" s="499"/>
      <c r="E1389" s="499"/>
      <c r="F1389" s="499"/>
      <c r="G1389" s="499"/>
      <c r="H1389" s="499"/>
    </row>
    <row r="1390" spans="2:10" s="1" customFormat="1" ht="12.75" x14ac:dyDescent="0.2">
      <c r="C1390" s="499" t="s">
        <v>39</v>
      </c>
      <c r="D1390" s="499"/>
      <c r="E1390" s="499"/>
      <c r="F1390" s="499"/>
      <c r="G1390" s="499"/>
      <c r="H1390" s="499"/>
    </row>
    <row r="1391" spans="2:10" s="1" customFormat="1" ht="12.75" x14ac:dyDescent="0.2">
      <c r="C1391" s="500" t="s">
        <v>40</v>
      </c>
      <c r="D1391" s="500"/>
      <c r="E1391" s="500"/>
      <c r="F1391" s="500"/>
      <c r="G1391" s="500"/>
      <c r="H1391" s="500"/>
    </row>
    <row r="1392" spans="2:10" s="1" customFormat="1" ht="12.75" x14ac:dyDescent="0.2">
      <c r="C1392" s="78"/>
      <c r="D1392" s="78"/>
      <c r="E1392" s="78"/>
      <c r="F1392" s="78"/>
      <c r="G1392" s="78"/>
      <c r="H1392" s="78"/>
    </row>
    <row r="1393" spans="2:10" s="1" customFormat="1" ht="15.75" x14ac:dyDescent="0.2">
      <c r="B1393" s="501" t="s">
        <v>65</v>
      </c>
      <c r="C1393" s="502"/>
      <c r="D1393" s="502"/>
      <c r="E1393" s="502"/>
      <c r="F1393" s="502"/>
      <c r="G1393" s="502"/>
      <c r="H1393" s="502"/>
      <c r="I1393" s="502"/>
      <c r="J1393" s="503"/>
    </row>
    <row r="1394" spans="2:10" s="1" customFormat="1" ht="20.25" x14ac:dyDescent="0.2">
      <c r="B1394" s="543" t="s">
        <v>424</v>
      </c>
      <c r="C1394" s="544"/>
      <c r="D1394" s="544"/>
      <c r="E1394" s="544"/>
      <c r="F1394" s="544"/>
      <c r="G1394" s="544"/>
      <c r="H1394" s="544"/>
      <c r="I1394" s="544"/>
      <c r="J1394" s="545"/>
    </row>
    <row r="1395" spans="2:10" s="1" customFormat="1" ht="13.5" thickBot="1" x14ac:dyDescent="0.25">
      <c r="B1395" s="79"/>
      <c r="C1395" s="79"/>
      <c r="D1395" s="79"/>
      <c r="E1395" s="79"/>
      <c r="F1395" s="79"/>
      <c r="G1395" s="79"/>
      <c r="H1395" s="79"/>
      <c r="I1395" s="79"/>
      <c r="J1395" s="79"/>
    </row>
    <row r="1396" spans="2:10" s="1" customFormat="1" ht="33" customHeight="1" x14ac:dyDescent="0.2">
      <c r="B1396" s="494" t="s">
        <v>27</v>
      </c>
      <c r="C1396" s="495"/>
      <c r="D1396" s="495"/>
      <c r="E1396" s="495"/>
      <c r="F1396" s="495"/>
      <c r="G1396" s="495"/>
      <c r="H1396" s="495"/>
      <c r="I1396" s="495"/>
      <c r="J1396" s="496"/>
    </row>
    <row r="1397" spans="2:10" s="1" customFormat="1" ht="12.75" x14ac:dyDescent="0.2">
      <c r="B1397" s="2" t="s">
        <v>35</v>
      </c>
      <c r="C1397" s="3" t="s">
        <v>36</v>
      </c>
      <c r="D1397" s="3"/>
      <c r="E1397" s="4"/>
      <c r="F1397" s="5"/>
      <c r="G1397" s="6" t="s">
        <v>8</v>
      </c>
      <c r="H1397" s="497">
        <v>42879</v>
      </c>
      <c r="I1397" s="497"/>
      <c r="J1397" s="7"/>
    </row>
    <row r="1398" spans="2:10" s="1" customFormat="1" ht="12.75" x14ac:dyDescent="0.2">
      <c r="B1398" s="2" t="s">
        <v>33</v>
      </c>
      <c r="C1398" s="3" t="s">
        <v>29</v>
      </c>
      <c r="D1398" s="8"/>
      <c r="E1398" s="8"/>
      <c r="F1398" s="3"/>
      <c r="G1398" s="9" t="s">
        <v>32</v>
      </c>
      <c r="H1398" s="4" t="s">
        <v>29</v>
      </c>
      <c r="I1398" s="10"/>
      <c r="J1398" s="11"/>
    </row>
    <row r="1399" spans="2:10" s="1" customFormat="1" ht="12.75" x14ac:dyDescent="0.2">
      <c r="B1399" s="2" t="s">
        <v>34</v>
      </c>
      <c r="C1399" s="3" t="s">
        <v>29</v>
      </c>
      <c r="D1399" s="8"/>
      <c r="E1399" s="8"/>
      <c r="F1399" s="3"/>
      <c r="G1399" s="9" t="s">
        <v>30</v>
      </c>
      <c r="H1399" s="4" t="s">
        <v>31</v>
      </c>
      <c r="I1399" s="10"/>
      <c r="J1399" s="11"/>
    </row>
    <row r="1400" spans="2:10" s="1" customFormat="1" ht="13.5" thickBot="1" x14ac:dyDescent="0.25">
      <c r="B1400" s="12" t="s">
        <v>43</v>
      </c>
      <c r="C1400" s="13" t="s">
        <v>44</v>
      </c>
      <c r="D1400" s="14"/>
      <c r="E1400" s="14"/>
      <c r="F1400" s="13"/>
      <c r="G1400" s="15" t="s">
        <v>41</v>
      </c>
      <c r="H1400" s="16" t="s">
        <v>42</v>
      </c>
      <c r="I1400" s="17"/>
      <c r="J1400" s="18"/>
    </row>
    <row r="1401" spans="2:10" s="1" customFormat="1" ht="12.75" x14ac:dyDescent="0.2">
      <c r="B1401" s="79"/>
      <c r="C1401" s="79"/>
      <c r="D1401" s="79"/>
      <c r="E1401" s="79"/>
      <c r="F1401" s="79"/>
      <c r="G1401" s="79"/>
      <c r="H1401" s="79"/>
      <c r="I1401" s="79"/>
      <c r="J1401" s="79"/>
    </row>
    <row r="1402" spans="2:10" s="1" customFormat="1" ht="12.75" x14ac:dyDescent="0.2">
      <c r="B1402" s="21" t="s">
        <v>5</v>
      </c>
      <c r="C1402" s="22" t="s">
        <v>0</v>
      </c>
      <c r="D1402" s="22" t="s">
        <v>9</v>
      </c>
      <c r="E1402" s="22" t="s">
        <v>10</v>
      </c>
      <c r="F1402" s="22" t="s">
        <v>1</v>
      </c>
      <c r="G1402" s="22" t="s">
        <v>2</v>
      </c>
      <c r="H1402" s="22" t="s">
        <v>11</v>
      </c>
      <c r="I1402" s="22" t="s">
        <v>6</v>
      </c>
      <c r="J1402" s="22" t="s">
        <v>7</v>
      </c>
    </row>
    <row r="1403" spans="2:10" s="1" customFormat="1" ht="12.75" x14ac:dyDescent="0.2">
      <c r="B1403" s="55">
        <v>4.03</v>
      </c>
      <c r="C1403" s="56" t="s">
        <v>222</v>
      </c>
      <c r="D1403" s="60"/>
      <c r="E1403" s="40"/>
      <c r="F1403" s="40"/>
      <c r="G1403" s="40"/>
      <c r="H1403" s="40"/>
      <c r="I1403" s="40"/>
      <c r="J1403" s="41"/>
    </row>
    <row r="1404" spans="2:10" s="1" customFormat="1" ht="12.75" x14ac:dyDescent="0.2">
      <c r="B1404" s="57" t="s">
        <v>14</v>
      </c>
      <c r="C1404" s="58" t="s">
        <v>225</v>
      </c>
      <c r="D1404" s="60"/>
      <c r="E1404" s="40"/>
      <c r="F1404" s="40"/>
      <c r="G1404" s="40"/>
      <c r="H1404" s="40"/>
      <c r="I1404" s="40"/>
      <c r="J1404" s="41"/>
    </row>
    <row r="1405" spans="2:10" s="1" customFormat="1" ht="12.75" x14ac:dyDescent="0.2">
      <c r="B1405" s="43" t="s">
        <v>15</v>
      </c>
      <c r="C1405" s="43" t="s">
        <v>359</v>
      </c>
      <c r="D1405" s="60"/>
      <c r="E1405" s="40"/>
      <c r="F1405" s="40"/>
      <c r="G1405" s="40"/>
      <c r="H1405" s="40"/>
      <c r="I1405" s="44">
        <f>SUM(H1406:H1406)</f>
        <v>3.8</v>
      </c>
      <c r="J1405" s="45" t="str">
        <f>+J1406</f>
        <v>ml</v>
      </c>
    </row>
    <row r="1406" spans="2:10" s="1" customFormat="1" ht="12.75" x14ac:dyDescent="0.2">
      <c r="B1406" s="43"/>
      <c r="C1406" s="39" t="s">
        <v>387</v>
      </c>
      <c r="D1406" s="40">
        <v>1</v>
      </c>
      <c r="E1406" s="40">
        <v>3.8</v>
      </c>
      <c r="F1406" s="40"/>
      <c r="G1406" s="40"/>
      <c r="H1406" s="40">
        <f>IF(AND(F1406=0,G1406=0),D1406*E1406,IF(AND(E1406=0,G1406=0),D1406*F1406,IF(AND(E1406=0,F1406=0),D1406*G1406,IF(AND(E1406=0),D1406*F1406*G1406,IF(AND(F1406=0),D1406*E1406*G1406,IF(AND(G1406=0),D1406*E1406*F1406,D1406*E1406*F1406*G1406))))))</f>
        <v>3.8</v>
      </c>
      <c r="I1406" s="40"/>
      <c r="J1406" s="41" t="str">
        <f>IF(AND(E1406=0,F1406&lt;&gt;0,G1406&lt;&gt;0),"m2",IF(AND(F1406=0,E1406&lt;&gt;0,G1406&lt;&gt;0),"m2",IF(AND(G1406=0,E1406&lt;&gt;0,F1406&lt;&gt;0),"m2",IF(AND(F1406=0,G1406=0),"ml",IF(AND(E1406=0,G1406=0),"ml",IF(AND(E1406=0,F1406=0),"ml",IF(AND(E1406&lt;&gt;0,F1406&lt;&gt;0,G1406&lt;&gt;0),"m3",0)))))))</f>
        <v>ml</v>
      </c>
    </row>
    <row r="1407" spans="2:10" s="1" customFormat="1" ht="12.75" x14ac:dyDescent="0.2">
      <c r="B1407" s="43"/>
      <c r="C1407" s="39"/>
      <c r="D1407" s="40"/>
      <c r="E1407" s="40"/>
      <c r="F1407" s="40"/>
      <c r="G1407" s="40"/>
      <c r="H1407" s="40">
        <f>IF(AND(F1407=0,G1407=0),D1407*E1407,IF(AND(E1407=0,G1407=0),D1407*F1407,IF(AND(E1407=0,F1407=0),D1407*G1407,IF(AND(E1407=0),D1407*F1407*G1407,IF(AND(F1407=0),D1407*E1407*G1407,IF(AND(G1407=0),D1407*E1407*F1407,D1407*E1407*F1407*G1407))))))</f>
        <v>0</v>
      </c>
      <c r="I1407" s="40"/>
      <c r="J1407" s="41" t="str">
        <f>IF(AND(E1407=0,F1407&lt;&gt;0,G1407&lt;&gt;0),"m2",IF(AND(F1407=0,E1407&lt;&gt;0,G1407&lt;&gt;0),"m2",IF(AND(G1407=0,E1407&lt;&gt;0,F1407&lt;&gt;0),"m2",IF(AND(F1407=0,G1407=0),"ml",IF(AND(E1407=0,G1407=0),"ml",IF(AND(E1407=0,F1407=0),"ml",IF(AND(E1407&lt;&gt;0,F1407&lt;&gt;0,G1407&lt;&gt;0),"m3",0)))))))</f>
        <v>ml</v>
      </c>
    </row>
    <row r="1408" spans="2:10" s="1" customFormat="1" ht="12.75" x14ac:dyDescent="0.2">
      <c r="B1408" s="43" t="s">
        <v>232</v>
      </c>
      <c r="C1408" s="43" t="s">
        <v>235</v>
      </c>
      <c r="D1408" s="60"/>
      <c r="E1408" s="40"/>
      <c r="F1408" s="40"/>
      <c r="G1408" s="40"/>
      <c r="H1408" s="40"/>
      <c r="I1408" s="44">
        <f>SUM(H1409:H1409)</f>
        <v>58</v>
      </c>
      <c r="J1408" s="45" t="str">
        <f>+J1409</f>
        <v>ml</v>
      </c>
    </row>
    <row r="1409" spans="2:10" s="1" customFormat="1" ht="12.75" x14ac:dyDescent="0.2">
      <c r="B1409" s="57"/>
      <c r="C1409" s="39" t="s">
        <v>378</v>
      </c>
      <c r="D1409" s="40">
        <v>5</v>
      </c>
      <c r="E1409" s="40">
        <v>11.6</v>
      </c>
      <c r="F1409" s="40"/>
      <c r="G1409" s="40"/>
      <c r="H1409" s="40">
        <f>IF(AND(F1409=0,G1409=0),D1409*E1409,IF(AND(E1409=0,G1409=0),D1409*F1409,IF(AND(E1409=0,F1409=0),D1409*G1409,IF(AND(E1409=0),D1409*F1409*G1409,IF(AND(F1409=0),D1409*E1409*G1409,IF(AND(G1409=0),D1409*E1409*F1409,D1409*E1409*F1409*G1409))))))</f>
        <v>58</v>
      </c>
      <c r="I1409" s="40"/>
      <c r="J1409" s="41" t="str">
        <f>IF(AND(E1409=0,F1409&lt;&gt;0,G1409&lt;&gt;0),"m2",IF(AND(F1409=0,E1409&lt;&gt;0,G1409&lt;&gt;0),"m2",IF(AND(G1409=0,E1409&lt;&gt;0,F1409&lt;&gt;0),"m2",IF(AND(F1409=0,G1409=0),"ml",IF(AND(E1409=0,G1409=0),"ml",IF(AND(E1409=0,F1409=0),"ml",IF(AND(E1409&lt;&gt;0,F1409&lt;&gt;0,G1409&lt;&gt;0),"m3",0)))))))</f>
        <v>ml</v>
      </c>
    </row>
    <row r="1410" spans="2:10" s="1" customFormat="1" ht="12.75" x14ac:dyDescent="0.2">
      <c r="B1410" s="57"/>
      <c r="C1410" s="39" t="s">
        <v>379</v>
      </c>
      <c r="D1410" s="40">
        <v>1</v>
      </c>
      <c r="E1410" s="40">
        <v>19.3</v>
      </c>
      <c r="F1410" s="40"/>
      <c r="G1410" s="40"/>
      <c r="H1410" s="40">
        <f>IF(AND(F1410=0,G1410=0),D1410*E1410,IF(AND(E1410=0,G1410=0),D1410*F1410,IF(AND(E1410=0,F1410=0),D1410*G1410,IF(AND(E1410=0),D1410*F1410*G1410,IF(AND(F1410=0),D1410*E1410*G1410,IF(AND(G1410=0),D1410*E1410*F1410,D1410*E1410*F1410*G1410))))))</f>
        <v>19.3</v>
      </c>
      <c r="I1410" s="40"/>
      <c r="J1410" s="41" t="str">
        <f>IF(AND(E1410=0,F1410&lt;&gt;0,G1410&lt;&gt;0),"m2",IF(AND(F1410=0,E1410&lt;&gt;0,G1410&lt;&gt;0),"m2",IF(AND(G1410=0,E1410&lt;&gt;0,F1410&lt;&gt;0),"m2",IF(AND(F1410=0,G1410=0),"ml",IF(AND(E1410=0,G1410=0),"ml",IF(AND(E1410=0,F1410=0),"ml",IF(AND(E1410&lt;&gt;0,F1410&lt;&gt;0,G1410&lt;&gt;0),"m3",0)))))))</f>
        <v>ml</v>
      </c>
    </row>
    <row r="1411" spans="2:10" s="1" customFormat="1" ht="12.75" x14ac:dyDescent="0.2">
      <c r="B1411" s="43" t="s">
        <v>233</v>
      </c>
      <c r="C1411" s="43" t="s">
        <v>236</v>
      </c>
      <c r="D1411" s="60"/>
      <c r="E1411" s="40"/>
      <c r="F1411" s="40"/>
      <c r="G1411" s="40"/>
      <c r="H1411" s="40"/>
      <c r="I1411" s="44">
        <f>SUM(H1412:H1412)</f>
        <v>0</v>
      </c>
      <c r="J1411" s="45" t="str">
        <f>+J1412</f>
        <v>ml</v>
      </c>
    </row>
    <row r="1412" spans="2:10" s="1" customFormat="1" ht="12.75" x14ac:dyDescent="0.2">
      <c r="B1412" s="57"/>
      <c r="C1412" s="39" t="s">
        <v>378</v>
      </c>
      <c r="D1412" s="40"/>
      <c r="E1412" s="40"/>
      <c r="F1412" s="40"/>
      <c r="G1412" s="40"/>
      <c r="H1412" s="40">
        <f>IF(AND(F1412=0,G1412=0),D1412*E1412,IF(AND(E1412=0,G1412=0),D1412*F1412,IF(AND(E1412=0,F1412=0),D1412*G1412,IF(AND(E1412=0),D1412*F1412*G1412,IF(AND(F1412=0),D1412*E1412*G1412,IF(AND(G1412=0),D1412*E1412*F1412,D1412*E1412*F1412*G1412))))))</f>
        <v>0</v>
      </c>
      <c r="I1412" s="40"/>
      <c r="J1412" s="41" t="str">
        <f>IF(AND(E1412=0,F1412&lt;&gt;0,G1412&lt;&gt;0),"m2",IF(AND(F1412=0,E1412&lt;&gt;0,G1412&lt;&gt;0),"m2",IF(AND(G1412=0,E1412&lt;&gt;0,F1412&lt;&gt;0),"m2",IF(AND(F1412=0,G1412=0),"ml",IF(AND(E1412=0,G1412=0),"ml",IF(AND(E1412=0,F1412=0),"ml",IF(AND(E1412&lt;&gt;0,F1412&lt;&gt;0,G1412&lt;&gt;0),"m3",0)))))))</f>
        <v>ml</v>
      </c>
    </row>
    <row r="1413" spans="2:10" s="1" customFormat="1" ht="12.75" x14ac:dyDescent="0.2">
      <c r="B1413" s="57"/>
      <c r="C1413" s="39" t="s">
        <v>379</v>
      </c>
      <c r="D1413" s="40"/>
      <c r="E1413" s="40"/>
      <c r="F1413" s="40"/>
      <c r="G1413" s="40"/>
      <c r="H1413" s="40">
        <f>IF(AND(F1413=0,G1413=0),D1413*E1413,IF(AND(E1413=0,G1413=0),D1413*F1413,IF(AND(E1413=0,F1413=0),D1413*G1413,IF(AND(E1413=0),D1413*F1413*G1413,IF(AND(F1413=0),D1413*E1413*G1413,IF(AND(G1413=0),D1413*E1413*F1413,D1413*E1413*F1413*G1413))))))</f>
        <v>0</v>
      </c>
      <c r="I1413" s="40"/>
      <c r="J1413" s="41" t="str">
        <f>IF(AND(E1413=0,F1413&lt;&gt;0,G1413&lt;&gt;0),"m2",IF(AND(F1413=0,E1413&lt;&gt;0,G1413&lt;&gt;0),"m2",IF(AND(G1413=0,E1413&lt;&gt;0,F1413&lt;&gt;0),"m2",IF(AND(F1413=0,G1413=0),"ml",IF(AND(E1413=0,G1413=0),"ml",IF(AND(E1413=0,F1413=0),"ml",IF(AND(E1413&lt;&gt;0,F1413&lt;&gt;0,G1413&lt;&gt;0),"m3",0)))))))</f>
        <v>ml</v>
      </c>
    </row>
    <row r="1414" spans="2:10" s="1" customFormat="1" ht="12.75" x14ac:dyDescent="0.2">
      <c r="B1414" s="43" t="s">
        <v>234</v>
      </c>
      <c r="C1414" s="43" t="s">
        <v>267</v>
      </c>
      <c r="D1414" s="60"/>
      <c r="E1414" s="40"/>
      <c r="F1414" s="40"/>
      <c r="G1414" s="40"/>
      <c r="H1414" s="40"/>
      <c r="I1414" s="44">
        <f>SUM(H1416:H1421)</f>
        <v>63.75</v>
      </c>
      <c r="J1414" s="45" t="str">
        <f>+J1416</f>
        <v>ml</v>
      </c>
    </row>
    <row r="1415" spans="2:10" s="1" customFormat="1" ht="12.75" x14ac:dyDescent="0.2">
      <c r="B1415" s="43"/>
      <c r="C1415" s="77" t="s">
        <v>71</v>
      </c>
      <c r="D1415" s="60"/>
      <c r="E1415" s="40"/>
      <c r="F1415" s="40"/>
      <c r="G1415" s="40"/>
      <c r="H1415" s="40"/>
      <c r="I1415" s="44"/>
      <c r="J1415" s="45"/>
    </row>
    <row r="1416" spans="2:10" s="1" customFormat="1" ht="12.75" x14ac:dyDescent="0.2">
      <c r="B1416" s="43"/>
      <c r="C1416" s="39" t="s">
        <v>349</v>
      </c>
      <c r="D1416" s="40">
        <v>5</v>
      </c>
      <c r="E1416" s="40">
        <v>3.25</v>
      </c>
      <c r="F1416" s="40"/>
      <c r="G1416" s="40"/>
      <c r="H1416" s="40">
        <f t="shared" ref="H1416:H1421" si="62">IF(AND(F1416=0,G1416=0),D1416*E1416,IF(AND(E1416=0,G1416=0),D1416*F1416,IF(AND(E1416=0,F1416=0),D1416*G1416,IF(AND(E1416=0),D1416*F1416*G1416,IF(AND(F1416=0),D1416*E1416*G1416,IF(AND(G1416=0),D1416*E1416*F1416,D1416*E1416*F1416*G1416))))))</f>
        <v>16.25</v>
      </c>
      <c r="I1416" s="40"/>
      <c r="J1416" s="41" t="str">
        <f t="shared" ref="J1416:J1421" si="63">IF(AND(E1416=0,F1416&lt;&gt;0,G1416&lt;&gt;0),"m2",IF(AND(F1416=0,E1416&lt;&gt;0,G1416&lt;&gt;0),"m2",IF(AND(G1416=0,E1416&lt;&gt;0,F1416&lt;&gt;0),"m2",IF(AND(F1416=0,G1416=0),"ml",IF(AND(E1416=0,G1416=0),"ml",IF(AND(E1416=0,F1416=0),"ml",IF(AND(E1416&lt;&gt;0,F1416&lt;&gt;0,G1416&lt;&gt;0),"m3",0)))))))</f>
        <v>ml</v>
      </c>
    </row>
    <row r="1417" spans="2:10" s="1" customFormat="1" ht="12.75" x14ac:dyDescent="0.2">
      <c r="B1417" s="43"/>
      <c r="C1417" s="39" t="s">
        <v>369</v>
      </c>
      <c r="D1417" s="40">
        <v>5</v>
      </c>
      <c r="E1417" s="40">
        <v>3</v>
      </c>
      <c r="F1417" s="40"/>
      <c r="G1417" s="40"/>
      <c r="H1417" s="40">
        <f t="shared" si="62"/>
        <v>15</v>
      </c>
      <c r="I1417" s="40"/>
      <c r="J1417" s="41" t="str">
        <f t="shared" si="63"/>
        <v>ml</v>
      </c>
    </row>
    <row r="1418" spans="2:10" s="1" customFormat="1" ht="12.75" x14ac:dyDescent="0.2">
      <c r="B1418" s="43"/>
      <c r="C1418" s="77" t="s">
        <v>72</v>
      </c>
      <c r="D1418" s="40"/>
      <c r="E1418" s="40"/>
      <c r="F1418" s="40"/>
      <c r="G1418" s="40"/>
      <c r="H1418" s="40">
        <f t="shared" si="62"/>
        <v>0</v>
      </c>
      <c r="I1418" s="40"/>
      <c r="J1418" s="41" t="str">
        <f t="shared" si="63"/>
        <v>ml</v>
      </c>
    </row>
    <row r="1419" spans="2:10" s="1" customFormat="1" ht="12.75" x14ac:dyDescent="0.2">
      <c r="B1419" s="43"/>
      <c r="C1419" s="39" t="s">
        <v>349</v>
      </c>
      <c r="D1419" s="40">
        <v>5</v>
      </c>
      <c r="E1419" s="40">
        <v>3.25</v>
      </c>
      <c r="F1419" s="40"/>
      <c r="G1419" s="40"/>
      <c r="H1419" s="40">
        <f t="shared" si="62"/>
        <v>16.25</v>
      </c>
      <c r="I1419" s="40"/>
      <c r="J1419" s="41" t="str">
        <f t="shared" si="63"/>
        <v>ml</v>
      </c>
    </row>
    <row r="1420" spans="2:10" s="1" customFormat="1" ht="12.75" x14ac:dyDescent="0.2">
      <c r="B1420" s="43"/>
      <c r="C1420" s="77" t="s">
        <v>73</v>
      </c>
      <c r="D1420" s="40"/>
      <c r="E1420" s="40"/>
      <c r="F1420" s="40"/>
      <c r="G1420" s="40"/>
      <c r="H1420" s="40">
        <f t="shared" si="62"/>
        <v>0</v>
      </c>
      <c r="I1420" s="40"/>
      <c r="J1420" s="41" t="str">
        <f t="shared" si="63"/>
        <v>ml</v>
      </c>
    </row>
    <row r="1421" spans="2:10" s="1" customFormat="1" ht="12.75" x14ac:dyDescent="0.2">
      <c r="B1421" s="43"/>
      <c r="C1421" s="39" t="s">
        <v>349</v>
      </c>
      <c r="D1421" s="40">
        <v>5</v>
      </c>
      <c r="E1421" s="40">
        <v>3.25</v>
      </c>
      <c r="F1421" s="40"/>
      <c r="G1421" s="40"/>
      <c r="H1421" s="40">
        <f t="shared" si="62"/>
        <v>16.25</v>
      </c>
      <c r="I1421" s="40"/>
      <c r="J1421" s="41" t="str">
        <f t="shared" si="63"/>
        <v>ml</v>
      </c>
    </row>
    <row r="1422" spans="2:10" s="1" customFormat="1" ht="12.75" x14ac:dyDescent="0.2">
      <c r="B1422" s="43" t="s">
        <v>268</v>
      </c>
      <c r="C1422" s="43" t="s">
        <v>347</v>
      </c>
      <c r="D1422" s="60"/>
      <c r="E1422" s="40"/>
      <c r="F1422" s="40"/>
      <c r="G1422" s="40"/>
      <c r="H1422" s="40"/>
      <c r="I1422" s="44">
        <f>SUM(H1423:H1429)</f>
        <v>11.75</v>
      </c>
      <c r="J1422" s="45" t="str">
        <f>+J1423</f>
        <v>ml</v>
      </c>
    </row>
    <row r="1423" spans="2:10" s="1" customFormat="1" ht="12.75" x14ac:dyDescent="0.2">
      <c r="B1423" s="57"/>
      <c r="C1423" s="77" t="s">
        <v>71</v>
      </c>
      <c r="D1423" s="40"/>
      <c r="E1423" s="40"/>
      <c r="F1423" s="40"/>
      <c r="G1423" s="40"/>
      <c r="H1423" s="40">
        <f t="shared" ref="H1423:H1429" si="64">IF(AND(F1423=0,G1423=0),D1423*E1423,IF(AND(E1423=0,G1423=0),D1423*F1423,IF(AND(E1423=0,F1423=0),D1423*G1423,IF(AND(E1423=0),D1423*F1423*G1423,IF(AND(F1423=0),D1423*E1423*G1423,IF(AND(G1423=0),D1423*E1423*F1423,D1423*E1423*F1423*G1423))))))</f>
        <v>0</v>
      </c>
      <c r="I1423" s="40"/>
      <c r="J1423" s="41" t="str">
        <f t="shared" ref="J1423:J1429" si="65">IF(AND(E1423=0,F1423&lt;&gt;0,G1423&lt;&gt;0),"m2",IF(AND(F1423=0,E1423&lt;&gt;0,G1423&lt;&gt;0),"m2",IF(AND(G1423=0,E1423&lt;&gt;0,F1423&lt;&gt;0),"m2",IF(AND(F1423=0,G1423=0),"ml",IF(AND(E1423=0,G1423=0),"ml",IF(AND(E1423=0,F1423=0),"ml",IF(AND(E1423&lt;&gt;0,F1423&lt;&gt;0,G1423&lt;&gt;0),"m3",0)))))))</f>
        <v>ml</v>
      </c>
    </row>
    <row r="1424" spans="2:10" s="1" customFormat="1" ht="12.75" x14ac:dyDescent="0.2">
      <c r="B1424" s="57"/>
      <c r="C1424" s="39" t="s">
        <v>349</v>
      </c>
      <c r="D1424" s="40">
        <v>1</v>
      </c>
      <c r="E1424" s="40">
        <v>3.25</v>
      </c>
      <c r="F1424" s="40"/>
      <c r="G1424" s="40"/>
      <c r="H1424" s="40">
        <f t="shared" si="64"/>
        <v>3.25</v>
      </c>
      <c r="I1424" s="40"/>
      <c r="J1424" s="41" t="str">
        <f t="shared" si="65"/>
        <v>ml</v>
      </c>
    </row>
    <row r="1425" spans="2:10" s="1" customFormat="1" ht="12.75" x14ac:dyDescent="0.2">
      <c r="B1425" s="57"/>
      <c r="C1425" s="39" t="s">
        <v>369</v>
      </c>
      <c r="D1425" s="40">
        <v>1</v>
      </c>
      <c r="E1425" s="40">
        <v>2</v>
      </c>
      <c r="F1425" s="40"/>
      <c r="G1425" s="40"/>
      <c r="H1425" s="40">
        <f t="shared" si="64"/>
        <v>2</v>
      </c>
      <c r="I1425" s="40"/>
      <c r="J1425" s="41" t="str">
        <f t="shared" si="65"/>
        <v>ml</v>
      </c>
    </row>
    <row r="1426" spans="2:10" s="1" customFormat="1" ht="12.75" x14ac:dyDescent="0.2">
      <c r="B1426" s="57"/>
      <c r="C1426" s="77" t="s">
        <v>72</v>
      </c>
      <c r="D1426" s="40"/>
      <c r="E1426" s="40"/>
      <c r="F1426" s="40"/>
      <c r="G1426" s="40"/>
      <c r="H1426" s="40">
        <f t="shared" si="64"/>
        <v>0</v>
      </c>
      <c r="I1426" s="40"/>
      <c r="J1426" s="41" t="str">
        <f t="shared" si="65"/>
        <v>ml</v>
      </c>
    </row>
    <row r="1427" spans="2:10" s="1" customFormat="1" ht="12.75" x14ac:dyDescent="0.2">
      <c r="B1427" s="57"/>
      <c r="C1427" s="39" t="s">
        <v>349</v>
      </c>
      <c r="D1427" s="40">
        <v>1</v>
      </c>
      <c r="E1427" s="40">
        <v>3.25</v>
      </c>
      <c r="F1427" s="40"/>
      <c r="G1427" s="40"/>
      <c r="H1427" s="40">
        <f t="shared" si="64"/>
        <v>3.25</v>
      </c>
      <c r="I1427" s="40"/>
      <c r="J1427" s="41" t="str">
        <f t="shared" si="65"/>
        <v>ml</v>
      </c>
    </row>
    <row r="1428" spans="2:10" s="1" customFormat="1" ht="12.75" x14ac:dyDescent="0.2">
      <c r="B1428" s="57"/>
      <c r="C1428" s="77" t="s">
        <v>73</v>
      </c>
      <c r="D1428" s="40"/>
      <c r="E1428" s="40"/>
      <c r="F1428" s="40"/>
      <c r="G1428" s="40"/>
      <c r="H1428" s="40">
        <f t="shared" si="64"/>
        <v>0</v>
      </c>
      <c r="I1428" s="40"/>
      <c r="J1428" s="41" t="str">
        <f t="shared" si="65"/>
        <v>ml</v>
      </c>
    </row>
    <row r="1429" spans="2:10" s="1" customFormat="1" ht="12.75" x14ac:dyDescent="0.2">
      <c r="B1429" s="57"/>
      <c r="C1429" s="39" t="s">
        <v>349</v>
      </c>
      <c r="D1429" s="40">
        <v>1</v>
      </c>
      <c r="E1429" s="40">
        <v>3.25</v>
      </c>
      <c r="F1429" s="40"/>
      <c r="G1429" s="40"/>
      <c r="H1429" s="40">
        <f t="shared" si="64"/>
        <v>3.25</v>
      </c>
      <c r="I1429" s="40"/>
      <c r="J1429" s="41" t="str">
        <f t="shared" si="65"/>
        <v>ml</v>
      </c>
    </row>
    <row r="1430" spans="2:10" s="1" customFormat="1" ht="12.75" x14ac:dyDescent="0.2">
      <c r="B1430" s="43" t="s">
        <v>270</v>
      </c>
      <c r="C1430" s="43" t="s">
        <v>269</v>
      </c>
      <c r="D1430" s="60"/>
      <c r="E1430" s="40"/>
      <c r="F1430" s="40"/>
      <c r="G1430" s="40"/>
      <c r="H1430" s="40"/>
      <c r="I1430" s="44">
        <f>SUM(H1431:H1437)</f>
        <v>0</v>
      </c>
      <c r="J1430" s="45" t="str">
        <f>+J1431</f>
        <v>ml</v>
      </c>
    </row>
    <row r="1431" spans="2:10" s="1" customFormat="1" ht="12.75" x14ac:dyDescent="0.2">
      <c r="B1431" s="43"/>
      <c r="C1431" s="77" t="s">
        <v>71</v>
      </c>
      <c r="D1431" s="40"/>
      <c r="E1431" s="40"/>
      <c r="F1431" s="40"/>
      <c r="G1431" s="40"/>
      <c r="H1431" s="40">
        <f t="shared" ref="H1431:H1437" si="66">IF(AND(F1431=0,G1431=0),D1431*E1431,IF(AND(E1431=0,G1431=0),D1431*F1431,IF(AND(E1431=0,F1431=0),D1431*G1431,IF(AND(E1431=0),D1431*F1431*G1431,IF(AND(F1431=0),D1431*E1431*G1431,IF(AND(G1431=0),D1431*E1431*F1431,D1431*E1431*F1431*G1431))))))</f>
        <v>0</v>
      </c>
      <c r="I1431" s="40"/>
      <c r="J1431" s="41" t="str">
        <f t="shared" ref="J1431:J1437" si="67">IF(AND(E1431=0,F1431&lt;&gt;0,G1431&lt;&gt;0),"m2",IF(AND(F1431=0,E1431&lt;&gt;0,G1431&lt;&gt;0),"m2",IF(AND(G1431=0,E1431&lt;&gt;0,F1431&lt;&gt;0),"m2",IF(AND(F1431=0,G1431=0),"ml",IF(AND(E1431=0,G1431=0),"ml",IF(AND(E1431=0,F1431=0),"ml",IF(AND(E1431&lt;&gt;0,F1431&lt;&gt;0,G1431&lt;&gt;0),"m3",0)))))))</f>
        <v>ml</v>
      </c>
    </row>
    <row r="1432" spans="2:10" s="1" customFormat="1" ht="12.75" x14ac:dyDescent="0.2">
      <c r="B1432" s="43"/>
      <c r="C1432" s="39" t="s">
        <v>349</v>
      </c>
      <c r="D1432" s="40"/>
      <c r="E1432" s="40"/>
      <c r="F1432" s="40"/>
      <c r="G1432" s="40"/>
      <c r="H1432" s="40">
        <f t="shared" si="66"/>
        <v>0</v>
      </c>
      <c r="I1432" s="40"/>
      <c r="J1432" s="41" t="str">
        <f t="shared" si="67"/>
        <v>ml</v>
      </c>
    </row>
    <row r="1433" spans="2:10" s="1" customFormat="1" ht="12.75" x14ac:dyDescent="0.2">
      <c r="B1433" s="43"/>
      <c r="C1433" s="39" t="s">
        <v>369</v>
      </c>
      <c r="D1433" s="40"/>
      <c r="E1433" s="40"/>
      <c r="F1433" s="40"/>
      <c r="G1433" s="40"/>
      <c r="H1433" s="40">
        <f t="shared" si="66"/>
        <v>0</v>
      </c>
      <c r="I1433" s="40"/>
      <c r="J1433" s="41" t="str">
        <f t="shared" si="67"/>
        <v>ml</v>
      </c>
    </row>
    <row r="1434" spans="2:10" s="1" customFormat="1" ht="12.75" x14ac:dyDescent="0.2">
      <c r="B1434" s="43"/>
      <c r="C1434" s="77" t="s">
        <v>72</v>
      </c>
      <c r="D1434" s="40"/>
      <c r="E1434" s="40"/>
      <c r="F1434" s="40"/>
      <c r="G1434" s="40"/>
      <c r="H1434" s="40">
        <f t="shared" si="66"/>
        <v>0</v>
      </c>
      <c r="I1434" s="40"/>
      <c r="J1434" s="41" t="str">
        <f t="shared" si="67"/>
        <v>ml</v>
      </c>
    </row>
    <row r="1435" spans="2:10" s="1" customFormat="1" ht="12.75" x14ac:dyDescent="0.2">
      <c r="B1435" s="43"/>
      <c r="C1435" s="39" t="s">
        <v>349</v>
      </c>
      <c r="D1435" s="40"/>
      <c r="E1435" s="40"/>
      <c r="F1435" s="40"/>
      <c r="G1435" s="40"/>
      <c r="H1435" s="40">
        <f t="shared" si="66"/>
        <v>0</v>
      </c>
      <c r="I1435" s="40"/>
      <c r="J1435" s="41" t="str">
        <f t="shared" si="67"/>
        <v>ml</v>
      </c>
    </row>
    <row r="1436" spans="2:10" s="1" customFormat="1" ht="12.75" x14ac:dyDescent="0.2">
      <c r="B1436" s="43"/>
      <c r="C1436" s="77" t="s">
        <v>73</v>
      </c>
      <c r="D1436" s="40"/>
      <c r="E1436" s="40"/>
      <c r="F1436" s="40"/>
      <c r="G1436" s="40"/>
      <c r="H1436" s="40">
        <f t="shared" si="66"/>
        <v>0</v>
      </c>
      <c r="I1436" s="40"/>
      <c r="J1436" s="41" t="str">
        <f t="shared" si="67"/>
        <v>ml</v>
      </c>
    </row>
    <row r="1437" spans="2:10" s="1" customFormat="1" ht="12.75" x14ac:dyDescent="0.2">
      <c r="B1437" s="43"/>
      <c r="C1437" s="39" t="s">
        <v>349</v>
      </c>
      <c r="D1437" s="40"/>
      <c r="E1437" s="40"/>
      <c r="F1437" s="40"/>
      <c r="G1437" s="40"/>
      <c r="H1437" s="40">
        <f t="shared" si="66"/>
        <v>0</v>
      </c>
      <c r="I1437" s="40"/>
      <c r="J1437" s="41" t="str">
        <f t="shared" si="67"/>
        <v>ml</v>
      </c>
    </row>
    <row r="1438" spans="2:10" s="1" customFormat="1" ht="12.75" x14ac:dyDescent="0.2">
      <c r="B1438" s="43" t="s">
        <v>342</v>
      </c>
      <c r="C1438" s="43" t="s">
        <v>271</v>
      </c>
      <c r="D1438" s="60"/>
      <c r="E1438" s="40"/>
      <c r="F1438" s="40"/>
      <c r="G1438" s="40"/>
      <c r="H1438" s="40"/>
      <c r="I1438" s="44">
        <f>SUM(H1439:H1439)</f>
        <v>1</v>
      </c>
      <c r="J1438" s="45" t="str">
        <f>+J1439</f>
        <v>und</v>
      </c>
    </row>
    <row r="1439" spans="2:10" s="1" customFormat="1" ht="12.75" x14ac:dyDescent="0.2">
      <c r="B1439" s="57"/>
      <c r="C1439" s="39" t="s">
        <v>370</v>
      </c>
      <c r="D1439" s="40">
        <v>1</v>
      </c>
      <c r="E1439" s="40"/>
      <c r="F1439" s="40"/>
      <c r="G1439" s="40"/>
      <c r="H1439" s="40">
        <f>+D1439</f>
        <v>1</v>
      </c>
      <c r="I1439" s="40"/>
      <c r="J1439" s="41" t="s">
        <v>13</v>
      </c>
    </row>
    <row r="1440" spans="2:10" s="1" customFormat="1" ht="12.75" x14ac:dyDescent="0.2">
      <c r="B1440" s="43" t="s">
        <v>346</v>
      </c>
      <c r="C1440" s="43" t="s">
        <v>348</v>
      </c>
      <c r="D1440" s="60"/>
      <c r="E1440" s="40"/>
      <c r="F1440" s="40"/>
      <c r="G1440" s="40"/>
      <c r="H1440" s="40"/>
      <c r="I1440" s="44">
        <f>SUM(H1441:H1441)</f>
        <v>6</v>
      </c>
      <c r="J1440" s="45" t="str">
        <f>+J1441</f>
        <v>und</v>
      </c>
    </row>
    <row r="1441" spans="2:10" s="1" customFormat="1" ht="12.75" x14ac:dyDescent="0.2">
      <c r="B1441" s="57"/>
      <c r="C1441" s="39" t="s">
        <v>349</v>
      </c>
      <c r="D1441" s="40">
        <v>6</v>
      </c>
      <c r="E1441" s="40"/>
      <c r="F1441" s="40"/>
      <c r="G1441" s="40"/>
      <c r="H1441" s="40">
        <f>+D1441</f>
        <v>6</v>
      </c>
      <c r="I1441" s="40"/>
      <c r="J1441" s="41" t="s">
        <v>13</v>
      </c>
    </row>
    <row r="1442" spans="2:10" s="1" customFormat="1" ht="12.75" x14ac:dyDescent="0.2">
      <c r="B1442" s="57" t="s">
        <v>16</v>
      </c>
      <c r="C1442" s="58" t="s">
        <v>224</v>
      </c>
      <c r="D1442" s="60"/>
      <c r="E1442" s="40"/>
      <c r="F1442" s="40"/>
      <c r="G1442" s="40"/>
      <c r="H1442" s="40"/>
      <c r="I1442" s="40"/>
      <c r="J1442" s="41"/>
    </row>
    <row r="1443" spans="2:10" s="1" customFormat="1" ht="12.75" x14ac:dyDescent="0.2">
      <c r="B1443" s="43" t="s">
        <v>17</v>
      </c>
      <c r="C1443" s="43" t="s">
        <v>343</v>
      </c>
      <c r="D1443" s="60"/>
      <c r="E1443" s="40"/>
      <c r="F1443" s="40"/>
      <c r="G1443" s="40"/>
      <c r="H1443" s="40"/>
      <c r="I1443" s="44">
        <f>SUM(H1444:H1445)</f>
        <v>61</v>
      </c>
      <c r="J1443" s="45" t="str">
        <f>+J1444</f>
        <v>ml</v>
      </c>
    </row>
    <row r="1444" spans="2:10" s="1" customFormat="1" ht="12.75" x14ac:dyDescent="0.2">
      <c r="B1444" s="57"/>
      <c r="C1444" s="39" t="s">
        <v>425</v>
      </c>
      <c r="D1444" s="40">
        <v>1</v>
      </c>
      <c r="E1444" s="40">
        <v>30.5</v>
      </c>
      <c r="F1444" s="40"/>
      <c r="G1444" s="40"/>
      <c r="H1444" s="40">
        <f>IF(AND(F1444=0,G1444=0),D1444*E1444,IF(AND(E1444=0,G1444=0),D1444*F1444,IF(AND(E1444=0,F1444=0),D1444*G1444,IF(AND(E1444=0),D1444*F1444*G1444,IF(AND(F1444=0),D1444*E1444*G1444,IF(AND(G1444=0),D1444*E1444*F1444,D1444*E1444*F1444*G1444))))))</f>
        <v>30.5</v>
      </c>
      <c r="I1444" s="40"/>
      <c r="J1444" s="41" t="str">
        <f>IF(AND(E1444=0,F1444&lt;&gt;0,G1444&lt;&gt;0),"m2",IF(AND(F1444=0,E1444&lt;&gt;0,G1444&lt;&gt;0),"m2",IF(AND(G1444=0,E1444&lt;&gt;0,F1444&lt;&gt;0),"m2",IF(AND(F1444=0,G1444=0),"ml",IF(AND(E1444=0,G1444=0),"ml",IF(AND(E1444=0,F1444=0),"ml",IF(AND(E1444&lt;&gt;0,F1444&lt;&gt;0,G1444&lt;&gt;0),"m3",0)))))))</f>
        <v>ml</v>
      </c>
    </row>
    <row r="1445" spans="2:10" s="1" customFormat="1" ht="12.75" x14ac:dyDescent="0.2">
      <c r="B1445" s="57"/>
      <c r="C1445" s="39" t="s">
        <v>425</v>
      </c>
      <c r="D1445" s="40">
        <v>1</v>
      </c>
      <c r="E1445" s="40">
        <v>30.5</v>
      </c>
      <c r="F1445" s="40"/>
      <c r="G1445" s="40"/>
      <c r="H1445" s="40">
        <f>IF(AND(F1445=0,G1445=0),D1445*E1445,IF(AND(E1445=0,G1445=0),D1445*F1445,IF(AND(E1445=0,F1445=0),D1445*G1445,IF(AND(E1445=0),D1445*F1445*G1445,IF(AND(F1445=0),D1445*E1445*G1445,IF(AND(G1445=0),D1445*E1445*F1445,D1445*E1445*F1445*G1445))))))</f>
        <v>30.5</v>
      </c>
      <c r="I1445" s="40"/>
      <c r="J1445" s="41"/>
    </row>
    <row r="1446" spans="2:10" s="1" customFormat="1" ht="12.75" x14ac:dyDescent="0.2">
      <c r="B1446" s="43" t="s">
        <v>240</v>
      </c>
      <c r="C1446" s="43" t="s">
        <v>237</v>
      </c>
      <c r="D1446" s="60"/>
      <c r="E1446" s="40"/>
      <c r="F1446" s="40"/>
      <c r="G1446" s="40"/>
      <c r="H1446" s="40"/>
      <c r="I1446" s="44">
        <f>SUM(H1447:H1447)</f>
        <v>48.5</v>
      </c>
      <c r="J1446" s="45" t="str">
        <f>+J1447</f>
        <v>ml</v>
      </c>
    </row>
    <row r="1447" spans="2:10" s="1" customFormat="1" ht="12.75" x14ac:dyDescent="0.2">
      <c r="B1447" s="57"/>
      <c r="C1447" s="39" t="s">
        <v>426</v>
      </c>
      <c r="D1447" s="40">
        <v>1</v>
      </c>
      <c r="E1447" s="40">
        <v>48.5</v>
      </c>
      <c r="F1447" s="40"/>
      <c r="G1447" s="40"/>
      <c r="H1447" s="40">
        <f>IF(AND(F1447=0,G1447=0),D1447*E1447,IF(AND(E1447=0,G1447=0),D1447*F1447,IF(AND(E1447=0,F1447=0),D1447*G1447,IF(AND(E1447=0),D1447*F1447*G1447,IF(AND(F1447=0),D1447*E1447*G1447,IF(AND(G1447=0),D1447*E1447*F1447,D1447*E1447*F1447*G1447))))))</f>
        <v>48.5</v>
      </c>
      <c r="I1447" s="40"/>
      <c r="J1447" s="41" t="str">
        <f>IF(AND(E1447=0,F1447&lt;&gt;0,G1447&lt;&gt;0),"m2",IF(AND(F1447=0,E1447&lt;&gt;0,G1447&lt;&gt;0),"m2",IF(AND(G1447=0,E1447&lt;&gt;0,F1447&lt;&gt;0),"m2",IF(AND(F1447=0,G1447=0),"ml",IF(AND(E1447=0,G1447=0),"ml",IF(AND(E1447=0,F1447=0),"ml",IF(AND(E1447&lt;&gt;0,F1447&lt;&gt;0,G1447&lt;&gt;0),"m3",0)))))))</f>
        <v>ml</v>
      </c>
    </row>
    <row r="1448" spans="2:10" s="1" customFormat="1" ht="12.75" x14ac:dyDescent="0.2">
      <c r="B1448" s="43" t="s">
        <v>241</v>
      </c>
      <c r="C1448" s="43" t="s">
        <v>239</v>
      </c>
      <c r="D1448" s="60"/>
      <c r="E1448" s="40"/>
      <c r="F1448" s="40"/>
      <c r="G1448" s="40"/>
      <c r="H1448" s="40"/>
      <c r="I1448" s="44">
        <f>SUM(H1449:H1449)</f>
        <v>0</v>
      </c>
      <c r="J1448" s="45" t="str">
        <f>+J1449</f>
        <v>ml</v>
      </c>
    </row>
    <row r="1449" spans="2:10" s="1" customFormat="1" ht="12.75" x14ac:dyDescent="0.2">
      <c r="B1449" s="57"/>
      <c r="C1449" s="39" t="s">
        <v>400</v>
      </c>
      <c r="D1449" s="40"/>
      <c r="E1449" s="40"/>
      <c r="F1449" s="40"/>
      <c r="G1449" s="40"/>
      <c r="H1449" s="40">
        <f>IF(AND(F1449=0,G1449=0),D1449*E1449,IF(AND(E1449=0,G1449=0),D1449*F1449,IF(AND(E1449=0,F1449=0),D1449*G1449,IF(AND(E1449=0),D1449*F1449*G1449,IF(AND(F1449=0),D1449*E1449*G1449,IF(AND(G1449=0),D1449*E1449*F1449,D1449*E1449*F1449*G1449))))))</f>
        <v>0</v>
      </c>
      <c r="I1449" s="40"/>
      <c r="J1449" s="41" t="str">
        <f>IF(AND(E1449=0,F1449&lt;&gt;0,G1449&lt;&gt;0),"m2",IF(AND(F1449=0,E1449&lt;&gt;0,G1449&lt;&gt;0),"m2",IF(AND(G1449=0,E1449&lt;&gt;0,F1449&lt;&gt;0),"m2",IF(AND(F1449=0,G1449=0),"ml",IF(AND(E1449=0,G1449=0),"ml",IF(AND(E1449=0,F1449=0),"ml",IF(AND(E1449&lt;&gt;0,F1449&lt;&gt;0,G1449&lt;&gt;0),"m3",0)))))))</f>
        <v>ml</v>
      </c>
    </row>
    <row r="1450" spans="2:10" s="1" customFormat="1" ht="12.75" x14ac:dyDescent="0.2">
      <c r="B1450" s="43" t="s">
        <v>243</v>
      </c>
      <c r="C1450" s="43" t="s">
        <v>242</v>
      </c>
      <c r="D1450" s="60"/>
      <c r="E1450" s="40"/>
      <c r="F1450" s="40"/>
      <c r="G1450" s="40"/>
      <c r="H1450" s="40"/>
      <c r="I1450" s="44">
        <f>SUM(H1451:H1451)</f>
        <v>0</v>
      </c>
      <c r="J1450" s="45" t="str">
        <f>+J1451</f>
        <v>ml</v>
      </c>
    </row>
    <row r="1451" spans="2:10" s="1" customFormat="1" ht="12.75" x14ac:dyDescent="0.2">
      <c r="B1451" s="57"/>
      <c r="C1451" s="39" t="s">
        <v>401</v>
      </c>
      <c r="D1451" s="40"/>
      <c r="E1451" s="40"/>
      <c r="F1451" s="40"/>
      <c r="G1451" s="40"/>
      <c r="H1451" s="40">
        <f>IF(AND(F1451=0,G1451=0),D1451*E1451,IF(AND(E1451=0,G1451=0),D1451*F1451,IF(AND(E1451=0,F1451=0),D1451*G1451,IF(AND(E1451=0),D1451*F1451*G1451,IF(AND(F1451=0),D1451*E1451*G1451,IF(AND(G1451=0),D1451*E1451*F1451,D1451*E1451*F1451*G1451))))))</f>
        <v>0</v>
      </c>
      <c r="I1451" s="40"/>
      <c r="J1451" s="41" t="str">
        <f>IF(AND(E1451=0,F1451&lt;&gt;0,G1451&lt;&gt;0),"m2",IF(AND(F1451=0,E1451&lt;&gt;0,G1451&lt;&gt;0),"m2",IF(AND(G1451=0,E1451&lt;&gt;0,F1451&lt;&gt;0),"m2",IF(AND(F1451=0,G1451=0),"ml",IF(AND(E1451=0,G1451=0),"ml",IF(AND(E1451=0,F1451=0),"ml",IF(AND(E1451&lt;&gt;0,F1451&lt;&gt;0,G1451&lt;&gt;0),"m3",0)))))))</f>
        <v>ml</v>
      </c>
    </row>
    <row r="1452" spans="2:10" s="1" customFormat="1" ht="12.75" x14ac:dyDescent="0.2">
      <c r="B1452" s="43" t="s">
        <v>244</v>
      </c>
      <c r="C1452" s="43" t="s">
        <v>245</v>
      </c>
      <c r="D1452" s="60"/>
      <c r="E1452" s="40"/>
      <c r="F1452" s="40"/>
      <c r="G1452" s="40"/>
      <c r="H1452" s="40"/>
      <c r="I1452" s="44">
        <f>SUM(H1453:H1453)</f>
        <v>48.5</v>
      </c>
      <c r="J1452" s="45" t="str">
        <f>+J1453</f>
        <v>ml</v>
      </c>
    </row>
    <row r="1453" spans="2:10" s="1" customFormat="1" ht="12.75" x14ac:dyDescent="0.2">
      <c r="B1453" s="57"/>
      <c r="C1453" s="39" t="s">
        <v>426</v>
      </c>
      <c r="D1453" s="40">
        <v>1</v>
      </c>
      <c r="E1453" s="40">
        <v>48.5</v>
      </c>
      <c r="F1453" s="40"/>
      <c r="G1453" s="40"/>
      <c r="H1453" s="40">
        <f>IF(AND(F1453=0,G1453=0),D1453*E1453,IF(AND(E1453=0,G1453=0),D1453*F1453,IF(AND(E1453=0,F1453=0),D1453*G1453,IF(AND(E1453=0),D1453*F1453*G1453,IF(AND(F1453=0),D1453*E1453*G1453,IF(AND(G1453=0),D1453*E1453*F1453,D1453*E1453*F1453*G1453))))))</f>
        <v>48.5</v>
      </c>
      <c r="I1453" s="40"/>
      <c r="J1453" s="41" t="str">
        <f>IF(AND(E1453=0,F1453&lt;&gt;0,G1453&lt;&gt;0),"m2",IF(AND(F1453=0,E1453&lt;&gt;0,G1453&lt;&gt;0),"m2",IF(AND(G1453=0,E1453&lt;&gt;0,F1453&lt;&gt;0),"m2",IF(AND(F1453=0,G1453=0),"ml",IF(AND(E1453=0,G1453=0),"ml",IF(AND(E1453=0,F1453=0),"ml",IF(AND(E1453&lt;&gt;0,F1453&lt;&gt;0,G1453&lt;&gt;0),"m3",0)))))))</f>
        <v>ml</v>
      </c>
    </row>
    <row r="1454" spans="2:10" s="1" customFormat="1" ht="12.75" x14ac:dyDescent="0.2">
      <c r="B1454" s="43" t="s">
        <v>248</v>
      </c>
      <c r="C1454" s="43" t="s">
        <v>246</v>
      </c>
      <c r="D1454" s="60"/>
      <c r="E1454" s="40"/>
      <c r="F1454" s="40"/>
      <c r="G1454" s="40"/>
      <c r="H1454" s="40"/>
      <c r="I1454" s="44">
        <f>SUM(H1455:H1455)</f>
        <v>0</v>
      </c>
      <c r="J1454" s="45" t="str">
        <f>+J1455</f>
        <v>ml</v>
      </c>
    </row>
    <row r="1455" spans="2:10" s="1" customFormat="1" ht="12.75" x14ac:dyDescent="0.2">
      <c r="B1455" s="57"/>
      <c r="C1455" s="39" t="s">
        <v>238</v>
      </c>
      <c r="D1455" s="40"/>
      <c r="E1455" s="40"/>
      <c r="F1455" s="40"/>
      <c r="G1455" s="40"/>
      <c r="H1455" s="40">
        <f>IF(AND(F1455=0,G1455=0),D1455*E1455,IF(AND(E1455=0,G1455=0),D1455*F1455,IF(AND(E1455=0,F1455=0),D1455*G1455,IF(AND(E1455=0),D1455*F1455*G1455,IF(AND(F1455=0),D1455*E1455*G1455,IF(AND(G1455=0),D1455*E1455*F1455,D1455*E1455*F1455*G1455))))))</f>
        <v>0</v>
      </c>
      <c r="I1455" s="40"/>
      <c r="J1455" s="41" t="str">
        <f>IF(AND(E1455=0,F1455&lt;&gt;0,G1455&lt;&gt;0),"m2",IF(AND(F1455=0,E1455&lt;&gt;0,G1455&lt;&gt;0),"m2",IF(AND(G1455=0,E1455&lt;&gt;0,F1455&lt;&gt;0),"m2",IF(AND(F1455=0,G1455=0),"ml",IF(AND(E1455=0,G1455=0),"ml",IF(AND(E1455=0,F1455=0),"ml",IF(AND(E1455&lt;&gt;0,F1455&lt;&gt;0,G1455&lt;&gt;0),"m3",0)))))))</f>
        <v>ml</v>
      </c>
    </row>
    <row r="1456" spans="2:10" s="1" customFormat="1" ht="12.75" x14ac:dyDescent="0.2">
      <c r="B1456" s="43" t="s">
        <v>249</v>
      </c>
      <c r="C1456" s="43" t="s">
        <v>247</v>
      </c>
      <c r="D1456" s="60"/>
      <c r="E1456" s="40"/>
      <c r="F1456" s="40"/>
      <c r="G1456" s="40"/>
      <c r="H1456" s="40"/>
      <c r="I1456" s="44">
        <f>SUM(H1457:H1457)</f>
        <v>0</v>
      </c>
      <c r="J1456" s="45" t="str">
        <f>+J1457</f>
        <v>ml</v>
      </c>
    </row>
    <row r="1457" spans="2:10" s="1" customFormat="1" ht="12.75" x14ac:dyDescent="0.2">
      <c r="B1457" s="57"/>
      <c r="C1457" s="39" t="s">
        <v>396</v>
      </c>
      <c r="D1457" s="40"/>
      <c r="E1457" s="40"/>
      <c r="F1457" s="40"/>
      <c r="G1457" s="40"/>
      <c r="H1457" s="40">
        <f>IF(AND(F1457=0,G1457=0),D1457*E1457,IF(AND(E1457=0,G1457=0),D1457*F1457,IF(AND(E1457=0,F1457=0),D1457*G1457,IF(AND(E1457=0),D1457*F1457*G1457,IF(AND(F1457=0),D1457*E1457*G1457,IF(AND(G1457=0),D1457*E1457*F1457,D1457*E1457*F1457*G1457))))))</f>
        <v>0</v>
      </c>
      <c r="I1457" s="40"/>
      <c r="J1457" s="41" t="str">
        <f>IF(AND(E1457=0,F1457&lt;&gt;0,G1457&lt;&gt;0),"m2",IF(AND(F1457=0,E1457&lt;&gt;0,G1457&lt;&gt;0),"m2",IF(AND(G1457=0,E1457&lt;&gt;0,F1457&lt;&gt;0),"m2",IF(AND(F1457=0,G1457=0),"ml",IF(AND(E1457=0,G1457=0),"ml",IF(AND(E1457=0,F1457=0),"ml",IF(AND(E1457&lt;&gt;0,F1457&lt;&gt;0,G1457&lt;&gt;0),"m3",0)))))))</f>
        <v>ml</v>
      </c>
    </row>
    <row r="1458" spans="2:10" s="1" customFormat="1" ht="12.75" x14ac:dyDescent="0.2">
      <c r="B1458" s="43" t="s">
        <v>256</v>
      </c>
      <c r="C1458" s="43" t="s">
        <v>226</v>
      </c>
      <c r="D1458" s="60"/>
      <c r="E1458" s="40"/>
      <c r="F1458" s="40"/>
      <c r="G1458" s="40"/>
      <c r="H1458" s="40"/>
      <c r="I1458" s="44">
        <f>SUM(H1459:H1460)</f>
        <v>0</v>
      </c>
      <c r="J1458" s="45" t="str">
        <f>+J1460</f>
        <v>ml</v>
      </c>
    </row>
    <row r="1459" spans="2:10" s="1" customFormat="1" ht="12.75" x14ac:dyDescent="0.2">
      <c r="B1459" s="43"/>
      <c r="C1459" s="39" t="s">
        <v>371</v>
      </c>
      <c r="D1459" s="40"/>
      <c r="E1459" s="40"/>
      <c r="F1459" s="40"/>
      <c r="G1459" s="40"/>
      <c r="H1459" s="40">
        <f t="shared" ref="H1459:H1460" si="68">IF(AND(F1459=0,G1459=0),D1459*E1459,IF(AND(E1459=0,G1459=0),D1459*F1459,IF(AND(E1459=0,F1459=0),D1459*G1459,IF(AND(E1459=0),D1459*F1459*G1459,IF(AND(F1459=0),D1459*E1459*G1459,IF(AND(G1459=0),D1459*E1459*F1459,D1459*E1459*F1459*G1459))))))</f>
        <v>0</v>
      </c>
      <c r="I1459" s="40"/>
      <c r="J1459" s="41" t="str">
        <f t="shared" ref="J1459:J1460" si="69">IF(AND(E1459=0,F1459&lt;&gt;0,G1459&lt;&gt;0),"m2",IF(AND(F1459=0,E1459&lt;&gt;0,G1459&lt;&gt;0),"m2",IF(AND(G1459=0,E1459&lt;&gt;0,F1459&lt;&gt;0),"m2",IF(AND(F1459=0,G1459=0),"ml",IF(AND(E1459=0,G1459=0),"ml",IF(AND(E1459=0,F1459=0),"ml",IF(AND(E1459&lt;&gt;0,F1459&lt;&gt;0,G1459&lt;&gt;0),"m3",0)))))))</f>
        <v>ml</v>
      </c>
    </row>
    <row r="1460" spans="2:10" s="1" customFormat="1" ht="12.75" x14ac:dyDescent="0.2">
      <c r="B1460" s="57"/>
      <c r="C1460" s="39" t="s">
        <v>371</v>
      </c>
      <c r="D1460" s="40"/>
      <c r="E1460" s="40"/>
      <c r="F1460" s="40"/>
      <c r="G1460" s="40"/>
      <c r="H1460" s="40">
        <f t="shared" si="68"/>
        <v>0</v>
      </c>
      <c r="I1460" s="40"/>
      <c r="J1460" s="41" t="str">
        <f t="shared" si="69"/>
        <v>ml</v>
      </c>
    </row>
    <row r="1461" spans="2:10" s="1" customFormat="1" ht="12.75" x14ac:dyDescent="0.2">
      <c r="B1461" s="43" t="s">
        <v>257</v>
      </c>
      <c r="C1461" s="43" t="s">
        <v>228</v>
      </c>
      <c r="D1461" s="60"/>
      <c r="E1461" s="40"/>
      <c r="F1461" s="40"/>
      <c r="G1461" s="40"/>
      <c r="H1461" s="40"/>
      <c r="I1461" s="44">
        <f>SUM(H1462:H1462)</f>
        <v>0</v>
      </c>
      <c r="J1461" s="45" t="str">
        <f>+J1462</f>
        <v>ml</v>
      </c>
    </row>
    <row r="1462" spans="2:10" s="1" customFormat="1" ht="12.75" x14ac:dyDescent="0.2">
      <c r="B1462" s="57"/>
      <c r="C1462" s="39" t="s">
        <v>399</v>
      </c>
      <c r="D1462" s="40"/>
      <c r="E1462" s="40"/>
      <c r="F1462" s="40"/>
      <c r="G1462" s="40"/>
      <c r="H1462" s="40">
        <f>IF(AND(F1462=0,G1462=0),D1462*E1462,IF(AND(E1462=0,G1462=0),D1462*F1462,IF(AND(E1462=0,F1462=0),D1462*G1462,IF(AND(E1462=0),D1462*F1462*G1462,IF(AND(F1462=0),D1462*E1462*G1462,IF(AND(G1462=0),D1462*E1462*F1462,D1462*E1462*F1462*G1462))))))</f>
        <v>0</v>
      </c>
      <c r="I1462" s="40"/>
      <c r="J1462" s="41" t="str">
        <f>IF(AND(E1462=0,F1462&lt;&gt;0,G1462&lt;&gt;0),"m2",IF(AND(F1462=0,E1462&lt;&gt;0,G1462&lt;&gt;0),"m2",IF(AND(G1462=0,E1462&lt;&gt;0,F1462&lt;&gt;0),"m2",IF(AND(F1462=0,G1462=0),"ml",IF(AND(E1462=0,G1462=0),"ml",IF(AND(E1462=0,F1462=0),"ml",IF(AND(E1462&lt;&gt;0,F1462&lt;&gt;0,G1462&lt;&gt;0),"m3",0)))))))</f>
        <v>ml</v>
      </c>
    </row>
    <row r="1463" spans="2:10" s="1" customFormat="1" ht="12.75" x14ac:dyDescent="0.2">
      <c r="B1463" s="43" t="s">
        <v>258</v>
      </c>
      <c r="C1463" s="43" t="s">
        <v>250</v>
      </c>
      <c r="D1463" s="60"/>
      <c r="E1463" s="40"/>
      <c r="F1463" s="40"/>
      <c r="G1463" s="40"/>
      <c r="H1463" s="40"/>
      <c r="I1463" s="44">
        <f>SUM(H1464:H1464)</f>
        <v>0</v>
      </c>
      <c r="J1463" s="45" t="str">
        <f>+J1464</f>
        <v>ml</v>
      </c>
    </row>
    <row r="1464" spans="2:10" s="1" customFormat="1" ht="12.75" x14ac:dyDescent="0.2">
      <c r="B1464" s="57"/>
      <c r="C1464" s="39" t="s">
        <v>388</v>
      </c>
      <c r="D1464" s="40"/>
      <c r="E1464" s="40"/>
      <c r="F1464" s="40"/>
      <c r="G1464" s="40"/>
      <c r="H1464" s="40">
        <f>IF(AND(F1464=0,G1464=0),D1464*E1464,IF(AND(E1464=0,G1464=0),D1464*F1464,IF(AND(E1464=0,F1464=0),D1464*G1464,IF(AND(E1464=0),D1464*F1464*G1464,IF(AND(F1464=0),D1464*E1464*G1464,IF(AND(G1464=0),D1464*E1464*F1464,D1464*E1464*F1464*G1464))))))</f>
        <v>0</v>
      </c>
      <c r="I1464" s="40"/>
      <c r="J1464" s="41" t="str">
        <f>IF(AND(E1464=0,F1464&lt;&gt;0,G1464&lt;&gt;0),"m2",IF(AND(F1464=0,E1464&lt;&gt;0,G1464&lt;&gt;0),"m2",IF(AND(G1464=0,E1464&lt;&gt;0,F1464&lt;&gt;0),"m2",IF(AND(F1464=0,G1464=0),"ml",IF(AND(E1464=0,G1464=0),"ml",IF(AND(E1464=0,F1464=0),"ml",IF(AND(E1464&lt;&gt;0,F1464&lt;&gt;0,G1464&lt;&gt;0),"m3",0)))))))</f>
        <v>ml</v>
      </c>
    </row>
    <row r="1465" spans="2:10" s="1" customFormat="1" ht="12.75" x14ac:dyDescent="0.2">
      <c r="B1465" s="43" t="s">
        <v>259</v>
      </c>
      <c r="C1465" s="43" t="s">
        <v>251</v>
      </c>
      <c r="D1465" s="60"/>
      <c r="E1465" s="40"/>
      <c r="F1465" s="40"/>
      <c r="G1465" s="40"/>
      <c r="H1465" s="40"/>
      <c r="I1465" s="44">
        <f>SUM(H1466:H1466)</f>
        <v>0</v>
      </c>
      <c r="J1465" s="45" t="str">
        <f>+J1466</f>
        <v>ml</v>
      </c>
    </row>
    <row r="1466" spans="2:10" s="1" customFormat="1" ht="12.75" x14ac:dyDescent="0.2">
      <c r="B1466" s="57"/>
      <c r="C1466" s="39" t="s">
        <v>389</v>
      </c>
      <c r="D1466" s="40"/>
      <c r="E1466" s="40"/>
      <c r="F1466" s="40"/>
      <c r="G1466" s="40"/>
      <c r="H1466" s="40">
        <f>IF(AND(F1466=0,G1466=0),D1466*E1466,IF(AND(E1466=0,G1466=0),D1466*F1466,IF(AND(E1466=0,F1466=0),D1466*G1466,IF(AND(E1466=0),D1466*F1466*G1466,IF(AND(F1466=0),D1466*E1466*G1466,IF(AND(G1466=0),D1466*E1466*F1466,D1466*E1466*F1466*G1466))))))</f>
        <v>0</v>
      </c>
      <c r="I1466" s="40"/>
      <c r="J1466" s="41" t="str">
        <f>IF(AND(E1466=0,F1466&lt;&gt;0,G1466&lt;&gt;0),"m2",IF(AND(F1466=0,E1466&lt;&gt;0,G1466&lt;&gt;0),"m2",IF(AND(G1466=0,E1466&lt;&gt;0,F1466&lt;&gt;0),"m2",IF(AND(F1466=0,G1466=0),"ml",IF(AND(E1466=0,G1466=0),"ml",IF(AND(E1466=0,F1466=0),"ml",IF(AND(E1466&lt;&gt;0,F1466&lt;&gt;0,G1466&lt;&gt;0),"m3",0)))))))</f>
        <v>ml</v>
      </c>
    </row>
    <row r="1467" spans="2:10" s="1" customFormat="1" ht="12.75" x14ac:dyDescent="0.2">
      <c r="B1467" s="43" t="s">
        <v>260</v>
      </c>
      <c r="C1467" s="43" t="s">
        <v>252</v>
      </c>
      <c r="D1467" s="60"/>
      <c r="E1467" s="40"/>
      <c r="F1467" s="40"/>
      <c r="G1467" s="40"/>
      <c r="H1467" s="40"/>
      <c r="I1467" s="44">
        <f>SUM(H1468:H1468)</f>
        <v>0</v>
      </c>
      <c r="J1467" s="45" t="str">
        <f>+J1468</f>
        <v>ml</v>
      </c>
    </row>
    <row r="1468" spans="2:10" s="1" customFormat="1" ht="12.75" x14ac:dyDescent="0.2">
      <c r="B1468" s="57"/>
      <c r="C1468" s="39" t="s">
        <v>397</v>
      </c>
      <c r="D1468" s="40"/>
      <c r="E1468" s="40"/>
      <c r="F1468" s="40"/>
      <c r="G1468" s="40"/>
      <c r="H1468" s="40">
        <f>IF(AND(F1468=0,G1468=0),D1468*E1468,IF(AND(E1468=0,G1468=0),D1468*F1468,IF(AND(E1468=0,F1468=0),D1468*G1468,IF(AND(E1468=0),D1468*F1468*G1468,IF(AND(F1468=0),D1468*E1468*G1468,IF(AND(G1468=0),D1468*E1468*F1468,D1468*E1468*F1468*G1468))))))</f>
        <v>0</v>
      </c>
      <c r="I1468" s="40"/>
      <c r="J1468" s="41" t="str">
        <f>IF(AND(E1468=0,F1468&lt;&gt;0,G1468&lt;&gt;0),"m2",IF(AND(F1468=0,E1468&lt;&gt;0,G1468&lt;&gt;0),"m2",IF(AND(G1468=0,E1468&lt;&gt;0,F1468&lt;&gt;0),"m2",IF(AND(F1468=0,G1468=0),"ml",IF(AND(E1468=0,G1468=0),"ml",IF(AND(E1468=0,F1468=0),"ml",IF(AND(E1468&lt;&gt;0,F1468&lt;&gt;0,G1468&lt;&gt;0),"m3",0)))))))</f>
        <v>ml</v>
      </c>
    </row>
    <row r="1469" spans="2:10" s="1" customFormat="1" ht="12.75" x14ac:dyDescent="0.2">
      <c r="B1469" s="43" t="s">
        <v>261</v>
      </c>
      <c r="C1469" s="43" t="s">
        <v>253</v>
      </c>
      <c r="D1469" s="60"/>
      <c r="E1469" s="40"/>
      <c r="F1469" s="40"/>
      <c r="G1469" s="40"/>
      <c r="H1469" s="40"/>
      <c r="I1469" s="44">
        <f>SUM(H1470:H1470)</f>
        <v>0</v>
      </c>
      <c r="J1469" s="45" t="str">
        <f>+J1470</f>
        <v>und</v>
      </c>
    </row>
    <row r="1470" spans="2:10" s="1" customFormat="1" ht="12.75" x14ac:dyDescent="0.2">
      <c r="B1470" s="43"/>
      <c r="C1470" s="39" t="s">
        <v>402</v>
      </c>
      <c r="D1470" s="40"/>
      <c r="E1470" s="40"/>
      <c r="F1470" s="40"/>
      <c r="G1470" s="40"/>
      <c r="H1470" s="40">
        <f t="shared" ref="H1470" si="70">+D1470</f>
        <v>0</v>
      </c>
      <c r="I1470" s="40"/>
      <c r="J1470" s="41" t="s">
        <v>13</v>
      </c>
    </row>
    <row r="1471" spans="2:10" s="1" customFormat="1" ht="12.75" x14ac:dyDescent="0.2">
      <c r="B1471" s="43" t="s">
        <v>262</v>
      </c>
      <c r="C1471" s="43" t="s">
        <v>254</v>
      </c>
      <c r="D1471" s="60"/>
      <c r="E1471" s="40"/>
      <c r="F1471" s="40"/>
      <c r="G1471" s="40"/>
      <c r="H1471" s="40"/>
      <c r="I1471" s="44">
        <f>SUM(H1472:H1472)</f>
        <v>0</v>
      </c>
      <c r="J1471" s="45" t="str">
        <f>+J1472</f>
        <v>und</v>
      </c>
    </row>
    <row r="1472" spans="2:10" s="1" customFormat="1" ht="12.75" x14ac:dyDescent="0.2">
      <c r="B1472" s="57"/>
      <c r="C1472" s="39" t="s">
        <v>238</v>
      </c>
      <c r="D1472" s="40"/>
      <c r="E1472" s="40"/>
      <c r="F1472" s="40"/>
      <c r="G1472" s="40"/>
      <c r="H1472" s="40">
        <f>+D1472</f>
        <v>0</v>
      </c>
      <c r="I1472" s="40"/>
      <c r="J1472" s="41" t="s">
        <v>13</v>
      </c>
    </row>
    <row r="1473" spans="2:10" s="1" customFormat="1" ht="12.75" x14ac:dyDescent="0.2">
      <c r="B1473" s="43" t="s">
        <v>350</v>
      </c>
      <c r="C1473" s="43" t="s">
        <v>255</v>
      </c>
      <c r="D1473" s="60"/>
      <c r="E1473" s="40"/>
      <c r="F1473" s="40"/>
      <c r="G1473" s="40"/>
      <c r="H1473" s="40"/>
      <c r="I1473" s="44">
        <f>SUM(H1474:H1474)</f>
        <v>0</v>
      </c>
      <c r="J1473" s="45" t="str">
        <f>+J1474</f>
        <v>und</v>
      </c>
    </row>
    <row r="1474" spans="2:10" s="1" customFormat="1" ht="12.75" x14ac:dyDescent="0.2">
      <c r="B1474" s="57"/>
      <c r="C1474" s="39" t="s">
        <v>395</v>
      </c>
      <c r="D1474" s="40"/>
      <c r="E1474" s="40"/>
      <c r="F1474" s="40"/>
      <c r="G1474" s="40"/>
      <c r="H1474" s="40">
        <f>+D1474</f>
        <v>0</v>
      </c>
      <c r="I1474" s="40"/>
      <c r="J1474" s="41" t="s">
        <v>13</v>
      </c>
    </row>
    <row r="1475" spans="2:10" s="1" customFormat="1" ht="12.75" x14ac:dyDescent="0.2">
      <c r="B1475" s="57" t="s">
        <v>18</v>
      </c>
      <c r="C1475" s="58" t="s">
        <v>223</v>
      </c>
      <c r="D1475" s="60"/>
      <c r="E1475" s="40"/>
      <c r="F1475" s="40"/>
      <c r="G1475" s="40"/>
      <c r="H1475" s="40"/>
      <c r="I1475" s="40"/>
      <c r="J1475" s="41"/>
    </row>
    <row r="1476" spans="2:10" s="1" customFormat="1" ht="12.75" x14ac:dyDescent="0.2">
      <c r="B1476" s="43" t="s">
        <v>19</v>
      </c>
      <c r="C1476" s="43" t="s">
        <v>265</v>
      </c>
      <c r="D1476" s="60"/>
      <c r="E1476" s="40"/>
      <c r="F1476" s="40"/>
      <c r="G1476" s="40"/>
      <c r="H1476" s="40"/>
      <c r="I1476" s="44">
        <f>SUM(H1477:H1478)</f>
        <v>5</v>
      </c>
      <c r="J1476" s="45" t="str">
        <f>+J1477</f>
        <v>und</v>
      </c>
    </row>
    <row r="1477" spans="2:10" s="1" customFormat="1" ht="12.75" x14ac:dyDescent="0.2">
      <c r="B1477" s="46"/>
      <c r="C1477" s="39" t="s">
        <v>361</v>
      </c>
      <c r="D1477" s="40"/>
      <c r="E1477" s="40"/>
      <c r="F1477" s="40"/>
      <c r="G1477" s="40"/>
      <c r="H1477" s="40">
        <f>+D1477</f>
        <v>0</v>
      </c>
      <c r="I1477" s="40"/>
      <c r="J1477" s="41" t="s">
        <v>13</v>
      </c>
    </row>
    <row r="1478" spans="2:10" s="1" customFormat="1" ht="12.75" x14ac:dyDescent="0.2">
      <c r="B1478" s="46"/>
      <c r="C1478" s="39" t="s">
        <v>231</v>
      </c>
      <c r="D1478" s="40">
        <v>5</v>
      </c>
      <c r="E1478" s="40"/>
      <c r="F1478" s="40"/>
      <c r="G1478" s="40"/>
      <c r="H1478" s="40">
        <f>+D1478</f>
        <v>5</v>
      </c>
      <c r="I1478" s="40"/>
      <c r="J1478" s="41" t="s">
        <v>13</v>
      </c>
    </row>
    <row r="1479" spans="2:10" s="1" customFormat="1" ht="12.75" x14ac:dyDescent="0.2">
      <c r="B1479" s="43" t="s">
        <v>20</v>
      </c>
      <c r="C1479" s="43" t="s">
        <v>272</v>
      </c>
      <c r="D1479" s="60"/>
      <c r="E1479" s="40"/>
      <c r="F1479" s="40"/>
      <c r="G1479" s="40"/>
      <c r="H1479" s="40"/>
      <c r="I1479" s="44">
        <f>SUM(H1480:H1485)</f>
        <v>9</v>
      </c>
      <c r="J1479" s="45" t="str">
        <f>+J1480</f>
        <v>und</v>
      </c>
    </row>
    <row r="1480" spans="2:10" s="1" customFormat="1" ht="12.75" x14ac:dyDescent="0.2">
      <c r="B1480" s="46"/>
      <c r="C1480" s="77" t="s">
        <v>71</v>
      </c>
      <c r="D1480" s="40"/>
      <c r="E1480" s="40"/>
      <c r="F1480" s="40"/>
      <c r="G1480" s="40"/>
      <c r="H1480" s="40"/>
      <c r="I1480" s="40"/>
      <c r="J1480" s="41" t="s">
        <v>13</v>
      </c>
    </row>
    <row r="1481" spans="2:10" s="1" customFormat="1" ht="12.75" x14ac:dyDescent="0.2">
      <c r="B1481" s="46"/>
      <c r="C1481" s="39" t="s">
        <v>349</v>
      </c>
      <c r="D1481" s="40">
        <v>3</v>
      </c>
      <c r="E1481" s="40"/>
      <c r="F1481" s="40"/>
      <c r="G1481" s="40"/>
      <c r="H1481" s="40">
        <f>+D1481</f>
        <v>3</v>
      </c>
      <c r="I1481" s="40"/>
      <c r="J1481" s="41" t="s">
        <v>13</v>
      </c>
    </row>
    <row r="1482" spans="2:10" s="1" customFormat="1" ht="12.75" x14ac:dyDescent="0.2">
      <c r="B1482" s="46"/>
      <c r="C1482" s="77" t="s">
        <v>72</v>
      </c>
      <c r="D1482" s="40"/>
      <c r="E1482" s="40"/>
      <c r="F1482" s="40"/>
      <c r="G1482" s="40"/>
      <c r="H1482" s="40"/>
      <c r="I1482" s="40"/>
      <c r="J1482" s="41" t="s">
        <v>13</v>
      </c>
    </row>
    <row r="1483" spans="2:10" s="1" customFormat="1" ht="12.75" x14ac:dyDescent="0.2">
      <c r="B1483" s="46"/>
      <c r="C1483" s="39" t="s">
        <v>349</v>
      </c>
      <c r="D1483" s="40">
        <v>3</v>
      </c>
      <c r="E1483" s="40"/>
      <c r="F1483" s="40"/>
      <c r="G1483" s="40"/>
      <c r="H1483" s="40">
        <f>+D1483</f>
        <v>3</v>
      </c>
      <c r="I1483" s="40"/>
      <c r="J1483" s="41" t="s">
        <v>13</v>
      </c>
    </row>
    <row r="1484" spans="2:10" s="1" customFormat="1" ht="12.75" x14ac:dyDescent="0.2">
      <c r="B1484" s="46"/>
      <c r="C1484" s="77" t="s">
        <v>73</v>
      </c>
      <c r="D1484" s="40"/>
      <c r="E1484" s="40"/>
      <c r="F1484" s="40"/>
      <c r="G1484" s="40"/>
      <c r="H1484" s="40"/>
      <c r="I1484" s="40"/>
      <c r="J1484" s="41" t="s">
        <v>13</v>
      </c>
    </row>
    <row r="1485" spans="2:10" s="1" customFormat="1" ht="12.75" x14ac:dyDescent="0.2">
      <c r="B1485" s="46"/>
      <c r="C1485" s="39" t="s">
        <v>349</v>
      </c>
      <c r="D1485" s="40">
        <v>3</v>
      </c>
      <c r="E1485" s="40"/>
      <c r="F1485" s="40"/>
      <c r="G1485" s="40"/>
      <c r="H1485" s="40">
        <f>+D1485</f>
        <v>3</v>
      </c>
      <c r="I1485" s="40"/>
      <c r="J1485" s="41" t="s">
        <v>13</v>
      </c>
    </row>
    <row r="1486" spans="2:10" s="1" customFormat="1" ht="12.75" x14ac:dyDescent="0.2">
      <c r="B1486" s="43" t="s">
        <v>21</v>
      </c>
      <c r="C1486" s="43" t="s">
        <v>266</v>
      </c>
      <c r="D1486" s="60"/>
      <c r="E1486" s="40"/>
      <c r="F1486" s="40"/>
      <c r="G1486" s="40"/>
      <c r="H1486" s="40"/>
      <c r="I1486" s="44">
        <f>SUM(H1487:H1489)</f>
        <v>0</v>
      </c>
      <c r="J1486" s="45" t="str">
        <f>+J1487</f>
        <v>und</v>
      </c>
    </row>
    <row r="1487" spans="2:10" s="1" customFormat="1" ht="12.75" x14ac:dyDescent="0.2">
      <c r="B1487" s="43"/>
      <c r="C1487" s="39" t="s">
        <v>71</v>
      </c>
      <c r="D1487" s="40"/>
      <c r="E1487" s="40"/>
      <c r="F1487" s="40"/>
      <c r="G1487" s="40"/>
      <c r="H1487" s="40">
        <f t="shared" ref="H1487:H1489" si="71">+D1487</f>
        <v>0</v>
      </c>
      <c r="I1487" s="40"/>
      <c r="J1487" s="41" t="s">
        <v>13</v>
      </c>
    </row>
    <row r="1488" spans="2:10" s="1" customFormat="1" ht="12.75" x14ac:dyDescent="0.2">
      <c r="B1488" s="43"/>
      <c r="C1488" s="39" t="s">
        <v>72</v>
      </c>
      <c r="D1488" s="40"/>
      <c r="E1488" s="40"/>
      <c r="F1488" s="40"/>
      <c r="G1488" s="40"/>
      <c r="H1488" s="40">
        <f t="shared" si="71"/>
        <v>0</v>
      </c>
      <c r="I1488" s="40"/>
      <c r="J1488" s="41" t="s">
        <v>13</v>
      </c>
    </row>
    <row r="1489" spans="2:10" s="1" customFormat="1" ht="12.75" x14ac:dyDescent="0.2">
      <c r="B1489" s="43"/>
      <c r="C1489" s="39" t="s">
        <v>73</v>
      </c>
      <c r="D1489" s="40"/>
      <c r="E1489" s="40"/>
      <c r="F1489" s="40"/>
      <c r="G1489" s="40"/>
      <c r="H1489" s="40">
        <f t="shared" si="71"/>
        <v>0</v>
      </c>
      <c r="I1489" s="40"/>
      <c r="J1489" s="41" t="s">
        <v>13</v>
      </c>
    </row>
    <row r="1490" spans="2:10" s="1" customFormat="1" ht="12.75" x14ac:dyDescent="0.2">
      <c r="B1490" s="43" t="s">
        <v>273</v>
      </c>
      <c r="C1490" s="43" t="s">
        <v>354</v>
      </c>
      <c r="D1490" s="60"/>
      <c r="E1490" s="40"/>
      <c r="F1490" s="40"/>
      <c r="G1490" s="40"/>
      <c r="H1490" s="40"/>
      <c r="I1490" s="44">
        <f>SUM(H1491:H1491)</f>
        <v>4</v>
      </c>
      <c r="J1490" s="45" t="str">
        <f>+J1491</f>
        <v>und</v>
      </c>
    </row>
    <row r="1491" spans="2:10" s="1" customFormat="1" ht="12.75" x14ac:dyDescent="0.2">
      <c r="B1491" s="43"/>
      <c r="C1491" s="39" t="s">
        <v>375</v>
      </c>
      <c r="D1491" s="40">
        <v>1</v>
      </c>
      <c r="E1491" s="40">
        <v>4</v>
      </c>
      <c r="F1491" s="40"/>
      <c r="G1491" s="40"/>
      <c r="H1491" s="40">
        <f>IF(AND(F1491=0,G1491=0),D1491*E1491,IF(AND(E1491=0,G1491=0),D1491*F1491,IF(AND(E1491=0,F1491=0),D1491*G1491,IF(AND(E1491=0),D1491*F1491*G1491,IF(AND(F1491=0),D1491*E1491*G1491,IF(AND(G1491=0),D1491*E1491*F1491,D1491*E1491*F1491*G1491))))))</f>
        <v>4</v>
      </c>
      <c r="I1491" s="40"/>
      <c r="J1491" s="41" t="s">
        <v>13</v>
      </c>
    </row>
    <row r="1492" spans="2:10" s="1" customFormat="1" ht="12.75" x14ac:dyDescent="0.2">
      <c r="B1492" s="43" t="s">
        <v>274</v>
      </c>
      <c r="C1492" s="43" t="s">
        <v>357</v>
      </c>
      <c r="D1492" s="60"/>
      <c r="E1492" s="40"/>
      <c r="F1492" s="40"/>
      <c r="G1492" s="40"/>
      <c r="H1492" s="40"/>
      <c r="I1492" s="44">
        <f>SUM(H1493:H1493)</f>
        <v>1</v>
      </c>
      <c r="J1492" s="45" t="str">
        <f>+J1493</f>
        <v>und</v>
      </c>
    </row>
    <row r="1493" spans="2:10" s="1" customFormat="1" ht="12.75" x14ac:dyDescent="0.2">
      <c r="B1493" s="43"/>
      <c r="C1493" s="39" t="s">
        <v>375</v>
      </c>
      <c r="D1493" s="40">
        <v>1</v>
      </c>
      <c r="E1493" s="40"/>
      <c r="F1493" s="40"/>
      <c r="G1493" s="40"/>
      <c r="H1493" s="40">
        <f t="shared" ref="H1493" si="72">+D1493</f>
        <v>1</v>
      </c>
      <c r="I1493" s="40"/>
      <c r="J1493" s="41" t="s">
        <v>13</v>
      </c>
    </row>
    <row r="1494" spans="2:10" s="1" customFormat="1" ht="12.75" x14ac:dyDescent="0.2">
      <c r="B1494" s="43" t="s">
        <v>355</v>
      </c>
      <c r="C1494" s="43" t="s">
        <v>263</v>
      </c>
      <c r="D1494" s="60"/>
      <c r="E1494" s="40"/>
      <c r="F1494" s="40"/>
      <c r="G1494" s="40"/>
      <c r="H1494" s="40"/>
      <c r="I1494" s="44">
        <f>SUM(H1495:H1495)</f>
        <v>0</v>
      </c>
      <c r="J1494" s="45" t="str">
        <f>+J1495</f>
        <v>und</v>
      </c>
    </row>
    <row r="1495" spans="2:10" s="1" customFormat="1" ht="12.75" x14ac:dyDescent="0.2">
      <c r="B1495" s="46"/>
      <c r="C1495" s="39" t="s">
        <v>420</v>
      </c>
      <c r="D1495" s="40"/>
      <c r="E1495" s="40"/>
      <c r="F1495" s="40"/>
      <c r="G1495" s="40"/>
      <c r="H1495" s="40">
        <f>+D1495</f>
        <v>0</v>
      </c>
      <c r="I1495" s="40"/>
      <c r="J1495" s="41" t="s">
        <v>13</v>
      </c>
    </row>
    <row r="1496" spans="2:10" s="1" customFormat="1" ht="12.75" x14ac:dyDescent="0.2">
      <c r="B1496" s="43" t="s">
        <v>356</v>
      </c>
      <c r="C1496" s="43" t="s">
        <v>264</v>
      </c>
      <c r="D1496" s="60"/>
      <c r="E1496" s="40"/>
      <c r="F1496" s="40"/>
      <c r="G1496" s="40"/>
      <c r="H1496" s="40"/>
      <c r="I1496" s="44">
        <f>SUM(H1497:H1497)</f>
        <v>0</v>
      </c>
      <c r="J1496" s="45" t="str">
        <f>+J1497</f>
        <v>und</v>
      </c>
    </row>
    <row r="1497" spans="2:10" s="1" customFormat="1" ht="12.75" x14ac:dyDescent="0.2">
      <c r="B1497" s="46"/>
      <c r="C1497" s="39" t="s">
        <v>420</v>
      </c>
      <c r="D1497" s="40"/>
      <c r="E1497" s="40"/>
      <c r="F1497" s="40"/>
      <c r="G1497" s="40"/>
      <c r="H1497" s="40">
        <f>+D1497</f>
        <v>0</v>
      </c>
      <c r="I1497" s="40"/>
      <c r="J1497" s="41" t="s">
        <v>13</v>
      </c>
    </row>
    <row r="1498" spans="2:10" s="1" customFormat="1" ht="12.75" x14ac:dyDescent="0.2">
      <c r="B1498" s="46"/>
      <c r="C1498" s="59"/>
      <c r="D1498" s="60"/>
      <c r="E1498" s="40"/>
      <c r="F1498" s="40"/>
      <c r="G1498" s="40"/>
      <c r="H1498" s="40"/>
      <c r="I1498" s="40"/>
      <c r="J1498" s="41"/>
    </row>
    <row r="1499" spans="2:10" s="1" customFormat="1" ht="12.75" x14ac:dyDescent="0.2">
      <c r="B1499" s="46"/>
      <c r="C1499" s="59"/>
      <c r="D1499" s="60"/>
      <c r="E1499" s="40"/>
      <c r="F1499" s="40"/>
      <c r="G1499" s="40"/>
      <c r="H1499" s="40"/>
      <c r="I1499" s="40"/>
      <c r="J1499" s="41"/>
    </row>
    <row r="1500" spans="2:10" s="1" customFormat="1" ht="12.75" x14ac:dyDescent="0.2">
      <c r="B1500" s="46"/>
      <c r="C1500" s="59"/>
      <c r="D1500" s="60"/>
      <c r="E1500" s="40"/>
      <c r="F1500" s="40"/>
      <c r="G1500" s="40"/>
      <c r="H1500" s="40"/>
      <c r="I1500" s="40"/>
      <c r="J1500" s="41"/>
    </row>
    <row r="1501" spans="2:10" s="1" customFormat="1" ht="12.75" x14ac:dyDescent="0.2">
      <c r="B1501" s="46"/>
      <c r="C1501" s="59"/>
      <c r="D1501" s="60"/>
      <c r="E1501" s="40"/>
      <c r="F1501" s="40"/>
      <c r="G1501" s="40"/>
      <c r="H1501" s="40"/>
      <c r="I1501" s="40"/>
      <c r="J1501" s="41"/>
    </row>
    <row r="1502" spans="2:10" s="1" customFormat="1" ht="12.75" x14ac:dyDescent="0.2">
      <c r="B1502" s="46"/>
      <c r="C1502" s="59"/>
      <c r="D1502" s="60"/>
      <c r="E1502" s="40"/>
      <c r="F1502" s="40"/>
      <c r="G1502" s="40"/>
      <c r="H1502" s="40"/>
      <c r="I1502" s="40"/>
      <c r="J1502" s="41"/>
    </row>
    <row r="1503" spans="2:10" s="1" customFormat="1" ht="12.75" x14ac:dyDescent="0.2">
      <c r="B1503" s="46"/>
      <c r="C1503" s="59"/>
      <c r="D1503" s="60"/>
      <c r="E1503" s="40"/>
      <c r="F1503" s="40"/>
      <c r="G1503" s="40"/>
      <c r="H1503" s="40"/>
      <c r="I1503" s="40"/>
      <c r="J1503" s="41"/>
    </row>
    <row r="1504" spans="2:10" s="1" customFormat="1" ht="12.75" x14ac:dyDescent="0.2">
      <c r="B1504" s="46"/>
      <c r="C1504" s="59"/>
      <c r="D1504" s="60"/>
      <c r="E1504" s="40"/>
      <c r="F1504" s="40"/>
      <c r="G1504" s="40"/>
      <c r="H1504" s="40"/>
      <c r="I1504" s="40"/>
      <c r="J1504" s="41"/>
    </row>
    <row r="1505" spans="2:10" s="1" customFormat="1" ht="12.75" x14ac:dyDescent="0.2">
      <c r="B1505" s="46"/>
      <c r="C1505" s="59"/>
      <c r="D1505" s="60"/>
      <c r="E1505" s="40"/>
      <c r="F1505" s="40"/>
      <c r="G1505" s="40"/>
      <c r="H1505" s="40"/>
      <c r="I1505" s="40"/>
      <c r="J1505" s="41"/>
    </row>
    <row r="1506" spans="2:10" s="1" customFormat="1" ht="12.75" x14ac:dyDescent="0.2">
      <c r="B1506" s="46"/>
      <c r="C1506" s="59"/>
      <c r="D1506" s="60"/>
      <c r="E1506" s="40"/>
      <c r="F1506" s="40"/>
      <c r="G1506" s="40"/>
      <c r="H1506" s="40"/>
      <c r="I1506" s="40"/>
      <c r="J1506" s="41"/>
    </row>
    <row r="1507" spans="2:10" s="1" customFormat="1" ht="12.75" x14ac:dyDescent="0.2">
      <c r="B1507" s="46"/>
      <c r="C1507" s="59"/>
      <c r="D1507" s="60"/>
      <c r="E1507" s="40"/>
      <c r="F1507" s="40"/>
      <c r="G1507" s="40"/>
      <c r="H1507" s="40"/>
      <c r="I1507" s="40"/>
      <c r="J1507" s="41"/>
    </row>
    <row r="1508" spans="2:10" s="1" customFormat="1" ht="12.75" x14ac:dyDescent="0.2">
      <c r="B1508" s="46"/>
      <c r="C1508" s="59"/>
      <c r="D1508" s="60"/>
      <c r="E1508" s="40"/>
      <c r="F1508" s="40"/>
      <c r="G1508" s="40"/>
      <c r="H1508" s="40"/>
      <c r="I1508" s="40"/>
      <c r="J1508" s="41"/>
    </row>
    <row r="1509" spans="2:10" s="1" customFormat="1" ht="12.75" x14ac:dyDescent="0.2">
      <c r="B1509" s="46"/>
      <c r="C1509" s="59"/>
      <c r="D1509" s="60"/>
      <c r="E1509" s="40"/>
      <c r="F1509" s="40"/>
      <c r="G1509" s="40"/>
      <c r="H1509" s="40"/>
      <c r="I1509" s="40"/>
      <c r="J1509" s="41"/>
    </row>
    <row r="1510" spans="2:10" s="1" customFormat="1" ht="12.75" x14ac:dyDescent="0.2">
      <c r="B1510" s="46"/>
      <c r="C1510" s="59"/>
      <c r="D1510" s="60"/>
      <c r="E1510" s="40"/>
      <c r="F1510" s="40"/>
      <c r="G1510" s="40"/>
      <c r="H1510" s="40"/>
      <c r="I1510" s="40"/>
      <c r="J1510" s="41"/>
    </row>
    <row r="1511" spans="2:10" s="1" customFormat="1" ht="12.75" x14ac:dyDescent="0.2">
      <c r="B1511" s="46"/>
      <c r="C1511" s="59"/>
      <c r="D1511" s="60"/>
      <c r="E1511" s="40"/>
      <c r="F1511" s="40"/>
      <c r="G1511" s="40"/>
      <c r="H1511" s="40"/>
      <c r="I1511" s="40"/>
      <c r="J1511" s="41"/>
    </row>
    <row r="1512" spans="2:10" s="1" customFormat="1" ht="12.75" x14ac:dyDescent="0.2">
      <c r="B1512" s="46"/>
      <c r="C1512" s="59"/>
      <c r="D1512" s="60"/>
      <c r="E1512" s="40"/>
      <c r="F1512" s="40"/>
      <c r="G1512" s="40"/>
      <c r="H1512" s="40"/>
      <c r="I1512" s="40"/>
      <c r="J1512" s="41"/>
    </row>
    <row r="1513" spans="2:10" s="1" customFormat="1" ht="12.75" x14ac:dyDescent="0.2">
      <c r="B1513" s="46"/>
      <c r="C1513" s="59"/>
      <c r="D1513" s="60"/>
      <c r="E1513" s="40"/>
      <c r="F1513" s="40"/>
      <c r="G1513" s="40"/>
      <c r="H1513" s="40"/>
      <c r="I1513" s="40"/>
      <c r="J1513" s="41"/>
    </row>
    <row r="1514" spans="2:10" s="1" customFormat="1" ht="12.75" x14ac:dyDescent="0.2">
      <c r="B1514" s="46"/>
      <c r="C1514" s="59"/>
      <c r="D1514" s="60"/>
      <c r="E1514" s="40"/>
      <c r="F1514" s="40"/>
      <c r="G1514" s="40"/>
      <c r="H1514" s="40"/>
      <c r="I1514" s="40"/>
      <c r="J1514" s="41"/>
    </row>
    <row r="1515" spans="2:10" s="1" customFormat="1" ht="12.75" x14ac:dyDescent="0.2">
      <c r="B1515" s="46"/>
      <c r="C1515" s="59"/>
      <c r="D1515" s="60"/>
      <c r="E1515" s="40"/>
      <c r="F1515" s="40"/>
      <c r="G1515" s="40"/>
      <c r="H1515" s="40"/>
      <c r="I1515" s="40"/>
      <c r="J1515" s="41"/>
    </row>
    <row r="1516" spans="2:10" s="1" customFormat="1" ht="12.75" x14ac:dyDescent="0.2">
      <c r="B1516" s="46"/>
      <c r="C1516" s="59"/>
      <c r="D1516" s="60"/>
      <c r="E1516" s="40"/>
      <c r="F1516" s="40"/>
      <c r="G1516" s="40"/>
      <c r="H1516" s="40"/>
      <c r="I1516" s="40"/>
      <c r="J1516" s="41"/>
    </row>
    <row r="1517" spans="2:10" s="1" customFormat="1" ht="12.75" x14ac:dyDescent="0.2">
      <c r="B1517" s="46"/>
      <c r="C1517" s="59"/>
      <c r="D1517" s="60"/>
      <c r="E1517" s="40"/>
      <c r="F1517" s="40"/>
      <c r="G1517" s="40"/>
      <c r="H1517" s="40"/>
      <c r="I1517" s="40"/>
      <c r="J1517" s="41"/>
    </row>
    <row r="1518" spans="2:10" s="1" customFormat="1" ht="12.75" x14ac:dyDescent="0.2">
      <c r="B1518" s="46"/>
      <c r="C1518" s="59"/>
      <c r="D1518" s="60"/>
      <c r="E1518" s="40"/>
      <c r="F1518" s="40"/>
      <c r="G1518" s="40"/>
      <c r="H1518" s="40"/>
      <c r="I1518" s="40"/>
      <c r="J1518" s="41"/>
    </row>
    <row r="1519" spans="2:10" s="1" customFormat="1" ht="12.75" x14ac:dyDescent="0.2">
      <c r="B1519" s="46"/>
      <c r="C1519" s="59"/>
      <c r="D1519" s="60"/>
      <c r="E1519" s="40"/>
      <c r="F1519" s="40"/>
      <c r="G1519" s="40"/>
      <c r="H1519" s="40"/>
      <c r="I1519" s="40"/>
      <c r="J1519" s="41"/>
    </row>
    <row r="1520" spans="2:10" s="1" customFormat="1" ht="12.75" x14ac:dyDescent="0.2">
      <c r="B1520" s="46"/>
      <c r="C1520" s="59"/>
      <c r="D1520" s="60"/>
      <c r="E1520" s="40"/>
      <c r="F1520" s="40"/>
      <c r="G1520" s="40"/>
      <c r="H1520" s="40"/>
      <c r="I1520" s="40"/>
      <c r="J1520" s="41"/>
    </row>
    <row r="1521" spans="2:10" s="1" customFormat="1" ht="12.75" x14ac:dyDescent="0.2">
      <c r="B1521" s="46"/>
      <c r="C1521" s="59"/>
      <c r="D1521" s="60"/>
      <c r="E1521" s="40"/>
      <c r="F1521" s="40"/>
      <c r="G1521" s="40"/>
      <c r="H1521" s="40"/>
      <c r="I1521" s="40"/>
      <c r="J1521" s="41"/>
    </row>
    <row r="1522" spans="2:10" s="1" customFormat="1" ht="12.75" x14ac:dyDescent="0.2">
      <c r="B1522" s="46"/>
      <c r="C1522" s="59"/>
      <c r="D1522" s="60"/>
      <c r="E1522" s="40"/>
      <c r="F1522" s="40"/>
      <c r="G1522" s="40"/>
      <c r="H1522" s="40"/>
      <c r="I1522" s="40"/>
      <c r="J1522" s="41"/>
    </row>
    <row r="1523" spans="2:10" s="1" customFormat="1" ht="12.75" x14ac:dyDescent="0.2">
      <c r="B1523" s="46"/>
      <c r="C1523" s="59"/>
      <c r="D1523" s="60"/>
      <c r="E1523" s="40"/>
      <c r="F1523" s="40"/>
      <c r="G1523" s="40"/>
      <c r="H1523" s="40"/>
      <c r="I1523" s="40"/>
      <c r="J1523" s="41"/>
    </row>
    <row r="1524" spans="2:10" s="1" customFormat="1" ht="12.75" x14ac:dyDescent="0.2">
      <c r="B1524" s="46"/>
      <c r="C1524" s="59"/>
      <c r="D1524" s="60"/>
      <c r="E1524" s="40"/>
      <c r="F1524" s="40"/>
      <c r="G1524" s="40"/>
      <c r="H1524" s="40"/>
      <c r="I1524" s="40"/>
      <c r="J1524" s="41"/>
    </row>
    <row r="1525" spans="2:10" s="1" customFormat="1" ht="12.75" x14ac:dyDescent="0.2">
      <c r="B1525" s="46"/>
      <c r="C1525" s="59"/>
      <c r="D1525" s="60"/>
      <c r="E1525" s="40"/>
      <c r="F1525" s="40"/>
      <c r="G1525" s="40"/>
      <c r="H1525" s="40"/>
      <c r="I1525" s="40"/>
      <c r="J1525" s="41"/>
    </row>
    <row r="1526" spans="2:10" s="1" customFormat="1" ht="12.75" x14ac:dyDescent="0.2">
      <c r="B1526" s="46"/>
      <c r="C1526" s="59"/>
      <c r="D1526" s="60"/>
      <c r="E1526" s="40"/>
      <c r="F1526" s="40"/>
      <c r="G1526" s="40"/>
      <c r="H1526" s="40"/>
      <c r="I1526" s="40"/>
      <c r="J1526" s="41"/>
    </row>
    <row r="1527" spans="2:10" s="1" customFormat="1" ht="12.75" x14ac:dyDescent="0.2">
      <c r="B1527" s="46"/>
      <c r="C1527" s="59"/>
      <c r="D1527" s="60"/>
      <c r="E1527" s="40"/>
      <c r="F1527" s="40"/>
      <c r="G1527" s="40"/>
      <c r="H1527" s="40"/>
      <c r="I1527" s="40"/>
      <c r="J1527" s="41"/>
    </row>
    <row r="1528" spans="2:10" s="1" customFormat="1" ht="12.75" x14ac:dyDescent="0.2">
      <c r="B1528" s="46"/>
      <c r="C1528" s="59"/>
      <c r="D1528" s="60"/>
      <c r="E1528" s="40"/>
      <c r="F1528" s="40"/>
      <c r="G1528" s="40"/>
      <c r="H1528" s="40"/>
      <c r="I1528" s="40"/>
      <c r="J1528" s="41"/>
    </row>
    <row r="1529" spans="2:10" s="1" customFormat="1" ht="12.75" x14ac:dyDescent="0.2">
      <c r="B1529" s="46"/>
      <c r="C1529" s="59"/>
      <c r="D1529" s="60"/>
      <c r="E1529" s="40"/>
      <c r="F1529" s="40"/>
      <c r="G1529" s="40"/>
      <c r="H1529" s="40"/>
      <c r="I1529" s="40"/>
      <c r="J1529" s="41"/>
    </row>
    <row r="1530" spans="2:10" s="1" customFormat="1" ht="12.75" x14ac:dyDescent="0.2">
      <c r="B1530" s="46"/>
      <c r="C1530" s="59"/>
      <c r="D1530" s="60"/>
      <c r="E1530" s="40"/>
      <c r="F1530" s="40"/>
      <c r="G1530" s="40"/>
      <c r="H1530" s="40"/>
      <c r="I1530" s="40"/>
      <c r="J1530" s="41"/>
    </row>
    <row r="1531" spans="2:10" s="1" customFormat="1" ht="12.75" x14ac:dyDescent="0.2">
      <c r="B1531" s="46"/>
      <c r="C1531" s="59"/>
      <c r="D1531" s="60"/>
      <c r="E1531" s="40"/>
      <c r="F1531" s="40"/>
      <c r="G1531" s="40"/>
      <c r="H1531" s="40"/>
      <c r="I1531" s="40"/>
      <c r="J1531" s="41"/>
    </row>
    <row r="1532" spans="2:10" s="1" customFormat="1" ht="12.75" x14ac:dyDescent="0.2">
      <c r="B1532" s="46"/>
      <c r="C1532" s="59"/>
      <c r="D1532" s="60"/>
      <c r="E1532" s="40"/>
      <c r="F1532" s="40"/>
      <c r="G1532" s="40"/>
      <c r="H1532" s="40"/>
      <c r="I1532" s="40"/>
      <c r="J1532" s="41"/>
    </row>
    <row r="1533" spans="2:10" s="1" customFormat="1" ht="12.75" x14ac:dyDescent="0.2">
      <c r="B1533" s="46"/>
      <c r="C1533" s="59"/>
      <c r="D1533" s="60"/>
      <c r="E1533" s="40"/>
      <c r="F1533" s="40"/>
      <c r="G1533" s="40"/>
      <c r="H1533" s="40"/>
      <c r="I1533" s="40"/>
      <c r="J1533" s="41"/>
    </row>
    <row r="1534" spans="2:10" s="1" customFormat="1" ht="12.75" x14ac:dyDescent="0.2">
      <c r="B1534" s="46"/>
      <c r="C1534" s="59"/>
      <c r="D1534" s="60"/>
      <c r="E1534" s="40"/>
      <c r="F1534" s="40"/>
      <c r="G1534" s="40"/>
      <c r="H1534" s="40"/>
      <c r="I1534" s="40"/>
      <c r="J1534" s="41"/>
    </row>
    <row r="1535" spans="2:10" s="1" customFormat="1" ht="12.75" x14ac:dyDescent="0.2">
      <c r="B1535" s="46"/>
      <c r="C1535" s="59"/>
      <c r="D1535" s="60"/>
      <c r="E1535" s="40"/>
      <c r="F1535" s="40"/>
      <c r="G1535" s="40"/>
      <c r="H1535" s="40"/>
      <c r="I1535" s="40"/>
      <c r="J1535" s="41"/>
    </row>
    <row r="1536" spans="2:10" s="1" customFormat="1" ht="12.75" x14ac:dyDescent="0.2">
      <c r="B1536" s="46"/>
      <c r="C1536" s="59"/>
      <c r="D1536" s="60"/>
      <c r="E1536" s="40"/>
      <c r="F1536" s="40"/>
      <c r="G1536" s="40"/>
      <c r="H1536" s="40"/>
      <c r="I1536" s="40"/>
      <c r="J1536" s="41"/>
    </row>
    <row r="1537" spans="2:10" s="1" customFormat="1" ht="12.75" x14ac:dyDescent="0.2">
      <c r="B1537" s="46"/>
      <c r="C1537" s="59"/>
      <c r="D1537" s="60"/>
      <c r="E1537" s="40"/>
      <c r="F1537" s="40"/>
      <c r="G1537" s="40"/>
      <c r="H1537" s="40"/>
      <c r="I1537" s="40"/>
      <c r="J1537" s="41"/>
    </row>
    <row r="1538" spans="2:10" s="1" customFormat="1" ht="12.75" x14ac:dyDescent="0.2">
      <c r="B1538" s="46"/>
      <c r="C1538" s="59"/>
      <c r="D1538" s="60"/>
      <c r="E1538" s="40"/>
      <c r="F1538" s="40"/>
      <c r="G1538" s="40"/>
      <c r="H1538" s="40"/>
      <c r="I1538" s="40"/>
      <c r="J1538" s="41"/>
    </row>
    <row r="1539" spans="2:10" s="1" customFormat="1" ht="12.75" x14ac:dyDescent="0.2">
      <c r="B1539" s="46"/>
      <c r="C1539" s="59"/>
      <c r="D1539" s="60"/>
      <c r="E1539" s="40"/>
      <c r="F1539" s="40"/>
      <c r="G1539" s="40"/>
      <c r="H1539" s="40"/>
      <c r="I1539" s="40"/>
      <c r="J1539" s="41"/>
    </row>
    <row r="1540" spans="2:10" s="1" customFormat="1" ht="12.75" x14ac:dyDescent="0.2">
      <c r="B1540" s="46"/>
      <c r="C1540" s="59"/>
      <c r="D1540" s="60"/>
      <c r="E1540" s="40"/>
      <c r="F1540" s="40"/>
      <c r="G1540" s="40"/>
      <c r="H1540" s="40"/>
      <c r="I1540" s="40"/>
      <c r="J1540" s="41"/>
    </row>
    <row r="1541" spans="2:10" s="1" customFormat="1" ht="12.75" x14ac:dyDescent="0.2">
      <c r="B1541" s="46"/>
      <c r="C1541" s="59"/>
      <c r="D1541" s="60"/>
      <c r="E1541" s="40"/>
      <c r="F1541" s="40"/>
      <c r="G1541" s="40"/>
      <c r="H1541" s="40"/>
      <c r="I1541" s="40"/>
      <c r="J1541" s="41"/>
    </row>
    <row r="1542" spans="2:10" s="1" customFormat="1" ht="12.75" x14ac:dyDescent="0.2">
      <c r="B1542" s="46"/>
      <c r="C1542" s="59"/>
      <c r="D1542" s="60"/>
      <c r="E1542" s="40"/>
      <c r="F1542" s="40"/>
      <c r="G1542" s="40"/>
      <c r="H1542" s="40"/>
      <c r="I1542" s="40"/>
      <c r="J1542" s="41"/>
    </row>
    <row r="1543" spans="2:10" s="1" customFormat="1" ht="12.75" x14ac:dyDescent="0.2">
      <c r="B1543" s="46"/>
      <c r="C1543" s="59"/>
      <c r="D1543" s="60"/>
      <c r="E1543" s="40"/>
      <c r="F1543" s="40"/>
      <c r="G1543" s="40"/>
      <c r="H1543" s="40"/>
      <c r="I1543" s="40"/>
      <c r="J1543" s="41"/>
    </row>
    <row r="1544" spans="2:10" s="1" customFormat="1" ht="12.75" x14ac:dyDescent="0.2">
      <c r="B1544" s="46"/>
      <c r="C1544" s="59"/>
      <c r="D1544" s="60"/>
      <c r="E1544" s="40"/>
      <c r="F1544" s="40"/>
      <c r="G1544" s="40"/>
      <c r="H1544" s="40"/>
      <c r="I1544" s="40"/>
      <c r="J1544" s="41"/>
    </row>
    <row r="1545" spans="2:10" s="1" customFormat="1" ht="12.75" x14ac:dyDescent="0.2">
      <c r="B1545" s="46"/>
      <c r="C1545" s="59"/>
      <c r="D1545" s="60"/>
      <c r="E1545" s="40"/>
      <c r="F1545" s="40"/>
      <c r="G1545" s="40"/>
      <c r="H1545" s="40"/>
      <c r="I1545" s="40"/>
      <c r="J1545" s="41"/>
    </row>
    <row r="1546" spans="2:10" s="1" customFormat="1" ht="12.75" x14ac:dyDescent="0.2">
      <c r="B1546" s="46"/>
      <c r="C1546" s="59"/>
      <c r="D1546" s="60"/>
      <c r="E1546" s="40"/>
      <c r="F1546" s="40"/>
      <c r="G1546" s="40"/>
      <c r="H1546" s="40"/>
      <c r="I1546" s="40"/>
      <c r="J1546" s="41"/>
    </row>
    <row r="1547" spans="2:10" s="1" customFormat="1" ht="12.75" x14ac:dyDescent="0.2">
      <c r="B1547" s="46"/>
      <c r="C1547" s="59"/>
      <c r="D1547" s="60"/>
      <c r="E1547" s="40"/>
      <c r="F1547" s="40"/>
      <c r="G1547" s="40"/>
      <c r="H1547" s="40"/>
      <c r="I1547" s="40"/>
      <c r="J1547" s="41"/>
    </row>
    <row r="1548" spans="2:10" s="1" customFormat="1" ht="12.75" x14ac:dyDescent="0.2">
      <c r="B1548" s="46"/>
      <c r="C1548" s="59"/>
      <c r="D1548" s="60"/>
      <c r="E1548" s="40"/>
      <c r="F1548" s="40"/>
      <c r="G1548" s="40"/>
      <c r="H1548" s="40"/>
      <c r="I1548" s="40"/>
      <c r="J1548" s="41"/>
    </row>
    <row r="1549" spans="2:10" s="1" customFormat="1" ht="12.75" x14ac:dyDescent="0.2">
      <c r="B1549" s="46"/>
      <c r="C1549" s="59"/>
      <c r="D1549" s="60"/>
      <c r="E1549" s="40"/>
      <c r="F1549" s="40"/>
      <c r="G1549" s="40"/>
      <c r="H1549" s="40"/>
      <c r="I1549" s="40"/>
      <c r="J1549" s="41"/>
    </row>
    <row r="1550" spans="2:10" s="1" customFormat="1" ht="12.75" x14ac:dyDescent="0.2">
      <c r="B1550" s="46"/>
      <c r="C1550" s="59"/>
      <c r="D1550" s="60"/>
      <c r="E1550" s="40"/>
      <c r="F1550" s="40"/>
      <c r="G1550" s="40"/>
      <c r="H1550" s="40"/>
      <c r="I1550" s="40"/>
      <c r="J1550" s="41"/>
    </row>
    <row r="1551" spans="2:10" s="1" customFormat="1" ht="12.75" x14ac:dyDescent="0.2">
      <c r="B1551" s="46"/>
      <c r="C1551" s="59"/>
      <c r="D1551" s="60"/>
      <c r="E1551" s="40"/>
      <c r="F1551" s="40"/>
      <c r="G1551" s="40"/>
      <c r="H1551" s="40"/>
      <c r="I1551" s="40"/>
      <c r="J1551" s="41"/>
    </row>
    <row r="1552" spans="2:10" s="1" customFormat="1" ht="12.75" x14ac:dyDescent="0.2">
      <c r="B1552" s="46"/>
      <c r="C1552" s="59"/>
      <c r="D1552" s="60"/>
      <c r="E1552" s="40"/>
      <c r="F1552" s="40"/>
      <c r="G1552" s="40"/>
      <c r="H1552" s="40"/>
      <c r="I1552" s="40"/>
      <c r="J1552" s="41"/>
    </row>
    <row r="1553" spans="2:10" s="1" customFormat="1" ht="12.75" x14ac:dyDescent="0.2">
      <c r="B1553" s="46"/>
      <c r="C1553" s="59"/>
      <c r="D1553" s="60"/>
      <c r="E1553" s="40"/>
      <c r="F1553" s="40"/>
      <c r="G1553" s="40"/>
      <c r="H1553" s="40"/>
      <c r="I1553" s="40"/>
      <c r="J1553" s="41"/>
    </row>
    <row r="1554" spans="2:10" s="1" customFormat="1" ht="12.75" x14ac:dyDescent="0.2">
      <c r="B1554" s="46"/>
      <c r="C1554" s="59"/>
      <c r="D1554" s="60"/>
      <c r="E1554" s="40"/>
      <c r="F1554" s="40"/>
      <c r="G1554" s="40"/>
      <c r="H1554" s="40"/>
      <c r="I1554" s="40"/>
      <c r="J1554" s="41"/>
    </row>
    <row r="1555" spans="2:10" s="1" customFormat="1" ht="12.75" x14ac:dyDescent="0.2">
      <c r="B1555" s="46"/>
      <c r="C1555" s="59"/>
      <c r="D1555" s="60"/>
      <c r="E1555" s="40"/>
      <c r="F1555" s="40"/>
      <c r="G1555" s="40"/>
      <c r="H1555" s="40"/>
      <c r="I1555" s="40"/>
      <c r="J1555" s="41"/>
    </row>
    <row r="1556" spans="2:10" s="1" customFormat="1" ht="12.75" x14ac:dyDescent="0.2">
      <c r="B1556" s="46"/>
      <c r="C1556" s="59"/>
      <c r="D1556" s="60"/>
      <c r="E1556" s="40"/>
      <c r="F1556" s="40"/>
      <c r="G1556" s="40"/>
      <c r="H1556" s="40"/>
      <c r="I1556" s="40"/>
      <c r="J1556" s="41"/>
    </row>
    <row r="1557" spans="2:10" s="1" customFormat="1" ht="12.75" x14ac:dyDescent="0.2">
      <c r="B1557" s="46"/>
      <c r="C1557" s="59"/>
      <c r="D1557" s="60"/>
      <c r="E1557" s="40"/>
      <c r="F1557" s="40"/>
      <c r="G1557" s="40"/>
      <c r="H1557" s="40"/>
      <c r="I1557" s="40"/>
      <c r="J1557" s="41"/>
    </row>
    <row r="1558" spans="2:10" s="1" customFormat="1" ht="12.75" x14ac:dyDescent="0.2">
      <c r="B1558" s="46"/>
      <c r="C1558" s="59"/>
      <c r="D1558" s="60"/>
      <c r="E1558" s="40"/>
      <c r="F1558" s="40"/>
      <c r="G1558" s="40"/>
      <c r="H1558" s="40"/>
      <c r="I1558" s="40"/>
      <c r="J1558" s="41"/>
    </row>
    <row r="1559" spans="2:10" s="1" customFormat="1" ht="12.75" x14ac:dyDescent="0.2">
      <c r="B1559" s="46"/>
      <c r="C1559" s="59"/>
      <c r="D1559" s="60"/>
      <c r="E1559" s="40"/>
      <c r="F1559" s="40"/>
      <c r="G1559" s="40"/>
      <c r="H1559" s="40"/>
      <c r="I1559" s="40"/>
      <c r="J1559" s="41"/>
    </row>
    <row r="1560" spans="2:10" s="1" customFormat="1" ht="12.75" x14ac:dyDescent="0.2">
      <c r="B1560" s="46"/>
      <c r="C1560" s="59"/>
      <c r="D1560" s="60"/>
      <c r="E1560" s="40"/>
      <c r="F1560" s="40"/>
      <c r="G1560" s="40"/>
      <c r="H1560" s="40"/>
      <c r="I1560" s="40"/>
      <c r="J1560" s="41"/>
    </row>
    <row r="1561" spans="2:10" s="1" customFormat="1" ht="12.75" x14ac:dyDescent="0.2">
      <c r="B1561" s="46"/>
      <c r="C1561" s="59"/>
      <c r="D1561" s="60"/>
      <c r="E1561" s="40"/>
      <c r="F1561" s="40"/>
      <c r="G1561" s="40"/>
      <c r="H1561" s="40"/>
      <c r="I1561" s="40"/>
      <c r="J1561" s="41"/>
    </row>
    <row r="1562" spans="2:10" s="1" customFormat="1" ht="12.75" x14ac:dyDescent="0.2">
      <c r="B1562" s="46"/>
      <c r="C1562" s="59"/>
      <c r="D1562" s="60"/>
      <c r="E1562" s="40"/>
      <c r="F1562" s="40"/>
      <c r="G1562" s="40"/>
      <c r="H1562" s="40"/>
      <c r="I1562" s="40"/>
      <c r="J1562" s="41"/>
    </row>
    <row r="1563" spans="2:10" s="1" customFormat="1" ht="12.75" x14ac:dyDescent="0.2">
      <c r="B1563" s="46"/>
      <c r="C1563" s="59"/>
      <c r="D1563" s="60"/>
      <c r="E1563" s="40"/>
      <c r="F1563" s="40"/>
      <c r="G1563" s="40"/>
      <c r="H1563" s="40"/>
      <c r="I1563" s="40"/>
      <c r="J1563" s="41"/>
    </row>
    <row r="1564" spans="2:10" s="1" customFormat="1" ht="12.75" x14ac:dyDescent="0.2">
      <c r="B1564" s="46"/>
      <c r="C1564" s="59"/>
      <c r="D1564" s="60"/>
      <c r="E1564" s="40"/>
      <c r="F1564" s="40"/>
      <c r="G1564" s="40"/>
      <c r="H1564" s="40"/>
      <c r="I1564" s="40"/>
      <c r="J1564" s="41"/>
    </row>
    <row r="1565" spans="2:10" s="1" customFormat="1" ht="12.75" x14ac:dyDescent="0.2">
      <c r="B1565" s="46"/>
      <c r="C1565" s="59"/>
      <c r="D1565" s="60"/>
      <c r="E1565" s="40"/>
      <c r="F1565" s="40"/>
      <c r="G1565" s="40"/>
      <c r="H1565" s="40"/>
      <c r="I1565" s="40"/>
      <c r="J1565" s="41"/>
    </row>
    <row r="1566" spans="2:10" s="1" customFormat="1" ht="12.75" x14ac:dyDescent="0.2">
      <c r="B1566" s="46"/>
      <c r="C1566" s="59"/>
      <c r="D1566" s="60"/>
      <c r="E1566" s="40"/>
      <c r="F1566" s="40"/>
      <c r="G1566" s="40"/>
      <c r="H1566" s="40"/>
      <c r="I1566" s="40"/>
      <c r="J1566" s="41"/>
    </row>
    <row r="1567" spans="2:10" s="1" customFormat="1" ht="12.75" x14ac:dyDescent="0.2">
      <c r="B1567" s="46"/>
      <c r="C1567" s="59"/>
      <c r="D1567" s="60"/>
      <c r="E1567" s="40"/>
      <c r="F1567" s="40"/>
      <c r="G1567" s="40"/>
      <c r="H1567" s="40"/>
      <c r="I1567" s="40"/>
      <c r="J1567" s="41"/>
    </row>
    <row r="1568" spans="2:10" s="1" customFormat="1" ht="12.75" x14ac:dyDescent="0.2">
      <c r="B1568" s="46"/>
      <c r="C1568" s="59"/>
      <c r="D1568" s="60"/>
      <c r="E1568" s="40"/>
      <c r="F1568" s="40"/>
      <c r="G1568" s="40"/>
      <c r="H1568" s="40"/>
      <c r="I1568" s="40"/>
      <c r="J1568" s="41"/>
    </row>
    <row r="1569" spans="2:10" s="1" customFormat="1" ht="12.75" x14ac:dyDescent="0.2">
      <c r="B1569" s="46"/>
      <c r="C1569" s="59"/>
      <c r="D1569" s="60"/>
      <c r="E1569" s="40"/>
      <c r="F1569" s="40"/>
      <c r="G1569" s="40"/>
      <c r="H1569" s="40"/>
      <c r="I1569" s="40"/>
      <c r="J1569" s="41"/>
    </row>
    <row r="1570" spans="2:10" s="1" customFormat="1" ht="12.75" x14ac:dyDescent="0.2">
      <c r="B1570" s="46"/>
      <c r="C1570" s="59"/>
      <c r="D1570" s="60"/>
      <c r="E1570" s="40"/>
      <c r="F1570" s="40"/>
      <c r="G1570" s="40"/>
      <c r="H1570" s="40"/>
      <c r="I1570" s="40"/>
      <c r="J1570" s="41"/>
    </row>
    <row r="1571" spans="2:10" s="1" customFormat="1" ht="12.75" x14ac:dyDescent="0.2">
      <c r="B1571" s="46"/>
      <c r="C1571" s="59"/>
      <c r="D1571" s="60"/>
      <c r="E1571" s="40"/>
      <c r="F1571" s="40"/>
      <c r="G1571" s="40"/>
      <c r="H1571" s="40"/>
      <c r="I1571" s="40"/>
      <c r="J1571" s="41"/>
    </row>
    <row r="1572" spans="2:10" s="1" customFormat="1" ht="12.75" x14ac:dyDescent="0.2">
      <c r="B1572" s="46"/>
      <c r="C1572" s="59"/>
      <c r="D1572" s="60"/>
      <c r="E1572" s="40"/>
      <c r="F1572" s="40"/>
      <c r="G1572" s="40"/>
      <c r="H1572" s="40"/>
      <c r="I1572" s="40"/>
      <c r="J1572" s="41"/>
    </row>
    <row r="1573" spans="2:10" s="1" customFormat="1" ht="12.75" x14ac:dyDescent="0.2">
      <c r="B1573" s="46"/>
      <c r="C1573" s="59"/>
      <c r="D1573" s="60"/>
      <c r="E1573" s="40"/>
      <c r="F1573" s="40"/>
      <c r="G1573" s="40"/>
      <c r="H1573" s="40"/>
      <c r="I1573" s="40"/>
      <c r="J1573" s="41"/>
    </row>
    <row r="1574" spans="2:10" s="1" customFormat="1" ht="12.75" x14ac:dyDescent="0.2">
      <c r="B1574" s="46"/>
      <c r="C1574" s="59"/>
      <c r="D1574" s="60"/>
      <c r="E1574" s="40"/>
      <c r="F1574" s="40"/>
      <c r="G1574" s="40"/>
      <c r="H1574" s="40"/>
      <c r="I1574" s="40"/>
      <c r="J1574" s="41"/>
    </row>
    <row r="1575" spans="2:10" s="1" customFormat="1" ht="12.75" x14ac:dyDescent="0.2">
      <c r="B1575" s="46"/>
      <c r="C1575" s="59"/>
      <c r="D1575" s="60"/>
      <c r="E1575" s="40"/>
      <c r="F1575" s="40"/>
      <c r="G1575" s="40"/>
      <c r="H1575" s="40"/>
      <c r="I1575" s="40"/>
      <c r="J1575" s="41"/>
    </row>
    <row r="1576" spans="2:10" s="1" customFormat="1" ht="12.75" x14ac:dyDescent="0.2">
      <c r="B1576" s="46"/>
      <c r="C1576" s="59"/>
      <c r="D1576" s="60"/>
      <c r="E1576" s="40"/>
      <c r="F1576" s="40"/>
      <c r="G1576" s="40"/>
      <c r="H1576" s="40"/>
      <c r="I1576" s="40"/>
      <c r="J1576" s="41"/>
    </row>
    <row r="1577" spans="2:10" s="1" customFormat="1" ht="12.75" x14ac:dyDescent="0.2">
      <c r="B1577" s="46"/>
      <c r="C1577" s="59"/>
      <c r="D1577" s="60"/>
      <c r="E1577" s="40"/>
      <c r="F1577" s="40"/>
      <c r="G1577" s="40"/>
      <c r="H1577" s="40"/>
      <c r="I1577" s="40"/>
      <c r="J1577" s="41"/>
    </row>
    <row r="1578" spans="2:10" s="1" customFormat="1" ht="12.75" x14ac:dyDescent="0.2">
      <c r="C1578" s="499" t="s">
        <v>37</v>
      </c>
      <c r="D1578" s="499"/>
      <c r="E1578" s="499"/>
      <c r="F1578" s="499"/>
      <c r="G1578" s="499"/>
      <c r="H1578" s="499"/>
    </row>
    <row r="1579" spans="2:10" s="1" customFormat="1" ht="12.75" x14ac:dyDescent="0.2">
      <c r="C1579" s="499" t="s">
        <v>38</v>
      </c>
      <c r="D1579" s="499"/>
      <c r="E1579" s="499"/>
      <c r="F1579" s="499"/>
      <c r="G1579" s="499"/>
      <c r="H1579" s="499"/>
    </row>
    <row r="1580" spans="2:10" s="1" customFormat="1" ht="12.75" x14ac:dyDescent="0.2">
      <c r="C1580" s="499" t="s">
        <v>39</v>
      </c>
      <c r="D1580" s="499"/>
      <c r="E1580" s="499"/>
      <c r="F1580" s="499"/>
      <c r="G1580" s="499"/>
      <c r="H1580" s="499"/>
    </row>
    <row r="1581" spans="2:10" s="1" customFormat="1" ht="12.75" x14ac:dyDescent="0.2">
      <c r="C1581" s="500" t="s">
        <v>40</v>
      </c>
      <c r="D1581" s="500"/>
      <c r="E1581" s="500"/>
      <c r="F1581" s="500"/>
      <c r="G1581" s="500"/>
      <c r="H1581" s="500"/>
    </row>
    <row r="1582" spans="2:10" s="1" customFormat="1" ht="12.75" x14ac:dyDescent="0.2">
      <c r="C1582" s="78"/>
      <c r="D1582" s="78"/>
      <c r="E1582" s="78"/>
      <c r="F1582" s="78"/>
      <c r="G1582" s="78"/>
      <c r="H1582" s="78"/>
    </row>
    <row r="1583" spans="2:10" s="1" customFormat="1" ht="15.75" x14ac:dyDescent="0.2">
      <c r="B1583" s="501" t="s">
        <v>65</v>
      </c>
      <c r="C1583" s="502"/>
      <c r="D1583" s="502"/>
      <c r="E1583" s="502"/>
      <c r="F1583" s="502"/>
      <c r="G1583" s="502"/>
      <c r="H1583" s="502"/>
      <c r="I1583" s="502"/>
      <c r="J1583" s="503"/>
    </row>
    <row r="1584" spans="2:10" s="1" customFormat="1" ht="20.25" x14ac:dyDescent="0.2">
      <c r="B1584" s="543" t="s">
        <v>366</v>
      </c>
      <c r="C1584" s="544"/>
      <c r="D1584" s="544"/>
      <c r="E1584" s="544"/>
      <c r="F1584" s="544"/>
      <c r="G1584" s="544"/>
      <c r="H1584" s="544"/>
      <c r="I1584" s="544"/>
      <c r="J1584" s="545"/>
    </row>
    <row r="1585" spans="2:10" s="1" customFormat="1" ht="13.5" thickBot="1" x14ac:dyDescent="0.25">
      <c r="B1585" s="79"/>
      <c r="C1585" s="79"/>
      <c r="D1585" s="79"/>
      <c r="E1585" s="79"/>
      <c r="F1585" s="79"/>
      <c r="G1585" s="79"/>
      <c r="H1585" s="79"/>
      <c r="I1585" s="79"/>
      <c r="J1585" s="79"/>
    </row>
    <row r="1586" spans="2:10" s="1" customFormat="1" ht="33" customHeight="1" x14ac:dyDescent="0.2">
      <c r="B1586" s="494" t="s">
        <v>27</v>
      </c>
      <c r="C1586" s="495"/>
      <c r="D1586" s="495"/>
      <c r="E1586" s="495"/>
      <c r="F1586" s="495"/>
      <c r="G1586" s="495"/>
      <c r="H1586" s="495"/>
      <c r="I1586" s="495"/>
      <c r="J1586" s="496"/>
    </row>
    <row r="1587" spans="2:10" s="1" customFormat="1" ht="12.75" x14ac:dyDescent="0.2">
      <c r="B1587" s="2" t="s">
        <v>35</v>
      </c>
      <c r="C1587" s="3" t="s">
        <v>36</v>
      </c>
      <c r="D1587" s="3"/>
      <c r="E1587" s="4"/>
      <c r="F1587" s="5"/>
      <c r="G1587" s="6" t="s">
        <v>8</v>
      </c>
      <c r="H1587" s="497">
        <v>42879</v>
      </c>
      <c r="I1587" s="497"/>
      <c r="J1587" s="7"/>
    </row>
    <row r="1588" spans="2:10" s="1" customFormat="1" ht="12.75" x14ac:dyDescent="0.2">
      <c r="B1588" s="2" t="s">
        <v>33</v>
      </c>
      <c r="C1588" s="3" t="s">
        <v>29</v>
      </c>
      <c r="D1588" s="8"/>
      <c r="E1588" s="8"/>
      <c r="F1588" s="3"/>
      <c r="G1588" s="9" t="s">
        <v>32</v>
      </c>
      <c r="H1588" s="4" t="s">
        <v>29</v>
      </c>
      <c r="I1588" s="10"/>
      <c r="J1588" s="11"/>
    </row>
    <row r="1589" spans="2:10" s="1" customFormat="1" ht="12.75" x14ac:dyDescent="0.2">
      <c r="B1589" s="2" t="s">
        <v>34</v>
      </c>
      <c r="C1589" s="3" t="s">
        <v>29</v>
      </c>
      <c r="D1589" s="8"/>
      <c r="E1589" s="8"/>
      <c r="F1589" s="3"/>
      <c r="G1589" s="9" t="s">
        <v>30</v>
      </c>
      <c r="H1589" s="4" t="s">
        <v>31</v>
      </c>
      <c r="I1589" s="10"/>
      <c r="J1589" s="11"/>
    </row>
    <row r="1590" spans="2:10" s="1" customFormat="1" ht="13.5" thickBot="1" x14ac:dyDescent="0.25">
      <c r="B1590" s="12" t="s">
        <v>43</v>
      </c>
      <c r="C1590" s="13" t="s">
        <v>44</v>
      </c>
      <c r="D1590" s="14"/>
      <c r="E1590" s="14"/>
      <c r="F1590" s="13"/>
      <c r="G1590" s="15" t="s">
        <v>41</v>
      </c>
      <c r="H1590" s="16" t="s">
        <v>42</v>
      </c>
      <c r="I1590" s="17"/>
      <c r="J1590" s="18"/>
    </row>
    <row r="1591" spans="2:10" s="1" customFormat="1" ht="12.75" x14ac:dyDescent="0.2">
      <c r="B1591" s="79"/>
      <c r="C1591" s="79"/>
      <c r="D1591" s="79"/>
      <c r="E1591" s="79"/>
      <c r="F1591" s="79"/>
      <c r="G1591" s="79"/>
      <c r="H1591" s="79"/>
      <c r="I1591" s="79"/>
      <c r="J1591" s="79"/>
    </row>
    <row r="1592" spans="2:10" s="1" customFormat="1" ht="12.75" x14ac:dyDescent="0.2">
      <c r="B1592" s="21" t="s">
        <v>5</v>
      </c>
      <c r="C1592" s="22" t="s">
        <v>0</v>
      </c>
      <c r="D1592" s="22" t="s">
        <v>9</v>
      </c>
      <c r="E1592" s="22" t="s">
        <v>10</v>
      </c>
      <c r="F1592" s="22" t="s">
        <v>1</v>
      </c>
      <c r="G1592" s="22" t="s">
        <v>2</v>
      </c>
      <c r="H1592" s="22" t="s">
        <v>11</v>
      </c>
      <c r="I1592" s="22" t="s">
        <v>6</v>
      </c>
      <c r="J1592" s="22" t="s">
        <v>7</v>
      </c>
    </row>
    <row r="1593" spans="2:10" s="1" customFormat="1" ht="12.75" x14ac:dyDescent="0.2">
      <c r="B1593" s="55">
        <v>4.03</v>
      </c>
      <c r="C1593" s="56" t="s">
        <v>222</v>
      </c>
      <c r="D1593" s="60"/>
      <c r="E1593" s="40"/>
      <c r="F1593" s="40"/>
      <c r="G1593" s="40"/>
      <c r="H1593" s="40"/>
      <c r="I1593" s="40"/>
      <c r="J1593" s="41"/>
    </row>
    <row r="1594" spans="2:10" s="1" customFormat="1" ht="12.75" x14ac:dyDescent="0.2">
      <c r="B1594" s="57" t="s">
        <v>14</v>
      </c>
      <c r="C1594" s="58" t="s">
        <v>225</v>
      </c>
      <c r="D1594" s="60"/>
      <c r="E1594" s="40"/>
      <c r="F1594" s="40"/>
      <c r="G1594" s="40"/>
      <c r="H1594" s="40"/>
      <c r="I1594" s="40"/>
      <c r="J1594" s="41"/>
    </row>
    <row r="1595" spans="2:10" s="1" customFormat="1" ht="12.75" x14ac:dyDescent="0.2">
      <c r="B1595" s="43" t="s">
        <v>15</v>
      </c>
      <c r="C1595" s="43" t="s">
        <v>359</v>
      </c>
      <c r="D1595" s="60"/>
      <c r="E1595" s="40"/>
      <c r="F1595" s="40"/>
      <c r="G1595" s="40"/>
      <c r="H1595" s="40"/>
      <c r="I1595" s="44">
        <f>SUM(H1596:H1596)</f>
        <v>1.65</v>
      </c>
      <c r="J1595" s="45" t="str">
        <f>+J1596</f>
        <v>ml</v>
      </c>
    </row>
    <row r="1596" spans="2:10" s="1" customFormat="1" ht="12.75" x14ac:dyDescent="0.2">
      <c r="B1596" s="43"/>
      <c r="C1596" s="39" t="s">
        <v>387</v>
      </c>
      <c r="D1596" s="40">
        <v>1</v>
      </c>
      <c r="E1596" s="40">
        <v>1.65</v>
      </c>
      <c r="F1596" s="40"/>
      <c r="G1596" s="40"/>
      <c r="H1596" s="40">
        <f>IF(AND(F1596=0,G1596=0),D1596*E1596,IF(AND(E1596=0,G1596=0),D1596*F1596,IF(AND(E1596=0,F1596=0),D1596*G1596,IF(AND(E1596=0),D1596*F1596*G1596,IF(AND(F1596=0),D1596*E1596*G1596,IF(AND(G1596=0),D1596*E1596*F1596,D1596*E1596*F1596*G1596))))))</f>
        <v>1.65</v>
      </c>
      <c r="I1596" s="40"/>
      <c r="J1596" s="41" t="str">
        <f>IF(AND(E1596=0,F1596&lt;&gt;0,G1596&lt;&gt;0),"m2",IF(AND(F1596=0,E1596&lt;&gt;0,G1596&lt;&gt;0),"m2",IF(AND(G1596=0,E1596&lt;&gt;0,F1596&lt;&gt;0),"m2",IF(AND(F1596=0,G1596=0),"ml",IF(AND(E1596=0,G1596=0),"ml",IF(AND(E1596=0,F1596=0),"ml",IF(AND(E1596&lt;&gt;0,F1596&lt;&gt;0,G1596&lt;&gt;0),"m3",0)))))))</f>
        <v>ml</v>
      </c>
    </row>
    <row r="1597" spans="2:10" s="1" customFormat="1" ht="12.75" x14ac:dyDescent="0.2">
      <c r="B1597" s="43"/>
      <c r="C1597" s="39"/>
      <c r="D1597" s="40"/>
      <c r="E1597" s="40"/>
      <c r="F1597" s="40"/>
      <c r="G1597" s="40"/>
      <c r="H1597" s="40">
        <f>IF(AND(F1597=0,G1597=0),D1597*E1597,IF(AND(E1597=0,G1597=0),D1597*F1597,IF(AND(E1597=0,F1597=0),D1597*G1597,IF(AND(E1597=0),D1597*F1597*G1597,IF(AND(F1597=0),D1597*E1597*G1597,IF(AND(G1597=0),D1597*E1597*F1597,D1597*E1597*F1597*G1597))))))</f>
        <v>0</v>
      </c>
      <c r="I1597" s="40"/>
      <c r="J1597" s="41" t="str">
        <f>IF(AND(E1597=0,F1597&lt;&gt;0,G1597&lt;&gt;0),"m2",IF(AND(F1597=0,E1597&lt;&gt;0,G1597&lt;&gt;0),"m2",IF(AND(G1597=0,E1597&lt;&gt;0,F1597&lt;&gt;0),"m2",IF(AND(F1597=0,G1597=0),"ml",IF(AND(E1597=0,G1597=0),"ml",IF(AND(E1597=0,F1597=0),"ml",IF(AND(E1597&lt;&gt;0,F1597&lt;&gt;0,G1597&lt;&gt;0),"m3",0)))))))</f>
        <v>ml</v>
      </c>
    </row>
    <row r="1598" spans="2:10" s="1" customFormat="1" ht="12.75" x14ac:dyDescent="0.2">
      <c r="B1598" s="43" t="s">
        <v>232</v>
      </c>
      <c r="C1598" s="43" t="s">
        <v>235</v>
      </c>
      <c r="D1598" s="60"/>
      <c r="E1598" s="40"/>
      <c r="F1598" s="40"/>
      <c r="G1598" s="40"/>
      <c r="H1598" s="40"/>
      <c r="I1598" s="44">
        <f>SUM(H1599:H1599)</f>
        <v>0</v>
      </c>
      <c r="J1598" s="45" t="str">
        <f>+J1599</f>
        <v>ml</v>
      </c>
    </row>
    <row r="1599" spans="2:10" s="1" customFormat="1" ht="12.75" x14ac:dyDescent="0.2">
      <c r="B1599" s="57"/>
      <c r="C1599" s="39" t="s">
        <v>378</v>
      </c>
      <c r="D1599" s="40"/>
      <c r="E1599" s="40"/>
      <c r="F1599" s="40"/>
      <c r="G1599" s="40"/>
      <c r="H1599" s="40">
        <f>IF(AND(F1599=0,G1599=0),D1599*E1599,IF(AND(E1599=0,G1599=0),D1599*F1599,IF(AND(E1599=0,F1599=0),D1599*G1599,IF(AND(E1599=0),D1599*F1599*G1599,IF(AND(F1599=0),D1599*E1599*G1599,IF(AND(G1599=0),D1599*E1599*F1599,D1599*E1599*F1599*G1599))))))</f>
        <v>0</v>
      </c>
      <c r="I1599" s="40"/>
      <c r="J1599" s="41" t="str">
        <f>IF(AND(E1599=0,F1599&lt;&gt;0,G1599&lt;&gt;0),"m2",IF(AND(F1599=0,E1599&lt;&gt;0,G1599&lt;&gt;0),"m2",IF(AND(G1599=0,E1599&lt;&gt;0,F1599&lt;&gt;0),"m2",IF(AND(F1599=0,G1599=0),"ml",IF(AND(E1599=0,G1599=0),"ml",IF(AND(E1599=0,F1599=0),"ml",IF(AND(E1599&lt;&gt;0,F1599&lt;&gt;0,G1599&lt;&gt;0),"m3",0)))))))</f>
        <v>ml</v>
      </c>
    </row>
    <row r="1600" spans="2:10" s="1" customFormat="1" ht="12.75" x14ac:dyDescent="0.2">
      <c r="B1600" s="57"/>
      <c r="C1600" s="39" t="s">
        <v>379</v>
      </c>
      <c r="D1600" s="40"/>
      <c r="E1600" s="40"/>
      <c r="F1600" s="40"/>
      <c r="G1600" s="40"/>
      <c r="H1600" s="40">
        <f>IF(AND(F1600=0,G1600=0),D1600*E1600,IF(AND(E1600=0,G1600=0),D1600*F1600,IF(AND(E1600=0,F1600=0),D1600*G1600,IF(AND(E1600=0),D1600*F1600*G1600,IF(AND(F1600=0),D1600*E1600*G1600,IF(AND(G1600=0),D1600*E1600*F1600,D1600*E1600*F1600*G1600))))))</f>
        <v>0</v>
      </c>
      <c r="I1600" s="40"/>
      <c r="J1600" s="41" t="str">
        <f>IF(AND(E1600=0,F1600&lt;&gt;0,G1600&lt;&gt;0),"m2",IF(AND(F1600=0,E1600&lt;&gt;0,G1600&lt;&gt;0),"m2",IF(AND(G1600=0,E1600&lt;&gt;0,F1600&lt;&gt;0),"m2",IF(AND(F1600=0,G1600=0),"ml",IF(AND(E1600=0,G1600=0),"ml",IF(AND(E1600=0,F1600=0),"ml",IF(AND(E1600&lt;&gt;0,F1600&lt;&gt;0,G1600&lt;&gt;0),"m3",0)))))))</f>
        <v>ml</v>
      </c>
    </row>
    <row r="1601" spans="2:10" s="1" customFormat="1" ht="12.75" x14ac:dyDescent="0.2">
      <c r="B1601" s="43" t="s">
        <v>233</v>
      </c>
      <c r="C1601" s="43" t="s">
        <v>236</v>
      </c>
      <c r="D1601" s="60"/>
      <c r="E1601" s="40"/>
      <c r="F1601" s="40"/>
      <c r="G1601" s="40"/>
      <c r="H1601" s="40"/>
      <c r="I1601" s="44">
        <f>SUM(H1602:H1602)</f>
        <v>0</v>
      </c>
      <c r="J1601" s="45" t="str">
        <f>+J1602</f>
        <v>ml</v>
      </c>
    </row>
    <row r="1602" spans="2:10" s="1" customFormat="1" ht="12.75" x14ac:dyDescent="0.2">
      <c r="B1602" s="57"/>
      <c r="C1602" s="39" t="s">
        <v>378</v>
      </c>
      <c r="D1602" s="40"/>
      <c r="E1602" s="40"/>
      <c r="F1602" s="40"/>
      <c r="G1602" s="40"/>
      <c r="H1602" s="40">
        <f>IF(AND(F1602=0,G1602=0),D1602*E1602,IF(AND(E1602=0,G1602=0),D1602*F1602,IF(AND(E1602=0,F1602=0),D1602*G1602,IF(AND(E1602=0),D1602*F1602*G1602,IF(AND(F1602=0),D1602*E1602*G1602,IF(AND(G1602=0),D1602*E1602*F1602,D1602*E1602*F1602*G1602))))))</f>
        <v>0</v>
      </c>
      <c r="I1602" s="40"/>
      <c r="J1602" s="41" t="str">
        <f>IF(AND(E1602=0,F1602&lt;&gt;0,G1602&lt;&gt;0),"m2",IF(AND(F1602=0,E1602&lt;&gt;0,G1602&lt;&gt;0),"m2",IF(AND(G1602=0,E1602&lt;&gt;0,F1602&lt;&gt;0),"m2",IF(AND(F1602=0,G1602=0),"ml",IF(AND(E1602=0,G1602=0),"ml",IF(AND(E1602=0,F1602=0),"ml",IF(AND(E1602&lt;&gt;0,F1602&lt;&gt;0,G1602&lt;&gt;0),"m3",0)))))))</f>
        <v>ml</v>
      </c>
    </row>
    <row r="1603" spans="2:10" s="1" customFormat="1" ht="12.75" x14ac:dyDescent="0.2">
      <c r="B1603" s="57"/>
      <c r="C1603" s="39" t="s">
        <v>379</v>
      </c>
      <c r="D1603" s="40"/>
      <c r="E1603" s="40"/>
      <c r="F1603" s="40"/>
      <c r="G1603" s="40"/>
      <c r="H1603" s="40">
        <f>IF(AND(F1603=0,G1603=0),D1603*E1603,IF(AND(E1603=0,G1603=0),D1603*F1603,IF(AND(E1603=0,F1603=0),D1603*G1603,IF(AND(E1603=0),D1603*F1603*G1603,IF(AND(F1603=0),D1603*E1603*G1603,IF(AND(G1603=0),D1603*E1603*F1603,D1603*E1603*F1603*G1603))))))</f>
        <v>0</v>
      </c>
      <c r="I1603" s="40"/>
      <c r="J1603" s="41" t="str">
        <f>IF(AND(E1603=0,F1603&lt;&gt;0,G1603&lt;&gt;0),"m2",IF(AND(F1603=0,E1603&lt;&gt;0,G1603&lt;&gt;0),"m2",IF(AND(G1603=0,E1603&lt;&gt;0,F1603&lt;&gt;0),"m2",IF(AND(F1603=0,G1603=0),"ml",IF(AND(E1603=0,G1603=0),"ml",IF(AND(E1603=0,F1603=0),"ml",IF(AND(E1603&lt;&gt;0,F1603&lt;&gt;0,G1603&lt;&gt;0),"m3",0)))))))</f>
        <v>ml</v>
      </c>
    </row>
    <row r="1604" spans="2:10" s="1" customFormat="1" ht="12.75" x14ac:dyDescent="0.2">
      <c r="B1604" s="43" t="s">
        <v>234</v>
      </c>
      <c r="C1604" s="43" t="s">
        <v>267</v>
      </c>
      <c r="D1604" s="60"/>
      <c r="E1604" s="40"/>
      <c r="F1604" s="40"/>
      <c r="G1604" s="40"/>
      <c r="H1604" s="40"/>
      <c r="I1604" s="44">
        <f>SUM(H1606:H1611)</f>
        <v>0</v>
      </c>
      <c r="J1604" s="45" t="str">
        <f>+J1606</f>
        <v>ml</v>
      </c>
    </row>
    <row r="1605" spans="2:10" s="1" customFormat="1" ht="12.75" x14ac:dyDescent="0.2">
      <c r="B1605" s="43"/>
      <c r="C1605" s="77" t="s">
        <v>71</v>
      </c>
      <c r="D1605" s="60"/>
      <c r="E1605" s="40"/>
      <c r="F1605" s="40"/>
      <c r="G1605" s="40"/>
      <c r="H1605" s="40"/>
      <c r="I1605" s="44"/>
      <c r="J1605" s="45"/>
    </row>
    <row r="1606" spans="2:10" s="1" customFormat="1" ht="12.75" x14ac:dyDescent="0.2">
      <c r="B1606" s="43"/>
      <c r="C1606" s="39" t="s">
        <v>349</v>
      </c>
      <c r="D1606" s="40"/>
      <c r="E1606" s="40"/>
      <c r="F1606" s="40"/>
      <c r="G1606" s="40"/>
      <c r="H1606" s="40">
        <f t="shared" ref="H1606:H1611" si="73">IF(AND(F1606=0,G1606=0),D1606*E1606,IF(AND(E1606=0,G1606=0),D1606*F1606,IF(AND(E1606=0,F1606=0),D1606*G1606,IF(AND(E1606=0),D1606*F1606*G1606,IF(AND(F1606=0),D1606*E1606*G1606,IF(AND(G1606=0),D1606*E1606*F1606,D1606*E1606*F1606*G1606))))))</f>
        <v>0</v>
      </c>
      <c r="I1606" s="40"/>
      <c r="J1606" s="41" t="str">
        <f t="shared" ref="J1606:J1611" si="74">IF(AND(E1606=0,F1606&lt;&gt;0,G1606&lt;&gt;0),"m2",IF(AND(F1606=0,E1606&lt;&gt;0,G1606&lt;&gt;0),"m2",IF(AND(G1606=0,E1606&lt;&gt;0,F1606&lt;&gt;0),"m2",IF(AND(F1606=0,G1606=0),"ml",IF(AND(E1606=0,G1606=0),"ml",IF(AND(E1606=0,F1606=0),"ml",IF(AND(E1606&lt;&gt;0,F1606&lt;&gt;0,G1606&lt;&gt;0),"m3",0)))))))</f>
        <v>ml</v>
      </c>
    </row>
    <row r="1607" spans="2:10" s="1" customFormat="1" ht="12.75" x14ac:dyDescent="0.2">
      <c r="B1607" s="43"/>
      <c r="C1607" s="39" t="s">
        <v>369</v>
      </c>
      <c r="D1607" s="40"/>
      <c r="E1607" s="40"/>
      <c r="F1607" s="40"/>
      <c r="G1607" s="40"/>
      <c r="H1607" s="40">
        <f t="shared" si="73"/>
        <v>0</v>
      </c>
      <c r="I1607" s="40"/>
      <c r="J1607" s="41" t="str">
        <f t="shared" si="74"/>
        <v>ml</v>
      </c>
    </row>
    <row r="1608" spans="2:10" s="1" customFormat="1" ht="12.75" x14ac:dyDescent="0.2">
      <c r="B1608" s="43"/>
      <c r="C1608" s="77" t="s">
        <v>72</v>
      </c>
      <c r="D1608" s="40"/>
      <c r="E1608" s="40"/>
      <c r="F1608" s="40"/>
      <c r="G1608" s="40"/>
      <c r="H1608" s="40">
        <f t="shared" si="73"/>
        <v>0</v>
      </c>
      <c r="I1608" s="40"/>
      <c r="J1608" s="41" t="str">
        <f t="shared" si="74"/>
        <v>ml</v>
      </c>
    </row>
    <row r="1609" spans="2:10" s="1" customFormat="1" ht="12.75" x14ac:dyDescent="0.2">
      <c r="B1609" s="43"/>
      <c r="C1609" s="39" t="s">
        <v>349</v>
      </c>
      <c r="D1609" s="40"/>
      <c r="E1609" s="40"/>
      <c r="F1609" s="40"/>
      <c r="G1609" s="40"/>
      <c r="H1609" s="40">
        <f t="shared" si="73"/>
        <v>0</v>
      </c>
      <c r="I1609" s="40"/>
      <c r="J1609" s="41" t="str">
        <f t="shared" si="74"/>
        <v>ml</v>
      </c>
    </row>
    <row r="1610" spans="2:10" s="1" customFormat="1" ht="12.75" x14ac:dyDescent="0.2">
      <c r="B1610" s="43"/>
      <c r="C1610" s="77" t="s">
        <v>73</v>
      </c>
      <c r="D1610" s="40"/>
      <c r="E1610" s="40"/>
      <c r="F1610" s="40"/>
      <c r="G1610" s="40"/>
      <c r="H1610" s="40">
        <f t="shared" si="73"/>
        <v>0</v>
      </c>
      <c r="I1610" s="40"/>
      <c r="J1610" s="41" t="str">
        <f t="shared" si="74"/>
        <v>ml</v>
      </c>
    </row>
    <row r="1611" spans="2:10" s="1" customFormat="1" ht="12.75" x14ac:dyDescent="0.2">
      <c r="B1611" s="43"/>
      <c r="C1611" s="39" t="s">
        <v>349</v>
      </c>
      <c r="D1611" s="40"/>
      <c r="E1611" s="40"/>
      <c r="F1611" s="40"/>
      <c r="G1611" s="40"/>
      <c r="H1611" s="40">
        <f t="shared" si="73"/>
        <v>0</v>
      </c>
      <c r="I1611" s="40"/>
      <c r="J1611" s="41" t="str">
        <f t="shared" si="74"/>
        <v>ml</v>
      </c>
    </row>
    <row r="1612" spans="2:10" s="1" customFormat="1" ht="12.75" x14ac:dyDescent="0.2">
      <c r="B1612" s="43" t="s">
        <v>268</v>
      </c>
      <c r="C1612" s="43" t="s">
        <v>347</v>
      </c>
      <c r="D1612" s="60"/>
      <c r="E1612" s="40"/>
      <c r="F1612" s="40"/>
      <c r="G1612" s="40"/>
      <c r="H1612" s="40"/>
      <c r="I1612" s="44">
        <f>SUM(H1613:H1619)</f>
        <v>11.75</v>
      </c>
      <c r="J1612" s="45" t="str">
        <f>+J1613</f>
        <v>ml</v>
      </c>
    </row>
    <row r="1613" spans="2:10" s="1" customFormat="1" ht="12.75" x14ac:dyDescent="0.2">
      <c r="B1613" s="57"/>
      <c r="C1613" s="77" t="s">
        <v>71</v>
      </c>
      <c r="D1613" s="40"/>
      <c r="E1613" s="40"/>
      <c r="F1613" s="40"/>
      <c r="G1613" s="40"/>
      <c r="H1613" s="40">
        <f t="shared" ref="H1613:H1619" si="75">IF(AND(F1613=0,G1613=0),D1613*E1613,IF(AND(E1613=0,G1613=0),D1613*F1613,IF(AND(E1613=0,F1613=0),D1613*G1613,IF(AND(E1613=0),D1613*F1613*G1613,IF(AND(F1613=0),D1613*E1613*G1613,IF(AND(G1613=0),D1613*E1613*F1613,D1613*E1613*F1613*G1613))))))</f>
        <v>0</v>
      </c>
      <c r="I1613" s="40"/>
      <c r="J1613" s="41" t="str">
        <f t="shared" ref="J1613:J1619" si="76">IF(AND(E1613=0,F1613&lt;&gt;0,G1613&lt;&gt;0),"m2",IF(AND(F1613=0,E1613&lt;&gt;0,G1613&lt;&gt;0),"m2",IF(AND(G1613=0,E1613&lt;&gt;0,F1613&lt;&gt;0),"m2",IF(AND(F1613=0,G1613=0),"ml",IF(AND(E1613=0,G1613=0),"ml",IF(AND(E1613=0,F1613=0),"ml",IF(AND(E1613&lt;&gt;0,F1613&lt;&gt;0,G1613&lt;&gt;0),"m3",0)))))))</f>
        <v>ml</v>
      </c>
    </row>
    <row r="1614" spans="2:10" s="1" customFormat="1" ht="12.75" x14ac:dyDescent="0.2">
      <c r="B1614" s="57"/>
      <c r="C1614" s="39" t="s">
        <v>349</v>
      </c>
      <c r="D1614" s="40">
        <v>1</v>
      </c>
      <c r="E1614" s="40">
        <v>3.25</v>
      </c>
      <c r="F1614" s="40"/>
      <c r="G1614" s="40"/>
      <c r="H1614" s="40">
        <f t="shared" si="75"/>
        <v>3.25</v>
      </c>
      <c r="I1614" s="40"/>
      <c r="J1614" s="41" t="str">
        <f t="shared" si="76"/>
        <v>ml</v>
      </c>
    </row>
    <row r="1615" spans="2:10" s="1" customFormat="1" ht="12.75" x14ac:dyDescent="0.2">
      <c r="B1615" s="57"/>
      <c r="C1615" s="39" t="s">
        <v>369</v>
      </c>
      <c r="D1615" s="40">
        <v>1</v>
      </c>
      <c r="E1615" s="40">
        <v>2</v>
      </c>
      <c r="F1615" s="40"/>
      <c r="G1615" s="40"/>
      <c r="H1615" s="40">
        <f t="shared" si="75"/>
        <v>2</v>
      </c>
      <c r="I1615" s="40"/>
      <c r="J1615" s="41" t="str">
        <f t="shared" si="76"/>
        <v>ml</v>
      </c>
    </row>
    <row r="1616" spans="2:10" s="1" customFormat="1" ht="12.75" x14ac:dyDescent="0.2">
      <c r="B1616" s="57"/>
      <c r="C1616" s="77" t="s">
        <v>72</v>
      </c>
      <c r="D1616" s="40"/>
      <c r="E1616" s="40"/>
      <c r="F1616" s="40"/>
      <c r="G1616" s="40"/>
      <c r="H1616" s="40">
        <f t="shared" si="75"/>
        <v>0</v>
      </c>
      <c r="I1616" s="40"/>
      <c r="J1616" s="41" t="str">
        <f t="shared" si="76"/>
        <v>ml</v>
      </c>
    </row>
    <row r="1617" spans="2:10" s="1" customFormat="1" ht="12.75" x14ac:dyDescent="0.2">
      <c r="B1617" s="57"/>
      <c r="C1617" s="39" t="s">
        <v>349</v>
      </c>
      <c r="D1617" s="40">
        <v>1</v>
      </c>
      <c r="E1617" s="40">
        <v>3.25</v>
      </c>
      <c r="F1617" s="40"/>
      <c r="G1617" s="40"/>
      <c r="H1617" s="40">
        <f t="shared" si="75"/>
        <v>3.25</v>
      </c>
      <c r="I1617" s="40"/>
      <c r="J1617" s="41" t="str">
        <f t="shared" si="76"/>
        <v>ml</v>
      </c>
    </row>
    <row r="1618" spans="2:10" s="1" customFormat="1" ht="12.75" x14ac:dyDescent="0.2">
      <c r="B1618" s="57"/>
      <c r="C1618" s="77" t="s">
        <v>73</v>
      </c>
      <c r="D1618" s="40"/>
      <c r="E1618" s="40"/>
      <c r="F1618" s="40"/>
      <c r="G1618" s="40"/>
      <c r="H1618" s="40">
        <f t="shared" si="75"/>
        <v>0</v>
      </c>
      <c r="I1618" s="40"/>
      <c r="J1618" s="41" t="str">
        <f t="shared" si="76"/>
        <v>ml</v>
      </c>
    </row>
    <row r="1619" spans="2:10" s="1" customFormat="1" ht="12.75" x14ac:dyDescent="0.2">
      <c r="B1619" s="57"/>
      <c r="C1619" s="39" t="s">
        <v>349</v>
      </c>
      <c r="D1619" s="40">
        <v>1</v>
      </c>
      <c r="E1619" s="40">
        <v>3.25</v>
      </c>
      <c r="F1619" s="40"/>
      <c r="G1619" s="40"/>
      <c r="H1619" s="40">
        <f t="shared" si="75"/>
        <v>3.25</v>
      </c>
      <c r="I1619" s="40"/>
      <c r="J1619" s="41" t="str">
        <f t="shared" si="76"/>
        <v>ml</v>
      </c>
    </row>
    <row r="1620" spans="2:10" s="1" customFormat="1" ht="12.75" x14ac:dyDescent="0.2">
      <c r="B1620" s="43" t="s">
        <v>270</v>
      </c>
      <c r="C1620" s="43" t="s">
        <v>269</v>
      </c>
      <c r="D1620" s="60"/>
      <c r="E1620" s="40"/>
      <c r="F1620" s="40"/>
      <c r="G1620" s="40"/>
      <c r="H1620" s="40"/>
      <c r="I1620" s="44">
        <f>SUM(H1621:H1627)</f>
        <v>0</v>
      </c>
      <c r="J1620" s="45" t="str">
        <f>+J1621</f>
        <v>ml</v>
      </c>
    </row>
    <row r="1621" spans="2:10" s="1" customFormat="1" ht="12.75" x14ac:dyDescent="0.2">
      <c r="B1621" s="43"/>
      <c r="C1621" s="77" t="s">
        <v>71</v>
      </c>
      <c r="D1621" s="40"/>
      <c r="E1621" s="40"/>
      <c r="F1621" s="40"/>
      <c r="G1621" s="40"/>
      <c r="H1621" s="40">
        <f t="shared" ref="H1621:H1627" si="77">IF(AND(F1621=0,G1621=0),D1621*E1621,IF(AND(E1621=0,G1621=0),D1621*F1621,IF(AND(E1621=0,F1621=0),D1621*G1621,IF(AND(E1621=0),D1621*F1621*G1621,IF(AND(F1621=0),D1621*E1621*G1621,IF(AND(G1621=0),D1621*E1621*F1621,D1621*E1621*F1621*G1621))))))</f>
        <v>0</v>
      </c>
      <c r="I1621" s="40"/>
      <c r="J1621" s="41" t="str">
        <f t="shared" ref="J1621:J1627" si="78">IF(AND(E1621=0,F1621&lt;&gt;0,G1621&lt;&gt;0),"m2",IF(AND(F1621=0,E1621&lt;&gt;0,G1621&lt;&gt;0),"m2",IF(AND(G1621=0,E1621&lt;&gt;0,F1621&lt;&gt;0),"m2",IF(AND(F1621=0,G1621=0),"ml",IF(AND(E1621=0,G1621=0),"ml",IF(AND(E1621=0,F1621=0),"ml",IF(AND(E1621&lt;&gt;0,F1621&lt;&gt;0,G1621&lt;&gt;0),"m3",0)))))))</f>
        <v>ml</v>
      </c>
    </row>
    <row r="1622" spans="2:10" s="1" customFormat="1" ht="12.75" x14ac:dyDescent="0.2">
      <c r="B1622" s="43"/>
      <c r="C1622" s="39" t="s">
        <v>349</v>
      </c>
      <c r="D1622" s="40"/>
      <c r="E1622" s="40"/>
      <c r="F1622" s="40"/>
      <c r="G1622" s="40"/>
      <c r="H1622" s="40">
        <f t="shared" si="77"/>
        <v>0</v>
      </c>
      <c r="I1622" s="40"/>
      <c r="J1622" s="41" t="str">
        <f t="shared" si="78"/>
        <v>ml</v>
      </c>
    </row>
    <row r="1623" spans="2:10" s="1" customFormat="1" ht="12.75" x14ac:dyDescent="0.2">
      <c r="B1623" s="43"/>
      <c r="C1623" s="39" t="s">
        <v>369</v>
      </c>
      <c r="D1623" s="40"/>
      <c r="E1623" s="40"/>
      <c r="F1623" s="40"/>
      <c r="G1623" s="40"/>
      <c r="H1623" s="40">
        <f t="shared" si="77"/>
        <v>0</v>
      </c>
      <c r="I1623" s="40"/>
      <c r="J1623" s="41" t="str">
        <f t="shared" si="78"/>
        <v>ml</v>
      </c>
    </row>
    <row r="1624" spans="2:10" s="1" customFormat="1" ht="12.75" x14ac:dyDescent="0.2">
      <c r="B1624" s="43"/>
      <c r="C1624" s="77" t="s">
        <v>72</v>
      </c>
      <c r="D1624" s="40"/>
      <c r="E1624" s="40"/>
      <c r="F1624" s="40"/>
      <c r="G1624" s="40"/>
      <c r="H1624" s="40">
        <f t="shared" si="77"/>
        <v>0</v>
      </c>
      <c r="I1624" s="40"/>
      <c r="J1624" s="41" t="str">
        <f t="shared" si="78"/>
        <v>ml</v>
      </c>
    </row>
    <row r="1625" spans="2:10" s="1" customFormat="1" ht="12.75" x14ac:dyDescent="0.2">
      <c r="B1625" s="43"/>
      <c r="C1625" s="39" t="s">
        <v>349</v>
      </c>
      <c r="D1625" s="40"/>
      <c r="E1625" s="40"/>
      <c r="F1625" s="40"/>
      <c r="G1625" s="40"/>
      <c r="H1625" s="40">
        <f t="shared" si="77"/>
        <v>0</v>
      </c>
      <c r="I1625" s="40"/>
      <c r="J1625" s="41" t="str">
        <f t="shared" si="78"/>
        <v>ml</v>
      </c>
    </row>
    <row r="1626" spans="2:10" s="1" customFormat="1" ht="12.75" x14ac:dyDescent="0.2">
      <c r="B1626" s="43"/>
      <c r="C1626" s="77" t="s">
        <v>73</v>
      </c>
      <c r="D1626" s="40"/>
      <c r="E1626" s="40"/>
      <c r="F1626" s="40"/>
      <c r="G1626" s="40"/>
      <c r="H1626" s="40">
        <f t="shared" si="77"/>
        <v>0</v>
      </c>
      <c r="I1626" s="40"/>
      <c r="J1626" s="41" t="str">
        <f t="shared" si="78"/>
        <v>ml</v>
      </c>
    </row>
    <row r="1627" spans="2:10" s="1" customFormat="1" ht="12.75" x14ac:dyDescent="0.2">
      <c r="B1627" s="43"/>
      <c r="C1627" s="39" t="s">
        <v>349</v>
      </c>
      <c r="D1627" s="40"/>
      <c r="E1627" s="40"/>
      <c r="F1627" s="40"/>
      <c r="G1627" s="40"/>
      <c r="H1627" s="40">
        <f t="shared" si="77"/>
        <v>0</v>
      </c>
      <c r="I1627" s="40"/>
      <c r="J1627" s="41" t="str">
        <f t="shared" si="78"/>
        <v>ml</v>
      </c>
    </row>
    <row r="1628" spans="2:10" s="1" customFormat="1" ht="12.75" x14ac:dyDescent="0.2">
      <c r="B1628" s="43" t="s">
        <v>342</v>
      </c>
      <c r="C1628" s="43" t="s">
        <v>271</v>
      </c>
      <c r="D1628" s="60"/>
      <c r="E1628" s="40"/>
      <c r="F1628" s="40"/>
      <c r="G1628" s="40"/>
      <c r="H1628" s="40"/>
      <c r="I1628" s="44">
        <f>SUM(H1629:H1629)</f>
        <v>1</v>
      </c>
      <c r="J1628" s="45" t="str">
        <f>+J1629</f>
        <v>und</v>
      </c>
    </row>
    <row r="1629" spans="2:10" s="1" customFormat="1" ht="12.75" x14ac:dyDescent="0.2">
      <c r="B1629" s="57"/>
      <c r="C1629" s="39" t="s">
        <v>370</v>
      </c>
      <c r="D1629" s="40">
        <v>1</v>
      </c>
      <c r="E1629" s="40"/>
      <c r="F1629" s="40"/>
      <c r="G1629" s="40"/>
      <c r="H1629" s="40">
        <f>+D1629</f>
        <v>1</v>
      </c>
      <c r="I1629" s="40"/>
      <c r="J1629" s="41" t="s">
        <v>13</v>
      </c>
    </row>
    <row r="1630" spans="2:10" s="1" customFormat="1" ht="12.75" x14ac:dyDescent="0.2">
      <c r="B1630" s="43" t="s">
        <v>346</v>
      </c>
      <c r="C1630" s="43" t="s">
        <v>348</v>
      </c>
      <c r="D1630" s="60"/>
      <c r="E1630" s="40"/>
      <c r="F1630" s="40"/>
      <c r="G1630" s="40"/>
      <c r="H1630" s="40"/>
      <c r="I1630" s="44">
        <f>SUM(H1631:H1631)</f>
        <v>1</v>
      </c>
      <c r="J1630" s="45" t="str">
        <f>+J1631</f>
        <v>und</v>
      </c>
    </row>
    <row r="1631" spans="2:10" s="1" customFormat="1" ht="12.75" x14ac:dyDescent="0.2">
      <c r="B1631" s="57"/>
      <c r="C1631" s="39" t="s">
        <v>349</v>
      </c>
      <c r="D1631" s="40">
        <v>1</v>
      </c>
      <c r="E1631" s="40"/>
      <c r="F1631" s="40"/>
      <c r="G1631" s="40"/>
      <c r="H1631" s="40">
        <f>+D1631</f>
        <v>1</v>
      </c>
      <c r="I1631" s="40"/>
      <c r="J1631" s="41" t="s">
        <v>13</v>
      </c>
    </row>
    <row r="1632" spans="2:10" s="1" customFormat="1" ht="12.75" x14ac:dyDescent="0.2">
      <c r="B1632" s="57" t="s">
        <v>16</v>
      </c>
      <c r="C1632" s="58" t="s">
        <v>224</v>
      </c>
      <c r="D1632" s="60"/>
      <c r="E1632" s="40"/>
      <c r="F1632" s="40"/>
      <c r="G1632" s="40"/>
      <c r="H1632" s="40"/>
      <c r="I1632" s="40"/>
      <c r="J1632" s="41"/>
    </row>
    <row r="1633" spans="2:10" s="1" customFormat="1" ht="12.75" x14ac:dyDescent="0.2">
      <c r="B1633" s="43" t="s">
        <v>17</v>
      </c>
      <c r="C1633" s="43" t="s">
        <v>343</v>
      </c>
      <c r="D1633" s="60"/>
      <c r="E1633" s="40"/>
      <c r="F1633" s="40"/>
      <c r="G1633" s="40"/>
      <c r="H1633" s="40"/>
      <c r="I1633" s="44">
        <f>SUM(H1634:H1635)</f>
        <v>0</v>
      </c>
      <c r="J1633" s="45" t="str">
        <f>+J1634</f>
        <v>ml</v>
      </c>
    </row>
    <row r="1634" spans="2:10" s="1" customFormat="1" ht="12.75" x14ac:dyDescent="0.2">
      <c r="B1634" s="57"/>
      <c r="C1634" s="39" t="s">
        <v>425</v>
      </c>
      <c r="D1634" s="40"/>
      <c r="E1634" s="40"/>
      <c r="F1634" s="40"/>
      <c r="G1634" s="40"/>
      <c r="H1634" s="40">
        <f>IF(AND(F1634=0,G1634=0),D1634*E1634,IF(AND(E1634=0,G1634=0),D1634*F1634,IF(AND(E1634=0,F1634=0),D1634*G1634,IF(AND(E1634=0),D1634*F1634*G1634,IF(AND(F1634=0),D1634*E1634*G1634,IF(AND(G1634=0),D1634*E1634*F1634,D1634*E1634*F1634*G1634))))))</f>
        <v>0</v>
      </c>
      <c r="I1634" s="40"/>
      <c r="J1634" s="41" t="str">
        <f>IF(AND(E1634=0,F1634&lt;&gt;0,G1634&lt;&gt;0),"m2",IF(AND(F1634=0,E1634&lt;&gt;0,G1634&lt;&gt;0),"m2",IF(AND(G1634=0,E1634&lt;&gt;0,F1634&lt;&gt;0),"m2",IF(AND(F1634=0,G1634=0),"ml",IF(AND(E1634=0,G1634=0),"ml",IF(AND(E1634=0,F1634=0),"ml",IF(AND(E1634&lt;&gt;0,F1634&lt;&gt;0,G1634&lt;&gt;0),"m3",0)))))))</f>
        <v>ml</v>
      </c>
    </row>
    <row r="1635" spans="2:10" s="1" customFormat="1" ht="12.75" x14ac:dyDescent="0.2">
      <c r="B1635" s="57"/>
      <c r="C1635" s="39" t="s">
        <v>425</v>
      </c>
      <c r="D1635" s="40"/>
      <c r="E1635" s="40"/>
      <c r="F1635" s="40"/>
      <c r="G1635" s="40"/>
      <c r="H1635" s="40">
        <f>IF(AND(F1635=0,G1635=0),D1635*E1635,IF(AND(E1635=0,G1635=0),D1635*F1635,IF(AND(E1635=0,F1635=0),D1635*G1635,IF(AND(E1635=0),D1635*F1635*G1635,IF(AND(F1635=0),D1635*E1635*G1635,IF(AND(G1635=0),D1635*E1635*F1635,D1635*E1635*F1635*G1635))))))</f>
        <v>0</v>
      </c>
      <c r="I1635" s="40"/>
      <c r="J1635" s="41"/>
    </row>
    <row r="1636" spans="2:10" s="1" customFormat="1" ht="12.75" x14ac:dyDescent="0.2">
      <c r="B1636" s="43" t="s">
        <v>240</v>
      </c>
      <c r="C1636" s="43" t="s">
        <v>237</v>
      </c>
      <c r="D1636" s="60"/>
      <c r="E1636" s="40"/>
      <c r="F1636" s="40"/>
      <c r="G1636" s="40"/>
      <c r="H1636" s="40"/>
      <c r="I1636" s="44">
        <f>SUM(H1637:H1637)</f>
        <v>7.7</v>
      </c>
      <c r="J1636" s="45" t="str">
        <f>+J1637</f>
        <v>ml</v>
      </c>
    </row>
    <row r="1637" spans="2:10" s="1" customFormat="1" ht="12.75" x14ac:dyDescent="0.2">
      <c r="B1637" s="57"/>
      <c r="C1637" s="39" t="s">
        <v>426</v>
      </c>
      <c r="D1637" s="40">
        <v>1</v>
      </c>
      <c r="E1637" s="40">
        <v>7.7</v>
      </c>
      <c r="F1637" s="40"/>
      <c r="G1637" s="40"/>
      <c r="H1637" s="40">
        <f>IF(AND(F1637=0,G1637=0),D1637*E1637,IF(AND(E1637=0,G1637=0),D1637*F1637,IF(AND(E1637=0,F1637=0),D1637*G1637,IF(AND(E1637=0),D1637*F1637*G1637,IF(AND(F1637=0),D1637*E1637*G1637,IF(AND(G1637=0),D1637*E1637*F1637,D1637*E1637*F1637*G1637))))))</f>
        <v>7.7</v>
      </c>
      <c r="I1637" s="40"/>
      <c r="J1637" s="41" t="str">
        <f>IF(AND(E1637=0,F1637&lt;&gt;0,G1637&lt;&gt;0),"m2",IF(AND(F1637=0,E1637&lt;&gt;0,G1637&lt;&gt;0),"m2",IF(AND(G1637=0,E1637&lt;&gt;0,F1637&lt;&gt;0),"m2",IF(AND(F1637=0,G1637=0),"ml",IF(AND(E1637=0,G1637=0),"ml",IF(AND(E1637=0,F1637=0),"ml",IF(AND(E1637&lt;&gt;0,F1637&lt;&gt;0,G1637&lt;&gt;0),"m3",0)))))))</f>
        <v>ml</v>
      </c>
    </row>
    <row r="1638" spans="2:10" s="1" customFormat="1" ht="12.75" x14ac:dyDescent="0.2">
      <c r="B1638" s="43" t="s">
        <v>241</v>
      </c>
      <c r="C1638" s="43" t="s">
        <v>239</v>
      </c>
      <c r="D1638" s="60"/>
      <c r="E1638" s="40"/>
      <c r="F1638" s="40"/>
      <c r="G1638" s="40"/>
      <c r="H1638" s="40"/>
      <c r="I1638" s="44">
        <f>SUM(H1639:H1639)</f>
        <v>0</v>
      </c>
      <c r="J1638" s="45" t="str">
        <f>+J1639</f>
        <v>ml</v>
      </c>
    </row>
    <row r="1639" spans="2:10" s="1" customFormat="1" ht="12.75" x14ac:dyDescent="0.2">
      <c r="B1639" s="57"/>
      <c r="C1639" s="39" t="s">
        <v>400</v>
      </c>
      <c r="D1639" s="40"/>
      <c r="E1639" s="40"/>
      <c r="F1639" s="40"/>
      <c r="G1639" s="40"/>
      <c r="H1639" s="40">
        <f>IF(AND(F1639=0,G1639=0),D1639*E1639,IF(AND(E1639=0,G1639=0),D1639*F1639,IF(AND(E1639=0,F1639=0),D1639*G1639,IF(AND(E1639=0),D1639*F1639*G1639,IF(AND(F1639=0),D1639*E1639*G1639,IF(AND(G1639=0),D1639*E1639*F1639,D1639*E1639*F1639*G1639))))))</f>
        <v>0</v>
      </c>
      <c r="I1639" s="40"/>
      <c r="J1639" s="41" t="str">
        <f>IF(AND(E1639=0,F1639&lt;&gt;0,G1639&lt;&gt;0),"m2",IF(AND(F1639=0,E1639&lt;&gt;0,G1639&lt;&gt;0),"m2",IF(AND(G1639=0,E1639&lt;&gt;0,F1639&lt;&gt;0),"m2",IF(AND(F1639=0,G1639=0),"ml",IF(AND(E1639=0,G1639=0),"ml",IF(AND(E1639=0,F1639=0),"ml",IF(AND(E1639&lt;&gt;0,F1639&lt;&gt;0,G1639&lt;&gt;0),"m3",0)))))))</f>
        <v>ml</v>
      </c>
    </row>
    <row r="1640" spans="2:10" s="1" customFormat="1" ht="12.75" x14ac:dyDescent="0.2">
      <c r="B1640" s="43" t="s">
        <v>243</v>
      </c>
      <c r="C1640" s="43" t="s">
        <v>242</v>
      </c>
      <c r="D1640" s="60"/>
      <c r="E1640" s="40"/>
      <c r="F1640" s="40"/>
      <c r="G1640" s="40"/>
      <c r="H1640" s="40"/>
      <c r="I1640" s="44">
        <f>SUM(H1641:H1641)</f>
        <v>0</v>
      </c>
      <c r="J1640" s="45" t="str">
        <f>+J1641</f>
        <v>ml</v>
      </c>
    </row>
    <row r="1641" spans="2:10" s="1" customFormat="1" ht="12.75" x14ac:dyDescent="0.2">
      <c r="B1641" s="57"/>
      <c r="C1641" s="39" t="s">
        <v>401</v>
      </c>
      <c r="D1641" s="40"/>
      <c r="E1641" s="40"/>
      <c r="F1641" s="40"/>
      <c r="G1641" s="40"/>
      <c r="H1641" s="40">
        <f>IF(AND(F1641=0,G1641=0),D1641*E1641,IF(AND(E1641=0,G1641=0),D1641*F1641,IF(AND(E1641=0,F1641=0),D1641*G1641,IF(AND(E1641=0),D1641*F1641*G1641,IF(AND(F1641=0),D1641*E1641*G1641,IF(AND(G1641=0),D1641*E1641*F1641,D1641*E1641*F1641*G1641))))))</f>
        <v>0</v>
      </c>
      <c r="I1641" s="40"/>
      <c r="J1641" s="41" t="str">
        <f>IF(AND(E1641=0,F1641&lt;&gt;0,G1641&lt;&gt;0),"m2",IF(AND(F1641=0,E1641&lt;&gt;0,G1641&lt;&gt;0),"m2",IF(AND(G1641=0,E1641&lt;&gt;0,F1641&lt;&gt;0),"m2",IF(AND(F1641=0,G1641=0),"ml",IF(AND(E1641=0,G1641=0),"ml",IF(AND(E1641=0,F1641=0),"ml",IF(AND(E1641&lt;&gt;0,F1641&lt;&gt;0,G1641&lt;&gt;0),"m3",0)))))))</f>
        <v>ml</v>
      </c>
    </row>
    <row r="1642" spans="2:10" s="1" customFormat="1" ht="12.75" x14ac:dyDescent="0.2">
      <c r="B1642" s="43" t="s">
        <v>244</v>
      </c>
      <c r="C1642" s="43" t="s">
        <v>245</v>
      </c>
      <c r="D1642" s="60"/>
      <c r="E1642" s="40"/>
      <c r="F1642" s="40"/>
      <c r="G1642" s="40"/>
      <c r="H1642" s="40"/>
      <c r="I1642" s="44">
        <f>SUM(H1643:H1643)</f>
        <v>0</v>
      </c>
      <c r="J1642" s="45" t="str">
        <f>+J1643</f>
        <v>ml</v>
      </c>
    </row>
    <row r="1643" spans="2:10" s="1" customFormat="1" ht="12.75" x14ac:dyDescent="0.2">
      <c r="B1643" s="57"/>
      <c r="C1643" s="39" t="s">
        <v>426</v>
      </c>
      <c r="D1643" s="40"/>
      <c r="E1643" s="40"/>
      <c r="F1643" s="40"/>
      <c r="G1643" s="40"/>
      <c r="H1643" s="40">
        <f>IF(AND(F1643=0,G1643=0),D1643*E1643,IF(AND(E1643=0,G1643=0),D1643*F1643,IF(AND(E1643=0,F1643=0),D1643*G1643,IF(AND(E1643=0),D1643*F1643*G1643,IF(AND(F1643=0),D1643*E1643*G1643,IF(AND(G1643=0),D1643*E1643*F1643,D1643*E1643*F1643*G1643))))))</f>
        <v>0</v>
      </c>
      <c r="I1643" s="40"/>
      <c r="J1643" s="41" t="str">
        <f>IF(AND(E1643=0,F1643&lt;&gt;0,G1643&lt;&gt;0),"m2",IF(AND(F1643=0,E1643&lt;&gt;0,G1643&lt;&gt;0),"m2",IF(AND(G1643=0,E1643&lt;&gt;0,F1643&lt;&gt;0),"m2",IF(AND(F1643=0,G1643=0),"ml",IF(AND(E1643=0,G1643=0),"ml",IF(AND(E1643=0,F1643=0),"ml",IF(AND(E1643&lt;&gt;0,F1643&lt;&gt;0,G1643&lt;&gt;0),"m3",0)))))))</f>
        <v>ml</v>
      </c>
    </row>
    <row r="1644" spans="2:10" s="1" customFormat="1" ht="12.75" x14ac:dyDescent="0.2">
      <c r="B1644" s="43" t="s">
        <v>248</v>
      </c>
      <c r="C1644" s="43" t="s">
        <v>246</v>
      </c>
      <c r="D1644" s="60"/>
      <c r="E1644" s="40"/>
      <c r="F1644" s="40"/>
      <c r="G1644" s="40"/>
      <c r="H1644" s="40"/>
      <c r="I1644" s="44">
        <f>SUM(H1645:H1645)</f>
        <v>0</v>
      </c>
      <c r="J1644" s="45" t="str">
        <f>+J1645</f>
        <v>ml</v>
      </c>
    </row>
    <row r="1645" spans="2:10" s="1" customFormat="1" ht="12.75" x14ac:dyDescent="0.2">
      <c r="B1645" s="57"/>
      <c r="C1645" s="39" t="s">
        <v>238</v>
      </c>
      <c r="D1645" s="40"/>
      <c r="E1645" s="40"/>
      <c r="F1645" s="40"/>
      <c r="G1645" s="40"/>
      <c r="H1645" s="40">
        <f>IF(AND(F1645=0,G1645=0),D1645*E1645,IF(AND(E1645=0,G1645=0),D1645*F1645,IF(AND(E1645=0,F1645=0),D1645*G1645,IF(AND(E1645=0),D1645*F1645*G1645,IF(AND(F1645=0),D1645*E1645*G1645,IF(AND(G1645=0),D1645*E1645*F1645,D1645*E1645*F1645*G1645))))))</f>
        <v>0</v>
      </c>
      <c r="I1645" s="40"/>
      <c r="J1645" s="41" t="str">
        <f>IF(AND(E1645=0,F1645&lt;&gt;0,G1645&lt;&gt;0),"m2",IF(AND(F1645=0,E1645&lt;&gt;0,G1645&lt;&gt;0),"m2",IF(AND(G1645=0,E1645&lt;&gt;0,F1645&lt;&gt;0),"m2",IF(AND(F1645=0,G1645=0),"ml",IF(AND(E1645=0,G1645=0),"ml",IF(AND(E1645=0,F1645=0),"ml",IF(AND(E1645&lt;&gt;0,F1645&lt;&gt;0,G1645&lt;&gt;0),"m3",0)))))))</f>
        <v>ml</v>
      </c>
    </row>
    <row r="1646" spans="2:10" s="1" customFormat="1" ht="12.75" x14ac:dyDescent="0.2">
      <c r="B1646" s="43" t="s">
        <v>249</v>
      </c>
      <c r="C1646" s="43" t="s">
        <v>247</v>
      </c>
      <c r="D1646" s="60"/>
      <c r="E1646" s="40"/>
      <c r="F1646" s="40"/>
      <c r="G1646" s="40"/>
      <c r="H1646" s="40"/>
      <c r="I1646" s="44">
        <f>SUM(H1647:H1647)</f>
        <v>0</v>
      </c>
      <c r="J1646" s="45" t="str">
        <f>+J1647</f>
        <v>ml</v>
      </c>
    </row>
    <row r="1647" spans="2:10" s="1" customFormat="1" ht="12.75" x14ac:dyDescent="0.2">
      <c r="B1647" s="57"/>
      <c r="C1647" s="39" t="s">
        <v>396</v>
      </c>
      <c r="D1647" s="40"/>
      <c r="E1647" s="40"/>
      <c r="F1647" s="40"/>
      <c r="G1647" s="40"/>
      <c r="H1647" s="40">
        <f>IF(AND(F1647=0,G1647=0),D1647*E1647,IF(AND(E1647=0,G1647=0),D1647*F1647,IF(AND(E1647=0,F1647=0),D1647*G1647,IF(AND(E1647=0),D1647*F1647*G1647,IF(AND(F1647=0),D1647*E1647*G1647,IF(AND(G1647=0),D1647*E1647*F1647,D1647*E1647*F1647*G1647))))))</f>
        <v>0</v>
      </c>
      <c r="I1647" s="40"/>
      <c r="J1647" s="41" t="str">
        <f>IF(AND(E1647=0,F1647&lt;&gt;0,G1647&lt;&gt;0),"m2",IF(AND(F1647=0,E1647&lt;&gt;0,G1647&lt;&gt;0),"m2",IF(AND(G1647=0,E1647&lt;&gt;0,F1647&lt;&gt;0),"m2",IF(AND(F1647=0,G1647=0),"ml",IF(AND(E1647=0,G1647=0),"ml",IF(AND(E1647=0,F1647=0),"ml",IF(AND(E1647&lt;&gt;0,F1647&lt;&gt;0,G1647&lt;&gt;0),"m3",0)))))))</f>
        <v>ml</v>
      </c>
    </row>
    <row r="1648" spans="2:10" s="1" customFormat="1" ht="12.75" x14ac:dyDescent="0.2">
      <c r="B1648" s="43" t="s">
        <v>256</v>
      </c>
      <c r="C1648" s="43" t="s">
        <v>226</v>
      </c>
      <c r="D1648" s="60"/>
      <c r="E1648" s="40"/>
      <c r="F1648" s="40"/>
      <c r="G1648" s="40"/>
      <c r="H1648" s="40"/>
      <c r="I1648" s="44">
        <f>SUM(H1649:H1650)</f>
        <v>7.7</v>
      </c>
      <c r="J1648" s="45" t="str">
        <f>+J1650</f>
        <v>ml</v>
      </c>
    </row>
    <row r="1649" spans="2:10" s="1" customFormat="1" ht="12.75" x14ac:dyDescent="0.2">
      <c r="B1649" s="43"/>
      <c r="C1649" s="39" t="s">
        <v>371</v>
      </c>
      <c r="D1649" s="40">
        <v>1</v>
      </c>
      <c r="E1649" s="40">
        <v>7.7</v>
      </c>
      <c r="F1649" s="40"/>
      <c r="G1649" s="40"/>
      <c r="H1649" s="40">
        <f>IF(AND(F1649=0,G1649=0),D1649*E1649,IF(AND(E1649=0,G1649=0),D1649*F1649,IF(AND(E1649=0,F1649=0),D1649*G1649,IF(AND(E1649=0),D1649*F1649*G1649,IF(AND(F1649=0),D1649*E1649*G1649,IF(AND(G1649=0),D1649*E1649*F1649,D1649*E1649*F1649*G1649))))))</f>
        <v>7.7</v>
      </c>
      <c r="I1649" s="40"/>
      <c r="J1649" s="41" t="str">
        <f>IF(AND(E1649=0,F1649&lt;&gt;0,G1649&lt;&gt;0),"m2",IF(AND(F1649=0,E1649&lt;&gt;0,G1649&lt;&gt;0),"m2",IF(AND(G1649=0,E1649&lt;&gt;0,F1649&lt;&gt;0),"m2",IF(AND(F1649=0,G1649=0),"ml",IF(AND(E1649=0,G1649=0),"ml",IF(AND(E1649=0,F1649=0),"ml",IF(AND(E1649&lt;&gt;0,F1649&lt;&gt;0,G1649&lt;&gt;0),"m3",0)))))))</f>
        <v>ml</v>
      </c>
    </row>
    <row r="1650" spans="2:10" s="1" customFormat="1" ht="12.75" x14ac:dyDescent="0.2">
      <c r="B1650" s="57"/>
      <c r="C1650" s="39" t="s">
        <v>371</v>
      </c>
      <c r="D1650" s="40"/>
      <c r="E1650" s="40"/>
      <c r="F1650" s="40"/>
      <c r="G1650" s="40"/>
      <c r="H1650" s="40">
        <f t="shared" ref="H1650" si="79">+D1650</f>
        <v>0</v>
      </c>
      <c r="I1650" s="40"/>
      <c r="J1650" s="41" t="str">
        <f>IF(AND(E1650=0,F1650&lt;&gt;0,G1650&lt;&gt;0),"m2",IF(AND(F1650=0,E1650&lt;&gt;0,G1650&lt;&gt;0),"m2",IF(AND(G1650=0,E1650&lt;&gt;0,F1650&lt;&gt;0),"m2",IF(AND(F1650=0,G1650=0),"ml",IF(AND(E1650=0,G1650=0),"ml",IF(AND(E1650=0,F1650=0),"ml",IF(AND(E1650&lt;&gt;0,F1650&lt;&gt;0,G1650&lt;&gt;0),"m3",0)))))))</f>
        <v>ml</v>
      </c>
    </row>
    <row r="1651" spans="2:10" s="1" customFormat="1" ht="12.75" x14ac:dyDescent="0.2">
      <c r="B1651" s="43" t="s">
        <v>257</v>
      </c>
      <c r="C1651" s="43" t="s">
        <v>228</v>
      </c>
      <c r="D1651" s="60"/>
      <c r="E1651" s="40"/>
      <c r="F1651" s="40"/>
      <c r="G1651" s="40"/>
      <c r="H1651" s="40"/>
      <c r="I1651" s="44">
        <f>SUM(H1652:H1652)</f>
        <v>0</v>
      </c>
      <c r="J1651" s="45" t="str">
        <f>+J1652</f>
        <v>ml</v>
      </c>
    </row>
    <row r="1652" spans="2:10" s="1" customFormat="1" ht="12.75" x14ac:dyDescent="0.2">
      <c r="B1652" s="57"/>
      <c r="C1652" s="39" t="s">
        <v>399</v>
      </c>
      <c r="D1652" s="40"/>
      <c r="E1652" s="40"/>
      <c r="F1652" s="40"/>
      <c r="G1652" s="40"/>
      <c r="H1652" s="40">
        <f>IF(AND(F1652=0,G1652=0),D1652*E1652,IF(AND(E1652=0,G1652=0),D1652*F1652,IF(AND(E1652=0,F1652=0),D1652*G1652,IF(AND(E1652=0),D1652*F1652*G1652,IF(AND(F1652=0),D1652*E1652*G1652,IF(AND(G1652=0),D1652*E1652*F1652,D1652*E1652*F1652*G1652))))))</f>
        <v>0</v>
      </c>
      <c r="I1652" s="40"/>
      <c r="J1652" s="41" t="str">
        <f>IF(AND(E1652=0,F1652&lt;&gt;0,G1652&lt;&gt;0),"m2",IF(AND(F1652=0,E1652&lt;&gt;0,G1652&lt;&gt;0),"m2",IF(AND(G1652=0,E1652&lt;&gt;0,F1652&lt;&gt;0),"m2",IF(AND(F1652=0,G1652=0),"ml",IF(AND(E1652=0,G1652=0),"ml",IF(AND(E1652=0,F1652=0),"ml",IF(AND(E1652&lt;&gt;0,F1652&lt;&gt;0,G1652&lt;&gt;0),"m3",0)))))))</f>
        <v>ml</v>
      </c>
    </row>
    <row r="1653" spans="2:10" s="1" customFormat="1" ht="12.75" x14ac:dyDescent="0.2">
      <c r="B1653" s="43" t="s">
        <v>258</v>
      </c>
      <c r="C1653" s="43" t="s">
        <v>250</v>
      </c>
      <c r="D1653" s="60"/>
      <c r="E1653" s="40"/>
      <c r="F1653" s="40"/>
      <c r="G1653" s="40"/>
      <c r="H1653" s="40"/>
      <c r="I1653" s="44">
        <f>SUM(H1654:H1654)</f>
        <v>0</v>
      </c>
      <c r="J1653" s="45" t="str">
        <f>+J1654</f>
        <v>ml</v>
      </c>
    </row>
    <row r="1654" spans="2:10" s="1" customFormat="1" ht="12.75" x14ac:dyDescent="0.2">
      <c r="B1654" s="57"/>
      <c r="C1654" s="39" t="s">
        <v>388</v>
      </c>
      <c r="D1654" s="40"/>
      <c r="E1654" s="40"/>
      <c r="F1654" s="40"/>
      <c r="G1654" s="40"/>
      <c r="H1654" s="40">
        <f>IF(AND(F1654=0,G1654=0),D1654*E1654,IF(AND(E1654=0,G1654=0),D1654*F1654,IF(AND(E1654=0,F1654=0),D1654*G1654,IF(AND(E1654=0),D1654*F1654*G1654,IF(AND(F1654=0),D1654*E1654*G1654,IF(AND(G1654=0),D1654*E1654*F1654,D1654*E1654*F1654*G1654))))))</f>
        <v>0</v>
      </c>
      <c r="I1654" s="40"/>
      <c r="J1654" s="41" t="str">
        <f>IF(AND(E1654=0,F1654&lt;&gt;0,G1654&lt;&gt;0),"m2",IF(AND(F1654=0,E1654&lt;&gt;0,G1654&lt;&gt;0),"m2",IF(AND(G1654=0,E1654&lt;&gt;0,F1654&lt;&gt;0),"m2",IF(AND(F1654=0,G1654=0),"ml",IF(AND(E1654=0,G1654=0),"ml",IF(AND(E1654=0,F1654=0),"ml",IF(AND(E1654&lt;&gt;0,F1654&lt;&gt;0,G1654&lt;&gt;0),"m3",0)))))))</f>
        <v>ml</v>
      </c>
    </row>
    <row r="1655" spans="2:10" s="1" customFormat="1" ht="12.75" x14ac:dyDescent="0.2">
      <c r="B1655" s="43" t="s">
        <v>259</v>
      </c>
      <c r="C1655" s="43" t="s">
        <v>251</v>
      </c>
      <c r="D1655" s="60"/>
      <c r="E1655" s="40"/>
      <c r="F1655" s="40"/>
      <c r="G1655" s="40"/>
      <c r="H1655" s="40"/>
      <c r="I1655" s="44">
        <f>SUM(H1656:H1656)</f>
        <v>0</v>
      </c>
      <c r="J1655" s="45" t="str">
        <f>+J1656</f>
        <v>ml</v>
      </c>
    </row>
    <row r="1656" spans="2:10" s="1" customFormat="1" ht="12.75" x14ac:dyDescent="0.2">
      <c r="B1656" s="57"/>
      <c r="C1656" s="39" t="s">
        <v>389</v>
      </c>
      <c r="D1656" s="40"/>
      <c r="E1656" s="40"/>
      <c r="F1656" s="40"/>
      <c r="G1656" s="40"/>
      <c r="H1656" s="40">
        <f>IF(AND(F1656=0,G1656=0),D1656*E1656,IF(AND(E1656=0,G1656=0),D1656*F1656,IF(AND(E1656=0,F1656=0),D1656*G1656,IF(AND(E1656=0),D1656*F1656*G1656,IF(AND(F1656=0),D1656*E1656*G1656,IF(AND(G1656=0),D1656*E1656*F1656,D1656*E1656*F1656*G1656))))))</f>
        <v>0</v>
      </c>
      <c r="I1656" s="40"/>
      <c r="J1656" s="41" t="str">
        <f>IF(AND(E1656=0,F1656&lt;&gt;0,G1656&lt;&gt;0),"m2",IF(AND(F1656=0,E1656&lt;&gt;0,G1656&lt;&gt;0),"m2",IF(AND(G1656=0,E1656&lt;&gt;0,F1656&lt;&gt;0),"m2",IF(AND(F1656=0,G1656=0),"ml",IF(AND(E1656=0,G1656=0),"ml",IF(AND(E1656=0,F1656=0),"ml",IF(AND(E1656&lt;&gt;0,F1656&lt;&gt;0,G1656&lt;&gt;0),"m3",0)))))))</f>
        <v>ml</v>
      </c>
    </row>
    <row r="1657" spans="2:10" s="1" customFormat="1" ht="12.75" x14ac:dyDescent="0.2">
      <c r="B1657" s="43" t="s">
        <v>260</v>
      </c>
      <c r="C1657" s="43" t="s">
        <v>252</v>
      </c>
      <c r="D1657" s="60"/>
      <c r="E1657" s="40"/>
      <c r="F1657" s="40"/>
      <c r="G1657" s="40"/>
      <c r="H1657" s="40"/>
      <c r="I1657" s="44">
        <f>SUM(H1658:H1658)</f>
        <v>0</v>
      </c>
      <c r="J1657" s="45" t="str">
        <f>+J1658</f>
        <v>ml</v>
      </c>
    </row>
    <row r="1658" spans="2:10" s="1" customFormat="1" ht="12.75" x14ac:dyDescent="0.2">
      <c r="B1658" s="57"/>
      <c r="C1658" s="39" t="s">
        <v>397</v>
      </c>
      <c r="D1658" s="40"/>
      <c r="E1658" s="40"/>
      <c r="F1658" s="40"/>
      <c r="G1658" s="40"/>
      <c r="H1658" s="40">
        <f>IF(AND(F1658=0,G1658=0),D1658*E1658,IF(AND(E1658=0,G1658=0),D1658*F1658,IF(AND(E1658=0,F1658=0),D1658*G1658,IF(AND(E1658=0),D1658*F1658*G1658,IF(AND(F1658=0),D1658*E1658*G1658,IF(AND(G1658=0),D1658*E1658*F1658,D1658*E1658*F1658*G1658))))))</f>
        <v>0</v>
      </c>
      <c r="I1658" s="40"/>
      <c r="J1658" s="41" t="str">
        <f>IF(AND(E1658=0,F1658&lt;&gt;0,G1658&lt;&gt;0),"m2",IF(AND(F1658=0,E1658&lt;&gt;0,G1658&lt;&gt;0),"m2",IF(AND(G1658=0,E1658&lt;&gt;0,F1658&lt;&gt;0),"m2",IF(AND(F1658=0,G1658=0),"ml",IF(AND(E1658=0,G1658=0),"ml",IF(AND(E1658=0,F1658=0),"ml",IF(AND(E1658&lt;&gt;0,F1658&lt;&gt;0,G1658&lt;&gt;0),"m3",0)))))))</f>
        <v>ml</v>
      </c>
    </row>
    <row r="1659" spans="2:10" s="1" customFormat="1" ht="12.75" x14ac:dyDescent="0.2">
      <c r="B1659" s="43" t="s">
        <v>261</v>
      </c>
      <c r="C1659" s="43" t="s">
        <v>253</v>
      </c>
      <c r="D1659" s="60"/>
      <c r="E1659" s="40"/>
      <c r="F1659" s="40"/>
      <c r="G1659" s="40"/>
      <c r="H1659" s="40"/>
      <c r="I1659" s="44">
        <f>SUM(H1660:H1660)</f>
        <v>0</v>
      </c>
      <c r="J1659" s="45" t="str">
        <f>+J1660</f>
        <v>und</v>
      </c>
    </row>
    <row r="1660" spans="2:10" s="1" customFormat="1" ht="12.75" x14ac:dyDescent="0.2">
      <c r="B1660" s="43"/>
      <c r="C1660" s="39" t="s">
        <v>402</v>
      </c>
      <c r="D1660" s="40"/>
      <c r="E1660" s="40"/>
      <c r="F1660" s="40"/>
      <c r="G1660" s="40"/>
      <c r="H1660" s="40">
        <f t="shared" ref="H1660" si="80">+D1660</f>
        <v>0</v>
      </c>
      <c r="I1660" s="40"/>
      <c r="J1660" s="41" t="s">
        <v>13</v>
      </c>
    </row>
    <row r="1661" spans="2:10" s="1" customFormat="1" ht="12.75" x14ac:dyDescent="0.2">
      <c r="B1661" s="43" t="s">
        <v>262</v>
      </c>
      <c r="C1661" s="43" t="s">
        <v>254</v>
      </c>
      <c r="D1661" s="60"/>
      <c r="E1661" s="40"/>
      <c r="F1661" s="40"/>
      <c r="G1661" s="40"/>
      <c r="H1661" s="40"/>
      <c r="I1661" s="44">
        <f>SUM(H1662:H1662)</f>
        <v>0</v>
      </c>
      <c r="J1661" s="45" t="str">
        <f>+J1662</f>
        <v>und</v>
      </c>
    </row>
    <row r="1662" spans="2:10" s="1" customFormat="1" ht="12.75" x14ac:dyDescent="0.2">
      <c r="B1662" s="57"/>
      <c r="C1662" s="39" t="s">
        <v>238</v>
      </c>
      <c r="D1662" s="40"/>
      <c r="E1662" s="40"/>
      <c r="F1662" s="40"/>
      <c r="G1662" s="40"/>
      <c r="H1662" s="40">
        <f>+D1662</f>
        <v>0</v>
      </c>
      <c r="I1662" s="40"/>
      <c r="J1662" s="41" t="s">
        <v>13</v>
      </c>
    </row>
    <row r="1663" spans="2:10" s="1" customFormat="1" ht="12.75" x14ac:dyDescent="0.2">
      <c r="B1663" s="43" t="s">
        <v>350</v>
      </c>
      <c r="C1663" s="43" t="s">
        <v>255</v>
      </c>
      <c r="D1663" s="60"/>
      <c r="E1663" s="40"/>
      <c r="F1663" s="40"/>
      <c r="G1663" s="40"/>
      <c r="H1663" s="40"/>
      <c r="I1663" s="44">
        <f>SUM(H1664:H1664)</f>
        <v>0</v>
      </c>
      <c r="J1663" s="45" t="str">
        <f>+J1664</f>
        <v>und</v>
      </c>
    </row>
    <row r="1664" spans="2:10" s="1" customFormat="1" ht="12.75" x14ac:dyDescent="0.2">
      <c r="B1664" s="57"/>
      <c r="C1664" s="39" t="s">
        <v>395</v>
      </c>
      <c r="D1664" s="40"/>
      <c r="E1664" s="40"/>
      <c r="F1664" s="40"/>
      <c r="G1664" s="40"/>
      <c r="H1664" s="40">
        <f>+D1664</f>
        <v>0</v>
      </c>
      <c r="I1664" s="40"/>
      <c r="J1664" s="41" t="s">
        <v>13</v>
      </c>
    </row>
    <row r="1665" spans="2:10" s="1" customFormat="1" ht="12.75" x14ac:dyDescent="0.2">
      <c r="B1665" s="57" t="s">
        <v>18</v>
      </c>
      <c r="C1665" s="58" t="s">
        <v>223</v>
      </c>
      <c r="D1665" s="60"/>
      <c r="E1665" s="40"/>
      <c r="F1665" s="40"/>
      <c r="G1665" s="40"/>
      <c r="H1665" s="40"/>
      <c r="I1665" s="40"/>
      <c r="J1665" s="41"/>
    </row>
    <row r="1666" spans="2:10" s="1" customFormat="1" ht="12.75" x14ac:dyDescent="0.2">
      <c r="B1666" s="43" t="s">
        <v>19</v>
      </c>
      <c r="C1666" s="43" t="s">
        <v>265</v>
      </c>
      <c r="D1666" s="60"/>
      <c r="E1666" s="40"/>
      <c r="F1666" s="40"/>
      <c r="G1666" s="40"/>
      <c r="H1666" s="40"/>
      <c r="I1666" s="44">
        <f>SUM(H1667:H1668)</f>
        <v>0</v>
      </c>
      <c r="J1666" s="45" t="str">
        <f>+J1667</f>
        <v>und</v>
      </c>
    </row>
    <row r="1667" spans="2:10" s="1" customFormat="1" ht="12.75" x14ac:dyDescent="0.2">
      <c r="B1667" s="46"/>
      <c r="C1667" s="39" t="s">
        <v>361</v>
      </c>
      <c r="D1667" s="40"/>
      <c r="E1667" s="40"/>
      <c r="F1667" s="40"/>
      <c r="G1667" s="40"/>
      <c r="H1667" s="40">
        <f>+D1667</f>
        <v>0</v>
      </c>
      <c r="I1667" s="40"/>
      <c r="J1667" s="41" t="s">
        <v>13</v>
      </c>
    </row>
    <row r="1668" spans="2:10" s="1" customFormat="1" ht="12.75" x14ac:dyDescent="0.2">
      <c r="B1668" s="46"/>
      <c r="C1668" s="39" t="s">
        <v>231</v>
      </c>
      <c r="D1668" s="40"/>
      <c r="E1668" s="40"/>
      <c r="F1668" s="40"/>
      <c r="G1668" s="40"/>
      <c r="H1668" s="40">
        <f>+D1668</f>
        <v>0</v>
      </c>
      <c r="I1668" s="40"/>
      <c r="J1668" s="41" t="s">
        <v>13</v>
      </c>
    </row>
    <row r="1669" spans="2:10" s="1" customFormat="1" ht="12.75" x14ac:dyDescent="0.2">
      <c r="B1669" s="43" t="s">
        <v>20</v>
      </c>
      <c r="C1669" s="43" t="s">
        <v>272</v>
      </c>
      <c r="D1669" s="60"/>
      <c r="E1669" s="40"/>
      <c r="F1669" s="40"/>
      <c r="G1669" s="40"/>
      <c r="H1669" s="40"/>
      <c r="I1669" s="44">
        <f>SUM(H1670:H1675)</f>
        <v>9</v>
      </c>
      <c r="J1669" s="45" t="str">
        <f>+J1670</f>
        <v>und</v>
      </c>
    </row>
    <row r="1670" spans="2:10" s="1" customFormat="1" ht="12.75" x14ac:dyDescent="0.2">
      <c r="B1670" s="46"/>
      <c r="C1670" s="77" t="s">
        <v>71</v>
      </c>
      <c r="D1670" s="40"/>
      <c r="E1670" s="40"/>
      <c r="F1670" s="40"/>
      <c r="G1670" s="40"/>
      <c r="H1670" s="40"/>
      <c r="I1670" s="40"/>
      <c r="J1670" s="41" t="s">
        <v>13</v>
      </c>
    </row>
    <row r="1671" spans="2:10" s="1" customFormat="1" ht="12.75" x14ac:dyDescent="0.2">
      <c r="B1671" s="46"/>
      <c r="C1671" s="39" t="s">
        <v>349</v>
      </c>
      <c r="D1671" s="40">
        <v>3</v>
      </c>
      <c r="E1671" s="40"/>
      <c r="F1671" s="40"/>
      <c r="G1671" s="40"/>
      <c r="H1671" s="40">
        <f>+D1671</f>
        <v>3</v>
      </c>
      <c r="I1671" s="40"/>
      <c r="J1671" s="41" t="s">
        <v>13</v>
      </c>
    </row>
    <row r="1672" spans="2:10" s="1" customFormat="1" ht="12.75" x14ac:dyDescent="0.2">
      <c r="B1672" s="46"/>
      <c r="C1672" s="77" t="s">
        <v>72</v>
      </c>
      <c r="D1672" s="40"/>
      <c r="E1672" s="40"/>
      <c r="F1672" s="40"/>
      <c r="G1672" s="40"/>
      <c r="H1672" s="40"/>
      <c r="I1672" s="40"/>
      <c r="J1672" s="41" t="s">
        <v>13</v>
      </c>
    </row>
    <row r="1673" spans="2:10" s="1" customFormat="1" ht="12.75" x14ac:dyDescent="0.2">
      <c r="B1673" s="46"/>
      <c r="C1673" s="39" t="s">
        <v>349</v>
      </c>
      <c r="D1673" s="40">
        <v>3</v>
      </c>
      <c r="E1673" s="40"/>
      <c r="F1673" s="40"/>
      <c r="G1673" s="40"/>
      <c r="H1673" s="40">
        <f>+D1673</f>
        <v>3</v>
      </c>
      <c r="I1673" s="40"/>
      <c r="J1673" s="41" t="s">
        <v>13</v>
      </c>
    </row>
    <row r="1674" spans="2:10" s="1" customFormat="1" ht="12.75" x14ac:dyDescent="0.2">
      <c r="B1674" s="46"/>
      <c r="C1674" s="77" t="s">
        <v>73</v>
      </c>
      <c r="D1674" s="40"/>
      <c r="E1674" s="40"/>
      <c r="F1674" s="40"/>
      <c r="G1674" s="40"/>
      <c r="H1674" s="40"/>
      <c r="I1674" s="40"/>
      <c r="J1674" s="41" t="s">
        <v>13</v>
      </c>
    </row>
    <row r="1675" spans="2:10" s="1" customFormat="1" ht="12.75" x14ac:dyDescent="0.2">
      <c r="B1675" s="46"/>
      <c r="C1675" s="39" t="s">
        <v>349</v>
      </c>
      <c r="D1675" s="40">
        <v>3</v>
      </c>
      <c r="E1675" s="40"/>
      <c r="F1675" s="40"/>
      <c r="G1675" s="40"/>
      <c r="H1675" s="40">
        <f>+D1675</f>
        <v>3</v>
      </c>
      <c r="I1675" s="40"/>
      <c r="J1675" s="41" t="s">
        <v>13</v>
      </c>
    </row>
    <row r="1676" spans="2:10" s="1" customFormat="1" ht="12.75" x14ac:dyDescent="0.2">
      <c r="B1676" s="43" t="s">
        <v>21</v>
      </c>
      <c r="C1676" s="43" t="s">
        <v>266</v>
      </c>
      <c r="D1676" s="60"/>
      <c r="E1676" s="40"/>
      <c r="F1676" s="40"/>
      <c r="G1676" s="40"/>
      <c r="H1676" s="40"/>
      <c r="I1676" s="44">
        <f>SUM(H1677:H1679)</f>
        <v>0</v>
      </c>
      <c r="J1676" s="45" t="str">
        <f>+J1677</f>
        <v>und</v>
      </c>
    </row>
    <row r="1677" spans="2:10" s="1" customFormat="1" ht="12.75" x14ac:dyDescent="0.2">
      <c r="B1677" s="43"/>
      <c r="C1677" s="39" t="s">
        <v>71</v>
      </c>
      <c r="D1677" s="40"/>
      <c r="E1677" s="40"/>
      <c r="F1677" s="40"/>
      <c r="G1677" s="40"/>
      <c r="H1677" s="40">
        <f t="shared" ref="H1677:H1679" si="81">+D1677</f>
        <v>0</v>
      </c>
      <c r="I1677" s="40"/>
      <c r="J1677" s="41" t="s">
        <v>13</v>
      </c>
    </row>
    <row r="1678" spans="2:10" s="1" customFormat="1" ht="12.75" x14ac:dyDescent="0.2">
      <c r="B1678" s="43"/>
      <c r="C1678" s="39" t="s">
        <v>72</v>
      </c>
      <c r="D1678" s="40"/>
      <c r="E1678" s="40"/>
      <c r="F1678" s="40"/>
      <c r="G1678" s="40"/>
      <c r="H1678" s="40">
        <f t="shared" si="81"/>
        <v>0</v>
      </c>
      <c r="I1678" s="40"/>
      <c r="J1678" s="41" t="s">
        <v>13</v>
      </c>
    </row>
    <row r="1679" spans="2:10" s="1" customFormat="1" ht="12.75" x14ac:dyDescent="0.2">
      <c r="B1679" s="43"/>
      <c r="C1679" s="39" t="s">
        <v>73</v>
      </c>
      <c r="D1679" s="40"/>
      <c r="E1679" s="40"/>
      <c r="F1679" s="40"/>
      <c r="G1679" s="40"/>
      <c r="H1679" s="40">
        <f t="shared" si="81"/>
        <v>0</v>
      </c>
      <c r="I1679" s="40"/>
      <c r="J1679" s="41" t="s">
        <v>13</v>
      </c>
    </row>
    <row r="1680" spans="2:10" s="1" customFormat="1" ht="12.75" x14ac:dyDescent="0.2">
      <c r="B1680" s="43" t="s">
        <v>273</v>
      </c>
      <c r="C1680" s="43" t="s">
        <v>354</v>
      </c>
      <c r="D1680" s="60"/>
      <c r="E1680" s="40"/>
      <c r="F1680" s="40"/>
      <c r="G1680" s="40"/>
      <c r="H1680" s="40"/>
      <c r="I1680" s="44">
        <f>SUM(H1681:H1681)</f>
        <v>4</v>
      </c>
      <c r="J1680" s="45" t="str">
        <f>+J1681</f>
        <v>und</v>
      </c>
    </row>
    <row r="1681" spans="2:10" s="1" customFormat="1" ht="12.75" x14ac:dyDescent="0.2">
      <c r="B1681" s="43"/>
      <c r="C1681" s="39" t="s">
        <v>375</v>
      </c>
      <c r="D1681" s="40">
        <v>1</v>
      </c>
      <c r="E1681" s="40">
        <v>4</v>
      </c>
      <c r="F1681" s="40"/>
      <c r="G1681" s="40"/>
      <c r="H1681" s="40">
        <f>IF(AND(F1681=0,G1681=0),D1681*E1681,IF(AND(E1681=0,G1681=0),D1681*F1681,IF(AND(E1681=0,F1681=0),D1681*G1681,IF(AND(E1681=0),D1681*F1681*G1681,IF(AND(F1681=0),D1681*E1681*G1681,IF(AND(G1681=0),D1681*E1681*F1681,D1681*E1681*F1681*G1681))))))</f>
        <v>4</v>
      </c>
      <c r="I1681" s="40"/>
      <c r="J1681" s="41" t="s">
        <v>13</v>
      </c>
    </row>
    <row r="1682" spans="2:10" s="1" customFormat="1" ht="12.75" x14ac:dyDescent="0.2">
      <c r="B1682" s="43" t="s">
        <v>274</v>
      </c>
      <c r="C1682" s="43" t="s">
        <v>357</v>
      </c>
      <c r="D1682" s="60"/>
      <c r="E1682" s="40"/>
      <c r="F1682" s="40"/>
      <c r="G1682" s="40"/>
      <c r="H1682" s="40"/>
      <c r="I1682" s="44">
        <f>SUM(H1683:H1683)</f>
        <v>1</v>
      </c>
      <c r="J1682" s="45" t="str">
        <f>+J1683</f>
        <v>und</v>
      </c>
    </row>
    <row r="1683" spans="2:10" s="1" customFormat="1" ht="12.75" x14ac:dyDescent="0.2">
      <c r="B1683" s="43"/>
      <c r="C1683" s="39" t="s">
        <v>375</v>
      </c>
      <c r="D1683" s="40">
        <v>1</v>
      </c>
      <c r="E1683" s="40"/>
      <c r="F1683" s="40"/>
      <c r="G1683" s="40"/>
      <c r="H1683" s="40">
        <f t="shared" ref="H1683" si="82">+D1683</f>
        <v>1</v>
      </c>
      <c r="I1683" s="40"/>
      <c r="J1683" s="41" t="s">
        <v>13</v>
      </c>
    </row>
    <row r="1684" spans="2:10" s="1" customFormat="1" ht="12.75" x14ac:dyDescent="0.2">
      <c r="B1684" s="43" t="s">
        <v>355</v>
      </c>
      <c r="C1684" s="43" t="s">
        <v>263</v>
      </c>
      <c r="D1684" s="60"/>
      <c r="E1684" s="40"/>
      <c r="F1684" s="40"/>
      <c r="G1684" s="40"/>
      <c r="H1684" s="40"/>
      <c r="I1684" s="44">
        <f>SUM(H1685:H1685)</f>
        <v>0</v>
      </c>
      <c r="J1684" s="45" t="str">
        <f>+J1685</f>
        <v>und</v>
      </c>
    </row>
    <row r="1685" spans="2:10" s="1" customFormat="1" ht="12.75" x14ac:dyDescent="0.2">
      <c r="B1685" s="46"/>
      <c r="C1685" s="39" t="s">
        <v>420</v>
      </c>
      <c r="D1685" s="40"/>
      <c r="E1685" s="40"/>
      <c r="F1685" s="40"/>
      <c r="G1685" s="40"/>
      <c r="H1685" s="40">
        <f>+D1685</f>
        <v>0</v>
      </c>
      <c r="I1685" s="40"/>
      <c r="J1685" s="41" t="s">
        <v>13</v>
      </c>
    </row>
    <row r="1686" spans="2:10" s="1" customFormat="1" ht="12.75" x14ac:dyDescent="0.2">
      <c r="B1686" s="43" t="s">
        <v>356</v>
      </c>
      <c r="C1686" s="43" t="s">
        <v>264</v>
      </c>
      <c r="D1686" s="60"/>
      <c r="E1686" s="40"/>
      <c r="F1686" s="40"/>
      <c r="G1686" s="40"/>
      <c r="H1686" s="40"/>
      <c r="I1686" s="44">
        <f>SUM(H1687:H1687)</f>
        <v>0</v>
      </c>
      <c r="J1686" s="45" t="str">
        <f>+J1687</f>
        <v>und</v>
      </c>
    </row>
    <row r="1687" spans="2:10" s="1" customFormat="1" ht="12.75" x14ac:dyDescent="0.2">
      <c r="B1687" s="46"/>
      <c r="C1687" s="39" t="s">
        <v>420</v>
      </c>
      <c r="D1687" s="40"/>
      <c r="E1687" s="40"/>
      <c r="F1687" s="40"/>
      <c r="G1687" s="40"/>
      <c r="H1687" s="40">
        <f>+D1687</f>
        <v>0</v>
      </c>
      <c r="I1687" s="40"/>
      <c r="J1687" s="41" t="s">
        <v>13</v>
      </c>
    </row>
    <row r="1688" spans="2:10" s="1" customFormat="1" ht="12.75" x14ac:dyDescent="0.2">
      <c r="B1688" s="46"/>
      <c r="C1688" s="59"/>
      <c r="D1688" s="60"/>
      <c r="E1688" s="40"/>
      <c r="F1688" s="40"/>
      <c r="G1688" s="40"/>
      <c r="H1688" s="40"/>
      <c r="I1688" s="40"/>
      <c r="J1688" s="41"/>
    </row>
    <row r="1689" spans="2:10" s="1" customFormat="1" ht="12.75" x14ac:dyDescent="0.2">
      <c r="B1689" s="46"/>
      <c r="C1689" s="59"/>
      <c r="D1689" s="60"/>
      <c r="E1689" s="40"/>
      <c r="F1689" s="40"/>
      <c r="G1689" s="40"/>
      <c r="H1689" s="40"/>
      <c r="I1689" s="40"/>
      <c r="J1689" s="41"/>
    </row>
    <row r="1690" spans="2:10" s="1" customFormat="1" ht="12.75" x14ac:dyDescent="0.2">
      <c r="B1690" s="46"/>
      <c r="C1690" s="59"/>
      <c r="D1690" s="60"/>
      <c r="E1690" s="40"/>
      <c r="F1690" s="40"/>
      <c r="G1690" s="40"/>
      <c r="H1690" s="40"/>
      <c r="I1690" s="40"/>
      <c r="J1690" s="41"/>
    </row>
    <row r="1691" spans="2:10" s="1" customFormat="1" ht="12.75" x14ac:dyDescent="0.2">
      <c r="B1691" s="46"/>
      <c r="C1691" s="59"/>
      <c r="D1691" s="60"/>
      <c r="E1691" s="40"/>
      <c r="F1691" s="40"/>
      <c r="G1691" s="40"/>
      <c r="H1691" s="40"/>
      <c r="I1691" s="40"/>
      <c r="J1691" s="41"/>
    </row>
    <row r="1692" spans="2:10" s="1" customFormat="1" ht="12.75" x14ac:dyDescent="0.2">
      <c r="B1692" s="46"/>
      <c r="C1692" s="59"/>
      <c r="D1692" s="60"/>
      <c r="E1692" s="40"/>
      <c r="F1692" s="40"/>
      <c r="G1692" s="40"/>
      <c r="H1692" s="40"/>
      <c r="I1692" s="40"/>
      <c r="J1692" s="41"/>
    </row>
    <row r="1693" spans="2:10" s="1" customFormat="1" ht="12.75" x14ac:dyDescent="0.2">
      <c r="B1693" s="46"/>
      <c r="C1693" s="59"/>
      <c r="D1693" s="60"/>
      <c r="E1693" s="40"/>
      <c r="F1693" s="40"/>
      <c r="G1693" s="40"/>
      <c r="H1693" s="40"/>
      <c r="I1693" s="40"/>
      <c r="J1693" s="41"/>
    </row>
    <row r="1694" spans="2:10" s="1" customFormat="1" ht="12.75" x14ac:dyDescent="0.2">
      <c r="B1694" s="46"/>
      <c r="C1694" s="59"/>
      <c r="D1694" s="60"/>
      <c r="E1694" s="40"/>
      <c r="F1694" s="40"/>
      <c r="G1694" s="40"/>
      <c r="H1694" s="40"/>
      <c r="I1694" s="40"/>
      <c r="J1694" s="41"/>
    </row>
    <row r="1695" spans="2:10" s="1" customFormat="1" ht="12.75" x14ac:dyDescent="0.2">
      <c r="B1695" s="46"/>
      <c r="C1695" s="59"/>
      <c r="D1695" s="60"/>
      <c r="E1695" s="40"/>
      <c r="F1695" s="40"/>
      <c r="G1695" s="40"/>
      <c r="H1695" s="40"/>
      <c r="I1695" s="40"/>
      <c r="J1695" s="41"/>
    </row>
    <row r="1696" spans="2:10" s="1" customFormat="1" ht="12.75" x14ac:dyDescent="0.2">
      <c r="B1696" s="46"/>
      <c r="C1696" s="59"/>
      <c r="D1696" s="60"/>
      <c r="E1696" s="40"/>
      <c r="F1696" s="40"/>
      <c r="G1696" s="40"/>
      <c r="H1696" s="40"/>
      <c r="I1696" s="40"/>
      <c r="J1696" s="41"/>
    </row>
    <row r="1697" spans="2:10" s="1" customFormat="1" ht="12.75" x14ac:dyDescent="0.2">
      <c r="B1697" s="46"/>
      <c r="C1697" s="59"/>
      <c r="D1697" s="60"/>
      <c r="E1697" s="40"/>
      <c r="F1697" s="40"/>
      <c r="G1697" s="40"/>
      <c r="H1697" s="40"/>
      <c r="I1697" s="40"/>
      <c r="J1697" s="41"/>
    </row>
    <row r="1698" spans="2:10" s="1" customFormat="1" ht="12.75" x14ac:dyDescent="0.2">
      <c r="B1698" s="46"/>
      <c r="C1698" s="59"/>
      <c r="D1698" s="60"/>
      <c r="E1698" s="40"/>
      <c r="F1698" s="40"/>
      <c r="G1698" s="40"/>
      <c r="H1698" s="40"/>
      <c r="I1698" s="40"/>
      <c r="J1698" s="41"/>
    </row>
    <row r="1699" spans="2:10" s="1" customFormat="1" ht="12.75" x14ac:dyDescent="0.2">
      <c r="B1699" s="46"/>
      <c r="C1699" s="59"/>
      <c r="D1699" s="60"/>
      <c r="E1699" s="40"/>
      <c r="F1699" s="40"/>
      <c r="G1699" s="40"/>
      <c r="H1699" s="40"/>
      <c r="I1699" s="40"/>
      <c r="J1699" s="41"/>
    </row>
    <row r="1700" spans="2:10" s="1" customFormat="1" ht="12.75" x14ac:dyDescent="0.2">
      <c r="B1700" s="46"/>
      <c r="C1700" s="59"/>
      <c r="D1700" s="60"/>
      <c r="E1700" s="40"/>
      <c r="F1700" s="40"/>
      <c r="G1700" s="40"/>
      <c r="H1700" s="40"/>
      <c r="I1700" s="40"/>
      <c r="J1700" s="41"/>
    </row>
    <row r="1701" spans="2:10" s="1" customFormat="1" ht="12.75" x14ac:dyDescent="0.2">
      <c r="B1701" s="46"/>
      <c r="C1701" s="59"/>
      <c r="D1701" s="60"/>
      <c r="E1701" s="40"/>
      <c r="F1701" s="40"/>
      <c r="G1701" s="40"/>
      <c r="H1701" s="40"/>
      <c r="I1701" s="40"/>
      <c r="J1701" s="41"/>
    </row>
    <row r="1702" spans="2:10" s="1" customFormat="1" ht="12.75" x14ac:dyDescent="0.2">
      <c r="B1702" s="46"/>
      <c r="C1702" s="59"/>
      <c r="D1702" s="60"/>
      <c r="E1702" s="40"/>
      <c r="F1702" s="40"/>
      <c r="G1702" s="40"/>
      <c r="H1702" s="40"/>
      <c r="I1702" s="40"/>
      <c r="J1702" s="41"/>
    </row>
    <row r="1703" spans="2:10" s="1" customFormat="1" ht="12.75" x14ac:dyDescent="0.2">
      <c r="B1703" s="46"/>
      <c r="C1703" s="59"/>
      <c r="D1703" s="60"/>
      <c r="E1703" s="40"/>
      <c r="F1703" s="40"/>
      <c r="G1703" s="40"/>
      <c r="H1703" s="40"/>
      <c r="I1703" s="40"/>
      <c r="J1703" s="41"/>
    </row>
    <row r="1704" spans="2:10" s="1" customFormat="1" ht="12.75" x14ac:dyDescent="0.2">
      <c r="B1704" s="46"/>
      <c r="C1704" s="59"/>
      <c r="D1704" s="60"/>
      <c r="E1704" s="40"/>
      <c r="F1704" s="40"/>
      <c r="G1704" s="40"/>
      <c r="H1704" s="40"/>
      <c r="I1704" s="40"/>
      <c r="J1704" s="41"/>
    </row>
    <row r="1705" spans="2:10" s="1" customFormat="1" ht="12.75" x14ac:dyDescent="0.2">
      <c r="B1705" s="46"/>
      <c r="C1705" s="59"/>
      <c r="D1705" s="60"/>
      <c r="E1705" s="40"/>
      <c r="F1705" s="40"/>
      <c r="G1705" s="40"/>
      <c r="H1705" s="40"/>
      <c r="I1705" s="40"/>
      <c r="J1705" s="41"/>
    </row>
    <row r="1706" spans="2:10" s="1" customFormat="1" ht="12.75" x14ac:dyDescent="0.2">
      <c r="B1706" s="46"/>
      <c r="C1706" s="59"/>
      <c r="D1706" s="60"/>
      <c r="E1706" s="40"/>
      <c r="F1706" s="40"/>
      <c r="G1706" s="40"/>
      <c r="H1706" s="40"/>
      <c r="I1706" s="40"/>
      <c r="J1706" s="41"/>
    </row>
    <row r="1707" spans="2:10" s="1" customFormat="1" ht="12.75" x14ac:dyDescent="0.2">
      <c r="B1707" s="46"/>
      <c r="C1707" s="59"/>
      <c r="D1707" s="60"/>
      <c r="E1707" s="40"/>
      <c r="F1707" s="40"/>
      <c r="G1707" s="40"/>
      <c r="H1707" s="40"/>
      <c r="I1707" s="40"/>
      <c r="J1707" s="41"/>
    </row>
    <row r="1708" spans="2:10" s="1" customFormat="1" ht="12.75" x14ac:dyDescent="0.2">
      <c r="B1708" s="46"/>
      <c r="C1708" s="59"/>
      <c r="D1708" s="60"/>
      <c r="E1708" s="40"/>
      <c r="F1708" s="40"/>
      <c r="G1708" s="40"/>
      <c r="H1708" s="40"/>
      <c r="I1708" s="40"/>
      <c r="J1708" s="41"/>
    </row>
    <row r="1709" spans="2:10" s="1" customFormat="1" ht="12.75" x14ac:dyDescent="0.2">
      <c r="B1709" s="46"/>
      <c r="C1709" s="59"/>
      <c r="D1709" s="60"/>
      <c r="E1709" s="40"/>
      <c r="F1709" s="40"/>
      <c r="G1709" s="40"/>
      <c r="H1709" s="40"/>
      <c r="I1709" s="40"/>
      <c r="J1709" s="41"/>
    </row>
    <row r="1710" spans="2:10" s="1" customFormat="1" ht="12.75" x14ac:dyDescent="0.2">
      <c r="B1710" s="46"/>
      <c r="C1710" s="59"/>
      <c r="D1710" s="60"/>
      <c r="E1710" s="40"/>
      <c r="F1710" s="40"/>
      <c r="G1710" s="40"/>
      <c r="H1710" s="40"/>
      <c r="I1710" s="40"/>
      <c r="J1710" s="41"/>
    </row>
    <row r="1711" spans="2:10" s="1" customFormat="1" ht="12.75" x14ac:dyDescent="0.2">
      <c r="B1711" s="46"/>
      <c r="C1711" s="59"/>
      <c r="D1711" s="60"/>
      <c r="E1711" s="40"/>
      <c r="F1711" s="40"/>
      <c r="G1711" s="40"/>
      <c r="H1711" s="40"/>
      <c r="I1711" s="40"/>
      <c r="J1711" s="41"/>
    </row>
    <row r="1712" spans="2:10" s="1" customFormat="1" ht="12.75" x14ac:dyDescent="0.2">
      <c r="B1712" s="46"/>
      <c r="C1712" s="59"/>
      <c r="D1712" s="60"/>
      <c r="E1712" s="40"/>
      <c r="F1712" s="40"/>
      <c r="G1712" s="40"/>
      <c r="H1712" s="40"/>
      <c r="I1712" s="40"/>
      <c r="J1712" s="41"/>
    </row>
    <row r="1713" spans="2:10" s="1" customFormat="1" ht="12.75" x14ac:dyDescent="0.2">
      <c r="B1713" s="46"/>
      <c r="C1713" s="59"/>
      <c r="D1713" s="60"/>
      <c r="E1713" s="40"/>
      <c r="F1713" s="40"/>
      <c r="G1713" s="40"/>
      <c r="H1713" s="40"/>
      <c r="I1713" s="40"/>
      <c r="J1713" s="41"/>
    </row>
    <row r="1714" spans="2:10" s="1" customFormat="1" ht="12.75" x14ac:dyDescent="0.2">
      <c r="B1714" s="46"/>
      <c r="C1714" s="59"/>
      <c r="D1714" s="60"/>
      <c r="E1714" s="40"/>
      <c r="F1714" s="40"/>
      <c r="G1714" s="40"/>
      <c r="H1714" s="40"/>
      <c r="I1714" s="40"/>
      <c r="J1714" s="41"/>
    </row>
    <row r="1715" spans="2:10" s="1" customFormat="1" ht="12.75" x14ac:dyDescent="0.2">
      <c r="B1715" s="46"/>
      <c r="C1715" s="59"/>
      <c r="D1715" s="60"/>
      <c r="E1715" s="40"/>
      <c r="F1715" s="40"/>
      <c r="G1715" s="40"/>
      <c r="H1715" s="40"/>
      <c r="I1715" s="40"/>
      <c r="J1715" s="41"/>
    </row>
    <row r="1716" spans="2:10" s="1" customFormat="1" ht="12.75" x14ac:dyDescent="0.2">
      <c r="B1716" s="46"/>
      <c r="C1716" s="59"/>
      <c r="D1716" s="60"/>
      <c r="E1716" s="40"/>
      <c r="F1716" s="40"/>
      <c r="G1716" s="40"/>
      <c r="H1716" s="40"/>
      <c r="I1716" s="40"/>
      <c r="J1716" s="41"/>
    </row>
    <row r="1717" spans="2:10" s="1" customFormat="1" ht="12.75" x14ac:dyDescent="0.2">
      <c r="B1717" s="46"/>
      <c r="C1717" s="59"/>
      <c r="D1717" s="60"/>
      <c r="E1717" s="40"/>
      <c r="F1717" s="40"/>
      <c r="G1717" s="40"/>
      <c r="H1717" s="40"/>
      <c r="I1717" s="40"/>
      <c r="J1717" s="41"/>
    </row>
    <row r="1718" spans="2:10" s="1" customFormat="1" ht="12.75" x14ac:dyDescent="0.2">
      <c r="B1718" s="46"/>
      <c r="C1718" s="59"/>
      <c r="D1718" s="60"/>
      <c r="E1718" s="40"/>
      <c r="F1718" s="40"/>
      <c r="G1718" s="40"/>
      <c r="H1718" s="40"/>
      <c r="I1718" s="40"/>
      <c r="J1718" s="41"/>
    </row>
    <row r="1719" spans="2:10" s="1" customFormat="1" ht="12.75" x14ac:dyDescent="0.2">
      <c r="B1719" s="46"/>
      <c r="C1719" s="59"/>
      <c r="D1719" s="60"/>
      <c r="E1719" s="40"/>
      <c r="F1719" s="40"/>
      <c r="G1719" s="40"/>
      <c r="H1719" s="40"/>
      <c r="I1719" s="40"/>
      <c r="J1719" s="41"/>
    </row>
    <row r="1720" spans="2:10" s="1" customFormat="1" ht="12.75" x14ac:dyDescent="0.2">
      <c r="B1720" s="46"/>
      <c r="C1720" s="59"/>
      <c r="D1720" s="60"/>
      <c r="E1720" s="40"/>
      <c r="F1720" s="40"/>
      <c r="G1720" s="40"/>
      <c r="H1720" s="40"/>
      <c r="I1720" s="40"/>
      <c r="J1720" s="41"/>
    </row>
    <row r="1721" spans="2:10" s="1" customFormat="1" ht="12.75" x14ac:dyDescent="0.2">
      <c r="B1721" s="46"/>
      <c r="C1721" s="59"/>
      <c r="D1721" s="60"/>
      <c r="E1721" s="40"/>
      <c r="F1721" s="40"/>
      <c r="G1721" s="40"/>
      <c r="H1721" s="40"/>
      <c r="I1721" s="40"/>
      <c r="J1721" s="41"/>
    </row>
    <row r="1722" spans="2:10" s="1" customFormat="1" ht="12.75" x14ac:dyDescent="0.2">
      <c r="B1722" s="46"/>
      <c r="C1722" s="59"/>
      <c r="D1722" s="60"/>
      <c r="E1722" s="40"/>
      <c r="F1722" s="40"/>
      <c r="G1722" s="40"/>
      <c r="H1722" s="40"/>
      <c r="I1722" s="40"/>
      <c r="J1722" s="41"/>
    </row>
    <row r="1723" spans="2:10" s="1" customFormat="1" ht="12.75" x14ac:dyDescent="0.2">
      <c r="B1723" s="46"/>
      <c r="C1723" s="59"/>
      <c r="D1723" s="60"/>
      <c r="E1723" s="40"/>
      <c r="F1723" s="40"/>
      <c r="G1723" s="40"/>
      <c r="H1723" s="40"/>
      <c r="I1723" s="40"/>
      <c r="J1723" s="41"/>
    </row>
    <row r="1724" spans="2:10" s="1" customFormat="1" ht="12.75" x14ac:dyDescent="0.2">
      <c r="B1724" s="46"/>
      <c r="C1724" s="59"/>
      <c r="D1724" s="60"/>
      <c r="E1724" s="40"/>
      <c r="F1724" s="40"/>
      <c r="G1724" s="40"/>
      <c r="H1724" s="40"/>
      <c r="I1724" s="40"/>
      <c r="J1724" s="41"/>
    </row>
    <row r="1725" spans="2:10" s="1" customFormat="1" ht="12.75" x14ac:dyDescent="0.2">
      <c r="B1725" s="46"/>
      <c r="C1725" s="59"/>
      <c r="D1725" s="60"/>
      <c r="E1725" s="40"/>
      <c r="F1725" s="40"/>
      <c r="G1725" s="40"/>
      <c r="H1725" s="40"/>
      <c r="I1725" s="40"/>
      <c r="J1725" s="41"/>
    </row>
    <row r="1726" spans="2:10" s="1" customFormat="1" ht="12.75" x14ac:dyDescent="0.2">
      <c r="B1726" s="46"/>
      <c r="C1726" s="59"/>
      <c r="D1726" s="60"/>
      <c r="E1726" s="40"/>
      <c r="F1726" s="40"/>
      <c r="G1726" s="40"/>
      <c r="H1726" s="40"/>
      <c r="I1726" s="40"/>
      <c r="J1726" s="41"/>
    </row>
    <row r="1727" spans="2:10" s="1" customFormat="1" ht="12.75" x14ac:dyDescent="0.2">
      <c r="B1727" s="46"/>
      <c r="C1727" s="59"/>
      <c r="D1727" s="60"/>
      <c r="E1727" s="40"/>
      <c r="F1727" s="40"/>
      <c r="G1727" s="40"/>
      <c r="H1727" s="40"/>
      <c r="I1727" s="40"/>
      <c r="J1727" s="41"/>
    </row>
    <row r="1728" spans="2:10" s="1" customFormat="1" ht="12.75" x14ac:dyDescent="0.2">
      <c r="B1728" s="46"/>
      <c r="C1728" s="59"/>
      <c r="D1728" s="60"/>
      <c r="E1728" s="40"/>
      <c r="F1728" s="40"/>
      <c r="G1728" s="40"/>
      <c r="H1728" s="40"/>
      <c r="I1728" s="40"/>
      <c r="J1728" s="41"/>
    </row>
    <row r="1729" spans="2:10" s="1" customFormat="1" ht="12.75" x14ac:dyDescent="0.2">
      <c r="B1729" s="46"/>
      <c r="C1729" s="59"/>
      <c r="D1729" s="60"/>
      <c r="E1729" s="40"/>
      <c r="F1729" s="40"/>
      <c r="G1729" s="40"/>
      <c r="H1729" s="40"/>
      <c r="I1729" s="40"/>
      <c r="J1729" s="41"/>
    </row>
    <row r="1730" spans="2:10" s="1" customFormat="1" ht="12.75" x14ac:dyDescent="0.2">
      <c r="B1730" s="46"/>
      <c r="C1730" s="59"/>
      <c r="D1730" s="60"/>
      <c r="E1730" s="40"/>
      <c r="F1730" s="40"/>
      <c r="G1730" s="40"/>
      <c r="H1730" s="40"/>
      <c r="I1730" s="40"/>
      <c r="J1730" s="41"/>
    </row>
    <row r="1731" spans="2:10" s="1" customFormat="1" ht="12.75" x14ac:dyDescent="0.2">
      <c r="B1731" s="46"/>
      <c r="C1731" s="59"/>
      <c r="D1731" s="60"/>
      <c r="E1731" s="40"/>
      <c r="F1731" s="40"/>
      <c r="G1731" s="40"/>
      <c r="H1731" s="40"/>
      <c r="I1731" s="40"/>
      <c r="J1731" s="41"/>
    </row>
    <row r="1732" spans="2:10" s="1" customFormat="1" ht="12.75" x14ac:dyDescent="0.2">
      <c r="B1732" s="46"/>
      <c r="C1732" s="59"/>
      <c r="D1732" s="60"/>
      <c r="E1732" s="40"/>
      <c r="F1732" s="40"/>
      <c r="G1732" s="40"/>
      <c r="H1732" s="40"/>
      <c r="I1732" s="40"/>
      <c r="J1732" s="41"/>
    </row>
    <row r="1733" spans="2:10" s="1" customFormat="1" ht="12.75" x14ac:dyDescent="0.2">
      <c r="B1733" s="46"/>
      <c r="C1733" s="59"/>
      <c r="D1733" s="60"/>
      <c r="E1733" s="40"/>
      <c r="F1733" s="40"/>
      <c r="G1733" s="40"/>
      <c r="H1733" s="40"/>
      <c r="I1733" s="40"/>
      <c r="J1733" s="41"/>
    </row>
    <row r="1734" spans="2:10" s="1" customFormat="1" ht="12.75" x14ac:dyDescent="0.2">
      <c r="B1734" s="46"/>
      <c r="C1734" s="59"/>
      <c r="D1734" s="60"/>
      <c r="E1734" s="40"/>
      <c r="F1734" s="40"/>
      <c r="G1734" s="40"/>
      <c r="H1734" s="40"/>
      <c r="I1734" s="40"/>
      <c r="J1734" s="41"/>
    </row>
    <row r="1735" spans="2:10" s="1" customFormat="1" ht="12.75" x14ac:dyDescent="0.2">
      <c r="B1735" s="46"/>
      <c r="C1735" s="59"/>
      <c r="D1735" s="60"/>
      <c r="E1735" s="40"/>
      <c r="F1735" s="40"/>
      <c r="G1735" s="40"/>
      <c r="H1735" s="40"/>
      <c r="I1735" s="40"/>
      <c r="J1735" s="41"/>
    </row>
    <row r="1736" spans="2:10" s="1" customFormat="1" ht="12.75" x14ac:dyDescent="0.2">
      <c r="B1736" s="46"/>
      <c r="C1736" s="59"/>
      <c r="D1736" s="60"/>
      <c r="E1736" s="40"/>
      <c r="F1736" s="40"/>
      <c r="G1736" s="40"/>
      <c r="H1736" s="40"/>
      <c r="I1736" s="40"/>
      <c r="J1736" s="41"/>
    </row>
    <row r="1737" spans="2:10" s="1" customFormat="1" ht="12.75" x14ac:dyDescent="0.2">
      <c r="B1737" s="46"/>
      <c r="C1737" s="59"/>
      <c r="D1737" s="60"/>
      <c r="E1737" s="40"/>
      <c r="F1737" s="40"/>
      <c r="G1737" s="40"/>
      <c r="H1737" s="40"/>
      <c r="I1737" s="40"/>
      <c r="J1737" s="41"/>
    </row>
    <row r="1738" spans="2:10" s="1" customFormat="1" ht="12.75" x14ac:dyDescent="0.2">
      <c r="B1738" s="46"/>
      <c r="C1738" s="59"/>
      <c r="D1738" s="60"/>
      <c r="E1738" s="40"/>
      <c r="F1738" s="40"/>
      <c r="G1738" s="40"/>
      <c r="H1738" s="40"/>
      <c r="I1738" s="40"/>
      <c r="J1738" s="41"/>
    </row>
    <row r="1739" spans="2:10" s="1" customFormat="1" ht="12.75" x14ac:dyDescent="0.2">
      <c r="B1739" s="46"/>
      <c r="C1739" s="59"/>
      <c r="D1739" s="60"/>
      <c r="E1739" s="40"/>
      <c r="F1739" s="40"/>
      <c r="G1739" s="40"/>
      <c r="H1739" s="40"/>
      <c r="I1739" s="40"/>
      <c r="J1739" s="41"/>
    </row>
    <row r="1740" spans="2:10" s="1" customFormat="1" ht="12.75" x14ac:dyDescent="0.2">
      <c r="B1740" s="46"/>
      <c r="C1740" s="59"/>
      <c r="D1740" s="60"/>
      <c r="E1740" s="40"/>
      <c r="F1740" s="40"/>
      <c r="G1740" s="40"/>
      <c r="H1740" s="40"/>
      <c r="I1740" s="40"/>
      <c r="J1740" s="41"/>
    </row>
    <row r="1741" spans="2:10" s="1" customFormat="1" ht="12.75" x14ac:dyDescent="0.2">
      <c r="B1741" s="46"/>
      <c r="C1741" s="59"/>
      <c r="D1741" s="60"/>
      <c r="E1741" s="40"/>
      <c r="F1741" s="40"/>
      <c r="G1741" s="40"/>
      <c r="H1741" s="40"/>
      <c r="I1741" s="40"/>
      <c r="J1741" s="41"/>
    </row>
    <row r="1742" spans="2:10" s="1" customFormat="1" ht="12.75" x14ac:dyDescent="0.2">
      <c r="B1742" s="46"/>
      <c r="C1742" s="59"/>
      <c r="D1742" s="60"/>
      <c r="E1742" s="40"/>
      <c r="F1742" s="40"/>
      <c r="G1742" s="40"/>
      <c r="H1742" s="40"/>
      <c r="I1742" s="40"/>
      <c r="J1742" s="41"/>
    </row>
    <row r="1743" spans="2:10" s="1" customFormat="1" ht="12.75" x14ac:dyDescent="0.2">
      <c r="B1743" s="46"/>
      <c r="C1743" s="59"/>
      <c r="D1743" s="60"/>
      <c r="E1743" s="40"/>
      <c r="F1743" s="40"/>
      <c r="G1743" s="40"/>
      <c r="H1743" s="40"/>
      <c r="I1743" s="40"/>
      <c r="J1743" s="41"/>
    </row>
    <row r="1744" spans="2:10" s="1" customFormat="1" ht="12.75" x14ac:dyDescent="0.2">
      <c r="B1744" s="46"/>
      <c r="C1744" s="59"/>
      <c r="D1744" s="60"/>
      <c r="E1744" s="40"/>
      <c r="F1744" s="40"/>
      <c r="G1744" s="40"/>
      <c r="H1744" s="40"/>
      <c r="I1744" s="40"/>
      <c r="J1744" s="41"/>
    </row>
    <row r="1745" spans="2:10" s="1" customFormat="1" ht="12.75" x14ac:dyDescent="0.2">
      <c r="B1745" s="46"/>
      <c r="C1745" s="59"/>
      <c r="D1745" s="60"/>
      <c r="E1745" s="40"/>
      <c r="F1745" s="40"/>
      <c r="G1745" s="40"/>
      <c r="H1745" s="40"/>
      <c r="I1745" s="40"/>
      <c r="J1745" s="41"/>
    </row>
    <row r="1746" spans="2:10" s="1" customFormat="1" ht="12.75" x14ac:dyDescent="0.2">
      <c r="B1746" s="46"/>
      <c r="C1746" s="59"/>
      <c r="D1746" s="60"/>
      <c r="E1746" s="40"/>
      <c r="F1746" s="40"/>
      <c r="G1746" s="40"/>
      <c r="H1746" s="40"/>
      <c r="I1746" s="40"/>
      <c r="J1746" s="41"/>
    </row>
    <row r="1747" spans="2:10" s="1" customFormat="1" ht="12.75" x14ac:dyDescent="0.2">
      <c r="B1747" s="46"/>
      <c r="C1747" s="59"/>
      <c r="D1747" s="60"/>
      <c r="E1747" s="40"/>
      <c r="F1747" s="40"/>
      <c r="G1747" s="40"/>
      <c r="H1747" s="40"/>
      <c r="I1747" s="40"/>
      <c r="J1747" s="41"/>
    </row>
    <row r="1748" spans="2:10" s="1" customFormat="1" ht="12.75" x14ac:dyDescent="0.2">
      <c r="B1748" s="46"/>
      <c r="C1748" s="59"/>
      <c r="D1748" s="60"/>
      <c r="E1748" s="40"/>
      <c r="F1748" s="40"/>
      <c r="G1748" s="40"/>
      <c r="H1748" s="40"/>
      <c r="I1748" s="40"/>
      <c r="J1748" s="41"/>
    </row>
    <row r="1749" spans="2:10" s="1" customFormat="1" ht="12.75" x14ac:dyDescent="0.2">
      <c r="B1749" s="46"/>
      <c r="C1749" s="59"/>
      <c r="D1749" s="60"/>
      <c r="E1749" s="40"/>
      <c r="F1749" s="40"/>
      <c r="G1749" s="40"/>
      <c r="H1749" s="40"/>
      <c r="I1749" s="40"/>
      <c r="J1749" s="41"/>
    </row>
    <row r="1750" spans="2:10" s="1" customFormat="1" ht="12.75" x14ac:dyDescent="0.2">
      <c r="B1750" s="46"/>
      <c r="C1750" s="59"/>
      <c r="D1750" s="60"/>
      <c r="E1750" s="40"/>
      <c r="F1750" s="40"/>
      <c r="G1750" s="40"/>
      <c r="H1750" s="40"/>
      <c r="I1750" s="40"/>
      <c r="J1750" s="41"/>
    </row>
    <row r="1751" spans="2:10" s="1" customFormat="1" ht="12.75" x14ac:dyDescent="0.2">
      <c r="B1751" s="46"/>
      <c r="C1751" s="59"/>
      <c r="D1751" s="60"/>
      <c r="E1751" s="40"/>
      <c r="F1751" s="40"/>
      <c r="G1751" s="40"/>
      <c r="H1751" s="40"/>
      <c r="I1751" s="40"/>
      <c r="J1751" s="41"/>
    </row>
    <row r="1752" spans="2:10" s="1" customFormat="1" ht="12.75" x14ac:dyDescent="0.2">
      <c r="B1752" s="46"/>
      <c r="C1752" s="59"/>
      <c r="D1752" s="60"/>
      <c r="E1752" s="40"/>
      <c r="F1752" s="40"/>
      <c r="G1752" s="40"/>
      <c r="H1752" s="40"/>
      <c r="I1752" s="40"/>
      <c r="J1752" s="41"/>
    </row>
    <row r="1753" spans="2:10" s="1" customFormat="1" ht="12.75" x14ac:dyDescent="0.2">
      <c r="B1753" s="46"/>
      <c r="C1753" s="59"/>
      <c r="D1753" s="60"/>
      <c r="E1753" s="40"/>
      <c r="F1753" s="40"/>
      <c r="G1753" s="40"/>
      <c r="H1753" s="40"/>
      <c r="I1753" s="40"/>
      <c r="J1753" s="41"/>
    </row>
    <row r="1754" spans="2:10" s="1" customFormat="1" ht="12.75" x14ac:dyDescent="0.2">
      <c r="B1754" s="46"/>
      <c r="C1754" s="59"/>
      <c r="D1754" s="60"/>
      <c r="E1754" s="40"/>
      <c r="F1754" s="40"/>
      <c r="G1754" s="40"/>
      <c r="H1754" s="40"/>
      <c r="I1754" s="40"/>
      <c r="J1754" s="41"/>
    </row>
    <row r="1755" spans="2:10" s="1" customFormat="1" ht="12.75" x14ac:dyDescent="0.2">
      <c r="B1755" s="46"/>
      <c r="C1755" s="59"/>
      <c r="D1755" s="60"/>
      <c r="E1755" s="40"/>
      <c r="F1755" s="40"/>
      <c r="G1755" s="40"/>
      <c r="H1755" s="40"/>
      <c r="I1755" s="40"/>
      <c r="J1755" s="41"/>
    </row>
    <row r="1756" spans="2:10" s="1" customFormat="1" ht="12.75" x14ac:dyDescent="0.2">
      <c r="B1756" s="46"/>
      <c r="C1756" s="59"/>
      <c r="D1756" s="60"/>
      <c r="E1756" s="40"/>
      <c r="F1756" s="40"/>
      <c r="G1756" s="40"/>
      <c r="H1756" s="40"/>
      <c r="I1756" s="40"/>
      <c r="J1756" s="41"/>
    </row>
    <row r="1757" spans="2:10" s="1" customFormat="1" ht="12.75" x14ac:dyDescent="0.2">
      <c r="B1757" s="46"/>
      <c r="C1757" s="59"/>
      <c r="D1757" s="60"/>
      <c r="E1757" s="40"/>
      <c r="F1757" s="40"/>
      <c r="G1757" s="40"/>
      <c r="H1757" s="40"/>
      <c r="I1757" s="40"/>
      <c r="J1757" s="41"/>
    </row>
    <row r="1758" spans="2:10" s="1" customFormat="1" ht="12.75" x14ac:dyDescent="0.2">
      <c r="B1758" s="46"/>
      <c r="C1758" s="59"/>
      <c r="D1758" s="60"/>
      <c r="E1758" s="40"/>
      <c r="F1758" s="40"/>
      <c r="G1758" s="40"/>
      <c r="H1758" s="40"/>
      <c r="I1758" s="40"/>
      <c r="J1758" s="41"/>
    </row>
    <row r="1759" spans="2:10" s="1" customFormat="1" ht="12.75" x14ac:dyDescent="0.2">
      <c r="B1759" s="46"/>
      <c r="C1759" s="59"/>
      <c r="D1759" s="60"/>
      <c r="E1759" s="40"/>
      <c r="F1759" s="40"/>
      <c r="G1759" s="40"/>
      <c r="H1759" s="40"/>
      <c r="I1759" s="40"/>
      <c r="J1759" s="41"/>
    </row>
    <row r="1760" spans="2:10" s="1" customFormat="1" ht="12.75" x14ac:dyDescent="0.2">
      <c r="B1760" s="46"/>
      <c r="C1760" s="59"/>
      <c r="D1760" s="60"/>
      <c r="E1760" s="40"/>
      <c r="F1760" s="40"/>
      <c r="G1760" s="40"/>
      <c r="H1760" s="40"/>
      <c r="I1760" s="40"/>
      <c r="J1760" s="41"/>
    </row>
    <row r="1761" spans="2:10" s="1" customFormat="1" ht="12.75" x14ac:dyDescent="0.2">
      <c r="B1761" s="46"/>
      <c r="C1761" s="59"/>
      <c r="D1761" s="60"/>
      <c r="E1761" s="40"/>
      <c r="F1761" s="40"/>
      <c r="G1761" s="40"/>
      <c r="H1761" s="40"/>
      <c r="I1761" s="40"/>
      <c r="J1761" s="41"/>
    </row>
    <row r="1762" spans="2:10" s="1" customFormat="1" ht="12.75" x14ac:dyDescent="0.2">
      <c r="B1762" s="46"/>
      <c r="C1762" s="59"/>
      <c r="D1762" s="60"/>
      <c r="E1762" s="40"/>
      <c r="F1762" s="40"/>
      <c r="G1762" s="40"/>
      <c r="H1762" s="40"/>
      <c r="I1762" s="40"/>
      <c r="J1762" s="41"/>
    </row>
    <row r="1763" spans="2:10" s="1" customFormat="1" ht="12.75" x14ac:dyDescent="0.2">
      <c r="B1763" s="46"/>
      <c r="C1763" s="59"/>
      <c r="D1763" s="60"/>
      <c r="E1763" s="40"/>
      <c r="F1763" s="40"/>
      <c r="G1763" s="40"/>
      <c r="H1763" s="40"/>
      <c r="I1763" s="40"/>
      <c r="J1763" s="41"/>
    </row>
    <row r="1764" spans="2:10" s="1" customFormat="1" ht="12.75" x14ac:dyDescent="0.2">
      <c r="B1764" s="46"/>
      <c r="C1764" s="59"/>
      <c r="D1764" s="60"/>
      <c r="E1764" s="40"/>
      <c r="F1764" s="40"/>
      <c r="G1764" s="40"/>
      <c r="H1764" s="40"/>
      <c r="I1764" s="40"/>
      <c r="J1764" s="41"/>
    </row>
    <row r="1765" spans="2:10" s="1" customFormat="1" ht="12.75" x14ac:dyDescent="0.2">
      <c r="B1765" s="46"/>
      <c r="C1765" s="59"/>
      <c r="D1765" s="60"/>
      <c r="E1765" s="40"/>
      <c r="F1765" s="40"/>
      <c r="G1765" s="40"/>
      <c r="H1765" s="40"/>
      <c r="I1765" s="40"/>
      <c r="J1765" s="41"/>
    </row>
    <row r="1766" spans="2:10" s="1" customFormat="1" ht="12.75" x14ac:dyDescent="0.2">
      <c r="B1766" s="46"/>
      <c r="C1766" s="59"/>
      <c r="D1766" s="60"/>
      <c r="E1766" s="40"/>
      <c r="F1766" s="40"/>
      <c r="G1766" s="40"/>
      <c r="H1766" s="40"/>
      <c r="I1766" s="40"/>
      <c r="J1766" s="41"/>
    </row>
    <row r="1767" spans="2:10" s="1" customFormat="1" ht="12.75" x14ac:dyDescent="0.2">
      <c r="B1767" s="46"/>
      <c r="C1767" s="59"/>
      <c r="D1767" s="60"/>
      <c r="E1767" s="40"/>
      <c r="F1767" s="40"/>
      <c r="G1767" s="40"/>
      <c r="H1767" s="40"/>
      <c r="I1767" s="40"/>
      <c r="J1767" s="41"/>
    </row>
    <row r="1768" spans="2:10" s="1" customFormat="1" ht="12.75" x14ac:dyDescent="0.2">
      <c r="C1768" s="499" t="s">
        <v>37</v>
      </c>
      <c r="D1768" s="499"/>
      <c r="E1768" s="499"/>
      <c r="F1768" s="499"/>
      <c r="G1768" s="499"/>
      <c r="H1768" s="499"/>
    </row>
    <row r="1769" spans="2:10" s="1" customFormat="1" ht="12.75" x14ac:dyDescent="0.2">
      <c r="C1769" s="499" t="s">
        <v>38</v>
      </c>
      <c r="D1769" s="499"/>
      <c r="E1769" s="499"/>
      <c r="F1769" s="499"/>
      <c r="G1769" s="499"/>
      <c r="H1769" s="499"/>
    </row>
    <row r="1770" spans="2:10" s="1" customFormat="1" ht="12.75" x14ac:dyDescent="0.2">
      <c r="C1770" s="499" t="s">
        <v>39</v>
      </c>
      <c r="D1770" s="499"/>
      <c r="E1770" s="499"/>
      <c r="F1770" s="499"/>
      <c r="G1770" s="499"/>
      <c r="H1770" s="499"/>
    </row>
    <row r="1771" spans="2:10" s="1" customFormat="1" ht="12.75" x14ac:dyDescent="0.2">
      <c r="C1771" s="500" t="s">
        <v>40</v>
      </c>
      <c r="D1771" s="500"/>
      <c r="E1771" s="500"/>
      <c r="F1771" s="500"/>
      <c r="G1771" s="500"/>
      <c r="H1771" s="500"/>
    </row>
    <row r="1772" spans="2:10" s="1" customFormat="1" ht="12.75" x14ac:dyDescent="0.2">
      <c r="C1772" s="78"/>
      <c r="D1772" s="78"/>
      <c r="E1772" s="78"/>
      <c r="F1772" s="78"/>
      <c r="G1772" s="78"/>
      <c r="H1772" s="78"/>
    </row>
    <row r="1773" spans="2:10" s="1" customFormat="1" ht="15.75" x14ac:dyDescent="0.2">
      <c r="B1773" s="501" t="s">
        <v>65</v>
      </c>
      <c r="C1773" s="502"/>
      <c r="D1773" s="502"/>
      <c r="E1773" s="502"/>
      <c r="F1773" s="502"/>
      <c r="G1773" s="502"/>
      <c r="H1773" s="502"/>
      <c r="I1773" s="502"/>
      <c r="J1773" s="503"/>
    </row>
    <row r="1774" spans="2:10" s="1" customFormat="1" ht="20.25" x14ac:dyDescent="0.2">
      <c r="B1774" s="543" t="s">
        <v>367</v>
      </c>
      <c r="C1774" s="544"/>
      <c r="D1774" s="544"/>
      <c r="E1774" s="544"/>
      <c r="F1774" s="544"/>
      <c r="G1774" s="544"/>
      <c r="H1774" s="544"/>
      <c r="I1774" s="544"/>
      <c r="J1774" s="545"/>
    </row>
    <row r="1775" spans="2:10" s="1" customFormat="1" ht="13.5" thickBot="1" x14ac:dyDescent="0.25">
      <c r="B1775" s="79"/>
      <c r="C1775" s="79"/>
      <c r="D1775" s="79"/>
      <c r="E1775" s="79"/>
      <c r="F1775" s="79"/>
      <c r="G1775" s="79"/>
      <c r="H1775" s="79"/>
      <c r="I1775" s="79"/>
      <c r="J1775" s="79"/>
    </row>
    <row r="1776" spans="2:10" s="1" customFormat="1" ht="28.5" customHeight="1" x14ac:dyDescent="0.2">
      <c r="B1776" s="494" t="s">
        <v>27</v>
      </c>
      <c r="C1776" s="495"/>
      <c r="D1776" s="495"/>
      <c r="E1776" s="495"/>
      <c r="F1776" s="495"/>
      <c r="G1776" s="495"/>
      <c r="H1776" s="495"/>
      <c r="I1776" s="495"/>
      <c r="J1776" s="496"/>
    </row>
    <row r="1777" spans="2:10" s="1" customFormat="1" ht="12.75" x14ac:dyDescent="0.2">
      <c r="B1777" s="2" t="s">
        <v>35</v>
      </c>
      <c r="C1777" s="3" t="s">
        <v>36</v>
      </c>
      <c r="D1777" s="3"/>
      <c r="E1777" s="4"/>
      <c r="F1777" s="5"/>
      <c r="G1777" s="6" t="s">
        <v>8</v>
      </c>
      <c r="H1777" s="497">
        <v>42879</v>
      </c>
      <c r="I1777" s="497"/>
      <c r="J1777" s="7"/>
    </row>
    <row r="1778" spans="2:10" s="1" customFormat="1" ht="12.75" x14ac:dyDescent="0.2">
      <c r="B1778" s="2" t="s">
        <v>33</v>
      </c>
      <c r="C1778" s="3" t="s">
        <v>29</v>
      </c>
      <c r="D1778" s="8"/>
      <c r="E1778" s="8"/>
      <c r="F1778" s="3"/>
      <c r="G1778" s="9" t="s">
        <v>32</v>
      </c>
      <c r="H1778" s="4" t="s">
        <v>29</v>
      </c>
      <c r="I1778" s="10"/>
      <c r="J1778" s="11"/>
    </row>
    <row r="1779" spans="2:10" s="1" customFormat="1" ht="12.75" x14ac:dyDescent="0.2">
      <c r="B1779" s="2" t="s">
        <v>34</v>
      </c>
      <c r="C1779" s="3" t="s">
        <v>29</v>
      </c>
      <c r="D1779" s="8"/>
      <c r="E1779" s="8"/>
      <c r="F1779" s="3"/>
      <c r="G1779" s="9" t="s">
        <v>30</v>
      </c>
      <c r="H1779" s="4" t="s">
        <v>31</v>
      </c>
      <c r="I1779" s="10"/>
      <c r="J1779" s="11"/>
    </row>
    <row r="1780" spans="2:10" s="1" customFormat="1" ht="13.5" thickBot="1" x14ac:dyDescent="0.25">
      <c r="B1780" s="12" t="s">
        <v>43</v>
      </c>
      <c r="C1780" s="13" t="s">
        <v>44</v>
      </c>
      <c r="D1780" s="14"/>
      <c r="E1780" s="14"/>
      <c r="F1780" s="13"/>
      <c r="G1780" s="15" t="s">
        <v>41</v>
      </c>
      <c r="H1780" s="16" t="s">
        <v>42</v>
      </c>
      <c r="I1780" s="17"/>
      <c r="J1780" s="18"/>
    </row>
    <row r="1781" spans="2:10" s="1" customFormat="1" ht="12.75" x14ac:dyDescent="0.2">
      <c r="B1781" s="79"/>
      <c r="C1781" s="79"/>
      <c r="D1781" s="79"/>
      <c r="E1781" s="79"/>
      <c r="F1781" s="79"/>
      <c r="G1781" s="79"/>
      <c r="H1781" s="79"/>
      <c r="I1781" s="79"/>
      <c r="J1781" s="79"/>
    </row>
    <row r="1782" spans="2:10" s="1" customFormat="1" ht="12.75" x14ac:dyDescent="0.2">
      <c r="B1782" s="21" t="s">
        <v>5</v>
      </c>
      <c r="C1782" s="22" t="s">
        <v>0</v>
      </c>
      <c r="D1782" s="22" t="s">
        <v>9</v>
      </c>
      <c r="E1782" s="22" t="s">
        <v>10</v>
      </c>
      <c r="F1782" s="22" t="s">
        <v>1</v>
      </c>
      <c r="G1782" s="22" t="s">
        <v>2</v>
      </c>
      <c r="H1782" s="22" t="s">
        <v>11</v>
      </c>
      <c r="I1782" s="22" t="s">
        <v>6</v>
      </c>
      <c r="J1782" s="22" t="s">
        <v>7</v>
      </c>
    </row>
    <row r="1783" spans="2:10" s="1" customFormat="1" ht="12.75" x14ac:dyDescent="0.2">
      <c r="B1783" s="55">
        <v>4.03</v>
      </c>
      <c r="C1783" s="56" t="s">
        <v>222</v>
      </c>
      <c r="D1783" s="60"/>
      <c r="E1783" s="40"/>
      <c r="F1783" s="40"/>
      <c r="G1783" s="40"/>
      <c r="H1783" s="40"/>
      <c r="I1783" s="40"/>
      <c r="J1783" s="41"/>
    </row>
    <row r="1784" spans="2:10" s="1" customFormat="1" ht="12.75" x14ac:dyDescent="0.2">
      <c r="B1784" s="57" t="s">
        <v>14</v>
      </c>
      <c r="C1784" s="58" t="s">
        <v>225</v>
      </c>
      <c r="D1784" s="60"/>
      <c r="E1784" s="40"/>
      <c r="F1784" s="40"/>
      <c r="G1784" s="40"/>
      <c r="H1784" s="40"/>
      <c r="I1784" s="40"/>
      <c r="J1784" s="41"/>
    </row>
    <row r="1785" spans="2:10" s="1" customFormat="1" ht="12.75" x14ac:dyDescent="0.2">
      <c r="B1785" s="43" t="s">
        <v>15</v>
      </c>
      <c r="C1785" s="43" t="s">
        <v>359</v>
      </c>
      <c r="D1785" s="60"/>
      <c r="E1785" s="40"/>
      <c r="F1785" s="40"/>
      <c r="G1785" s="40"/>
      <c r="H1785" s="40"/>
      <c r="I1785" s="44">
        <f>SUM(H1786:H1786)</f>
        <v>3.95</v>
      </c>
      <c r="J1785" s="45" t="str">
        <f>+J1786</f>
        <v>ml</v>
      </c>
    </row>
    <row r="1786" spans="2:10" s="1" customFormat="1" ht="12.75" x14ac:dyDescent="0.2">
      <c r="B1786" s="43"/>
      <c r="C1786" s="39" t="s">
        <v>387</v>
      </c>
      <c r="D1786" s="40">
        <v>1</v>
      </c>
      <c r="E1786" s="40">
        <v>3.95</v>
      </c>
      <c r="F1786" s="40"/>
      <c r="G1786" s="40"/>
      <c r="H1786" s="40">
        <f>IF(AND(F1786=0,G1786=0),D1786*E1786,IF(AND(E1786=0,G1786=0),D1786*F1786,IF(AND(E1786=0,F1786=0),D1786*G1786,IF(AND(E1786=0),D1786*F1786*G1786,IF(AND(F1786=0),D1786*E1786*G1786,IF(AND(G1786=0),D1786*E1786*F1786,D1786*E1786*F1786*G1786))))))</f>
        <v>3.95</v>
      </c>
      <c r="I1786" s="40"/>
      <c r="J1786" s="41" t="str">
        <f>IF(AND(E1786=0,F1786&lt;&gt;0,G1786&lt;&gt;0),"m2",IF(AND(F1786=0,E1786&lt;&gt;0,G1786&lt;&gt;0),"m2",IF(AND(G1786=0,E1786&lt;&gt;0,F1786&lt;&gt;0),"m2",IF(AND(F1786=0,G1786=0),"ml",IF(AND(E1786=0,G1786=0),"ml",IF(AND(E1786=0,F1786=0),"ml",IF(AND(E1786&lt;&gt;0,F1786&lt;&gt;0,G1786&lt;&gt;0),"m3",0)))))))</f>
        <v>ml</v>
      </c>
    </row>
    <row r="1787" spans="2:10" s="1" customFormat="1" ht="12.75" x14ac:dyDescent="0.2">
      <c r="B1787" s="43"/>
      <c r="C1787" s="39"/>
      <c r="D1787" s="40"/>
      <c r="E1787" s="40"/>
      <c r="F1787" s="40"/>
      <c r="G1787" s="40"/>
      <c r="H1787" s="40">
        <f>IF(AND(F1787=0,G1787=0),D1787*E1787,IF(AND(E1787=0,G1787=0),D1787*F1787,IF(AND(E1787=0,F1787=0),D1787*G1787,IF(AND(E1787=0),D1787*F1787*G1787,IF(AND(F1787=0),D1787*E1787*G1787,IF(AND(G1787=0),D1787*E1787*F1787,D1787*E1787*F1787*G1787))))))</f>
        <v>0</v>
      </c>
      <c r="I1787" s="40"/>
      <c r="J1787" s="41" t="str">
        <f>IF(AND(E1787=0,F1787&lt;&gt;0,G1787&lt;&gt;0),"m2",IF(AND(F1787=0,E1787&lt;&gt;0,G1787&lt;&gt;0),"m2",IF(AND(G1787=0,E1787&lt;&gt;0,F1787&lt;&gt;0),"m2",IF(AND(F1787=0,G1787=0),"ml",IF(AND(E1787=0,G1787=0),"ml",IF(AND(E1787=0,F1787=0),"ml",IF(AND(E1787&lt;&gt;0,F1787&lt;&gt;0,G1787&lt;&gt;0),"m3",0)))))))</f>
        <v>ml</v>
      </c>
    </row>
    <row r="1788" spans="2:10" s="1" customFormat="1" ht="12.75" x14ac:dyDescent="0.2">
      <c r="B1788" s="43" t="s">
        <v>232</v>
      </c>
      <c r="C1788" s="43" t="s">
        <v>235</v>
      </c>
      <c r="D1788" s="60"/>
      <c r="E1788" s="40"/>
      <c r="F1788" s="40"/>
      <c r="G1788" s="40"/>
      <c r="H1788" s="40"/>
      <c r="I1788" s="44">
        <f>SUM(H1789:H1789)</f>
        <v>81.2</v>
      </c>
      <c r="J1788" s="45" t="str">
        <f>+J1789</f>
        <v>ml</v>
      </c>
    </row>
    <row r="1789" spans="2:10" s="1" customFormat="1" ht="12.75" x14ac:dyDescent="0.2">
      <c r="B1789" s="57"/>
      <c r="C1789" s="39" t="s">
        <v>378</v>
      </c>
      <c r="D1789" s="40">
        <v>7</v>
      </c>
      <c r="E1789" s="40">
        <v>11.6</v>
      </c>
      <c r="F1789" s="40"/>
      <c r="G1789" s="40"/>
      <c r="H1789" s="40">
        <f>IF(AND(F1789=0,G1789=0),D1789*E1789,IF(AND(E1789=0,G1789=0),D1789*F1789,IF(AND(E1789=0,F1789=0),D1789*G1789,IF(AND(E1789=0),D1789*F1789*G1789,IF(AND(F1789=0),D1789*E1789*G1789,IF(AND(G1789=0),D1789*E1789*F1789,D1789*E1789*F1789*G1789))))))</f>
        <v>81.2</v>
      </c>
      <c r="I1789" s="40"/>
      <c r="J1789" s="41" t="str">
        <f>IF(AND(E1789=0,F1789&lt;&gt;0,G1789&lt;&gt;0),"m2",IF(AND(F1789=0,E1789&lt;&gt;0,G1789&lt;&gt;0),"m2",IF(AND(G1789=0,E1789&lt;&gt;0,F1789&lt;&gt;0),"m2",IF(AND(F1789=0,G1789=0),"ml",IF(AND(E1789=0,G1789=0),"ml",IF(AND(E1789=0,F1789=0),"ml",IF(AND(E1789&lt;&gt;0,F1789&lt;&gt;0,G1789&lt;&gt;0),"m3",0)))))))</f>
        <v>ml</v>
      </c>
    </row>
    <row r="1790" spans="2:10" s="1" customFormat="1" ht="12.75" x14ac:dyDescent="0.2">
      <c r="B1790" s="57"/>
      <c r="C1790" s="39" t="s">
        <v>379</v>
      </c>
      <c r="D1790" s="40">
        <v>1</v>
      </c>
      <c r="E1790" s="40">
        <v>28.8</v>
      </c>
      <c r="F1790" s="40"/>
      <c r="G1790" s="40"/>
      <c r="H1790" s="40">
        <f>IF(AND(F1790=0,G1790=0),D1790*E1790,IF(AND(E1790=0,G1790=0),D1790*F1790,IF(AND(E1790=0,F1790=0),D1790*G1790,IF(AND(E1790=0),D1790*F1790*G1790,IF(AND(F1790=0),D1790*E1790*G1790,IF(AND(G1790=0),D1790*E1790*F1790,D1790*E1790*F1790*G1790))))))</f>
        <v>28.8</v>
      </c>
      <c r="I1790" s="40"/>
      <c r="J1790" s="41" t="str">
        <f>IF(AND(E1790=0,F1790&lt;&gt;0,G1790&lt;&gt;0),"m2",IF(AND(F1790=0,E1790&lt;&gt;0,G1790&lt;&gt;0),"m2",IF(AND(G1790=0,E1790&lt;&gt;0,F1790&lt;&gt;0),"m2",IF(AND(F1790=0,G1790=0),"ml",IF(AND(E1790=0,G1790=0),"ml",IF(AND(E1790=0,F1790=0),"ml",IF(AND(E1790&lt;&gt;0,F1790&lt;&gt;0,G1790&lt;&gt;0),"m3",0)))))))</f>
        <v>ml</v>
      </c>
    </row>
    <row r="1791" spans="2:10" s="1" customFormat="1" ht="12.75" x14ac:dyDescent="0.2">
      <c r="B1791" s="43" t="s">
        <v>233</v>
      </c>
      <c r="C1791" s="43" t="s">
        <v>236</v>
      </c>
      <c r="D1791" s="60"/>
      <c r="E1791" s="40"/>
      <c r="F1791" s="40"/>
      <c r="G1791" s="40"/>
      <c r="H1791" s="40"/>
      <c r="I1791" s="44">
        <f>SUM(H1792:H1792)</f>
        <v>0</v>
      </c>
      <c r="J1791" s="45" t="str">
        <f>+J1792</f>
        <v>ml</v>
      </c>
    </row>
    <row r="1792" spans="2:10" s="1" customFormat="1" ht="12.75" x14ac:dyDescent="0.2">
      <c r="B1792" s="57"/>
      <c r="C1792" s="39" t="s">
        <v>378</v>
      </c>
      <c r="D1792" s="40"/>
      <c r="E1792" s="40"/>
      <c r="F1792" s="40"/>
      <c r="G1792" s="40"/>
      <c r="H1792" s="40">
        <f>IF(AND(F1792=0,G1792=0),D1792*E1792,IF(AND(E1792=0,G1792=0),D1792*F1792,IF(AND(E1792=0,F1792=0),D1792*G1792,IF(AND(E1792=0),D1792*F1792*G1792,IF(AND(F1792=0),D1792*E1792*G1792,IF(AND(G1792=0),D1792*E1792*F1792,D1792*E1792*F1792*G1792))))))</f>
        <v>0</v>
      </c>
      <c r="I1792" s="40"/>
      <c r="J1792" s="41" t="str">
        <f>IF(AND(E1792=0,F1792&lt;&gt;0,G1792&lt;&gt;0),"m2",IF(AND(F1792=0,E1792&lt;&gt;0,G1792&lt;&gt;0),"m2",IF(AND(G1792=0,E1792&lt;&gt;0,F1792&lt;&gt;0),"m2",IF(AND(F1792=0,G1792=0),"ml",IF(AND(E1792=0,G1792=0),"ml",IF(AND(E1792=0,F1792=0),"ml",IF(AND(E1792&lt;&gt;0,F1792&lt;&gt;0,G1792&lt;&gt;0),"m3",0)))))))</f>
        <v>ml</v>
      </c>
    </row>
    <row r="1793" spans="2:10" s="1" customFormat="1" ht="12.75" x14ac:dyDescent="0.2">
      <c r="B1793" s="57"/>
      <c r="C1793" s="39" t="s">
        <v>379</v>
      </c>
      <c r="D1793" s="40"/>
      <c r="E1793" s="40"/>
      <c r="F1793" s="40"/>
      <c r="G1793" s="40"/>
      <c r="H1793" s="40">
        <f>IF(AND(F1793=0,G1793=0),D1793*E1793,IF(AND(E1793=0,G1793=0),D1793*F1793,IF(AND(E1793=0,F1793=0),D1793*G1793,IF(AND(E1793=0),D1793*F1793*G1793,IF(AND(F1793=0),D1793*E1793*G1793,IF(AND(G1793=0),D1793*E1793*F1793,D1793*E1793*F1793*G1793))))))</f>
        <v>0</v>
      </c>
      <c r="I1793" s="40"/>
      <c r="J1793" s="41" t="str">
        <f>IF(AND(E1793=0,F1793&lt;&gt;0,G1793&lt;&gt;0),"m2",IF(AND(F1793=0,E1793&lt;&gt;0,G1793&lt;&gt;0),"m2",IF(AND(G1793=0,E1793&lt;&gt;0,F1793&lt;&gt;0),"m2",IF(AND(F1793=0,G1793=0),"ml",IF(AND(E1793=0,G1793=0),"ml",IF(AND(E1793=0,F1793=0),"ml",IF(AND(E1793&lt;&gt;0,F1793&lt;&gt;0,G1793&lt;&gt;0),"m3",0)))))))</f>
        <v>ml</v>
      </c>
    </row>
    <row r="1794" spans="2:10" s="1" customFormat="1" ht="12.75" x14ac:dyDescent="0.2">
      <c r="B1794" s="43" t="s">
        <v>234</v>
      </c>
      <c r="C1794" s="43" t="s">
        <v>267</v>
      </c>
      <c r="D1794" s="60"/>
      <c r="E1794" s="40"/>
      <c r="F1794" s="40"/>
      <c r="G1794" s="40"/>
      <c r="H1794" s="40"/>
      <c r="I1794" s="44">
        <f>SUM(H1796:H1801)</f>
        <v>89.25</v>
      </c>
      <c r="J1794" s="45" t="str">
        <f>+J1796</f>
        <v>ml</v>
      </c>
    </row>
    <row r="1795" spans="2:10" s="1" customFormat="1" ht="12.75" x14ac:dyDescent="0.2">
      <c r="B1795" s="43"/>
      <c r="C1795" s="77" t="s">
        <v>71</v>
      </c>
      <c r="D1795" s="60"/>
      <c r="E1795" s="40"/>
      <c r="F1795" s="40"/>
      <c r="G1795" s="40"/>
      <c r="H1795" s="40"/>
      <c r="I1795" s="44"/>
      <c r="J1795" s="45"/>
    </row>
    <row r="1796" spans="2:10" s="1" customFormat="1" ht="12.75" x14ac:dyDescent="0.2">
      <c r="B1796" s="43"/>
      <c r="C1796" s="39" t="s">
        <v>349</v>
      </c>
      <c r="D1796" s="40">
        <v>7</v>
      </c>
      <c r="E1796" s="40">
        <v>3.25</v>
      </c>
      <c r="F1796" s="40"/>
      <c r="G1796" s="40"/>
      <c r="H1796" s="40">
        <f t="shared" ref="H1796:H1801" si="83">IF(AND(F1796=0,G1796=0),D1796*E1796,IF(AND(E1796=0,G1796=0),D1796*F1796,IF(AND(E1796=0,F1796=0),D1796*G1796,IF(AND(E1796=0),D1796*F1796*G1796,IF(AND(F1796=0),D1796*E1796*G1796,IF(AND(G1796=0),D1796*E1796*F1796,D1796*E1796*F1796*G1796))))))</f>
        <v>22.75</v>
      </c>
      <c r="I1796" s="40"/>
      <c r="J1796" s="41" t="str">
        <f t="shared" ref="J1796:J1801" si="84">IF(AND(E1796=0,F1796&lt;&gt;0,G1796&lt;&gt;0),"m2",IF(AND(F1796=0,E1796&lt;&gt;0,G1796&lt;&gt;0),"m2",IF(AND(G1796=0,E1796&lt;&gt;0,F1796&lt;&gt;0),"m2",IF(AND(F1796=0,G1796=0),"ml",IF(AND(E1796=0,G1796=0),"ml",IF(AND(E1796=0,F1796=0),"ml",IF(AND(E1796&lt;&gt;0,F1796&lt;&gt;0,G1796&lt;&gt;0),"m3",0)))))))</f>
        <v>ml</v>
      </c>
    </row>
    <row r="1797" spans="2:10" s="1" customFormat="1" ht="12.75" x14ac:dyDescent="0.2">
      <c r="B1797" s="43"/>
      <c r="C1797" s="39" t="s">
        <v>369</v>
      </c>
      <c r="D1797" s="40">
        <v>7</v>
      </c>
      <c r="E1797" s="40">
        <v>3</v>
      </c>
      <c r="F1797" s="40"/>
      <c r="G1797" s="40"/>
      <c r="H1797" s="40">
        <f t="shared" si="83"/>
        <v>21</v>
      </c>
      <c r="I1797" s="40"/>
      <c r="J1797" s="41" t="str">
        <f t="shared" si="84"/>
        <v>ml</v>
      </c>
    </row>
    <row r="1798" spans="2:10" s="1" customFormat="1" ht="12.75" x14ac:dyDescent="0.2">
      <c r="B1798" s="43"/>
      <c r="C1798" s="77" t="s">
        <v>72</v>
      </c>
      <c r="D1798" s="40"/>
      <c r="E1798" s="40"/>
      <c r="F1798" s="40"/>
      <c r="G1798" s="40"/>
      <c r="H1798" s="40">
        <f t="shared" si="83"/>
        <v>0</v>
      </c>
      <c r="I1798" s="40"/>
      <c r="J1798" s="41" t="str">
        <f t="shared" si="84"/>
        <v>ml</v>
      </c>
    </row>
    <row r="1799" spans="2:10" s="1" customFormat="1" ht="12.75" x14ac:dyDescent="0.2">
      <c r="B1799" s="43"/>
      <c r="C1799" s="39" t="s">
        <v>349</v>
      </c>
      <c r="D1799" s="40">
        <v>7</v>
      </c>
      <c r="E1799" s="40">
        <v>3.25</v>
      </c>
      <c r="F1799" s="40"/>
      <c r="G1799" s="40"/>
      <c r="H1799" s="40">
        <f t="shared" si="83"/>
        <v>22.75</v>
      </c>
      <c r="I1799" s="40"/>
      <c r="J1799" s="41" t="str">
        <f t="shared" si="84"/>
        <v>ml</v>
      </c>
    </row>
    <row r="1800" spans="2:10" s="1" customFormat="1" ht="12.75" x14ac:dyDescent="0.2">
      <c r="B1800" s="43"/>
      <c r="C1800" s="77" t="s">
        <v>73</v>
      </c>
      <c r="D1800" s="40"/>
      <c r="E1800" s="40"/>
      <c r="F1800" s="40"/>
      <c r="G1800" s="40"/>
      <c r="H1800" s="40">
        <f t="shared" si="83"/>
        <v>0</v>
      </c>
      <c r="I1800" s="40"/>
      <c r="J1800" s="41" t="str">
        <f t="shared" si="84"/>
        <v>ml</v>
      </c>
    </row>
    <row r="1801" spans="2:10" s="1" customFormat="1" ht="12.75" x14ac:dyDescent="0.2">
      <c r="B1801" s="43"/>
      <c r="C1801" s="39" t="s">
        <v>349</v>
      </c>
      <c r="D1801" s="40">
        <v>7</v>
      </c>
      <c r="E1801" s="40">
        <v>3.25</v>
      </c>
      <c r="F1801" s="40"/>
      <c r="G1801" s="40"/>
      <c r="H1801" s="40">
        <f t="shared" si="83"/>
        <v>22.75</v>
      </c>
      <c r="I1801" s="40"/>
      <c r="J1801" s="41" t="str">
        <f t="shared" si="84"/>
        <v>ml</v>
      </c>
    </row>
    <row r="1802" spans="2:10" s="1" customFormat="1" ht="12.75" x14ac:dyDescent="0.2">
      <c r="B1802" s="43" t="s">
        <v>268</v>
      </c>
      <c r="C1802" s="43" t="s">
        <v>347</v>
      </c>
      <c r="D1802" s="60"/>
      <c r="E1802" s="40"/>
      <c r="F1802" s="40"/>
      <c r="G1802" s="40"/>
      <c r="H1802" s="40"/>
      <c r="I1802" s="44">
        <f>SUM(H1803:H1809)</f>
        <v>11.75</v>
      </c>
      <c r="J1802" s="45" t="str">
        <f>+J1803</f>
        <v>ml</v>
      </c>
    </row>
    <row r="1803" spans="2:10" s="1" customFormat="1" ht="12.75" x14ac:dyDescent="0.2">
      <c r="B1803" s="57"/>
      <c r="C1803" s="77" t="s">
        <v>71</v>
      </c>
      <c r="D1803" s="40"/>
      <c r="E1803" s="40"/>
      <c r="F1803" s="40"/>
      <c r="G1803" s="40"/>
      <c r="H1803" s="40">
        <f t="shared" ref="H1803:H1809" si="85">IF(AND(F1803=0,G1803=0),D1803*E1803,IF(AND(E1803=0,G1803=0),D1803*F1803,IF(AND(E1803=0,F1803=0),D1803*G1803,IF(AND(E1803=0),D1803*F1803*G1803,IF(AND(F1803=0),D1803*E1803*G1803,IF(AND(G1803=0),D1803*E1803*F1803,D1803*E1803*F1803*G1803))))))</f>
        <v>0</v>
      </c>
      <c r="I1803" s="40"/>
      <c r="J1803" s="41" t="str">
        <f t="shared" ref="J1803:J1809" si="86">IF(AND(E1803=0,F1803&lt;&gt;0,G1803&lt;&gt;0),"m2",IF(AND(F1803=0,E1803&lt;&gt;0,G1803&lt;&gt;0),"m2",IF(AND(G1803=0,E1803&lt;&gt;0,F1803&lt;&gt;0),"m2",IF(AND(F1803=0,G1803=0),"ml",IF(AND(E1803=0,G1803=0),"ml",IF(AND(E1803=0,F1803=0),"ml",IF(AND(E1803&lt;&gt;0,F1803&lt;&gt;0,G1803&lt;&gt;0),"m3",0)))))))</f>
        <v>ml</v>
      </c>
    </row>
    <row r="1804" spans="2:10" s="1" customFormat="1" ht="12.75" x14ac:dyDescent="0.2">
      <c r="B1804" s="57"/>
      <c r="C1804" s="39" t="s">
        <v>349</v>
      </c>
      <c r="D1804" s="40">
        <v>1</v>
      </c>
      <c r="E1804" s="40">
        <v>3.25</v>
      </c>
      <c r="F1804" s="40"/>
      <c r="G1804" s="40"/>
      <c r="H1804" s="40">
        <f t="shared" si="85"/>
        <v>3.25</v>
      </c>
      <c r="I1804" s="40"/>
      <c r="J1804" s="41" t="str">
        <f t="shared" si="86"/>
        <v>ml</v>
      </c>
    </row>
    <row r="1805" spans="2:10" s="1" customFormat="1" ht="12.75" x14ac:dyDescent="0.2">
      <c r="B1805" s="57"/>
      <c r="C1805" s="39" t="s">
        <v>369</v>
      </c>
      <c r="D1805" s="40">
        <v>1</v>
      </c>
      <c r="E1805" s="40">
        <v>2</v>
      </c>
      <c r="F1805" s="40"/>
      <c r="G1805" s="40"/>
      <c r="H1805" s="40">
        <f t="shared" si="85"/>
        <v>2</v>
      </c>
      <c r="I1805" s="40"/>
      <c r="J1805" s="41" t="str">
        <f t="shared" si="86"/>
        <v>ml</v>
      </c>
    </row>
    <row r="1806" spans="2:10" s="1" customFormat="1" ht="12.75" x14ac:dyDescent="0.2">
      <c r="B1806" s="57"/>
      <c r="C1806" s="77" t="s">
        <v>72</v>
      </c>
      <c r="D1806" s="40"/>
      <c r="E1806" s="40"/>
      <c r="F1806" s="40"/>
      <c r="G1806" s="40"/>
      <c r="H1806" s="40">
        <f t="shared" si="85"/>
        <v>0</v>
      </c>
      <c r="I1806" s="40"/>
      <c r="J1806" s="41" t="str">
        <f t="shared" si="86"/>
        <v>ml</v>
      </c>
    </row>
    <row r="1807" spans="2:10" s="1" customFormat="1" ht="12.75" x14ac:dyDescent="0.2">
      <c r="B1807" s="57"/>
      <c r="C1807" s="39" t="s">
        <v>349</v>
      </c>
      <c r="D1807" s="40">
        <v>1</v>
      </c>
      <c r="E1807" s="40">
        <v>3.25</v>
      </c>
      <c r="F1807" s="40"/>
      <c r="G1807" s="40"/>
      <c r="H1807" s="40">
        <f t="shared" si="85"/>
        <v>3.25</v>
      </c>
      <c r="I1807" s="40"/>
      <c r="J1807" s="41" t="str">
        <f t="shared" si="86"/>
        <v>ml</v>
      </c>
    </row>
    <row r="1808" spans="2:10" s="1" customFormat="1" ht="12.75" x14ac:dyDescent="0.2">
      <c r="B1808" s="57"/>
      <c r="C1808" s="77" t="s">
        <v>73</v>
      </c>
      <c r="D1808" s="40"/>
      <c r="E1808" s="40"/>
      <c r="F1808" s="40"/>
      <c r="G1808" s="40"/>
      <c r="H1808" s="40">
        <f t="shared" si="85"/>
        <v>0</v>
      </c>
      <c r="I1808" s="40"/>
      <c r="J1808" s="41" t="str">
        <f t="shared" si="86"/>
        <v>ml</v>
      </c>
    </row>
    <row r="1809" spans="2:10" s="1" customFormat="1" ht="12.75" x14ac:dyDescent="0.2">
      <c r="B1809" s="57"/>
      <c r="C1809" s="39" t="s">
        <v>349</v>
      </c>
      <c r="D1809" s="40">
        <v>1</v>
      </c>
      <c r="E1809" s="40">
        <v>3.25</v>
      </c>
      <c r="F1809" s="40"/>
      <c r="G1809" s="40"/>
      <c r="H1809" s="40">
        <f t="shared" si="85"/>
        <v>3.25</v>
      </c>
      <c r="I1809" s="40"/>
      <c r="J1809" s="41" t="str">
        <f t="shared" si="86"/>
        <v>ml</v>
      </c>
    </row>
    <row r="1810" spans="2:10" s="1" customFormat="1" ht="12.75" x14ac:dyDescent="0.2">
      <c r="B1810" s="43" t="s">
        <v>270</v>
      </c>
      <c r="C1810" s="43" t="s">
        <v>269</v>
      </c>
      <c r="D1810" s="60"/>
      <c r="E1810" s="40"/>
      <c r="F1810" s="40"/>
      <c r="G1810" s="40"/>
      <c r="H1810" s="40"/>
      <c r="I1810" s="44">
        <f>SUM(H1811:H1817)</f>
        <v>0</v>
      </c>
      <c r="J1810" s="45" t="str">
        <f>+J1811</f>
        <v>ml</v>
      </c>
    </row>
    <row r="1811" spans="2:10" s="1" customFormat="1" ht="12.75" x14ac:dyDescent="0.2">
      <c r="B1811" s="43"/>
      <c r="C1811" s="77" t="s">
        <v>71</v>
      </c>
      <c r="D1811" s="40"/>
      <c r="E1811" s="40"/>
      <c r="F1811" s="40"/>
      <c r="G1811" s="40"/>
      <c r="H1811" s="40">
        <f t="shared" ref="H1811:H1817" si="87">IF(AND(F1811=0,G1811=0),D1811*E1811,IF(AND(E1811=0,G1811=0),D1811*F1811,IF(AND(E1811=0,F1811=0),D1811*G1811,IF(AND(E1811=0),D1811*F1811*G1811,IF(AND(F1811=0),D1811*E1811*G1811,IF(AND(G1811=0),D1811*E1811*F1811,D1811*E1811*F1811*G1811))))))</f>
        <v>0</v>
      </c>
      <c r="I1811" s="40"/>
      <c r="J1811" s="41" t="str">
        <f t="shared" ref="J1811:J1817" si="88">IF(AND(E1811=0,F1811&lt;&gt;0,G1811&lt;&gt;0),"m2",IF(AND(F1811=0,E1811&lt;&gt;0,G1811&lt;&gt;0),"m2",IF(AND(G1811=0,E1811&lt;&gt;0,F1811&lt;&gt;0),"m2",IF(AND(F1811=0,G1811=0),"ml",IF(AND(E1811=0,G1811=0),"ml",IF(AND(E1811=0,F1811=0),"ml",IF(AND(E1811&lt;&gt;0,F1811&lt;&gt;0,G1811&lt;&gt;0),"m3",0)))))))</f>
        <v>ml</v>
      </c>
    </row>
    <row r="1812" spans="2:10" s="1" customFormat="1" ht="12.75" x14ac:dyDescent="0.2">
      <c r="B1812" s="43"/>
      <c r="C1812" s="39" t="s">
        <v>349</v>
      </c>
      <c r="D1812" s="40"/>
      <c r="E1812" s="40"/>
      <c r="F1812" s="40"/>
      <c r="G1812" s="40"/>
      <c r="H1812" s="40">
        <f t="shared" si="87"/>
        <v>0</v>
      </c>
      <c r="I1812" s="40"/>
      <c r="J1812" s="41" t="str">
        <f t="shared" si="88"/>
        <v>ml</v>
      </c>
    </row>
    <row r="1813" spans="2:10" s="1" customFormat="1" ht="12.75" x14ac:dyDescent="0.2">
      <c r="B1813" s="43"/>
      <c r="C1813" s="39" t="s">
        <v>369</v>
      </c>
      <c r="D1813" s="40"/>
      <c r="E1813" s="40"/>
      <c r="F1813" s="40"/>
      <c r="G1813" s="40"/>
      <c r="H1813" s="40">
        <f t="shared" si="87"/>
        <v>0</v>
      </c>
      <c r="I1813" s="40"/>
      <c r="J1813" s="41" t="str">
        <f t="shared" si="88"/>
        <v>ml</v>
      </c>
    </row>
    <row r="1814" spans="2:10" s="1" customFormat="1" ht="12.75" x14ac:dyDescent="0.2">
      <c r="B1814" s="43"/>
      <c r="C1814" s="77" t="s">
        <v>72</v>
      </c>
      <c r="D1814" s="40"/>
      <c r="E1814" s="40"/>
      <c r="F1814" s="40"/>
      <c r="G1814" s="40"/>
      <c r="H1814" s="40">
        <f t="shared" si="87"/>
        <v>0</v>
      </c>
      <c r="I1814" s="40"/>
      <c r="J1814" s="41" t="str">
        <f t="shared" si="88"/>
        <v>ml</v>
      </c>
    </row>
    <row r="1815" spans="2:10" s="1" customFormat="1" ht="12.75" x14ac:dyDescent="0.2">
      <c r="B1815" s="43"/>
      <c r="C1815" s="39" t="s">
        <v>349</v>
      </c>
      <c r="D1815" s="40"/>
      <c r="E1815" s="40"/>
      <c r="F1815" s="40"/>
      <c r="G1815" s="40"/>
      <c r="H1815" s="40">
        <f t="shared" si="87"/>
        <v>0</v>
      </c>
      <c r="I1815" s="40"/>
      <c r="J1815" s="41" t="str">
        <f t="shared" si="88"/>
        <v>ml</v>
      </c>
    </row>
    <row r="1816" spans="2:10" s="1" customFormat="1" ht="12.75" x14ac:dyDescent="0.2">
      <c r="B1816" s="43"/>
      <c r="C1816" s="77" t="s">
        <v>73</v>
      </c>
      <c r="D1816" s="40"/>
      <c r="E1816" s="40"/>
      <c r="F1816" s="40"/>
      <c r="G1816" s="40"/>
      <c r="H1816" s="40">
        <f t="shared" si="87"/>
        <v>0</v>
      </c>
      <c r="I1816" s="40"/>
      <c r="J1816" s="41" t="str">
        <f t="shared" si="88"/>
        <v>ml</v>
      </c>
    </row>
    <row r="1817" spans="2:10" s="1" customFormat="1" ht="12.75" x14ac:dyDescent="0.2">
      <c r="B1817" s="43"/>
      <c r="C1817" s="39" t="s">
        <v>349</v>
      </c>
      <c r="D1817" s="40"/>
      <c r="E1817" s="40"/>
      <c r="F1817" s="40"/>
      <c r="G1817" s="40"/>
      <c r="H1817" s="40">
        <f t="shared" si="87"/>
        <v>0</v>
      </c>
      <c r="I1817" s="40"/>
      <c r="J1817" s="41" t="str">
        <f t="shared" si="88"/>
        <v>ml</v>
      </c>
    </row>
    <row r="1818" spans="2:10" s="1" customFormat="1" ht="12.75" x14ac:dyDescent="0.2">
      <c r="B1818" s="43" t="s">
        <v>342</v>
      </c>
      <c r="C1818" s="43" t="s">
        <v>271</v>
      </c>
      <c r="D1818" s="60"/>
      <c r="E1818" s="40"/>
      <c r="F1818" s="40"/>
      <c r="G1818" s="40"/>
      <c r="H1818" s="40"/>
      <c r="I1818" s="44">
        <f>SUM(H1819:H1819)</f>
        <v>1</v>
      </c>
      <c r="J1818" s="45" t="str">
        <f>+J1819</f>
        <v>und</v>
      </c>
    </row>
    <row r="1819" spans="2:10" s="1" customFormat="1" ht="12.75" x14ac:dyDescent="0.2">
      <c r="B1819" s="57"/>
      <c r="C1819" s="39" t="s">
        <v>370</v>
      </c>
      <c r="D1819" s="40">
        <v>1</v>
      </c>
      <c r="E1819" s="40"/>
      <c r="F1819" s="40"/>
      <c r="G1819" s="40"/>
      <c r="H1819" s="40">
        <f>+D1819</f>
        <v>1</v>
      </c>
      <c r="I1819" s="40"/>
      <c r="J1819" s="41" t="s">
        <v>13</v>
      </c>
    </row>
    <row r="1820" spans="2:10" s="1" customFormat="1" ht="12.75" x14ac:dyDescent="0.2">
      <c r="B1820" s="43" t="s">
        <v>346</v>
      </c>
      <c r="C1820" s="43" t="s">
        <v>348</v>
      </c>
      <c r="D1820" s="60"/>
      <c r="E1820" s="40"/>
      <c r="F1820" s="40"/>
      <c r="G1820" s="40"/>
      <c r="H1820" s="40"/>
      <c r="I1820" s="44">
        <f>SUM(H1821:H1821)</f>
        <v>8</v>
      </c>
      <c r="J1820" s="45" t="str">
        <f>+J1821</f>
        <v>und</v>
      </c>
    </row>
    <row r="1821" spans="2:10" s="1" customFormat="1" ht="12.75" x14ac:dyDescent="0.2">
      <c r="B1821" s="57"/>
      <c r="C1821" s="39" t="s">
        <v>349</v>
      </c>
      <c r="D1821" s="40">
        <v>8</v>
      </c>
      <c r="E1821" s="40"/>
      <c r="F1821" s="40"/>
      <c r="G1821" s="40"/>
      <c r="H1821" s="40">
        <f>+D1821</f>
        <v>8</v>
      </c>
      <c r="I1821" s="40"/>
      <c r="J1821" s="41" t="s">
        <v>13</v>
      </c>
    </row>
    <row r="1822" spans="2:10" s="1" customFormat="1" ht="12.75" x14ac:dyDescent="0.2">
      <c r="B1822" s="57" t="s">
        <v>16</v>
      </c>
      <c r="C1822" s="58" t="s">
        <v>224</v>
      </c>
      <c r="D1822" s="60"/>
      <c r="E1822" s="40"/>
      <c r="F1822" s="40"/>
      <c r="G1822" s="40"/>
      <c r="H1822" s="40"/>
      <c r="I1822" s="40"/>
      <c r="J1822" s="41"/>
    </row>
    <row r="1823" spans="2:10" s="1" customFormat="1" ht="12.75" x14ac:dyDescent="0.2">
      <c r="B1823" s="43" t="s">
        <v>17</v>
      </c>
      <c r="C1823" s="43" t="s">
        <v>343</v>
      </c>
      <c r="D1823" s="60"/>
      <c r="E1823" s="40"/>
      <c r="F1823" s="40"/>
      <c r="G1823" s="40"/>
      <c r="H1823" s="40"/>
      <c r="I1823" s="44">
        <f>SUM(H1824:H1825)</f>
        <v>0</v>
      </c>
      <c r="J1823" s="45" t="str">
        <f>+J1824</f>
        <v>ml</v>
      </c>
    </row>
    <row r="1824" spans="2:10" s="1" customFormat="1" ht="12.75" x14ac:dyDescent="0.2">
      <c r="B1824" s="57"/>
      <c r="C1824" s="39" t="s">
        <v>425</v>
      </c>
      <c r="D1824" s="40"/>
      <c r="E1824" s="40"/>
      <c r="F1824" s="40"/>
      <c r="G1824" s="40"/>
      <c r="H1824" s="40">
        <f>IF(AND(F1824=0,G1824=0),D1824*E1824,IF(AND(E1824=0,G1824=0),D1824*F1824,IF(AND(E1824=0,F1824=0),D1824*G1824,IF(AND(E1824=0),D1824*F1824*G1824,IF(AND(F1824=0),D1824*E1824*G1824,IF(AND(G1824=0),D1824*E1824*F1824,D1824*E1824*F1824*G1824))))))</f>
        <v>0</v>
      </c>
      <c r="I1824" s="40"/>
      <c r="J1824" s="41" t="str">
        <f>IF(AND(E1824=0,F1824&lt;&gt;0,G1824&lt;&gt;0),"m2",IF(AND(F1824=0,E1824&lt;&gt;0,G1824&lt;&gt;0),"m2",IF(AND(G1824=0,E1824&lt;&gt;0,F1824&lt;&gt;0),"m2",IF(AND(F1824=0,G1824=0),"ml",IF(AND(E1824=0,G1824=0),"ml",IF(AND(E1824=0,F1824=0),"ml",IF(AND(E1824&lt;&gt;0,F1824&lt;&gt;0,G1824&lt;&gt;0),"m3",0)))))))</f>
        <v>ml</v>
      </c>
    </row>
    <row r="1825" spans="2:10" s="1" customFormat="1" ht="12.75" x14ac:dyDescent="0.2">
      <c r="B1825" s="57"/>
      <c r="C1825" s="39" t="s">
        <v>425</v>
      </c>
      <c r="D1825" s="40"/>
      <c r="E1825" s="40"/>
      <c r="F1825" s="40"/>
      <c r="G1825" s="40"/>
      <c r="H1825" s="40">
        <f>IF(AND(F1825=0,G1825=0),D1825*E1825,IF(AND(E1825=0,G1825=0),D1825*F1825,IF(AND(E1825=0,F1825=0),D1825*G1825,IF(AND(E1825=0),D1825*F1825*G1825,IF(AND(F1825=0),D1825*E1825*G1825,IF(AND(G1825=0),D1825*E1825*F1825,D1825*E1825*F1825*G1825))))))</f>
        <v>0</v>
      </c>
      <c r="I1825" s="40"/>
      <c r="J1825" s="41"/>
    </row>
    <row r="1826" spans="2:10" s="1" customFormat="1" ht="12.75" x14ac:dyDescent="0.2">
      <c r="B1826" s="43" t="s">
        <v>240</v>
      </c>
      <c r="C1826" s="43" t="s">
        <v>237</v>
      </c>
      <c r="D1826" s="60"/>
      <c r="E1826" s="40"/>
      <c r="F1826" s="40"/>
      <c r="G1826" s="40"/>
      <c r="H1826" s="40"/>
      <c r="I1826" s="44">
        <f>SUM(H1827:H1829)</f>
        <v>50.1</v>
      </c>
      <c r="J1826" s="45" t="str">
        <f>+J1827</f>
        <v>ml</v>
      </c>
    </row>
    <row r="1827" spans="2:10" s="1" customFormat="1" ht="12.75" x14ac:dyDescent="0.2">
      <c r="B1827" s="57"/>
      <c r="C1827" s="39" t="s">
        <v>427</v>
      </c>
      <c r="D1827" s="40">
        <v>1</v>
      </c>
      <c r="E1827" s="40">
        <v>9.8000000000000007</v>
      </c>
      <c r="F1827" s="40"/>
      <c r="G1827" s="40"/>
      <c r="H1827" s="40">
        <f>IF(AND(F1827=0,G1827=0),D1827*E1827,IF(AND(E1827=0,G1827=0),D1827*F1827,IF(AND(E1827=0,F1827=0),D1827*G1827,IF(AND(E1827=0),D1827*F1827*G1827,IF(AND(F1827=0),D1827*E1827*G1827,IF(AND(G1827=0),D1827*E1827*F1827,D1827*E1827*F1827*G1827))))))</f>
        <v>9.8000000000000007</v>
      </c>
      <c r="I1827" s="40"/>
      <c r="J1827" s="41" t="str">
        <f>IF(AND(E1827=0,F1827&lt;&gt;0,G1827&lt;&gt;0),"m2",IF(AND(F1827=0,E1827&lt;&gt;0,G1827&lt;&gt;0),"m2",IF(AND(G1827=0,E1827&lt;&gt;0,F1827&lt;&gt;0),"m2",IF(AND(F1827=0,G1827=0),"ml",IF(AND(E1827=0,G1827=0),"ml",IF(AND(E1827=0,F1827=0),"ml",IF(AND(E1827&lt;&gt;0,F1827&lt;&gt;0,G1827&lt;&gt;0),"m3",0)))))))</f>
        <v>ml</v>
      </c>
    </row>
    <row r="1828" spans="2:10" s="1" customFormat="1" ht="12.75" x14ac:dyDescent="0.2">
      <c r="B1828" s="57"/>
      <c r="C1828" s="39" t="s">
        <v>428</v>
      </c>
      <c r="D1828" s="40">
        <v>1</v>
      </c>
      <c r="E1828" s="40">
        <v>31.9</v>
      </c>
      <c r="F1828" s="40"/>
      <c r="G1828" s="40"/>
      <c r="H1828" s="40">
        <f t="shared" ref="H1828:H1829" si="89">IF(AND(F1828=0,G1828=0),D1828*E1828,IF(AND(E1828=0,G1828=0),D1828*F1828,IF(AND(E1828=0,F1828=0),D1828*G1828,IF(AND(E1828=0),D1828*F1828*G1828,IF(AND(F1828=0),D1828*E1828*G1828,IF(AND(G1828=0),D1828*E1828*F1828,D1828*E1828*F1828*G1828))))))</f>
        <v>31.9</v>
      </c>
      <c r="I1828" s="40"/>
      <c r="J1828" s="41" t="str">
        <f t="shared" ref="J1828:J1829" si="90">IF(AND(E1828=0,F1828&lt;&gt;0,G1828&lt;&gt;0),"m2",IF(AND(F1828=0,E1828&lt;&gt;0,G1828&lt;&gt;0),"m2",IF(AND(G1828=0,E1828&lt;&gt;0,F1828&lt;&gt;0),"m2",IF(AND(F1828=0,G1828=0),"ml",IF(AND(E1828=0,G1828=0),"ml",IF(AND(E1828=0,F1828=0),"ml",IF(AND(E1828&lt;&gt;0,F1828&lt;&gt;0,G1828&lt;&gt;0),"m3",0)))))))</f>
        <v>ml</v>
      </c>
    </row>
    <row r="1829" spans="2:10" s="1" customFormat="1" ht="12.75" x14ac:dyDescent="0.2">
      <c r="B1829" s="57"/>
      <c r="C1829" s="39" t="s">
        <v>429</v>
      </c>
      <c r="D1829" s="40">
        <v>1</v>
      </c>
      <c r="E1829" s="40">
        <v>8.4</v>
      </c>
      <c r="F1829" s="40"/>
      <c r="G1829" s="40"/>
      <c r="H1829" s="40">
        <f t="shared" si="89"/>
        <v>8.4</v>
      </c>
      <c r="I1829" s="40"/>
      <c r="J1829" s="41" t="str">
        <f t="shared" si="90"/>
        <v>ml</v>
      </c>
    </row>
    <row r="1830" spans="2:10" s="1" customFormat="1" ht="12.75" x14ac:dyDescent="0.2">
      <c r="B1830" s="43" t="s">
        <v>241</v>
      </c>
      <c r="C1830" s="43" t="s">
        <v>239</v>
      </c>
      <c r="D1830" s="60"/>
      <c r="E1830" s="40"/>
      <c r="F1830" s="40"/>
      <c r="G1830" s="40"/>
      <c r="H1830" s="40"/>
      <c r="I1830" s="44">
        <f>SUM(H1831:H1831)</f>
        <v>0</v>
      </c>
      <c r="J1830" s="45" t="str">
        <f>+J1831</f>
        <v>ml</v>
      </c>
    </row>
    <row r="1831" spans="2:10" s="1" customFormat="1" ht="12.75" x14ac:dyDescent="0.2">
      <c r="B1831" s="57"/>
      <c r="C1831" s="39" t="s">
        <v>400</v>
      </c>
      <c r="D1831" s="40"/>
      <c r="E1831" s="40"/>
      <c r="F1831" s="40"/>
      <c r="G1831" s="40"/>
      <c r="H1831" s="40">
        <f>IF(AND(F1831=0,G1831=0),D1831*E1831,IF(AND(E1831=0,G1831=0),D1831*F1831,IF(AND(E1831=0,F1831=0),D1831*G1831,IF(AND(E1831=0),D1831*F1831*G1831,IF(AND(F1831=0),D1831*E1831*G1831,IF(AND(G1831=0),D1831*E1831*F1831,D1831*E1831*F1831*G1831))))))</f>
        <v>0</v>
      </c>
      <c r="I1831" s="40"/>
      <c r="J1831" s="41" t="str">
        <f>IF(AND(E1831=0,F1831&lt;&gt;0,G1831&lt;&gt;0),"m2",IF(AND(F1831=0,E1831&lt;&gt;0,G1831&lt;&gt;0),"m2",IF(AND(G1831=0,E1831&lt;&gt;0,F1831&lt;&gt;0),"m2",IF(AND(F1831=0,G1831=0),"ml",IF(AND(E1831=0,G1831=0),"ml",IF(AND(E1831=0,F1831=0),"ml",IF(AND(E1831&lt;&gt;0,F1831&lt;&gt;0,G1831&lt;&gt;0),"m3",0)))))))</f>
        <v>ml</v>
      </c>
    </row>
    <row r="1832" spans="2:10" s="1" customFormat="1" ht="12.75" x14ac:dyDescent="0.2">
      <c r="B1832" s="43" t="s">
        <v>243</v>
      </c>
      <c r="C1832" s="43" t="s">
        <v>242</v>
      </c>
      <c r="D1832" s="60"/>
      <c r="E1832" s="40"/>
      <c r="F1832" s="40"/>
      <c r="G1832" s="40"/>
      <c r="H1832" s="40"/>
      <c r="I1832" s="44">
        <f>SUM(H1833:H1833)</f>
        <v>0</v>
      </c>
      <c r="J1832" s="45" t="str">
        <f>+J1833</f>
        <v>ml</v>
      </c>
    </row>
    <row r="1833" spans="2:10" s="1" customFormat="1" ht="12.75" x14ac:dyDescent="0.2">
      <c r="B1833" s="57"/>
      <c r="C1833" s="39" t="s">
        <v>401</v>
      </c>
      <c r="D1833" s="40"/>
      <c r="E1833" s="40"/>
      <c r="F1833" s="40"/>
      <c r="G1833" s="40"/>
      <c r="H1833" s="40">
        <f>IF(AND(F1833=0,G1833=0),D1833*E1833,IF(AND(E1833=0,G1833=0),D1833*F1833,IF(AND(E1833=0,F1833=0),D1833*G1833,IF(AND(E1833=0),D1833*F1833*G1833,IF(AND(F1833=0),D1833*E1833*G1833,IF(AND(G1833=0),D1833*E1833*F1833,D1833*E1833*F1833*G1833))))))</f>
        <v>0</v>
      </c>
      <c r="I1833" s="40"/>
      <c r="J1833" s="41" t="str">
        <f>IF(AND(E1833=0,F1833&lt;&gt;0,G1833&lt;&gt;0),"m2",IF(AND(F1833=0,E1833&lt;&gt;0,G1833&lt;&gt;0),"m2",IF(AND(G1833=0,E1833&lt;&gt;0,F1833&lt;&gt;0),"m2",IF(AND(F1833=0,G1833=0),"ml",IF(AND(E1833=0,G1833=0),"ml",IF(AND(E1833=0,F1833=0),"ml",IF(AND(E1833&lt;&gt;0,F1833&lt;&gt;0,G1833&lt;&gt;0),"m3",0)))))))</f>
        <v>ml</v>
      </c>
    </row>
    <row r="1834" spans="2:10" s="1" customFormat="1" ht="12.75" x14ac:dyDescent="0.2">
      <c r="B1834" s="43" t="s">
        <v>244</v>
      </c>
      <c r="C1834" s="43" t="s">
        <v>245</v>
      </c>
      <c r="D1834" s="60"/>
      <c r="E1834" s="40"/>
      <c r="F1834" s="40"/>
      <c r="G1834" s="40"/>
      <c r="H1834" s="40"/>
      <c r="I1834" s="44">
        <f>SUM(H1835:H1837)</f>
        <v>50.1</v>
      </c>
      <c r="J1834" s="45" t="str">
        <f>+J1835</f>
        <v>ml</v>
      </c>
    </row>
    <row r="1835" spans="2:10" s="1" customFormat="1" ht="12.75" x14ac:dyDescent="0.2">
      <c r="B1835" s="57"/>
      <c r="C1835" s="39" t="s">
        <v>427</v>
      </c>
      <c r="D1835" s="40">
        <v>1</v>
      </c>
      <c r="E1835" s="40">
        <v>9.8000000000000007</v>
      </c>
      <c r="F1835" s="40"/>
      <c r="G1835" s="40"/>
      <c r="H1835" s="40">
        <f>IF(AND(F1835=0,G1835=0),D1835*E1835,IF(AND(E1835=0,G1835=0),D1835*F1835,IF(AND(E1835=0,F1835=0),D1835*G1835,IF(AND(E1835=0),D1835*F1835*G1835,IF(AND(F1835=0),D1835*E1835*G1835,IF(AND(G1835=0),D1835*E1835*F1835,D1835*E1835*F1835*G1835))))))</f>
        <v>9.8000000000000007</v>
      </c>
      <c r="I1835" s="40"/>
      <c r="J1835" s="41" t="str">
        <f>IF(AND(E1835=0,F1835&lt;&gt;0,G1835&lt;&gt;0),"m2",IF(AND(F1835=0,E1835&lt;&gt;0,G1835&lt;&gt;0),"m2",IF(AND(G1835=0,E1835&lt;&gt;0,F1835&lt;&gt;0),"m2",IF(AND(F1835=0,G1835=0),"ml",IF(AND(E1835=0,G1835=0),"ml",IF(AND(E1835=0,F1835=0),"ml",IF(AND(E1835&lt;&gt;0,F1835&lt;&gt;0,G1835&lt;&gt;0),"m3",0)))))))</f>
        <v>ml</v>
      </c>
    </row>
    <row r="1836" spans="2:10" s="1" customFormat="1" ht="12.75" x14ac:dyDescent="0.2">
      <c r="B1836" s="57"/>
      <c r="C1836" s="39" t="s">
        <v>428</v>
      </c>
      <c r="D1836" s="40">
        <v>1</v>
      </c>
      <c r="E1836" s="40">
        <v>31.9</v>
      </c>
      <c r="F1836" s="40"/>
      <c r="G1836" s="40"/>
      <c r="H1836" s="40">
        <f t="shared" ref="H1836:H1837" si="91">IF(AND(F1836=0,G1836=0),D1836*E1836,IF(AND(E1836=0,G1836=0),D1836*F1836,IF(AND(E1836=0,F1836=0),D1836*G1836,IF(AND(E1836=0),D1836*F1836*G1836,IF(AND(F1836=0),D1836*E1836*G1836,IF(AND(G1836=0),D1836*E1836*F1836,D1836*E1836*F1836*G1836))))))</f>
        <v>31.9</v>
      </c>
      <c r="I1836" s="40"/>
      <c r="J1836" s="41" t="str">
        <f t="shared" ref="J1836:J1837" si="92">IF(AND(E1836=0,F1836&lt;&gt;0,G1836&lt;&gt;0),"m2",IF(AND(F1836=0,E1836&lt;&gt;0,G1836&lt;&gt;0),"m2",IF(AND(G1836=0,E1836&lt;&gt;0,F1836&lt;&gt;0),"m2",IF(AND(F1836=0,G1836=0),"ml",IF(AND(E1836=0,G1836=0),"ml",IF(AND(E1836=0,F1836=0),"ml",IF(AND(E1836&lt;&gt;0,F1836&lt;&gt;0,G1836&lt;&gt;0),"m3",0)))))))</f>
        <v>ml</v>
      </c>
    </row>
    <row r="1837" spans="2:10" s="1" customFormat="1" ht="12.75" x14ac:dyDescent="0.2">
      <c r="B1837" s="57"/>
      <c r="C1837" s="39" t="s">
        <v>429</v>
      </c>
      <c r="D1837" s="40">
        <v>1</v>
      </c>
      <c r="E1837" s="40">
        <v>8.4</v>
      </c>
      <c r="F1837" s="40"/>
      <c r="G1837" s="40"/>
      <c r="H1837" s="40">
        <f t="shared" si="91"/>
        <v>8.4</v>
      </c>
      <c r="I1837" s="40"/>
      <c r="J1837" s="41" t="str">
        <f t="shared" si="92"/>
        <v>ml</v>
      </c>
    </row>
    <row r="1838" spans="2:10" s="1" customFormat="1" ht="12.75" x14ac:dyDescent="0.2">
      <c r="B1838" s="43" t="s">
        <v>248</v>
      </c>
      <c r="C1838" s="43" t="s">
        <v>246</v>
      </c>
      <c r="D1838" s="60"/>
      <c r="E1838" s="40"/>
      <c r="F1838" s="40"/>
      <c r="G1838" s="40"/>
      <c r="H1838" s="40"/>
      <c r="I1838" s="44">
        <f>SUM(H1839:H1839)</f>
        <v>0</v>
      </c>
      <c r="J1838" s="45" t="str">
        <f>+J1839</f>
        <v>ml</v>
      </c>
    </row>
    <row r="1839" spans="2:10" s="1" customFormat="1" ht="12.75" x14ac:dyDescent="0.2">
      <c r="B1839" s="57"/>
      <c r="C1839" s="39" t="s">
        <v>238</v>
      </c>
      <c r="D1839" s="40"/>
      <c r="E1839" s="40"/>
      <c r="F1839" s="40"/>
      <c r="G1839" s="40"/>
      <c r="H1839" s="40">
        <f>IF(AND(F1839=0,G1839=0),D1839*E1839,IF(AND(E1839=0,G1839=0),D1839*F1839,IF(AND(E1839=0,F1839=0),D1839*G1839,IF(AND(E1839=0),D1839*F1839*G1839,IF(AND(F1839=0),D1839*E1839*G1839,IF(AND(G1839=0),D1839*E1839*F1839,D1839*E1839*F1839*G1839))))))</f>
        <v>0</v>
      </c>
      <c r="I1839" s="40"/>
      <c r="J1839" s="41" t="str">
        <f>IF(AND(E1839=0,F1839&lt;&gt;0,G1839&lt;&gt;0),"m2",IF(AND(F1839=0,E1839&lt;&gt;0,G1839&lt;&gt;0),"m2",IF(AND(G1839=0,E1839&lt;&gt;0,F1839&lt;&gt;0),"m2",IF(AND(F1839=0,G1839=0),"ml",IF(AND(E1839=0,G1839=0),"ml",IF(AND(E1839=0,F1839=0),"ml",IF(AND(E1839&lt;&gt;0,F1839&lt;&gt;0,G1839&lt;&gt;0),"m3",0)))))))</f>
        <v>ml</v>
      </c>
    </row>
    <row r="1840" spans="2:10" s="1" customFormat="1" ht="12.75" x14ac:dyDescent="0.2">
      <c r="B1840" s="43" t="s">
        <v>249</v>
      </c>
      <c r="C1840" s="43" t="s">
        <v>247</v>
      </c>
      <c r="D1840" s="60"/>
      <c r="E1840" s="40"/>
      <c r="F1840" s="40"/>
      <c r="G1840" s="40"/>
      <c r="H1840" s="40"/>
      <c r="I1840" s="44">
        <f>SUM(H1841:H1841)</f>
        <v>0</v>
      </c>
      <c r="J1840" s="45" t="str">
        <f>+J1841</f>
        <v>ml</v>
      </c>
    </row>
    <row r="1841" spans="2:10" s="1" customFormat="1" ht="12.75" x14ac:dyDescent="0.2">
      <c r="B1841" s="57"/>
      <c r="C1841" s="39" t="s">
        <v>396</v>
      </c>
      <c r="D1841" s="40"/>
      <c r="E1841" s="40"/>
      <c r="F1841" s="40"/>
      <c r="G1841" s="40"/>
      <c r="H1841" s="40">
        <f>IF(AND(F1841=0,G1841=0),D1841*E1841,IF(AND(E1841=0,G1841=0),D1841*F1841,IF(AND(E1841=0,F1841=0),D1841*G1841,IF(AND(E1841=0),D1841*F1841*G1841,IF(AND(F1841=0),D1841*E1841*G1841,IF(AND(G1841=0),D1841*E1841*F1841,D1841*E1841*F1841*G1841))))))</f>
        <v>0</v>
      </c>
      <c r="I1841" s="40"/>
      <c r="J1841" s="41" t="str">
        <f>IF(AND(E1841=0,F1841&lt;&gt;0,G1841&lt;&gt;0),"m2",IF(AND(F1841=0,E1841&lt;&gt;0,G1841&lt;&gt;0),"m2",IF(AND(G1841=0,E1841&lt;&gt;0,F1841&lt;&gt;0),"m2",IF(AND(F1841=0,G1841=0),"ml",IF(AND(E1841=0,G1841=0),"ml",IF(AND(E1841=0,F1841=0),"ml",IF(AND(E1841&lt;&gt;0,F1841&lt;&gt;0,G1841&lt;&gt;0),"m3",0)))))))</f>
        <v>ml</v>
      </c>
    </row>
    <row r="1842" spans="2:10" s="1" customFormat="1" ht="12.75" x14ac:dyDescent="0.2">
      <c r="B1842" s="43" t="s">
        <v>256</v>
      </c>
      <c r="C1842" s="43" t="s">
        <v>226</v>
      </c>
      <c r="D1842" s="60"/>
      <c r="E1842" s="40"/>
      <c r="F1842" s="40"/>
      <c r="G1842" s="40"/>
      <c r="H1842" s="40"/>
      <c r="I1842" s="44">
        <f>SUM(H1843:H1844)</f>
        <v>0</v>
      </c>
      <c r="J1842" s="45" t="str">
        <f>+J1844</f>
        <v>ml</v>
      </c>
    </row>
    <row r="1843" spans="2:10" s="1" customFormat="1" ht="12.75" x14ac:dyDescent="0.2">
      <c r="B1843" s="43"/>
      <c r="C1843" s="39" t="s">
        <v>371</v>
      </c>
      <c r="D1843" s="40"/>
      <c r="E1843" s="40"/>
      <c r="F1843" s="40"/>
      <c r="G1843" s="40"/>
      <c r="H1843" s="40">
        <f t="shared" ref="H1843:H1844" si="93">IF(AND(F1843=0,G1843=0),D1843*E1843,IF(AND(E1843=0,G1843=0),D1843*F1843,IF(AND(E1843=0,F1843=0),D1843*G1843,IF(AND(E1843=0),D1843*F1843*G1843,IF(AND(F1843=0),D1843*E1843*G1843,IF(AND(G1843=0),D1843*E1843*F1843,D1843*E1843*F1843*G1843))))))</f>
        <v>0</v>
      </c>
      <c r="I1843" s="40"/>
      <c r="J1843" s="41" t="str">
        <f t="shared" ref="J1843:J1844" si="94">IF(AND(E1843=0,F1843&lt;&gt;0,G1843&lt;&gt;0),"m2",IF(AND(F1843=0,E1843&lt;&gt;0,G1843&lt;&gt;0),"m2",IF(AND(G1843=0,E1843&lt;&gt;0,F1843&lt;&gt;0),"m2",IF(AND(F1843=0,G1843=0),"ml",IF(AND(E1843=0,G1843=0),"ml",IF(AND(E1843=0,F1843=0),"ml",IF(AND(E1843&lt;&gt;0,F1843&lt;&gt;0,G1843&lt;&gt;0),"m3",0)))))))</f>
        <v>ml</v>
      </c>
    </row>
    <row r="1844" spans="2:10" s="1" customFormat="1" ht="12.75" x14ac:dyDescent="0.2">
      <c r="B1844" s="57"/>
      <c r="C1844" s="39" t="s">
        <v>371</v>
      </c>
      <c r="D1844" s="40"/>
      <c r="E1844" s="40"/>
      <c r="F1844" s="40"/>
      <c r="G1844" s="40"/>
      <c r="H1844" s="40">
        <f t="shared" si="93"/>
        <v>0</v>
      </c>
      <c r="I1844" s="40"/>
      <c r="J1844" s="41" t="str">
        <f t="shared" si="94"/>
        <v>ml</v>
      </c>
    </row>
    <row r="1845" spans="2:10" s="1" customFormat="1" ht="12.75" x14ac:dyDescent="0.2">
      <c r="B1845" s="43" t="s">
        <v>257</v>
      </c>
      <c r="C1845" s="43" t="s">
        <v>228</v>
      </c>
      <c r="D1845" s="60"/>
      <c r="E1845" s="40"/>
      <c r="F1845" s="40"/>
      <c r="G1845" s="40"/>
      <c r="H1845" s="40"/>
      <c r="I1845" s="44">
        <f>SUM(H1846:H1846)</f>
        <v>0</v>
      </c>
      <c r="J1845" s="45" t="str">
        <f>+J1846</f>
        <v>ml</v>
      </c>
    </row>
    <row r="1846" spans="2:10" s="1" customFormat="1" ht="12.75" x14ac:dyDescent="0.2">
      <c r="B1846" s="57"/>
      <c r="C1846" s="39" t="s">
        <v>399</v>
      </c>
      <c r="D1846" s="40"/>
      <c r="E1846" s="40"/>
      <c r="F1846" s="40"/>
      <c r="G1846" s="40"/>
      <c r="H1846" s="40">
        <f>IF(AND(F1846=0,G1846=0),D1846*E1846,IF(AND(E1846=0,G1846=0),D1846*F1846,IF(AND(E1846=0,F1846=0),D1846*G1846,IF(AND(E1846=0),D1846*F1846*G1846,IF(AND(F1846=0),D1846*E1846*G1846,IF(AND(G1846=0),D1846*E1846*F1846,D1846*E1846*F1846*G1846))))))</f>
        <v>0</v>
      </c>
      <c r="I1846" s="40"/>
      <c r="J1846" s="41" t="str">
        <f>IF(AND(E1846=0,F1846&lt;&gt;0,G1846&lt;&gt;0),"m2",IF(AND(F1846=0,E1846&lt;&gt;0,G1846&lt;&gt;0),"m2",IF(AND(G1846=0,E1846&lt;&gt;0,F1846&lt;&gt;0),"m2",IF(AND(F1846=0,G1846=0),"ml",IF(AND(E1846=0,G1846=0),"ml",IF(AND(E1846=0,F1846=0),"ml",IF(AND(E1846&lt;&gt;0,F1846&lt;&gt;0,G1846&lt;&gt;0),"m3",0)))))))</f>
        <v>ml</v>
      </c>
    </row>
    <row r="1847" spans="2:10" s="1" customFormat="1" ht="12.75" x14ac:dyDescent="0.2">
      <c r="B1847" s="43" t="s">
        <v>258</v>
      </c>
      <c r="C1847" s="43" t="s">
        <v>250</v>
      </c>
      <c r="D1847" s="60"/>
      <c r="E1847" s="40"/>
      <c r="F1847" s="40"/>
      <c r="G1847" s="40"/>
      <c r="H1847" s="40"/>
      <c r="I1847" s="44">
        <f>SUM(H1848:H1848)</f>
        <v>0</v>
      </c>
      <c r="J1847" s="45" t="str">
        <f>+J1848</f>
        <v>ml</v>
      </c>
    </row>
    <row r="1848" spans="2:10" s="1" customFormat="1" ht="12.75" x14ac:dyDescent="0.2">
      <c r="B1848" s="57"/>
      <c r="C1848" s="39" t="s">
        <v>388</v>
      </c>
      <c r="D1848" s="40"/>
      <c r="E1848" s="40"/>
      <c r="F1848" s="40"/>
      <c r="G1848" s="40"/>
      <c r="H1848" s="40">
        <f>IF(AND(F1848=0,G1848=0),D1848*E1848,IF(AND(E1848=0,G1848=0),D1848*F1848,IF(AND(E1848=0,F1848=0),D1848*G1848,IF(AND(E1848=0),D1848*F1848*G1848,IF(AND(F1848=0),D1848*E1848*G1848,IF(AND(G1848=0),D1848*E1848*F1848,D1848*E1848*F1848*G1848))))))</f>
        <v>0</v>
      </c>
      <c r="I1848" s="40"/>
      <c r="J1848" s="41" t="str">
        <f>IF(AND(E1848=0,F1848&lt;&gt;0,G1848&lt;&gt;0),"m2",IF(AND(F1848=0,E1848&lt;&gt;0,G1848&lt;&gt;0),"m2",IF(AND(G1848=0,E1848&lt;&gt;0,F1848&lt;&gt;0),"m2",IF(AND(F1848=0,G1848=0),"ml",IF(AND(E1848=0,G1848=0),"ml",IF(AND(E1848=0,F1848=0),"ml",IF(AND(E1848&lt;&gt;0,F1848&lt;&gt;0,G1848&lt;&gt;0),"m3",0)))))))</f>
        <v>ml</v>
      </c>
    </row>
    <row r="1849" spans="2:10" s="1" customFormat="1" ht="12.75" x14ac:dyDescent="0.2">
      <c r="B1849" s="43" t="s">
        <v>259</v>
      </c>
      <c r="C1849" s="43" t="s">
        <v>251</v>
      </c>
      <c r="D1849" s="60"/>
      <c r="E1849" s="40"/>
      <c r="F1849" s="40"/>
      <c r="G1849" s="40"/>
      <c r="H1849" s="40"/>
      <c r="I1849" s="44">
        <f>SUM(H1850:H1850)</f>
        <v>0</v>
      </c>
      <c r="J1849" s="45" t="str">
        <f>+J1850</f>
        <v>ml</v>
      </c>
    </row>
    <row r="1850" spans="2:10" s="1" customFormat="1" ht="12.75" x14ac:dyDescent="0.2">
      <c r="B1850" s="57"/>
      <c r="C1850" s="39" t="s">
        <v>389</v>
      </c>
      <c r="D1850" s="40"/>
      <c r="E1850" s="40"/>
      <c r="F1850" s="40"/>
      <c r="G1850" s="40"/>
      <c r="H1850" s="40">
        <f>IF(AND(F1850=0,G1850=0),D1850*E1850,IF(AND(E1850=0,G1850=0),D1850*F1850,IF(AND(E1850=0,F1850=0),D1850*G1850,IF(AND(E1850=0),D1850*F1850*G1850,IF(AND(F1850=0),D1850*E1850*G1850,IF(AND(G1850=0),D1850*E1850*F1850,D1850*E1850*F1850*G1850))))))</f>
        <v>0</v>
      </c>
      <c r="I1850" s="40"/>
      <c r="J1850" s="41" t="str">
        <f>IF(AND(E1850=0,F1850&lt;&gt;0,G1850&lt;&gt;0),"m2",IF(AND(F1850=0,E1850&lt;&gt;0,G1850&lt;&gt;0),"m2",IF(AND(G1850=0,E1850&lt;&gt;0,F1850&lt;&gt;0),"m2",IF(AND(F1850=0,G1850=0),"ml",IF(AND(E1850=0,G1850=0),"ml",IF(AND(E1850=0,F1850=0),"ml",IF(AND(E1850&lt;&gt;0,F1850&lt;&gt;0,G1850&lt;&gt;0),"m3",0)))))))</f>
        <v>ml</v>
      </c>
    </row>
    <row r="1851" spans="2:10" s="1" customFormat="1" ht="12.75" x14ac:dyDescent="0.2">
      <c r="B1851" s="43" t="s">
        <v>260</v>
      </c>
      <c r="C1851" s="43" t="s">
        <v>252</v>
      </c>
      <c r="D1851" s="60"/>
      <c r="E1851" s="40"/>
      <c r="F1851" s="40"/>
      <c r="G1851" s="40"/>
      <c r="H1851" s="40"/>
      <c r="I1851" s="44">
        <f>SUM(H1852:H1852)</f>
        <v>0</v>
      </c>
      <c r="J1851" s="45" t="str">
        <f>+J1852</f>
        <v>ml</v>
      </c>
    </row>
    <row r="1852" spans="2:10" s="1" customFormat="1" ht="12.75" x14ac:dyDescent="0.2">
      <c r="B1852" s="57"/>
      <c r="C1852" s="39" t="s">
        <v>397</v>
      </c>
      <c r="D1852" s="40"/>
      <c r="E1852" s="40"/>
      <c r="F1852" s="40"/>
      <c r="G1852" s="40"/>
      <c r="H1852" s="40">
        <f>IF(AND(F1852=0,G1852=0),D1852*E1852,IF(AND(E1852=0,G1852=0),D1852*F1852,IF(AND(E1852=0,F1852=0),D1852*G1852,IF(AND(E1852=0),D1852*F1852*G1852,IF(AND(F1852=0),D1852*E1852*G1852,IF(AND(G1852=0),D1852*E1852*F1852,D1852*E1852*F1852*G1852))))))</f>
        <v>0</v>
      </c>
      <c r="I1852" s="40"/>
      <c r="J1852" s="41" t="str">
        <f>IF(AND(E1852=0,F1852&lt;&gt;0,G1852&lt;&gt;0),"m2",IF(AND(F1852=0,E1852&lt;&gt;0,G1852&lt;&gt;0),"m2",IF(AND(G1852=0,E1852&lt;&gt;0,F1852&lt;&gt;0),"m2",IF(AND(F1852=0,G1852=0),"ml",IF(AND(E1852=0,G1852=0),"ml",IF(AND(E1852=0,F1852=0),"ml",IF(AND(E1852&lt;&gt;0,F1852&lt;&gt;0,G1852&lt;&gt;0),"m3",0)))))))</f>
        <v>ml</v>
      </c>
    </row>
    <row r="1853" spans="2:10" s="1" customFormat="1" ht="12.75" x14ac:dyDescent="0.2">
      <c r="B1853" s="43" t="s">
        <v>261</v>
      </c>
      <c r="C1853" s="43" t="s">
        <v>253</v>
      </c>
      <c r="D1853" s="60"/>
      <c r="E1853" s="40"/>
      <c r="F1853" s="40"/>
      <c r="G1853" s="40"/>
      <c r="H1853" s="40"/>
      <c r="I1853" s="44">
        <f>SUM(H1854:H1854)</f>
        <v>0</v>
      </c>
      <c r="J1853" s="45" t="str">
        <f>+J1854</f>
        <v>und</v>
      </c>
    </row>
    <row r="1854" spans="2:10" s="1" customFormat="1" ht="12.75" x14ac:dyDescent="0.2">
      <c r="B1854" s="43"/>
      <c r="C1854" s="39" t="s">
        <v>402</v>
      </c>
      <c r="D1854" s="40"/>
      <c r="E1854" s="40"/>
      <c r="F1854" s="40"/>
      <c r="G1854" s="40"/>
      <c r="H1854" s="40">
        <f t="shared" ref="H1854" si="95">+D1854</f>
        <v>0</v>
      </c>
      <c r="I1854" s="40"/>
      <c r="J1854" s="41" t="s">
        <v>13</v>
      </c>
    </row>
    <row r="1855" spans="2:10" s="1" customFormat="1" ht="12.75" x14ac:dyDescent="0.2">
      <c r="B1855" s="43" t="s">
        <v>262</v>
      </c>
      <c r="C1855" s="43" t="s">
        <v>254</v>
      </c>
      <c r="D1855" s="60"/>
      <c r="E1855" s="40"/>
      <c r="F1855" s="40"/>
      <c r="G1855" s="40"/>
      <c r="H1855" s="40"/>
      <c r="I1855" s="44">
        <f>SUM(H1856:H1856)</f>
        <v>0</v>
      </c>
      <c r="J1855" s="45" t="str">
        <f>+J1856</f>
        <v>und</v>
      </c>
    </row>
    <row r="1856" spans="2:10" s="1" customFormat="1" ht="12.75" x14ac:dyDescent="0.2">
      <c r="B1856" s="57"/>
      <c r="C1856" s="39" t="s">
        <v>238</v>
      </c>
      <c r="D1856" s="40"/>
      <c r="E1856" s="40"/>
      <c r="F1856" s="40"/>
      <c r="G1856" s="40"/>
      <c r="H1856" s="40">
        <f>+D1856</f>
        <v>0</v>
      </c>
      <c r="I1856" s="40"/>
      <c r="J1856" s="41" t="s">
        <v>13</v>
      </c>
    </row>
    <row r="1857" spans="2:10" s="1" customFormat="1" ht="12.75" x14ac:dyDescent="0.2">
      <c r="B1857" s="43" t="s">
        <v>350</v>
      </c>
      <c r="C1857" s="43" t="s">
        <v>255</v>
      </c>
      <c r="D1857" s="60"/>
      <c r="E1857" s="40"/>
      <c r="F1857" s="40"/>
      <c r="G1857" s="40"/>
      <c r="H1857" s="40"/>
      <c r="I1857" s="44">
        <f>SUM(H1858:H1858)</f>
        <v>0</v>
      </c>
      <c r="J1857" s="45" t="str">
        <f>+J1858</f>
        <v>und</v>
      </c>
    </row>
    <row r="1858" spans="2:10" s="1" customFormat="1" ht="12.75" x14ac:dyDescent="0.2">
      <c r="B1858" s="57"/>
      <c r="C1858" s="39" t="s">
        <v>395</v>
      </c>
      <c r="D1858" s="40"/>
      <c r="E1858" s="40"/>
      <c r="F1858" s="40"/>
      <c r="G1858" s="40"/>
      <c r="H1858" s="40">
        <f>+D1858</f>
        <v>0</v>
      </c>
      <c r="I1858" s="40"/>
      <c r="J1858" s="41" t="s">
        <v>13</v>
      </c>
    </row>
    <row r="1859" spans="2:10" s="1" customFormat="1" ht="12.75" x14ac:dyDescent="0.2">
      <c r="B1859" s="57" t="s">
        <v>18</v>
      </c>
      <c r="C1859" s="58" t="s">
        <v>223</v>
      </c>
      <c r="D1859" s="60"/>
      <c r="E1859" s="40"/>
      <c r="F1859" s="40"/>
      <c r="G1859" s="40"/>
      <c r="H1859" s="40"/>
      <c r="I1859" s="40"/>
      <c r="J1859" s="41"/>
    </row>
    <row r="1860" spans="2:10" s="1" customFormat="1" ht="12.75" x14ac:dyDescent="0.2">
      <c r="B1860" s="43" t="s">
        <v>19</v>
      </c>
      <c r="C1860" s="43" t="s">
        <v>265</v>
      </c>
      <c r="D1860" s="60"/>
      <c r="E1860" s="40"/>
      <c r="F1860" s="40"/>
      <c r="G1860" s="40"/>
      <c r="H1860" s="40"/>
      <c r="I1860" s="44">
        <f>SUM(H1861:H1862)</f>
        <v>7</v>
      </c>
      <c r="J1860" s="45" t="str">
        <f>+J1861</f>
        <v>und</v>
      </c>
    </row>
    <row r="1861" spans="2:10" s="1" customFormat="1" ht="12.75" x14ac:dyDescent="0.2">
      <c r="B1861" s="46"/>
      <c r="C1861" s="39" t="s">
        <v>361</v>
      </c>
      <c r="D1861" s="40"/>
      <c r="E1861" s="40"/>
      <c r="F1861" s="40"/>
      <c r="G1861" s="40"/>
      <c r="H1861" s="40">
        <f>+D1861</f>
        <v>0</v>
      </c>
      <c r="I1861" s="40"/>
      <c r="J1861" s="41" t="s">
        <v>13</v>
      </c>
    </row>
    <row r="1862" spans="2:10" s="1" customFormat="1" ht="12.75" x14ac:dyDescent="0.2">
      <c r="B1862" s="46"/>
      <c r="C1862" s="39" t="s">
        <v>231</v>
      </c>
      <c r="D1862" s="40">
        <v>7</v>
      </c>
      <c r="E1862" s="40"/>
      <c r="F1862" s="40"/>
      <c r="G1862" s="40"/>
      <c r="H1862" s="40">
        <f>+D1862</f>
        <v>7</v>
      </c>
      <c r="I1862" s="40"/>
      <c r="J1862" s="41" t="s">
        <v>13</v>
      </c>
    </row>
    <row r="1863" spans="2:10" s="1" customFormat="1" ht="12.75" x14ac:dyDescent="0.2">
      <c r="B1863" s="43" t="s">
        <v>20</v>
      </c>
      <c r="C1863" s="43" t="s">
        <v>272</v>
      </c>
      <c r="D1863" s="60"/>
      <c r="E1863" s="40"/>
      <c r="F1863" s="40"/>
      <c r="G1863" s="40"/>
      <c r="H1863" s="40"/>
      <c r="I1863" s="44">
        <f>SUM(H1864:H1869)</f>
        <v>9</v>
      </c>
      <c r="J1863" s="45" t="str">
        <f>+J1864</f>
        <v>und</v>
      </c>
    </row>
    <row r="1864" spans="2:10" s="1" customFormat="1" ht="12.75" x14ac:dyDescent="0.2">
      <c r="B1864" s="46"/>
      <c r="C1864" s="77" t="s">
        <v>71</v>
      </c>
      <c r="D1864" s="40"/>
      <c r="E1864" s="40"/>
      <c r="F1864" s="40"/>
      <c r="G1864" s="40"/>
      <c r="H1864" s="40"/>
      <c r="I1864" s="40"/>
      <c r="J1864" s="41" t="s">
        <v>13</v>
      </c>
    </row>
    <row r="1865" spans="2:10" s="1" customFormat="1" ht="12.75" x14ac:dyDescent="0.2">
      <c r="B1865" s="46"/>
      <c r="C1865" s="39" t="s">
        <v>349</v>
      </c>
      <c r="D1865" s="40">
        <v>3</v>
      </c>
      <c r="E1865" s="40"/>
      <c r="F1865" s="40"/>
      <c r="G1865" s="40"/>
      <c r="H1865" s="40">
        <f>+D1865</f>
        <v>3</v>
      </c>
      <c r="I1865" s="40"/>
      <c r="J1865" s="41" t="s">
        <v>13</v>
      </c>
    </row>
    <row r="1866" spans="2:10" s="1" customFormat="1" ht="12.75" x14ac:dyDescent="0.2">
      <c r="B1866" s="46"/>
      <c r="C1866" s="77" t="s">
        <v>72</v>
      </c>
      <c r="D1866" s="40"/>
      <c r="E1866" s="40"/>
      <c r="F1866" s="40"/>
      <c r="G1866" s="40"/>
      <c r="H1866" s="40"/>
      <c r="I1866" s="40"/>
      <c r="J1866" s="41" t="s">
        <v>13</v>
      </c>
    </row>
    <row r="1867" spans="2:10" s="1" customFormat="1" ht="12.75" x14ac:dyDescent="0.2">
      <c r="B1867" s="46"/>
      <c r="C1867" s="39" t="s">
        <v>349</v>
      </c>
      <c r="D1867" s="40">
        <v>3</v>
      </c>
      <c r="E1867" s="40"/>
      <c r="F1867" s="40"/>
      <c r="G1867" s="40"/>
      <c r="H1867" s="40">
        <f>+D1867</f>
        <v>3</v>
      </c>
      <c r="I1867" s="40"/>
      <c r="J1867" s="41" t="s">
        <v>13</v>
      </c>
    </row>
    <row r="1868" spans="2:10" s="1" customFormat="1" ht="12.75" x14ac:dyDescent="0.2">
      <c r="B1868" s="46"/>
      <c r="C1868" s="77" t="s">
        <v>73</v>
      </c>
      <c r="D1868" s="40"/>
      <c r="E1868" s="40"/>
      <c r="F1868" s="40"/>
      <c r="G1868" s="40"/>
      <c r="H1868" s="40"/>
      <c r="I1868" s="40"/>
      <c r="J1868" s="41" t="s">
        <v>13</v>
      </c>
    </row>
    <row r="1869" spans="2:10" s="1" customFormat="1" ht="12.75" x14ac:dyDescent="0.2">
      <c r="B1869" s="46"/>
      <c r="C1869" s="39" t="s">
        <v>349</v>
      </c>
      <c r="D1869" s="40">
        <v>3</v>
      </c>
      <c r="E1869" s="40"/>
      <c r="F1869" s="40"/>
      <c r="G1869" s="40"/>
      <c r="H1869" s="40">
        <f>+D1869</f>
        <v>3</v>
      </c>
      <c r="I1869" s="40"/>
      <c r="J1869" s="41" t="s">
        <v>13</v>
      </c>
    </row>
    <row r="1870" spans="2:10" s="1" customFormat="1" ht="12.75" x14ac:dyDescent="0.2">
      <c r="B1870" s="43" t="s">
        <v>21</v>
      </c>
      <c r="C1870" s="43" t="s">
        <v>266</v>
      </c>
      <c r="D1870" s="60"/>
      <c r="E1870" s="40"/>
      <c r="F1870" s="40"/>
      <c r="G1870" s="40"/>
      <c r="H1870" s="40"/>
      <c r="I1870" s="44">
        <f>SUM(H1871:H1873)</f>
        <v>0</v>
      </c>
      <c r="J1870" s="45" t="str">
        <f>+J1871</f>
        <v>und</v>
      </c>
    </row>
    <row r="1871" spans="2:10" s="1" customFormat="1" ht="12.75" x14ac:dyDescent="0.2">
      <c r="B1871" s="43"/>
      <c r="C1871" s="39" t="s">
        <v>71</v>
      </c>
      <c r="D1871" s="40"/>
      <c r="E1871" s="40"/>
      <c r="F1871" s="40"/>
      <c r="G1871" s="40"/>
      <c r="H1871" s="40">
        <f t="shared" ref="H1871:H1873" si="96">+D1871</f>
        <v>0</v>
      </c>
      <c r="I1871" s="40"/>
      <c r="J1871" s="41" t="s">
        <v>13</v>
      </c>
    </row>
    <row r="1872" spans="2:10" s="1" customFormat="1" ht="12.75" x14ac:dyDescent="0.2">
      <c r="B1872" s="43"/>
      <c r="C1872" s="39" t="s">
        <v>72</v>
      </c>
      <c r="D1872" s="40"/>
      <c r="E1872" s="40"/>
      <c r="F1872" s="40"/>
      <c r="G1872" s="40"/>
      <c r="H1872" s="40">
        <f t="shared" si="96"/>
        <v>0</v>
      </c>
      <c r="I1872" s="40"/>
      <c r="J1872" s="41" t="s">
        <v>13</v>
      </c>
    </row>
    <row r="1873" spans="2:10" s="1" customFormat="1" ht="12.75" x14ac:dyDescent="0.2">
      <c r="B1873" s="43"/>
      <c r="C1873" s="39" t="s">
        <v>73</v>
      </c>
      <c r="D1873" s="40"/>
      <c r="E1873" s="40"/>
      <c r="F1873" s="40"/>
      <c r="G1873" s="40"/>
      <c r="H1873" s="40">
        <f t="shared" si="96"/>
        <v>0</v>
      </c>
      <c r="I1873" s="40"/>
      <c r="J1873" s="41" t="s">
        <v>13</v>
      </c>
    </row>
    <row r="1874" spans="2:10" s="1" customFormat="1" ht="12.75" x14ac:dyDescent="0.2">
      <c r="B1874" s="43" t="s">
        <v>273</v>
      </c>
      <c r="C1874" s="43" t="s">
        <v>354</v>
      </c>
      <c r="D1874" s="60"/>
      <c r="E1874" s="40"/>
      <c r="F1874" s="40"/>
      <c r="G1874" s="40"/>
      <c r="H1874" s="40"/>
      <c r="I1874" s="44">
        <f>SUM(H1875:H1875)</f>
        <v>4</v>
      </c>
      <c r="J1874" s="45" t="str">
        <f>+J1875</f>
        <v>und</v>
      </c>
    </row>
    <row r="1875" spans="2:10" s="1" customFormat="1" ht="12.75" x14ac:dyDescent="0.2">
      <c r="B1875" s="43"/>
      <c r="C1875" s="39" t="s">
        <v>375</v>
      </c>
      <c r="D1875" s="40">
        <v>1</v>
      </c>
      <c r="E1875" s="40">
        <v>4</v>
      </c>
      <c r="F1875" s="40"/>
      <c r="G1875" s="40"/>
      <c r="H1875" s="40">
        <f>IF(AND(F1875=0,G1875=0),D1875*E1875,IF(AND(E1875=0,G1875=0),D1875*F1875,IF(AND(E1875=0,F1875=0),D1875*G1875,IF(AND(E1875=0),D1875*F1875*G1875,IF(AND(F1875=0),D1875*E1875*G1875,IF(AND(G1875=0),D1875*E1875*F1875,D1875*E1875*F1875*G1875))))))</f>
        <v>4</v>
      </c>
      <c r="I1875" s="40"/>
      <c r="J1875" s="41" t="s">
        <v>13</v>
      </c>
    </row>
    <row r="1876" spans="2:10" s="1" customFormat="1" ht="12.75" x14ac:dyDescent="0.2">
      <c r="B1876" s="43" t="s">
        <v>274</v>
      </c>
      <c r="C1876" s="43" t="s">
        <v>357</v>
      </c>
      <c r="D1876" s="60"/>
      <c r="E1876" s="40"/>
      <c r="F1876" s="40"/>
      <c r="G1876" s="40"/>
      <c r="H1876" s="40"/>
      <c r="I1876" s="44">
        <f>SUM(H1877:H1877)</f>
        <v>1</v>
      </c>
      <c r="J1876" s="45" t="str">
        <f>+J1877</f>
        <v>und</v>
      </c>
    </row>
    <row r="1877" spans="2:10" s="1" customFormat="1" ht="12.75" x14ac:dyDescent="0.2">
      <c r="B1877" s="43"/>
      <c r="C1877" s="39" t="s">
        <v>375</v>
      </c>
      <c r="D1877" s="40">
        <v>1</v>
      </c>
      <c r="E1877" s="40"/>
      <c r="F1877" s="40"/>
      <c r="G1877" s="40"/>
      <c r="H1877" s="40">
        <f t="shared" ref="H1877" si="97">+D1877</f>
        <v>1</v>
      </c>
      <c r="I1877" s="40"/>
      <c r="J1877" s="41" t="s">
        <v>13</v>
      </c>
    </row>
    <row r="1878" spans="2:10" s="1" customFormat="1" ht="12.75" x14ac:dyDescent="0.2">
      <c r="B1878" s="43" t="s">
        <v>355</v>
      </c>
      <c r="C1878" s="43" t="s">
        <v>263</v>
      </c>
      <c r="D1878" s="60"/>
      <c r="E1878" s="40"/>
      <c r="F1878" s="40"/>
      <c r="G1878" s="40"/>
      <c r="H1878" s="40"/>
      <c r="I1878" s="44">
        <f>SUM(H1879:H1879)</f>
        <v>0</v>
      </c>
      <c r="J1878" s="45" t="str">
        <f>+J1879</f>
        <v>und</v>
      </c>
    </row>
    <row r="1879" spans="2:10" s="1" customFormat="1" ht="12.75" x14ac:dyDescent="0.2">
      <c r="B1879" s="46"/>
      <c r="C1879" s="39" t="s">
        <v>420</v>
      </c>
      <c r="D1879" s="40"/>
      <c r="E1879" s="40"/>
      <c r="F1879" s="40"/>
      <c r="G1879" s="40"/>
      <c r="H1879" s="40">
        <f>+D1879</f>
        <v>0</v>
      </c>
      <c r="I1879" s="40"/>
      <c r="J1879" s="41" t="s">
        <v>13</v>
      </c>
    </row>
    <row r="1880" spans="2:10" s="1" customFormat="1" ht="12.75" x14ac:dyDescent="0.2">
      <c r="B1880" s="43" t="s">
        <v>356</v>
      </c>
      <c r="C1880" s="43" t="s">
        <v>264</v>
      </c>
      <c r="D1880" s="60"/>
      <c r="E1880" s="40"/>
      <c r="F1880" s="40"/>
      <c r="G1880" s="40"/>
      <c r="H1880" s="40"/>
      <c r="I1880" s="44">
        <f>SUM(H1881:H1881)</f>
        <v>0</v>
      </c>
      <c r="J1880" s="45" t="str">
        <f>+J1881</f>
        <v>und</v>
      </c>
    </row>
    <row r="1881" spans="2:10" s="1" customFormat="1" ht="12.75" x14ac:dyDescent="0.2">
      <c r="B1881" s="46"/>
      <c r="C1881" s="39" t="s">
        <v>420</v>
      </c>
      <c r="D1881" s="40"/>
      <c r="E1881" s="40"/>
      <c r="F1881" s="40"/>
      <c r="G1881" s="40"/>
      <c r="H1881" s="40">
        <f>+D1881</f>
        <v>0</v>
      </c>
      <c r="I1881" s="40"/>
      <c r="J1881" s="41" t="s">
        <v>13</v>
      </c>
    </row>
    <row r="1882" spans="2:10" s="1" customFormat="1" ht="12.75" x14ac:dyDescent="0.2">
      <c r="B1882" s="46"/>
      <c r="C1882" s="59"/>
      <c r="D1882" s="60"/>
      <c r="E1882" s="40"/>
      <c r="F1882" s="40"/>
      <c r="G1882" s="40"/>
      <c r="H1882" s="40"/>
      <c r="I1882" s="40"/>
      <c r="J1882" s="41"/>
    </row>
    <row r="1883" spans="2:10" s="1" customFormat="1" ht="12.75" x14ac:dyDescent="0.2">
      <c r="B1883" s="46"/>
      <c r="C1883" s="59"/>
      <c r="D1883" s="60"/>
      <c r="E1883" s="40"/>
      <c r="F1883" s="40"/>
      <c r="G1883" s="40"/>
      <c r="H1883" s="40"/>
      <c r="I1883" s="40"/>
      <c r="J1883" s="41"/>
    </row>
    <row r="1884" spans="2:10" s="1" customFormat="1" ht="12.75" x14ac:dyDescent="0.2">
      <c r="B1884" s="46"/>
      <c r="C1884" s="59"/>
      <c r="D1884" s="60"/>
      <c r="E1884" s="40"/>
      <c r="F1884" s="40"/>
      <c r="G1884" s="40"/>
      <c r="H1884" s="40"/>
      <c r="I1884" s="40"/>
      <c r="J1884" s="41"/>
    </row>
    <row r="1885" spans="2:10" s="1" customFormat="1" ht="12.75" x14ac:dyDescent="0.2">
      <c r="B1885" s="46"/>
      <c r="C1885" s="59"/>
      <c r="D1885" s="60"/>
      <c r="E1885" s="40"/>
      <c r="F1885" s="40"/>
      <c r="G1885" s="40"/>
      <c r="H1885" s="40"/>
      <c r="I1885" s="40"/>
      <c r="J1885" s="41"/>
    </row>
    <row r="1886" spans="2:10" s="1" customFormat="1" ht="12.75" x14ac:dyDescent="0.2">
      <c r="B1886" s="46"/>
      <c r="C1886" s="59"/>
      <c r="D1886" s="60"/>
      <c r="E1886" s="40"/>
      <c r="F1886" s="40"/>
      <c r="G1886" s="40"/>
      <c r="H1886" s="40"/>
      <c r="I1886" s="40"/>
      <c r="J1886" s="41"/>
    </row>
    <row r="1887" spans="2:10" s="1" customFormat="1" ht="12.75" x14ac:dyDescent="0.2">
      <c r="B1887" s="46"/>
      <c r="C1887" s="59"/>
      <c r="D1887" s="60"/>
      <c r="E1887" s="40"/>
      <c r="F1887" s="40"/>
      <c r="G1887" s="40"/>
      <c r="H1887" s="40"/>
      <c r="I1887" s="40"/>
      <c r="J1887" s="41"/>
    </row>
    <row r="1888" spans="2:10" s="1" customFormat="1" ht="12.75" x14ac:dyDescent="0.2">
      <c r="B1888" s="46"/>
      <c r="C1888" s="59"/>
      <c r="D1888" s="60"/>
      <c r="E1888" s="40"/>
      <c r="F1888" s="40"/>
      <c r="G1888" s="40"/>
      <c r="H1888" s="40"/>
      <c r="I1888" s="40"/>
      <c r="J1888" s="41"/>
    </row>
    <row r="1889" spans="2:10" s="1" customFormat="1" ht="12.75" x14ac:dyDescent="0.2">
      <c r="B1889" s="46"/>
      <c r="C1889" s="59"/>
      <c r="D1889" s="60"/>
      <c r="E1889" s="40"/>
      <c r="F1889" s="40"/>
      <c r="G1889" s="40"/>
      <c r="H1889" s="40"/>
      <c r="I1889" s="40"/>
      <c r="J1889" s="41"/>
    </row>
    <row r="1890" spans="2:10" s="1" customFormat="1" ht="12.75" x14ac:dyDescent="0.2">
      <c r="B1890" s="46"/>
      <c r="C1890" s="59"/>
      <c r="D1890" s="60"/>
      <c r="E1890" s="40"/>
      <c r="F1890" s="40"/>
      <c r="G1890" s="40"/>
      <c r="H1890" s="40"/>
      <c r="I1890" s="40"/>
      <c r="J1890" s="41"/>
    </row>
    <row r="1891" spans="2:10" s="1" customFormat="1" ht="12.75" x14ac:dyDescent="0.2">
      <c r="B1891" s="46"/>
      <c r="C1891" s="59"/>
      <c r="D1891" s="60"/>
      <c r="E1891" s="40"/>
      <c r="F1891" s="40"/>
      <c r="G1891" s="40"/>
      <c r="H1891" s="40"/>
      <c r="I1891" s="40"/>
      <c r="J1891" s="41"/>
    </row>
    <row r="1892" spans="2:10" s="1" customFormat="1" ht="12.75" x14ac:dyDescent="0.2">
      <c r="B1892" s="46"/>
      <c r="C1892" s="59"/>
      <c r="D1892" s="60"/>
      <c r="E1892" s="40"/>
      <c r="F1892" s="40"/>
      <c r="G1892" s="40"/>
      <c r="H1892" s="40"/>
      <c r="I1892" s="40"/>
      <c r="J1892" s="41"/>
    </row>
    <row r="1893" spans="2:10" s="1" customFormat="1" ht="12.75" x14ac:dyDescent="0.2">
      <c r="B1893" s="46"/>
      <c r="C1893" s="59"/>
      <c r="D1893" s="60"/>
      <c r="E1893" s="40"/>
      <c r="F1893" s="40"/>
      <c r="G1893" s="40"/>
      <c r="H1893" s="40"/>
      <c r="I1893" s="40"/>
      <c r="J1893" s="41"/>
    </row>
    <row r="1894" spans="2:10" s="1" customFormat="1" ht="12.75" x14ac:dyDescent="0.2">
      <c r="B1894" s="46"/>
      <c r="C1894" s="59"/>
      <c r="D1894" s="60"/>
      <c r="E1894" s="40"/>
      <c r="F1894" s="40"/>
      <c r="G1894" s="40"/>
      <c r="H1894" s="40"/>
      <c r="I1894" s="40"/>
      <c r="J1894" s="41"/>
    </row>
    <row r="1895" spans="2:10" s="1" customFormat="1" ht="12.75" x14ac:dyDescent="0.2">
      <c r="B1895" s="46"/>
      <c r="C1895" s="59"/>
      <c r="D1895" s="60"/>
      <c r="E1895" s="40"/>
      <c r="F1895" s="40"/>
      <c r="G1895" s="40"/>
      <c r="H1895" s="40"/>
      <c r="I1895" s="40"/>
      <c r="J1895" s="41"/>
    </row>
    <row r="1896" spans="2:10" s="1" customFormat="1" ht="12.75" x14ac:dyDescent="0.2">
      <c r="B1896" s="46"/>
      <c r="C1896" s="59"/>
      <c r="D1896" s="60"/>
      <c r="E1896" s="40"/>
      <c r="F1896" s="40"/>
      <c r="G1896" s="40"/>
      <c r="H1896" s="40"/>
      <c r="I1896" s="40"/>
      <c r="J1896" s="41"/>
    </row>
    <row r="1897" spans="2:10" s="1" customFormat="1" ht="12.75" x14ac:dyDescent="0.2">
      <c r="B1897" s="46"/>
      <c r="C1897" s="59"/>
      <c r="D1897" s="60"/>
      <c r="E1897" s="40"/>
      <c r="F1897" s="40"/>
      <c r="G1897" s="40"/>
      <c r="H1897" s="40"/>
      <c r="I1897" s="40"/>
      <c r="J1897" s="41"/>
    </row>
    <row r="1898" spans="2:10" s="1" customFormat="1" ht="12.75" x14ac:dyDescent="0.2">
      <c r="B1898" s="46"/>
      <c r="C1898" s="59"/>
      <c r="D1898" s="60"/>
      <c r="E1898" s="40"/>
      <c r="F1898" s="40"/>
      <c r="G1898" s="40"/>
      <c r="H1898" s="40"/>
      <c r="I1898" s="40"/>
      <c r="J1898" s="41"/>
    </row>
    <row r="1899" spans="2:10" s="1" customFormat="1" ht="12.75" x14ac:dyDescent="0.2">
      <c r="B1899" s="46"/>
      <c r="C1899" s="59"/>
      <c r="D1899" s="60"/>
      <c r="E1899" s="40"/>
      <c r="F1899" s="40"/>
      <c r="G1899" s="40"/>
      <c r="H1899" s="40"/>
      <c r="I1899" s="40"/>
      <c r="J1899" s="41"/>
    </row>
    <row r="1900" spans="2:10" s="1" customFormat="1" ht="12.75" x14ac:dyDescent="0.2">
      <c r="B1900" s="46"/>
      <c r="C1900" s="59"/>
      <c r="D1900" s="60"/>
      <c r="E1900" s="40"/>
      <c r="F1900" s="40"/>
      <c r="G1900" s="40"/>
      <c r="H1900" s="40"/>
      <c r="I1900" s="40"/>
      <c r="J1900" s="41"/>
    </row>
    <row r="1901" spans="2:10" s="1" customFormat="1" ht="12.75" x14ac:dyDescent="0.2">
      <c r="B1901" s="46"/>
      <c r="C1901" s="59"/>
      <c r="D1901" s="60"/>
      <c r="E1901" s="40"/>
      <c r="F1901" s="40"/>
      <c r="G1901" s="40"/>
      <c r="H1901" s="40"/>
      <c r="I1901" s="40"/>
      <c r="J1901" s="41"/>
    </row>
    <row r="1902" spans="2:10" s="1" customFormat="1" ht="12.75" x14ac:dyDescent="0.2">
      <c r="B1902" s="46"/>
      <c r="C1902" s="59"/>
      <c r="D1902" s="60"/>
      <c r="E1902" s="40"/>
      <c r="F1902" s="40"/>
      <c r="G1902" s="40"/>
      <c r="H1902" s="40"/>
      <c r="I1902" s="40"/>
      <c r="J1902" s="41"/>
    </row>
    <row r="1903" spans="2:10" s="1" customFormat="1" ht="12.75" x14ac:dyDescent="0.2">
      <c r="B1903" s="46"/>
      <c r="C1903" s="59"/>
      <c r="D1903" s="60"/>
      <c r="E1903" s="40"/>
      <c r="F1903" s="40"/>
      <c r="G1903" s="40"/>
      <c r="H1903" s="40"/>
      <c r="I1903" s="40"/>
      <c r="J1903" s="41"/>
    </row>
    <row r="1904" spans="2:10" s="1" customFormat="1" ht="12.75" x14ac:dyDescent="0.2">
      <c r="B1904" s="46"/>
      <c r="C1904" s="59"/>
      <c r="D1904" s="60"/>
      <c r="E1904" s="40"/>
      <c r="F1904" s="40"/>
      <c r="G1904" s="40"/>
      <c r="H1904" s="40"/>
      <c r="I1904" s="40"/>
      <c r="J1904" s="41"/>
    </row>
    <row r="1905" spans="2:10" s="1" customFormat="1" ht="12.75" x14ac:dyDescent="0.2">
      <c r="B1905" s="46"/>
      <c r="C1905" s="59"/>
      <c r="D1905" s="60"/>
      <c r="E1905" s="40"/>
      <c r="F1905" s="40"/>
      <c r="G1905" s="40"/>
      <c r="H1905" s="40"/>
      <c r="I1905" s="40"/>
      <c r="J1905" s="41"/>
    </row>
    <row r="1906" spans="2:10" s="1" customFormat="1" ht="12.75" x14ac:dyDescent="0.2">
      <c r="B1906" s="46"/>
      <c r="C1906" s="59"/>
      <c r="D1906" s="60"/>
      <c r="E1906" s="40"/>
      <c r="F1906" s="40"/>
      <c r="G1906" s="40"/>
      <c r="H1906" s="40"/>
      <c r="I1906" s="40"/>
      <c r="J1906" s="41"/>
    </row>
    <row r="1907" spans="2:10" s="1" customFormat="1" ht="12.75" x14ac:dyDescent="0.2">
      <c r="B1907" s="46"/>
      <c r="C1907" s="59"/>
      <c r="D1907" s="60"/>
      <c r="E1907" s="40"/>
      <c r="F1907" s="40"/>
      <c r="G1907" s="40"/>
      <c r="H1907" s="40"/>
      <c r="I1907" s="40"/>
      <c r="J1907" s="41"/>
    </row>
    <row r="1908" spans="2:10" s="1" customFormat="1" ht="12.75" x14ac:dyDescent="0.2">
      <c r="B1908" s="46"/>
      <c r="C1908" s="59"/>
      <c r="D1908" s="60"/>
      <c r="E1908" s="40"/>
      <c r="F1908" s="40"/>
      <c r="G1908" s="40"/>
      <c r="H1908" s="40"/>
      <c r="I1908" s="40"/>
      <c r="J1908" s="41"/>
    </row>
    <row r="1909" spans="2:10" s="1" customFormat="1" ht="12.75" x14ac:dyDescent="0.2">
      <c r="B1909" s="46"/>
      <c r="C1909" s="59"/>
      <c r="D1909" s="60"/>
      <c r="E1909" s="40"/>
      <c r="F1909" s="40"/>
      <c r="G1909" s="40"/>
      <c r="H1909" s="40"/>
      <c r="I1909" s="40"/>
      <c r="J1909" s="41"/>
    </row>
    <row r="1910" spans="2:10" s="1" customFormat="1" ht="12.75" x14ac:dyDescent="0.2">
      <c r="B1910" s="46"/>
      <c r="C1910" s="59"/>
      <c r="D1910" s="60"/>
      <c r="E1910" s="40"/>
      <c r="F1910" s="40"/>
      <c r="G1910" s="40"/>
      <c r="H1910" s="40"/>
      <c r="I1910" s="40"/>
      <c r="J1910" s="41"/>
    </row>
    <row r="1911" spans="2:10" s="1" customFormat="1" ht="12.75" x14ac:dyDescent="0.2">
      <c r="B1911" s="46"/>
      <c r="C1911" s="59"/>
      <c r="D1911" s="60"/>
      <c r="E1911" s="40"/>
      <c r="F1911" s="40"/>
      <c r="G1911" s="40"/>
      <c r="H1911" s="40"/>
      <c r="I1911" s="40"/>
      <c r="J1911" s="41"/>
    </row>
    <row r="1912" spans="2:10" s="1" customFormat="1" ht="12.75" x14ac:dyDescent="0.2">
      <c r="B1912" s="46"/>
      <c r="C1912" s="59"/>
      <c r="D1912" s="60"/>
      <c r="E1912" s="40"/>
      <c r="F1912" s="40"/>
      <c r="G1912" s="40"/>
      <c r="H1912" s="40"/>
      <c r="I1912" s="40"/>
      <c r="J1912" s="41"/>
    </row>
    <row r="1913" spans="2:10" s="1" customFormat="1" ht="12.75" x14ac:dyDescent="0.2">
      <c r="B1913" s="46"/>
      <c r="C1913" s="59"/>
      <c r="D1913" s="60"/>
      <c r="E1913" s="40"/>
      <c r="F1913" s="40"/>
      <c r="G1913" s="40"/>
      <c r="H1913" s="40"/>
      <c r="I1913" s="40"/>
      <c r="J1913" s="41"/>
    </row>
    <row r="1914" spans="2:10" s="1" customFormat="1" ht="12.75" x14ac:dyDescent="0.2">
      <c r="B1914" s="46"/>
      <c r="C1914" s="59"/>
      <c r="D1914" s="60"/>
      <c r="E1914" s="40"/>
      <c r="F1914" s="40"/>
      <c r="G1914" s="40"/>
      <c r="H1914" s="40"/>
      <c r="I1914" s="40"/>
      <c r="J1914" s="41"/>
    </row>
    <row r="1915" spans="2:10" s="1" customFormat="1" ht="12.75" x14ac:dyDescent="0.2">
      <c r="B1915" s="46"/>
      <c r="C1915" s="59"/>
      <c r="D1915" s="60"/>
      <c r="E1915" s="40"/>
      <c r="F1915" s="40"/>
      <c r="G1915" s="40"/>
      <c r="H1915" s="40"/>
      <c r="I1915" s="40"/>
      <c r="J1915" s="41"/>
    </row>
    <row r="1916" spans="2:10" s="1" customFormat="1" ht="12.75" x14ac:dyDescent="0.2">
      <c r="B1916" s="46"/>
      <c r="C1916" s="59"/>
      <c r="D1916" s="60"/>
      <c r="E1916" s="40"/>
      <c r="F1916" s="40"/>
      <c r="G1916" s="40"/>
      <c r="H1916" s="40"/>
      <c r="I1916" s="40"/>
      <c r="J1916" s="41"/>
    </row>
    <row r="1917" spans="2:10" s="1" customFormat="1" ht="12.75" x14ac:dyDescent="0.2">
      <c r="B1917" s="46"/>
      <c r="C1917" s="59"/>
      <c r="D1917" s="60"/>
      <c r="E1917" s="40"/>
      <c r="F1917" s="40"/>
      <c r="G1917" s="40"/>
      <c r="H1917" s="40"/>
      <c r="I1917" s="40"/>
      <c r="J1917" s="41"/>
    </row>
    <row r="1918" spans="2:10" s="1" customFormat="1" ht="12.75" x14ac:dyDescent="0.2">
      <c r="B1918" s="46"/>
      <c r="C1918" s="59"/>
      <c r="D1918" s="60"/>
      <c r="E1918" s="40"/>
      <c r="F1918" s="40"/>
      <c r="G1918" s="40"/>
      <c r="H1918" s="40"/>
      <c r="I1918" s="40"/>
      <c r="J1918" s="41"/>
    </row>
    <row r="1919" spans="2:10" s="1" customFormat="1" ht="12.75" x14ac:dyDescent="0.2">
      <c r="B1919" s="46"/>
      <c r="C1919" s="59"/>
      <c r="D1919" s="60"/>
      <c r="E1919" s="40"/>
      <c r="F1919" s="40"/>
      <c r="G1919" s="40"/>
      <c r="H1919" s="40"/>
      <c r="I1919" s="40"/>
      <c r="J1919" s="41"/>
    </row>
    <row r="1920" spans="2:10" s="1" customFormat="1" ht="12.75" x14ac:dyDescent="0.2">
      <c r="B1920" s="46"/>
      <c r="C1920" s="59"/>
      <c r="D1920" s="60"/>
      <c r="E1920" s="40"/>
      <c r="F1920" s="40"/>
      <c r="G1920" s="40"/>
      <c r="H1920" s="40"/>
      <c r="I1920" s="40"/>
      <c r="J1920" s="41"/>
    </row>
    <row r="1921" spans="2:10" s="1" customFormat="1" ht="12.75" x14ac:dyDescent="0.2">
      <c r="B1921" s="46"/>
      <c r="C1921" s="59"/>
      <c r="D1921" s="60"/>
      <c r="E1921" s="40"/>
      <c r="F1921" s="40"/>
      <c r="G1921" s="40"/>
      <c r="H1921" s="40"/>
      <c r="I1921" s="40"/>
      <c r="J1921" s="41"/>
    </row>
    <row r="1922" spans="2:10" s="1" customFormat="1" ht="12.75" x14ac:dyDescent="0.2">
      <c r="B1922" s="46"/>
      <c r="C1922" s="59"/>
      <c r="D1922" s="60"/>
      <c r="E1922" s="40"/>
      <c r="F1922" s="40"/>
      <c r="G1922" s="40"/>
      <c r="H1922" s="40"/>
      <c r="I1922" s="40"/>
      <c r="J1922" s="41"/>
    </row>
    <row r="1923" spans="2:10" s="1" customFormat="1" ht="12.75" x14ac:dyDescent="0.2">
      <c r="B1923" s="46"/>
      <c r="C1923" s="59"/>
      <c r="D1923" s="60"/>
      <c r="E1923" s="40"/>
      <c r="F1923" s="40"/>
      <c r="G1923" s="40"/>
      <c r="H1923" s="40"/>
      <c r="I1923" s="40"/>
      <c r="J1923" s="41"/>
    </row>
    <row r="1924" spans="2:10" s="1" customFormat="1" ht="12.75" x14ac:dyDescent="0.2">
      <c r="B1924" s="46"/>
      <c r="C1924" s="59"/>
      <c r="D1924" s="60"/>
      <c r="E1924" s="40"/>
      <c r="F1924" s="40"/>
      <c r="G1924" s="40"/>
      <c r="H1924" s="40"/>
      <c r="I1924" s="40"/>
      <c r="J1924" s="41"/>
    </row>
    <row r="1925" spans="2:10" s="1" customFormat="1" ht="12.75" x14ac:dyDescent="0.2">
      <c r="B1925" s="46"/>
      <c r="C1925" s="59"/>
      <c r="D1925" s="60"/>
      <c r="E1925" s="40"/>
      <c r="F1925" s="40"/>
      <c r="G1925" s="40"/>
      <c r="H1925" s="40"/>
      <c r="I1925" s="40"/>
      <c r="J1925" s="41"/>
    </row>
    <row r="1926" spans="2:10" s="1" customFormat="1" ht="12.75" x14ac:dyDescent="0.2">
      <c r="B1926" s="46"/>
      <c r="C1926" s="59"/>
      <c r="D1926" s="60"/>
      <c r="E1926" s="40"/>
      <c r="F1926" s="40"/>
      <c r="G1926" s="40"/>
      <c r="H1926" s="40"/>
      <c r="I1926" s="40"/>
      <c r="J1926" s="41"/>
    </row>
    <row r="1927" spans="2:10" s="1" customFormat="1" ht="12.75" x14ac:dyDescent="0.2">
      <c r="B1927" s="46"/>
      <c r="C1927" s="59"/>
      <c r="D1927" s="60"/>
      <c r="E1927" s="40"/>
      <c r="F1927" s="40"/>
      <c r="G1927" s="40"/>
      <c r="H1927" s="40"/>
      <c r="I1927" s="40"/>
      <c r="J1927" s="41"/>
    </row>
    <row r="1928" spans="2:10" s="1" customFormat="1" ht="12.75" x14ac:dyDescent="0.2">
      <c r="B1928" s="46"/>
      <c r="C1928" s="59"/>
      <c r="D1928" s="60"/>
      <c r="E1928" s="40"/>
      <c r="F1928" s="40"/>
      <c r="G1928" s="40"/>
      <c r="H1928" s="40"/>
      <c r="I1928" s="40"/>
      <c r="J1928" s="41"/>
    </row>
    <row r="1929" spans="2:10" s="1" customFormat="1" ht="12.75" x14ac:dyDescent="0.2">
      <c r="B1929" s="46"/>
      <c r="C1929" s="59"/>
      <c r="D1929" s="60"/>
      <c r="E1929" s="40"/>
      <c r="F1929" s="40"/>
      <c r="G1929" s="40"/>
      <c r="H1929" s="40"/>
      <c r="I1929" s="40"/>
      <c r="J1929" s="41"/>
    </row>
    <row r="1930" spans="2:10" s="1" customFormat="1" ht="12.75" x14ac:dyDescent="0.2">
      <c r="B1930" s="46"/>
      <c r="C1930" s="59"/>
      <c r="D1930" s="60"/>
      <c r="E1930" s="40"/>
      <c r="F1930" s="40"/>
      <c r="G1930" s="40"/>
      <c r="H1930" s="40"/>
      <c r="I1930" s="40"/>
      <c r="J1930" s="41"/>
    </row>
    <row r="1931" spans="2:10" s="1" customFormat="1" ht="12.75" x14ac:dyDescent="0.2">
      <c r="B1931" s="46"/>
      <c r="C1931" s="59"/>
      <c r="D1931" s="60"/>
      <c r="E1931" s="40"/>
      <c r="F1931" s="40"/>
      <c r="G1931" s="40"/>
      <c r="H1931" s="40"/>
      <c r="I1931" s="40"/>
      <c r="J1931" s="41"/>
    </row>
    <row r="1932" spans="2:10" s="1" customFormat="1" ht="12.75" x14ac:dyDescent="0.2">
      <c r="B1932" s="46"/>
      <c r="C1932" s="59"/>
      <c r="D1932" s="60"/>
      <c r="E1932" s="40"/>
      <c r="F1932" s="40"/>
      <c r="G1932" s="40"/>
      <c r="H1932" s="40"/>
      <c r="I1932" s="40"/>
      <c r="J1932" s="41"/>
    </row>
    <row r="1933" spans="2:10" s="1" customFormat="1" ht="12.75" x14ac:dyDescent="0.2">
      <c r="B1933" s="46"/>
      <c r="C1933" s="59"/>
      <c r="D1933" s="60"/>
      <c r="E1933" s="40"/>
      <c r="F1933" s="40"/>
      <c r="G1933" s="40"/>
      <c r="H1933" s="40"/>
      <c r="I1933" s="40"/>
      <c r="J1933" s="41"/>
    </row>
    <row r="1934" spans="2:10" s="1" customFormat="1" ht="12.75" x14ac:dyDescent="0.2">
      <c r="B1934" s="46"/>
      <c r="C1934" s="59"/>
      <c r="D1934" s="60"/>
      <c r="E1934" s="40"/>
      <c r="F1934" s="40"/>
      <c r="G1934" s="40"/>
      <c r="H1934" s="40"/>
      <c r="I1934" s="40"/>
      <c r="J1934" s="41"/>
    </row>
    <row r="1935" spans="2:10" s="1" customFormat="1" ht="12.75" x14ac:dyDescent="0.2">
      <c r="B1935" s="46"/>
      <c r="C1935" s="59"/>
      <c r="D1935" s="60"/>
      <c r="E1935" s="40"/>
      <c r="F1935" s="40"/>
      <c r="G1935" s="40"/>
      <c r="H1935" s="40"/>
      <c r="I1935" s="40"/>
      <c r="J1935" s="41"/>
    </row>
    <row r="1936" spans="2:10" s="1" customFormat="1" ht="12.75" x14ac:dyDescent="0.2">
      <c r="B1936" s="46"/>
      <c r="C1936" s="59"/>
      <c r="D1936" s="60"/>
      <c r="E1936" s="40"/>
      <c r="F1936" s="40"/>
      <c r="G1936" s="40"/>
      <c r="H1936" s="40"/>
      <c r="I1936" s="40"/>
      <c r="J1936" s="41"/>
    </row>
    <row r="1937" spans="2:10" s="1" customFormat="1" ht="12.75" x14ac:dyDescent="0.2">
      <c r="B1937" s="46"/>
      <c r="C1937" s="59"/>
      <c r="D1937" s="60"/>
      <c r="E1937" s="40"/>
      <c r="F1937" s="40"/>
      <c r="G1937" s="40"/>
      <c r="H1937" s="40"/>
      <c r="I1937" s="40"/>
      <c r="J1937" s="41"/>
    </row>
    <row r="1938" spans="2:10" s="1" customFormat="1" ht="12.75" x14ac:dyDescent="0.2">
      <c r="B1938" s="46"/>
      <c r="C1938" s="59"/>
      <c r="D1938" s="60"/>
      <c r="E1938" s="40"/>
      <c r="F1938" s="40"/>
      <c r="G1938" s="40"/>
      <c r="H1938" s="40"/>
      <c r="I1938" s="40"/>
      <c r="J1938" s="41"/>
    </row>
    <row r="1939" spans="2:10" s="1" customFormat="1" ht="12.75" x14ac:dyDescent="0.2">
      <c r="B1939" s="46"/>
      <c r="C1939" s="59"/>
      <c r="D1939" s="60"/>
      <c r="E1939" s="40"/>
      <c r="F1939" s="40"/>
      <c r="G1939" s="40"/>
      <c r="H1939" s="40"/>
      <c r="I1939" s="40"/>
      <c r="J1939" s="41"/>
    </row>
    <row r="1940" spans="2:10" s="1" customFormat="1" ht="12.75" x14ac:dyDescent="0.2">
      <c r="B1940" s="46"/>
      <c r="C1940" s="59"/>
      <c r="D1940" s="60"/>
      <c r="E1940" s="40"/>
      <c r="F1940" s="40"/>
      <c r="G1940" s="40"/>
      <c r="H1940" s="40"/>
      <c r="I1940" s="40"/>
      <c r="J1940" s="41"/>
    </row>
    <row r="1941" spans="2:10" s="1" customFormat="1" ht="12.75" x14ac:dyDescent="0.2">
      <c r="B1941" s="46"/>
      <c r="C1941" s="59"/>
      <c r="D1941" s="60"/>
      <c r="E1941" s="40"/>
      <c r="F1941" s="40"/>
      <c r="G1941" s="40"/>
      <c r="H1941" s="40"/>
      <c r="I1941" s="40"/>
      <c r="J1941" s="41"/>
    </row>
    <row r="1942" spans="2:10" s="1" customFormat="1" ht="12.75" x14ac:dyDescent="0.2">
      <c r="B1942" s="46"/>
      <c r="C1942" s="59"/>
      <c r="D1942" s="60"/>
      <c r="E1942" s="40"/>
      <c r="F1942" s="40"/>
      <c r="G1942" s="40"/>
      <c r="H1942" s="40"/>
      <c r="I1942" s="40"/>
      <c r="J1942" s="41"/>
    </row>
    <row r="1943" spans="2:10" s="1" customFormat="1" ht="12.75" x14ac:dyDescent="0.2">
      <c r="B1943" s="46"/>
      <c r="C1943" s="59"/>
      <c r="D1943" s="60"/>
      <c r="E1943" s="40"/>
      <c r="F1943" s="40"/>
      <c r="G1943" s="40"/>
      <c r="H1943" s="40"/>
      <c r="I1943" s="40"/>
      <c r="J1943" s="41"/>
    </row>
    <row r="1944" spans="2:10" s="1" customFormat="1" ht="12.75" x14ac:dyDescent="0.2">
      <c r="B1944" s="46"/>
      <c r="C1944" s="59"/>
      <c r="D1944" s="60"/>
      <c r="E1944" s="40"/>
      <c r="F1944" s="40"/>
      <c r="G1944" s="40"/>
      <c r="H1944" s="40"/>
      <c r="I1944" s="40"/>
      <c r="J1944" s="41"/>
    </row>
    <row r="1945" spans="2:10" s="1" customFormat="1" ht="12.75" x14ac:dyDescent="0.2">
      <c r="B1945" s="46"/>
      <c r="C1945" s="59"/>
      <c r="D1945" s="60"/>
      <c r="E1945" s="40"/>
      <c r="F1945" s="40"/>
      <c r="G1945" s="40"/>
      <c r="H1945" s="40"/>
      <c r="I1945" s="40"/>
      <c r="J1945" s="41"/>
    </row>
    <row r="1946" spans="2:10" s="1" customFormat="1" ht="12.75" x14ac:dyDescent="0.2">
      <c r="B1946" s="46"/>
      <c r="C1946" s="59"/>
      <c r="D1946" s="60"/>
      <c r="E1946" s="40"/>
      <c r="F1946" s="40"/>
      <c r="G1946" s="40"/>
      <c r="H1946" s="40"/>
      <c r="I1946" s="40"/>
      <c r="J1946" s="41"/>
    </row>
    <row r="1947" spans="2:10" s="1" customFormat="1" ht="12.75" x14ac:dyDescent="0.2">
      <c r="B1947" s="46"/>
      <c r="C1947" s="59"/>
      <c r="D1947" s="60"/>
      <c r="E1947" s="40"/>
      <c r="F1947" s="40"/>
      <c r="G1947" s="40"/>
      <c r="H1947" s="40"/>
      <c r="I1947" s="40"/>
      <c r="J1947" s="41"/>
    </row>
    <row r="1948" spans="2:10" s="1" customFormat="1" ht="12.75" x14ac:dyDescent="0.2">
      <c r="B1948" s="46"/>
      <c r="C1948" s="59"/>
      <c r="D1948" s="60"/>
      <c r="E1948" s="40"/>
      <c r="F1948" s="40"/>
      <c r="G1948" s="40"/>
      <c r="H1948" s="40"/>
      <c r="I1948" s="40"/>
      <c r="J1948" s="41"/>
    </row>
    <row r="1949" spans="2:10" s="1" customFormat="1" ht="12.75" x14ac:dyDescent="0.2">
      <c r="B1949" s="46"/>
      <c r="C1949" s="59"/>
      <c r="D1949" s="60"/>
      <c r="E1949" s="40"/>
      <c r="F1949" s="40"/>
      <c r="G1949" s="40"/>
      <c r="H1949" s="40"/>
      <c r="I1949" s="40"/>
      <c r="J1949" s="41"/>
    </row>
    <row r="1950" spans="2:10" s="1" customFormat="1" ht="12.75" x14ac:dyDescent="0.2">
      <c r="B1950" s="46"/>
      <c r="C1950" s="59"/>
      <c r="D1950" s="60"/>
      <c r="E1950" s="40"/>
      <c r="F1950" s="40"/>
      <c r="G1950" s="40"/>
      <c r="H1950" s="40"/>
      <c r="I1950" s="40"/>
      <c r="J1950" s="41"/>
    </row>
    <row r="1951" spans="2:10" s="1" customFormat="1" ht="12.75" x14ac:dyDescent="0.2">
      <c r="B1951" s="46"/>
      <c r="C1951" s="59"/>
      <c r="D1951" s="60"/>
      <c r="E1951" s="40"/>
      <c r="F1951" s="40"/>
      <c r="G1951" s="40"/>
      <c r="H1951" s="40"/>
      <c r="I1951" s="40"/>
      <c r="J1951" s="41"/>
    </row>
    <row r="1952" spans="2:10" s="1" customFormat="1" ht="12.75" x14ac:dyDescent="0.2">
      <c r="B1952" s="46"/>
      <c r="C1952" s="59"/>
      <c r="D1952" s="60"/>
      <c r="E1952" s="40"/>
      <c r="F1952" s="40"/>
      <c r="G1952" s="40"/>
      <c r="H1952" s="40"/>
      <c r="I1952" s="40"/>
      <c r="J1952" s="41"/>
    </row>
    <row r="1953" spans="2:10" s="1" customFormat="1" ht="12.75" x14ac:dyDescent="0.2">
      <c r="B1953" s="46"/>
      <c r="C1953" s="59"/>
      <c r="D1953" s="60"/>
      <c r="E1953" s="40"/>
      <c r="F1953" s="40"/>
      <c r="G1953" s="40"/>
      <c r="H1953" s="40"/>
      <c r="I1953" s="40"/>
      <c r="J1953" s="41"/>
    </row>
    <row r="1954" spans="2:10" s="1" customFormat="1" ht="12.75" x14ac:dyDescent="0.2">
      <c r="B1954" s="46"/>
      <c r="C1954" s="59"/>
      <c r="D1954" s="60"/>
      <c r="E1954" s="40"/>
      <c r="F1954" s="40"/>
      <c r="G1954" s="40"/>
      <c r="H1954" s="40"/>
      <c r="I1954" s="40"/>
      <c r="J1954" s="41"/>
    </row>
    <row r="1955" spans="2:10" s="1" customFormat="1" ht="12.75" x14ac:dyDescent="0.2">
      <c r="B1955" s="46"/>
      <c r="C1955" s="59"/>
      <c r="D1955" s="60"/>
      <c r="E1955" s="40"/>
      <c r="F1955" s="40"/>
      <c r="G1955" s="40"/>
      <c r="H1955" s="40"/>
      <c r="I1955" s="40"/>
      <c r="J1955" s="41"/>
    </row>
    <row r="1956" spans="2:10" s="1" customFormat="1" ht="12.75" x14ac:dyDescent="0.2">
      <c r="B1956" s="46"/>
      <c r="C1956" s="59"/>
      <c r="D1956" s="60"/>
      <c r="E1956" s="40"/>
      <c r="F1956" s="40"/>
      <c r="G1956" s="40"/>
      <c r="H1956" s="40"/>
      <c r="I1956" s="40"/>
      <c r="J1956" s="41"/>
    </row>
    <row r="1957" spans="2:10" s="1" customFormat="1" ht="12.75" x14ac:dyDescent="0.2">
      <c r="B1957" s="46"/>
      <c r="C1957" s="59"/>
      <c r="D1957" s="60"/>
      <c r="E1957" s="40"/>
      <c r="F1957" s="40"/>
      <c r="G1957" s="40"/>
      <c r="H1957" s="40"/>
      <c r="I1957" s="40"/>
      <c r="J1957" s="41"/>
    </row>
    <row r="1958" spans="2:10" s="1" customFormat="1" ht="12.75" x14ac:dyDescent="0.2">
      <c r="C1958" s="499" t="s">
        <v>37</v>
      </c>
      <c r="D1958" s="499"/>
      <c r="E1958" s="499"/>
      <c r="F1958" s="499"/>
      <c r="G1958" s="499"/>
      <c r="H1958" s="499"/>
    </row>
    <row r="1959" spans="2:10" s="1" customFormat="1" ht="12.75" x14ac:dyDescent="0.2">
      <c r="C1959" s="499" t="s">
        <v>38</v>
      </c>
      <c r="D1959" s="499"/>
      <c r="E1959" s="499"/>
      <c r="F1959" s="499"/>
      <c r="G1959" s="499"/>
      <c r="H1959" s="499"/>
    </row>
    <row r="1960" spans="2:10" s="1" customFormat="1" ht="12.75" x14ac:dyDescent="0.2">
      <c r="C1960" s="499" t="s">
        <v>39</v>
      </c>
      <c r="D1960" s="499"/>
      <c r="E1960" s="499"/>
      <c r="F1960" s="499"/>
      <c r="G1960" s="499"/>
      <c r="H1960" s="499"/>
    </row>
    <row r="1961" spans="2:10" s="1" customFormat="1" ht="12.75" x14ac:dyDescent="0.2">
      <c r="C1961" s="500" t="s">
        <v>40</v>
      </c>
      <c r="D1961" s="500"/>
      <c r="E1961" s="500"/>
      <c r="F1961" s="500"/>
      <c r="G1961" s="500"/>
      <c r="H1961" s="500"/>
    </row>
    <row r="1962" spans="2:10" s="1" customFormat="1" ht="12.75" x14ac:dyDescent="0.2">
      <c r="C1962" s="78"/>
      <c r="D1962" s="78"/>
      <c r="E1962" s="78"/>
      <c r="F1962" s="78"/>
      <c r="G1962" s="78"/>
      <c r="H1962" s="78"/>
    </row>
    <row r="1963" spans="2:10" s="1" customFormat="1" ht="15.75" x14ac:dyDescent="0.2">
      <c r="B1963" s="501" t="s">
        <v>65</v>
      </c>
      <c r="C1963" s="502"/>
      <c r="D1963" s="502"/>
      <c r="E1963" s="502"/>
      <c r="F1963" s="502"/>
      <c r="G1963" s="502"/>
      <c r="H1963" s="502"/>
      <c r="I1963" s="502"/>
      <c r="J1963" s="503"/>
    </row>
    <row r="1964" spans="2:10" s="1" customFormat="1" ht="20.25" x14ac:dyDescent="0.2">
      <c r="B1964" s="543" t="s">
        <v>430</v>
      </c>
      <c r="C1964" s="544"/>
      <c r="D1964" s="544"/>
      <c r="E1964" s="544"/>
      <c r="F1964" s="544"/>
      <c r="G1964" s="544"/>
      <c r="H1964" s="544"/>
      <c r="I1964" s="544"/>
      <c r="J1964" s="545"/>
    </row>
    <row r="1965" spans="2:10" s="1" customFormat="1" ht="13.5" thickBot="1" x14ac:dyDescent="0.25">
      <c r="B1965" s="79"/>
      <c r="C1965" s="79"/>
      <c r="D1965" s="79"/>
      <c r="E1965" s="79"/>
      <c r="F1965" s="79"/>
      <c r="G1965" s="79"/>
      <c r="H1965" s="79"/>
      <c r="I1965" s="79"/>
      <c r="J1965" s="79"/>
    </row>
    <row r="1966" spans="2:10" s="1" customFormat="1" ht="12.75" x14ac:dyDescent="0.2">
      <c r="B1966" s="494" t="s">
        <v>27</v>
      </c>
      <c r="C1966" s="495"/>
      <c r="D1966" s="495"/>
      <c r="E1966" s="495"/>
      <c r="F1966" s="495"/>
      <c r="G1966" s="495"/>
      <c r="H1966" s="495"/>
      <c r="I1966" s="495"/>
      <c r="J1966" s="496"/>
    </row>
    <row r="1967" spans="2:10" s="1" customFormat="1" ht="12.75" x14ac:dyDescent="0.2">
      <c r="B1967" s="2" t="s">
        <v>35</v>
      </c>
      <c r="C1967" s="3" t="s">
        <v>36</v>
      </c>
      <c r="D1967" s="3"/>
      <c r="E1967" s="4"/>
      <c r="F1967" s="5"/>
      <c r="G1967" s="6" t="s">
        <v>8</v>
      </c>
      <c r="H1967" s="497">
        <v>42879</v>
      </c>
      <c r="I1967" s="497"/>
      <c r="J1967" s="7"/>
    </row>
    <row r="1968" spans="2:10" s="1" customFormat="1" ht="12.75" x14ac:dyDescent="0.2">
      <c r="B1968" s="2" t="s">
        <v>33</v>
      </c>
      <c r="C1968" s="3" t="s">
        <v>29</v>
      </c>
      <c r="D1968" s="8"/>
      <c r="E1968" s="8"/>
      <c r="F1968" s="3"/>
      <c r="G1968" s="9" t="s">
        <v>32</v>
      </c>
      <c r="H1968" s="4" t="s">
        <v>29</v>
      </c>
      <c r="I1968" s="10"/>
      <c r="J1968" s="11"/>
    </row>
    <row r="1969" spans="2:10" s="1" customFormat="1" ht="12.75" x14ac:dyDescent="0.2">
      <c r="B1969" s="2" t="s">
        <v>34</v>
      </c>
      <c r="C1969" s="3" t="s">
        <v>29</v>
      </c>
      <c r="D1969" s="8"/>
      <c r="E1969" s="8"/>
      <c r="F1969" s="3"/>
      <c r="G1969" s="9" t="s">
        <v>30</v>
      </c>
      <c r="H1969" s="4" t="s">
        <v>31</v>
      </c>
      <c r="I1969" s="10"/>
      <c r="J1969" s="11"/>
    </row>
    <row r="1970" spans="2:10" s="1" customFormat="1" ht="13.5" thickBot="1" x14ac:dyDescent="0.25">
      <c r="B1970" s="12" t="s">
        <v>43</v>
      </c>
      <c r="C1970" s="13" t="s">
        <v>44</v>
      </c>
      <c r="D1970" s="14"/>
      <c r="E1970" s="14"/>
      <c r="F1970" s="13"/>
      <c r="G1970" s="15" t="s">
        <v>41</v>
      </c>
      <c r="H1970" s="16" t="s">
        <v>42</v>
      </c>
      <c r="I1970" s="17"/>
      <c r="J1970" s="18"/>
    </row>
    <row r="1971" spans="2:10" s="1" customFormat="1" ht="12.75" x14ac:dyDescent="0.2">
      <c r="B1971" s="79"/>
      <c r="C1971" s="79"/>
      <c r="D1971" s="79"/>
      <c r="E1971" s="79"/>
      <c r="F1971" s="79"/>
      <c r="G1971" s="79"/>
      <c r="H1971" s="79"/>
      <c r="I1971" s="79"/>
      <c r="J1971" s="79"/>
    </row>
    <row r="1972" spans="2:10" s="1" customFormat="1" ht="12.75" x14ac:dyDescent="0.2">
      <c r="B1972" s="21" t="s">
        <v>5</v>
      </c>
      <c r="C1972" s="22" t="s">
        <v>0</v>
      </c>
      <c r="D1972" s="22" t="s">
        <v>9</v>
      </c>
      <c r="E1972" s="22" t="s">
        <v>10</v>
      </c>
      <c r="F1972" s="22" t="s">
        <v>1</v>
      </c>
      <c r="G1972" s="22" t="s">
        <v>2</v>
      </c>
      <c r="H1972" s="22" t="s">
        <v>11</v>
      </c>
      <c r="I1972" s="22" t="s">
        <v>6</v>
      </c>
      <c r="J1972" s="22" t="s">
        <v>7</v>
      </c>
    </row>
    <row r="1973" spans="2:10" s="1" customFormat="1" ht="12.75" x14ac:dyDescent="0.2">
      <c r="B1973" s="55">
        <v>4.03</v>
      </c>
      <c r="C1973" s="56" t="s">
        <v>222</v>
      </c>
      <c r="D1973" s="60"/>
      <c r="E1973" s="40"/>
      <c r="F1973" s="40"/>
      <c r="G1973" s="40"/>
      <c r="H1973" s="40"/>
      <c r="I1973" s="40"/>
      <c r="J1973" s="41"/>
    </row>
    <row r="1974" spans="2:10" s="1" customFormat="1" ht="12.75" x14ac:dyDescent="0.2">
      <c r="B1974" s="57" t="s">
        <v>14</v>
      </c>
      <c r="C1974" s="58" t="s">
        <v>225</v>
      </c>
      <c r="D1974" s="60"/>
      <c r="E1974" s="40"/>
      <c r="F1974" s="40"/>
      <c r="G1974" s="40"/>
      <c r="H1974" s="40"/>
      <c r="I1974" s="40"/>
      <c r="J1974" s="41"/>
    </row>
    <row r="1975" spans="2:10" s="1" customFormat="1" ht="12.75" x14ac:dyDescent="0.2">
      <c r="B1975" s="43" t="s">
        <v>15</v>
      </c>
      <c r="C1975" s="43" t="s">
        <v>359</v>
      </c>
      <c r="D1975" s="60"/>
      <c r="E1975" s="40"/>
      <c r="F1975" s="40"/>
      <c r="G1975" s="40"/>
      <c r="H1975" s="40"/>
      <c r="I1975" s="44">
        <f>SUM(H1976:H1976)</f>
        <v>0</v>
      </c>
      <c r="J1975" s="45" t="str">
        <f>+J1976</f>
        <v>ml</v>
      </c>
    </row>
    <row r="1976" spans="2:10" s="1" customFormat="1" ht="12.75" x14ac:dyDescent="0.2">
      <c r="B1976" s="43"/>
      <c r="C1976" s="39" t="s">
        <v>387</v>
      </c>
      <c r="D1976" s="40"/>
      <c r="E1976" s="40"/>
      <c r="F1976" s="40"/>
      <c r="G1976" s="40"/>
      <c r="H1976" s="40">
        <f>IF(AND(F1976=0,G1976=0),D1976*E1976,IF(AND(E1976=0,G1976=0),D1976*F1976,IF(AND(E1976=0,F1976=0),D1976*G1976,IF(AND(E1976=0),D1976*F1976*G1976,IF(AND(F1976=0),D1976*E1976*G1976,IF(AND(G1976=0),D1976*E1976*F1976,D1976*E1976*F1976*G1976))))))</f>
        <v>0</v>
      </c>
      <c r="I1976" s="40"/>
      <c r="J1976" s="41" t="str">
        <f>IF(AND(E1976=0,F1976&lt;&gt;0,G1976&lt;&gt;0),"m2",IF(AND(F1976=0,E1976&lt;&gt;0,G1976&lt;&gt;0),"m2",IF(AND(G1976=0,E1976&lt;&gt;0,F1976&lt;&gt;0),"m2",IF(AND(F1976=0,G1976=0),"ml",IF(AND(E1976=0,G1976=0),"ml",IF(AND(E1976=0,F1976=0),"ml",IF(AND(E1976&lt;&gt;0,F1976&lt;&gt;0,G1976&lt;&gt;0),"m3",0)))))))</f>
        <v>ml</v>
      </c>
    </row>
    <row r="1977" spans="2:10" s="1" customFormat="1" ht="12.75" x14ac:dyDescent="0.2">
      <c r="B1977" s="43"/>
      <c r="C1977" s="39"/>
      <c r="D1977" s="40"/>
      <c r="E1977" s="40"/>
      <c r="F1977" s="40"/>
      <c r="G1977" s="40"/>
      <c r="H1977" s="40">
        <f>IF(AND(F1977=0,G1977=0),D1977*E1977,IF(AND(E1977=0,G1977=0),D1977*F1977,IF(AND(E1977=0,F1977=0),D1977*G1977,IF(AND(E1977=0),D1977*F1977*G1977,IF(AND(F1977=0),D1977*E1977*G1977,IF(AND(G1977=0),D1977*E1977*F1977,D1977*E1977*F1977*G1977))))))</f>
        <v>0</v>
      </c>
      <c r="I1977" s="40"/>
      <c r="J1977" s="41" t="str">
        <f>IF(AND(E1977=0,F1977&lt;&gt;0,G1977&lt;&gt;0),"m2",IF(AND(F1977=0,E1977&lt;&gt;0,G1977&lt;&gt;0),"m2",IF(AND(G1977=0,E1977&lt;&gt;0,F1977&lt;&gt;0),"m2",IF(AND(F1977=0,G1977=0),"ml",IF(AND(E1977=0,G1977=0),"ml",IF(AND(E1977=0,F1977=0),"ml",IF(AND(E1977&lt;&gt;0,F1977&lt;&gt;0,G1977&lt;&gt;0),"m3",0)))))))</f>
        <v>ml</v>
      </c>
    </row>
    <row r="1978" spans="2:10" s="1" customFormat="1" ht="12.75" x14ac:dyDescent="0.2">
      <c r="B1978" s="43" t="s">
        <v>232</v>
      </c>
      <c r="C1978" s="43" t="s">
        <v>235</v>
      </c>
      <c r="D1978" s="60"/>
      <c r="E1978" s="40"/>
      <c r="F1978" s="40"/>
      <c r="G1978" s="40"/>
      <c r="H1978" s="40"/>
      <c r="I1978" s="44">
        <f>SUM(H1979:H1979)</f>
        <v>9</v>
      </c>
      <c r="J1978" s="45" t="str">
        <f>+J1979</f>
        <v>ml</v>
      </c>
    </row>
    <row r="1979" spans="2:10" s="1" customFormat="1" ht="12.75" x14ac:dyDescent="0.2">
      <c r="B1979" s="57"/>
      <c r="C1979" s="39" t="s">
        <v>378</v>
      </c>
      <c r="D1979" s="40">
        <v>2</v>
      </c>
      <c r="E1979" s="40">
        <v>4.5</v>
      </c>
      <c r="F1979" s="40"/>
      <c r="G1979" s="40"/>
      <c r="H1979" s="40">
        <f>IF(AND(F1979=0,G1979=0),D1979*E1979,IF(AND(E1979=0,G1979=0),D1979*F1979,IF(AND(E1979=0,F1979=0),D1979*G1979,IF(AND(E1979=0),D1979*F1979*G1979,IF(AND(F1979=0),D1979*E1979*G1979,IF(AND(G1979=0),D1979*E1979*F1979,D1979*E1979*F1979*G1979))))))</f>
        <v>9</v>
      </c>
      <c r="I1979" s="40"/>
      <c r="J1979" s="41" t="str">
        <f>IF(AND(E1979=0,F1979&lt;&gt;0,G1979&lt;&gt;0),"m2",IF(AND(F1979=0,E1979&lt;&gt;0,G1979&lt;&gt;0),"m2",IF(AND(G1979=0,E1979&lt;&gt;0,F1979&lt;&gt;0),"m2",IF(AND(F1979=0,G1979=0),"ml",IF(AND(E1979=0,G1979=0),"ml",IF(AND(E1979=0,F1979=0),"ml",IF(AND(E1979&lt;&gt;0,F1979&lt;&gt;0,G1979&lt;&gt;0),"m3",0)))))))</f>
        <v>ml</v>
      </c>
    </row>
    <row r="1980" spans="2:10" s="1" customFormat="1" ht="12.75" x14ac:dyDescent="0.2">
      <c r="B1980" s="57"/>
      <c r="C1980" s="39" t="s">
        <v>379</v>
      </c>
      <c r="D1980" s="40">
        <v>1</v>
      </c>
      <c r="E1980" s="40">
        <v>14</v>
      </c>
      <c r="F1980" s="40"/>
      <c r="G1980" s="40"/>
      <c r="H1980" s="40">
        <f>IF(AND(F1980=0,G1980=0),D1980*E1980,IF(AND(E1980=0,G1980=0),D1980*F1980,IF(AND(E1980=0,F1980=0),D1980*G1980,IF(AND(E1980=0),D1980*F1980*G1980,IF(AND(F1980=0),D1980*E1980*G1980,IF(AND(G1980=0),D1980*E1980*F1980,D1980*E1980*F1980*G1980))))))</f>
        <v>14</v>
      </c>
      <c r="I1980" s="40"/>
      <c r="J1980" s="41" t="str">
        <f>IF(AND(E1980=0,F1980&lt;&gt;0,G1980&lt;&gt;0),"m2",IF(AND(F1980=0,E1980&lt;&gt;0,G1980&lt;&gt;0),"m2",IF(AND(G1980=0,E1980&lt;&gt;0,F1980&lt;&gt;0),"m2",IF(AND(F1980=0,G1980=0),"ml",IF(AND(E1980=0,G1980=0),"ml",IF(AND(E1980=0,F1980=0),"ml",IF(AND(E1980&lt;&gt;0,F1980&lt;&gt;0,G1980&lt;&gt;0),"m3",0)))))))</f>
        <v>ml</v>
      </c>
    </row>
    <row r="1981" spans="2:10" s="1" customFormat="1" ht="12.75" x14ac:dyDescent="0.2">
      <c r="B1981" s="43" t="s">
        <v>233</v>
      </c>
      <c r="C1981" s="43" t="s">
        <v>236</v>
      </c>
      <c r="D1981" s="60"/>
      <c r="E1981" s="40"/>
      <c r="F1981" s="40"/>
      <c r="G1981" s="40"/>
      <c r="H1981" s="40"/>
      <c r="I1981" s="44">
        <f>SUM(H1982:H1982)</f>
        <v>0</v>
      </c>
      <c r="J1981" s="45" t="str">
        <f>+J1982</f>
        <v>ml</v>
      </c>
    </row>
    <row r="1982" spans="2:10" s="1" customFormat="1" ht="12.75" x14ac:dyDescent="0.2">
      <c r="B1982" s="57"/>
      <c r="C1982" s="39" t="s">
        <v>378</v>
      </c>
      <c r="D1982" s="40"/>
      <c r="E1982" s="40"/>
      <c r="F1982" s="40"/>
      <c r="G1982" s="40"/>
      <c r="H1982" s="40">
        <f>IF(AND(F1982=0,G1982=0),D1982*E1982,IF(AND(E1982=0,G1982=0),D1982*F1982,IF(AND(E1982=0,F1982=0),D1982*G1982,IF(AND(E1982=0),D1982*F1982*G1982,IF(AND(F1982=0),D1982*E1982*G1982,IF(AND(G1982=0),D1982*E1982*F1982,D1982*E1982*F1982*G1982))))))</f>
        <v>0</v>
      </c>
      <c r="I1982" s="40"/>
      <c r="J1982" s="41" t="str">
        <f>IF(AND(E1982=0,F1982&lt;&gt;0,G1982&lt;&gt;0),"m2",IF(AND(F1982=0,E1982&lt;&gt;0,G1982&lt;&gt;0),"m2",IF(AND(G1982=0,E1982&lt;&gt;0,F1982&lt;&gt;0),"m2",IF(AND(F1982=0,G1982=0),"ml",IF(AND(E1982=0,G1982=0),"ml",IF(AND(E1982=0,F1982=0),"ml",IF(AND(E1982&lt;&gt;0,F1982&lt;&gt;0,G1982&lt;&gt;0),"m3",0)))))))</f>
        <v>ml</v>
      </c>
    </row>
    <row r="1983" spans="2:10" s="1" customFormat="1" ht="12.75" x14ac:dyDescent="0.2">
      <c r="B1983" s="57"/>
      <c r="C1983" s="39" t="s">
        <v>379</v>
      </c>
      <c r="D1983" s="40"/>
      <c r="E1983" s="40"/>
      <c r="F1983" s="40"/>
      <c r="G1983" s="40"/>
      <c r="H1983" s="40">
        <f>IF(AND(F1983=0,G1983=0),D1983*E1983,IF(AND(E1983=0,G1983=0),D1983*F1983,IF(AND(E1983=0,F1983=0),D1983*G1983,IF(AND(E1983=0),D1983*F1983*G1983,IF(AND(F1983=0),D1983*E1983*G1983,IF(AND(G1983=0),D1983*E1983*F1983,D1983*E1983*F1983*G1983))))))</f>
        <v>0</v>
      </c>
      <c r="I1983" s="40"/>
      <c r="J1983" s="41" t="str">
        <f>IF(AND(E1983=0,F1983&lt;&gt;0,G1983&lt;&gt;0),"m2",IF(AND(F1983=0,E1983&lt;&gt;0,G1983&lt;&gt;0),"m2",IF(AND(G1983=0,E1983&lt;&gt;0,F1983&lt;&gt;0),"m2",IF(AND(F1983=0,G1983=0),"ml",IF(AND(E1983=0,G1983=0),"ml",IF(AND(E1983=0,F1983=0),"ml",IF(AND(E1983&lt;&gt;0,F1983&lt;&gt;0,G1983&lt;&gt;0),"m3",0)))))))</f>
        <v>ml</v>
      </c>
    </row>
    <row r="1984" spans="2:10" s="1" customFormat="1" ht="12.75" x14ac:dyDescent="0.2">
      <c r="B1984" s="43" t="s">
        <v>234</v>
      </c>
      <c r="C1984" s="43" t="s">
        <v>267</v>
      </c>
      <c r="D1984" s="60"/>
      <c r="E1984" s="40"/>
      <c r="F1984" s="40"/>
      <c r="G1984" s="40"/>
      <c r="H1984" s="40"/>
      <c r="I1984" s="44">
        <f>SUM(H1986:H1991)</f>
        <v>25.5</v>
      </c>
      <c r="J1984" s="45" t="str">
        <f>+J1986</f>
        <v>ml</v>
      </c>
    </row>
    <row r="1985" spans="2:10" s="1" customFormat="1" ht="12.75" x14ac:dyDescent="0.2">
      <c r="B1985" s="43"/>
      <c r="C1985" s="77" t="s">
        <v>71</v>
      </c>
      <c r="D1985" s="60"/>
      <c r="E1985" s="40"/>
      <c r="F1985" s="40"/>
      <c r="G1985" s="40"/>
      <c r="H1985" s="40"/>
      <c r="I1985" s="44"/>
      <c r="J1985" s="45"/>
    </row>
    <row r="1986" spans="2:10" s="1" customFormat="1" ht="12.75" x14ac:dyDescent="0.2">
      <c r="B1986" s="43"/>
      <c r="C1986" s="39" t="s">
        <v>349</v>
      </c>
      <c r="D1986" s="40">
        <v>2</v>
      </c>
      <c r="E1986" s="40">
        <v>3.25</v>
      </c>
      <c r="F1986" s="40"/>
      <c r="G1986" s="40"/>
      <c r="H1986" s="40">
        <f t="shared" ref="H1986:H1991" si="98">IF(AND(F1986=0,G1986=0),D1986*E1986,IF(AND(E1986=0,G1986=0),D1986*F1986,IF(AND(E1986=0,F1986=0),D1986*G1986,IF(AND(E1986=0),D1986*F1986*G1986,IF(AND(F1986=0),D1986*E1986*G1986,IF(AND(G1986=0),D1986*E1986*F1986,D1986*E1986*F1986*G1986))))))</f>
        <v>6.5</v>
      </c>
      <c r="I1986" s="40"/>
      <c r="J1986" s="41" t="str">
        <f t="shared" ref="J1986:J1991" si="99">IF(AND(E1986=0,F1986&lt;&gt;0,G1986&lt;&gt;0),"m2",IF(AND(F1986=0,E1986&lt;&gt;0,G1986&lt;&gt;0),"m2",IF(AND(G1986=0,E1986&lt;&gt;0,F1986&lt;&gt;0),"m2",IF(AND(F1986=0,G1986=0),"ml",IF(AND(E1986=0,G1986=0),"ml",IF(AND(E1986=0,F1986=0),"ml",IF(AND(E1986&lt;&gt;0,F1986&lt;&gt;0,G1986&lt;&gt;0),"m3",0)))))))</f>
        <v>ml</v>
      </c>
    </row>
    <row r="1987" spans="2:10" s="1" customFormat="1" ht="12.75" x14ac:dyDescent="0.2">
      <c r="B1987" s="43"/>
      <c r="C1987" s="39" t="s">
        <v>369</v>
      </c>
      <c r="D1987" s="40">
        <v>2</v>
      </c>
      <c r="E1987" s="40">
        <v>3</v>
      </c>
      <c r="F1987" s="40"/>
      <c r="G1987" s="40"/>
      <c r="H1987" s="40">
        <f t="shared" si="98"/>
        <v>6</v>
      </c>
      <c r="I1987" s="40"/>
      <c r="J1987" s="41" t="str">
        <f t="shared" si="99"/>
        <v>ml</v>
      </c>
    </row>
    <row r="1988" spans="2:10" s="1" customFormat="1" ht="12.75" x14ac:dyDescent="0.2">
      <c r="B1988" s="43"/>
      <c r="C1988" s="77" t="s">
        <v>72</v>
      </c>
      <c r="D1988" s="40"/>
      <c r="E1988" s="40"/>
      <c r="F1988" s="40"/>
      <c r="G1988" s="40"/>
      <c r="H1988" s="40">
        <f t="shared" si="98"/>
        <v>0</v>
      </c>
      <c r="I1988" s="40"/>
      <c r="J1988" s="41" t="str">
        <f t="shared" si="99"/>
        <v>ml</v>
      </c>
    </row>
    <row r="1989" spans="2:10" s="1" customFormat="1" ht="12.75" x14ac:dyDescent="0.2">
      <c r="B1989" s="43"/>
      <c r="C1989" s="39" t="s">
        <v>349</v>
      </c>
      <c r="D1989" s="40">
        <v>2</v>
      </c>
      <c r="E1989" s="40">
        <v>3.25</v>
      </c>
      <c r="F1989" s="40"/>
      <c r="G1989" s="40"/>
      <c r="H1989" s="40">
        <f t="shared" si="98"/>
        <v>6.5</v>
      </c>
      <c r="I1989" s="40"/>
      <c r="J1989" s="41" t="str">
        <f t="shared" si="99"/>
        <v>ml</v>
      </c>
    </row>
    <row r="1990" spans="2:10" s="1" customFormat="1" ht="12.75" x14ac:dyDescent="0.2">
      <c r="B1990" s="43"/>
      <c r="C1990" s="77" t="s">
        <v>73</v>
      </c>
      <c r="D1990" s="40"/>
      <c r="E1990" s="40"/>
      <c r="F1990" s="40"/>
      <c r="G1990" s="40"/>
      <c r="H1990" s="40">
        <f t="shared" si="98"/>
        <v>0</v>
      </c>
      <c r="I1990" s="40"/>
      <c r="J1990" s="41" t="str">
        <f t="shared" si="99"/>
        <v>ml</v>
      </c>
    </row>
    <row r="1991" spans="2:10" s="1" customFormat="1" ht="12.75" x14ac:dyDescent="0.2">
      <c r="B1991" s="43"/>
      <c r="C1991" s="39" t="s">
        <v>349</v>
      </c>
      <c r="D1991" s="40">
        <v>2</v>
      </c>
      <c r="E1991" s="40">
        <v>3.25</v>
      </c>
      <c r="F1991" s="40"/>
      <c r="G1991" s="40"/>
      <c r="H1991" s="40">
        <f t="shared" si="98"/>
        <v>6.5</v>
      </c>
      <c r="I1991" s="40"/>
      <c r="J1991" s="41" t="str">
        <f t="shared" si="99"/>
        <v>ml</v>
      </c>
    </row>
    <row r="1992" spans="2:10" s="1" customFormat="1" ht="12.75" x14ac:dyDescent="0.2">
      <c r="B1992" s="43" t="s">
        <v>268</v>
      </c>
      <c r="C1992" s="43" t="s">
        <v>347</v>
      </c>
      <c r="D1992" s="60"/>
      <c r="E1992" s="40"/>
      <c r="F1992" s="40"/>
      <c r="G1992" s="40"/>
      <c r="H1992" s="40"/>
      <c r="I1992" s="44">
        <f>SUM(H1993:H1999)</f>
        <v>0</v>
      </c>
      <c r="J1992" s="45" t="str">
        <f>+J1993</f>
        <v>ml</v>
      </c>
    </row>
    <row r="1993" spans="2:10" s="1" customFormat="1" ht="12.75" x14ac:dyDescent="0.2">
      <c r="B1993" s="57"/>
      <c r="C1993" s="77" t="s">
        <v>71</v>
      </c>
      <c r="D1993" s="40"/>
      <c r="E1993" s="40"/>
      <c r="F1993" s="40"/>
      <c r="G1993" s="40"/>
      <c r="H1993" s="40">
        <f t="shared" ref="H1993:H1999" si="100">IF(AND(F1993=0,G1993=0),D1993*E1993,IF(AND(E1993=0,G1993=0),D1993*F1993,IF(AND(E1993=0,F1993=0),D1993*G1993,IF(AND(E1993=0),D1993*F1993*G1993,IF(AND(F1993=0),D1993*E1993*G1993,IF(AND(G1993=0),D1993*E1993*F1993,D1993*E1993*F1993*G1993))))))</f>
        <v>0</v>
      </c>
      <c r="I1993" s="40"/>
      <c r="J1993" s="41" t="str">
        <f t="shared" ref="J1993:J1999" si="101">IF(AND(E1993=0,F1993&lt;&gt;0,G1993&lt;&gt;0),"m2",IF(AND(F1993=0,E1993&lt;&gt;0,G1993&lt;&gt;0),"m2",IF(AND(G1993=0,E1993&lt;&gt;0,F1993&lt;&gt;0),"m2",IF(AND(F1993=0,G1993=0),"ml",IF(AND(E1993=0,G1993=0),"ml",IF(AND(E1993=0,F1993=0),"ml",IF(AND(E1993&lt;&gt;0,F1993&lt;&gt;0,G1993&lt;&gt;0),"m3",0)))))))</f>
        <v>ml</v>
      </c>
    </row>
    <row r="1994" spans="2:10" s="1" customFormat="1" ht="12.75" x14ac:dyDescent="0.2">
      <c r="B1994" s="57"/>
      <c r="C1994" s="39" t="s">
        <v>349</v>
      </c>
      <c r="D1994" s="40"/>
      <c r="E1994" s="40"/>
      <c r="F1994" s="40"/>
      <c r="G1994" s="40"/>
      <c r="H1994" s="40">
        <f t="shared" si="100"/>
        <v>0</v>
      </c>
      <c r="I1994" s="40"/>
      <c r="J1994" s="41" t="str">
        <f t="shared" si="101"/>
        <v>ml</v>
      </c>
    </row>
    <row r="1995" spans="2:10" s="1" customFormat="1" ht="12.75" x14ac:dyDescent="0.2">
      <c r="B1995" s="57"/>
      <c r="C1995" s="39" t="s">
        <v>369</v>
      </c>
      <c r="D1995" s="40"/>
      <c r="E1995" s="40"/>
      <c r="F1995" s="40"/>
      <c r="G1995" s="40"/>
      <c r="H1995" s="40">
        <f t="shared" si="100"/>
        <v>0</v>
      </c>
      <c r="I1995" s="40"/>
      <c r="J1995" s="41" t="str">
        <f t="shared" si="101"/>
        <v>ml</v>
      </c>
    </row>
    <row r="1996" spans="2:10" s="1" customFormat="1" ht="12.75" x14ac:dyDescent="0.2">
      <c r="B1996" s="57"/>
      <c r="C1996" s="77" t="s">
        <v>72</v>
      </c>
      <c r="D1996" s="40"/>
      <c r="E1996" s="40"/>
      <c r="F1996" s="40"/>
      <c r="G1996" s="40"/>
      <c r="H1996" s="40">
        <f t="shared" si="100"/>
        <v>0</v>
      </c>
      <c r="I1996" s="40"/>
      <c r="J1996" s="41" t="str">
        <f t="shared" si="101"/>
        <v>ml</v>
      </c>
    </row>
    <row r="1997" spans="2:10" s="1" customFormat="1" ht="12.75" x14ac:dyDescent="0.2">
      <c r="B1997" s="57"/>
      <c r="C1997" s="39" t="s">
        <v>349</v>
      </c>
      <c r="D1997" s="40"/>
      <c r="E1997" s="40"/>
      <c r="F1997" s="40"/>
      <c r="G1997" s="40"/>
      <c r="H1997" s="40">
        <f t="shared" si="100"/>
        <v>0</v>
      </c>
      <c r="I1997" s="40"/>
      <c r="J1997" s="41" t="str">
        <f t="shared" si="101"/>
        <v>ml</v>
      </c>
    </row>
    <row r="1998" spans="2:10" s="1" customFormat="1" ht="12.75" x14ac:dyDescent="0.2">
      <c r="B1998" s="57"/>
      <c r="C1998" s="77" t="s">
        <v>73</v>
      </c>
      <c r="D1998" s="40"/>
      <c r="E1998" s="40"/>
      <c r="F1998" s="40"/>
      <c r="G1998" s="40"/>
      <c r="H1998" s="40">
        <f t="shared" si="100"/>
        <v>0</v>
      </c>
      <c r="I1998" s="40"/>
      <c r="J1998" s="41" t="str">
        <f t="shared" si="101"/>
        <v>ml</v>
      </c>
    </row>
    <row r="1999" spans="2:10" s="1" customFormat="1" ht="12.75" x14ac:dyDescent="0.2">
      <c r="B1999" s="57"/>
      <c r="C1999" s="39" t="s">
        <v>349</v>
      </c>
      <c r="D1999" s="40"/>
      <c r="E1999" s="40"/>
      <c r="F1999" s="40"/>
      <c r="G1999" s="40"/>
      <c r="H1999" s="40">
        <f t="shared" si="100"/>
        <v>0</v>
      </c>
      <c r="I1999" s="40"/>
      <c r="J1999" s="41" t="str">
        <f t="shared" si="101"/>
        <v>ml</v>
      </c>
    </row>
    <row r="2000" spans="2:10" s="1" customFormat="1" ht="12.75" x14ac:dyDescent="0.2">
      <c r="B2000" s="43" t="s">
        <v>270</v>
      </c>
      <c r="C2000" s="43" t="s">
        <v>269</v>
      </c>
      <c r="D2000" s="60"/>
      <c r="E2000" s="40"/>
      <c r="F2000" s="40"/>
      <c r="G2000" s="40"/>
      <c r="H2000" s="40"/>
      <c r="I2000" s="44">
        <f>SUM(H2001:H2007)</f>
        <v>0</v>
      </c>
      <c r="J2000" s="45" t="str">
        <f>+J2001</f>
        <v>ml</v>
      </c>
    </row>
    <row r="2001" spans="2:10" s="1" customFormat="1" ht="12.75" x14ac:dyDescent="0.2">
      <c r="B2001" s="43"/>
      <c r="C2001" s="77" t="s">
        <v>71</v>
      </c>
      <c r="D2001" s="40"/>
      <c r="E2001" s="40"/>
      <c r="F2001" s="40"/>
      <c r="G2001" s="40"/>
      <c r="H2001" s="40">
        <f t="shared" ref="H2001:H2007" si="102">IF(AND(F2001=0,G2001=0),D2001*E2001,IF(AND(E2001=0,G2001=0),D2001*F2001,IF(AND(E2001=0,F2001=0),D2001*G2001,IF(AND(E2001=0),D2001*F2001*G2001,IF(AND(F2001=0),D2001*E2001*G2001,IF(AND(G2001=0),D2001*E2001*F2001,D2001*E2001*F2001*G2001))))))</f>
        <v>0</v>
      </c>
      <c r="I2001" s="40"/>
      <c r="J2001" s="41" t="str">
        <f t="shared" ref="J2001:J2007" si="103">IF(AND(E2001=0,F2001&lt;&gt;0,G2001&lt;&gt;0),"m2",IF(AND(F2001=0,E2001&lt;&gt;0,G2001&lt;&gt;0),"m2",IF(AND(G2001=0,E2001&lt;&gt;0,F2001&lt;&gt;0),"m2",IF(AND(F2001=0,G2001=0),"ml",IF(AND(E2001=0,G2001=0),"ml",IF(AND(E2001=0,F2001=0),"ml",IF(AND(E2001&lt;&gt;0,F2001&lt;&gt;0,G2001&lt;&gt;0),"m3",0)))))))</f>
        <v>ml</v>
      </c>
    </row>
    <row r="2002" spans="2:10" s="1" customFormat="1" ht="12.75" x14ac:dyDescent="0.2">
      <c r="B2002" s="43"/>
      <c r="C2002" s="39" t="s">
        <v>349</v>
      </c>
      <c r="D2002" s="40"/>
      <c r="E2002" s="40"/>
      <c r="F2002" s="40"/>
      <c r="G2002" s="40"/>
      <c r="H2002" s="40">
        <f t="shared" si="102"/>
        <v>0</v>
      </c>
      <c r="I2002" s="40"/>
      <c r="J2002" s="41" t="str">
        <f t="shared" si="103"/>
        <v>ml</v>
      </c>
    </row>
    <row r="2003" spans="2:10" s="1" customFormat="1" ht="12.75" x14ac:dyDescent="0.2">
      <c r="B2003" s="43"/>
      <c r="C2003" s="39" t="s">
        <v>369</v>
      </c>
      <c r="D2003" s="40"/>
      <c r="E2003" s="40"/>
      <c r="F2003" s="40"/>
      <c r="G2003" s="40"/>
      <c r="H2003" s="40">
        <f t="shared" si="102"/>
        <v>0</v>
      </c>
      <c r="I2003" s="40"/>
      <c r="J2003" s="41" t="str">
        <f t="shared" si="103"/>
        <v>ml</v>
      </c>
    </row>
    <row r="2004" spans="2:10" s="1" customFormat="1" ht="12.75" x14ac:dyDescent="0.2">
      <c r="B2004" s="43"/>
      <c r="C2004" s="77" t="s">
        <v>72</v>
      </c>
      <c r="D2004" s="40"/>
      <c r="E2004" s="40"/>
      <c r="F2004" s="40"/>
      <c r="G2004" s="40"/>
      <c r="H2004" s="40">
        <f t="shared" si="102"/>
        <v>0</v>
      </c>
      <c r="I2004" s="40"/>
      <c r="J2004" s="41" t="str">
        <f t="shared" si="103"/>
        <v>ml</v>
      </c>
    </row>
    <row r="2005" spans="2:10" s="1" customFormat="1" ht="12.75" x14ac:dyDescent="0.2">
      <c r="B2005" s="43"/>
      <c r="C2005" s="39" t="s">
        <v>349</v>
      </c>
      <c r="D2005" s="40"/>
      <c r="E2005" s="40"/>
      <c r="F2005" s="40"/>
      <c r="G2005" s="40"/>
      <c r="H2005" s="40">
        <f t="shared" si="102"/>
        <v>0</v>
      </c>
      <c r="I2005" s="40"/>
      <c r="J2005" s="41" t="str">
        <f t="shared" si="103"/>
        <v>ml</v>
      </c>
    </row>
    <row r="2006" spans="2:10" s="1" customFormat="1" ht="12.75" x14ac:dyDescent="0.2">
      <c r="B2006" s="43"/>
      <c r="C2006" s="77" t="s">
        <v>73</v>
      </c>
      <c r="D2006" s="40"/>
      <c r="E2006" s="40"/>
      <c r="F2006" s="40"/>
      <c r="G2006" s="40"/>
      <c r="H2006" s="40">
        <f t="shared" si="102"/>
        <v>0</v>
      </c>
      <c r="I2006" s="40"/>
      <c r="J2006" s="41" t="str">
        <f t="shared" si="103"/>
        <v>ml</v>
      </c>
    </row>
    <row r="2007" spans="2:10" s="1" customFormat="1" ht="12.75" x14ac:dyDescent="0.2">
      <c r="B2007" s="43"/>
      <c r="C2007" s="39" t="s">
        <v>349</v>
      </c>
      <c r="D2007" s="40"/>
      <c r="E2007" s="40"/>
      <c r="F2007" s="40"/>
      <c r="G2007" s="40"/>
      <c r="H2007" s="40">
        <f t="shared" si="102"/>
        <v>0</v>
      </c>
      <c r="I2007" s="40"/>
      <c r="J2007" s="41" t="str">
        <f t="shared" si="103"/>
        <v>ml</v>
      </c>
    </row>
    <row r="2008" spans="2:10" s="1" customFormat="1" ht="12.75" x14ac:dyDescent="0.2">
      <c r="B2008" s="43" t="s">
        <v>342</v>
      </c>
      <c r="C2008" s="43" t="s">
        <v>271</v>
      </c>
      <c r="D2008" s="60"/>
      <c r="E2008" s="40"/>
      <c r="F2008" s="40"/>
      <c r="G2008" s="40"/>
      <c r="H2008" s="40"/>
      <c r="I2008" s="44">
        <f>SUM(H2009:H2009)</f>
        <v>0</v>
      </c>
      <c r="J2008" s="45" t="str">
        <f>+J2009</f>
        <v>und</v>
      </c>
    </row>
    <row r="2009" spans="2:10" s="1" customFormat="1" ht="12.75" x14ac:dyDescent="0.2">
      <c r="B2009" s="57"/>
      <c r="C2009" s="39" t="s">
        <v>370</v>
      </c>
      <c r="D2009" s="40"/>
      <c r="E2009" s="40"/>
      <c r="F2009" s="40"/>
      <c r="G2009" s="40"/>
      <c r="H2009" s="40">
        <f>+D2009</f>
        <v>0</v>
      </c>
      <c r="I2009" s="40"/>
      <c r="J2009" s="41" t="s">
        <v>13</v>
      </c>
    </row>
    <row r="2010" spans="2:10" s="1" customFormat="1" ht="12.75" x14ac:dyDescent="0.2">
      <c r="B2010" s="43" t="s">
        <v>346</v>
      </c>
      <c r="C2010" s="43" t="s">
        <v>348</v>
      </c>
      <c r="D2010" s="60"/>
      <c r="E2010" s="40"/>
      <c r="F2010" s="40"/>
      <c r="G2010" s="40"/>
      <c r="H2010" s="40"/>
      <c r="I2010" s="44">
        <f>SUM(H2011:H2011)</f>
        <v>2</v>
      </c>
      <c r="J2010" s="45" t="str">
        <f>+J2011</f>
        <v>und</v>
      </c>
    </row>
    <row r="2011" spans="2:10" s="1" customFormat="1" ht="12.75" x14ac:dyDescent="0.2">
      <c r="B2011" s="57"/>
      <c r="C2011" s="39" t="s">
        <v>349</v>
      </c>
      <c r="D2011" s="40">
        <v>2</v>
      </c>
      <c r="E2011" s="40"/>
      <c r="F2011" s="40"/>
      <c r="G2011" s="40"/>
      <c r="H2011" s="40">
        <f>+D2011</f>
        <v>2</v>
      </c>
      <c r="I2011" s="40"/>
      <c r="J2011" s="41" t="s">
        <v>13</v>
      </c>
    </row>
    <row r="2012" spans="2:10" s="1" customFormat="1" ht="12.75" x14ac:dyDescent="0.2">
      <c r="B2012" s="57" t="s">
        <v>16</v>
      </c>
      <c r="C2012" s="58" t="s">
        <v>224</v>
      </c>
      <c r="D2012" s="60"/>
      <c r="E2012" s="40"/>
      <c r="F2012" s="40"/>
      <c r="G2012" s="40"/>
      <c r="H2012" s="40"/>
      <c r="I2012" s="40"/>
      <c r="J2012" s="41"/>
    </row>
    <row r="2013" spans="2:10" s="1" customFormat="1" ht="12.75" x14ac:dyDescent="0.2">
      <c r="B2013" s="43" t="s">
        <v>17</v>
      </c>
      <c r="C2013" s="43" t="s">
        <v>343</v>
      </c>
      <c r="D2013" s="60"/>
      <c r="E2013" s="40"/>
      <c r="F2013" s="40"/>
      <c r="G2013" s="40"/>
      <c r="H2013" s="40"/>
      <c r="I2013" s="44">
        <f>SUM(H2014:H2015)</f>
        <v>0</v>
      </c>
      <c r="J2013" s="45" t="str">
        <f>+J2014</f>
        <v>ml</v>
      </c>
    </row>
    <row r="2014" spans="2:10" s="1" customFormat="1" ht="12.75" x14ac:dyDescent="0.2">
      <c r="B2014" s="57"/>
      <c r="C2014" s="39" t="s">
        <v>425</v>
      </c>
      <c r="D2014" s="40"/>
      <c r="E2014" s="40"/>
      <c r="F2014" s="40"/>
      <c r="G2014" s="40"/>
      <c r="H2014" s="40">
        <f>IF(AND(F2014=0,G2014=0),D2014*E2014,IF(AND(E2014=0,G2014=0),D2014*F2014,IF(AND(E2014=0,F2014=0),D2014*G2014,IF(AND(E2014=0),D2014*F2014*G2014,IF(AND(F2014=0),D2014*E2014*G2014,IF(AND(G2014=0),D2014*E2014*F2014,D2014*E2014*F2014*G2014))))))</f>
        <v>0</v>
      </c>
      <c r="I2014" s="40"/>
      <c r="J2014" s="41" t="str">
        <f>IF(AND(E2014=0,F2014&lt;&gt;0,G2014&lt;&gt;0),"m2",IF(AND(F2014=0,E2014&lt;&gt;0,G2014&lt;&gt;0),"m2",IF(AND(G2014=0,E2014&lt;&gt;0,F2014&lt;&gt;0),"m2",IF(AND(F2014=0,G2014=0),"ml",IF(AND(E2014=0,G2014=0),"ml",IF(AND(E2014=0,F2014=0),"ml",IF(AND(E2014&lt;&gt;0,F2014&lt;&gt;0,G2014&lt;&gt;0),"m3",0)))))))</f>
        <v>ml</v>
      </c>
    </row>
    <row r="2015" spans="2:10" s="1" customFormat="1" ht="12.75" x14ac:dyDescent="0.2">
      <c r="B2015" s="57"/>
      <c r="C2015" s="39" t="s">
        <v>425</v>
      </c>
      <c r="D2015" s="40"/>
      <c r="E2015" s="40"/>
      <c r="F2015" s="40"/>
      <c r="G2015" s="40"/>
      <c r="H2015" s="40">
        <f>IF(AND(F2015=0,G2015=0),D2015*E2015,IF(AND(E2015=0,G2015=0),D2015*F2015,IF(AND(E2015=0,F2015=0),D2015*G2015,IF(AND(E2015=0),D2015*F2015*G2015,IF(AND(F2015=0),D2015*E2015*G2015,IF(AND(G2015=0),D2015*E2015*F2015,D2015*E2015*F2015*G2015))))))</f>
        <v>0</v>
      </c>
      <c r="I2015" s="40"/>
      <c r="J2015" s="41"/>
    </row>
    <row r="2016" spans="2:10" s="1" customFormat="1" ht="12.75" x14ac:dyDescent="0.2">
      <c r="B2016" s="43" t="s">
        <v>240</v>
      </c>
      <c r="C2016" s="43" t="s">
        <v>237</v>
      </c>
      <c r="D2016" s="60"/>
      <c r="E2016" s="40"/>
      <c r="F2016" s="40"/>
      <c r="G2016" s="40"/>
      <c r="H2016" s="40"/>
      <c r="I2016" s="44">
        <f>SUM(H2017:H2019)</f>
        <v>0</v>
      </c>
      <c r="J2016" s="45" t="str">
        <f>+J2017</f>
        <v>ml</v>
      </c>
    </row>
    <row r="2017" spans="2:10" s="1" customFormat="1" ht="12.75" x14ac:dyDescent="0.2">
      <c r="B2017" s="57"/>
      <c r="C2017" s="39" t="s">
        <v>427</v>
      </c>
      <c r="D2017" s="40"/>
      <c r="E2017" s="40"/>
      <c r="F2017" s="40"/>
      <c r="G2017" s="40"/>
      <c r="H2017" s="40">
        <f>IF(AND(F2017=0,G2017=0),D2017*E2017,IF(AND(E2017=0,G2017=0),D2017*F2017,IF(AND(E2017=0,F2017=0),D2017*G2017,IF(AND(E2017=0),D2017*F2017*G2017,IF(AND(F2017=0),D2017*E2017*G2017,IF(AND(G2017=0),D2017*E2017*F2017,D2017*E2017*F2017*G2017))))))</f>
        <v>0</v>
      </c>
      <c r="I2017" s="40"/>
      <c r="J2017" s="41" t="str">
        <f>IF(AND(E2017=0,F2017&lt;&gt;0,G2017&lt;&gt;0),"m2",IF(AND(F2017=0,E2017&lt;&gt;0,G2017&lt;&gt;0),"m2",IF(AND(G2017=0,E2017&lt;&gt;0,F2017&lt;&gt;0),"m2",IF(AND(F2017=0,G2017=0),"ml",IF(AND(E2017=0,G2017=0),"ml",IF(AND(E2017=0,F2017=0),"ml",IF(AND(E2017&lt;&gt;0,F2017&lt;&gt;0,G2017&lt;&gt;0),"m3",0)))))))</f>
        <v>ml</v>
      </c>
    </row>
    <row r="2018" spans="2:10" s="1" customFormat="1" ht="12.75" x14ac:dyDescent="0.2">
      <c r="B2018" s="57"/>
      <c r="C2018" s="39" t="s">
        <v>428</v>
      </c>
      <c r="D2018" s="40"/>
      <c r="E2018" s="40"/>
      <c r="F2018" s="40"/>
      <c r="G2018" s="40"/>
      <c r="H2018" s="40">
        <f t="shared" ref="H2018:H2019" si="104">IF(AND(F2018=0,G2018=0),D2018*E2018,IF(AND(E2018=0,G2018=0),D2018*F2018,IF(AND(E2018=0,F2018=0),D2018*G2018,IF(AND(E2018=0),D2018*F2018*G2018,IF(AND(F2018=0),D2018*E2018*G2018,IF(AND(G2018=0),D2018*E2018*F2018,D2018*E2018*F2018*G2018))))))</f>
        <v>0</v>
      </c>
      <c r="I2018" s="40"/>
      <c r="J2018" s="41" t="str">
        <f t="shared" ref="J2018:J2019" si="105">IF(AND(E2018=0,F2018&lt;&gt;0,G2018&lt;&gt;0),"m2",IF(AND(F2018=0,E2018&lt;&gt;0,G2018&lt;&gt;0),"m2",IF(AND(G2018=0,E2018&lt;&gt;0,F2018&lt;&gt;0),"m2",IF(AND(F2018=0,G2018=0),"ml",IF(AND(E2018=0,G2018=0),"ml",IF(AND(E2018=0,F2018=0),"ml",IF(AND(E2018&lt;&gt;0,F2018&lt;&gt;0,G2018&lt;&gt;0),"m3",0)))))))</f>
        <v>ml</v>
      </c>
    </row>
    <row r="2019" spans="2:10" s="1" customFormat="1" ht="12.75" x14ac:dyDescent="0.2">
      <c r="B2019" s="57"/>
      <c r="C2019" s="39" t="s">
        <v>429</v>
      </c>
      <c r="D2019" s="40"/>
      <c r="E2019" s="40"/>
      <c r="F2019" s="40"/>
      <c r="G2019" s="40"/>
      <c r="H2019" s="40">
        <f t="shared" si="104"/>
        <v>0</v>
      </c>
      <c r="I2019" s="40"/>
      <c r="J2019" s="41" t="str">
        <f t="shared" si="105"/>
        <v>ml</v>
      </c>
    </row>
    <row r="2020" spans="2:10" s="1" customFormat="1" ht="12.75" x14ac:dyDescent="0.2">
      <c r="B2020" s="43" t="s">
        <v>241</v>
      </c>
      <c r="C2020" s="43" t="s">
        <v>239</v>
      </c>
      <c r="D2020" s="60"/>
      <c r="E2020" s="40"/>
      <c r="F2020" s="40"/>
      <c r="G2020" s="40"/>
      <c r="H2020" s="40"/>
      <c r="I2020" s="44">
        <f>SUM(H2021:H2021)</f>
        <v>0</v>
      </c>
      <c r="J2020" s="45" t="str">
        <f>+J2021</f>
        <v>ml</v>
      </c>
    </row>
    <row r="2021" spans="2:10" s="1" customFormat="1" ht="12.75" x14ac:dyDescent="0.2">
      <c r="B2021" s="57"/>
      <c r="C2021" s="39" t="s">
        <v>400</v>
      </c>
      <c r="D2021" s="40"/>
      <c r="E2021" s="40"/>
      <c r="F2021" s="40"/>
      <c r="G2021" s="40"/>
      <c r="H2021" s="40">
        <f>IF(AND(F2021=0,G2021=0),D2021*E2021,IF(AND(E2021=0,G2021=0),D2021*F2021,IF(AND(E2021=0,F2021=0),D2021*G2021,IF(AND(E2021=0),D2021*F2021*G2021,IF(AND(F2021=0),D2021*E2021*G2021,IF(AND(G2021=0),D2021*E2021*F2021,D2021*E2021*F2021*G2021))))))</f>
        <v>0</v>
      </c>
      <c r="I2021" s="40"/>
      <c r="J2021" s="41" t="str">
        <f>IF(AND(E2021=0,F2021&lt;&gt;0,G2021&lt;&gt;0),"m2",IF(AND(F2021=0,E2021&lt;&gt;0,G2021&lt;&gt;0),"m2",IF(AND(G2021=0,E2021&lt;&gt;0,F2021&lt;&gt;0),"m2",IF(AND(F2021=0,G2021=0),"ml",IF(AND(E2021=0,G2021=0),"ml",IF(AND(E2021=0,F2021=0),"ml",IF(AND(E2021&lt;&gt;0,F2021&lt;&gt;0,G2021&lt;&gt;0),"m3",0)))))))</f>
        <v>ml</v>
      </c>
    </row>
    <row r="2022" spans="2:10" s="1" customFormat="1" ht="12.75" x14ac:dyDescent="0.2">
      <c r="B2022" s="43" t="s">
        <v>243</v>
      </c>
      <c r="C2022" s="43" t="s">
        <v>242</v>
      </c>
      <c r="D2022" s="60"/>
      <c r="E2022" s="40"/>
      <c r="F2022" s="40"/>
      <c r="G2022" s="40"/>
      <c r="H2022" s="40"/>
      <c r="I2022" s="44">
        <f>SUM(H2023:H2023)</f>
        <v>0</v>
      </c>
      <c r="J2022" s="45" t="str">
        <f>+J2023</f>
        <v>ml</v>
      </c>
    </row>
    <row r="2023" spans="2:10" s="1" customFormat="1" ht="12.75" x14ac:dyDescent="0.2">
      <c r="B2023" s="57"/>
      <c r="C2023" s="39" t="s">
        <v>401</v>
      </c>
      <c r="D2023" s="40"/>
      <c r="E2023" s="40"/>
      <c r="F2023" s="40"/>
      <c r="G2023" s="40"/>
      <c r="H2023" s="40">
        <f>IF(AND(F2023=0,G2023=0),D2023*E2023,IF(AND(E2023=0,G2023=0),D2023*F2023,IF(AND(E2023=0,F2023=0),D2023*G2023,IF(AND(E2023=0),D2023*F2023*G2023,IF(AND(F2023=0),D2023*E2023*G2023,IF(AND(G2023=0),D2023*E2023*F2023,D2023*E2023*F2023*G2023))))))</f>
        <v>0</v>
      </c>
      <c r="I2023" s="40"/>
      <c r="J2023" s="41" t="str">
        <f>IF(AND(E2023=0,F2023&lt;&gt;0,G2023&lt;&gt;0),"m2",IF(AND(F2023=0,E2023&lt;&gt;0,G2023&lt;&gt;0),"m2",IF(AND(G2023=0,E2023&lt;&gt;0,F2023&lt;&gt;0),"m2",IF(AND(F2023=0,G2023=0),"ml",IF(AND(E2023=0,G2023=0),"ml",IF(AND(E2023=0,F2023=0),"ml",IF(AND(E2023&lt;&gt;0,F2023&lt;&gt;0,G2023&lt;&gt;0),"m3",0)))))))</f>
        <v>ml</v>
      </c>
    </row>
    <row r="2024" spans="2:10" s="1" customFormat="1" ht="12.75" x14ac:dyDescent="0.2">
      <c r="B2024" s="43" t="s">
        <v>244</v>
      </c>
      <c r="C2024" s="43" t="s">
        <v>245</v>
      </c>
      <c r="D2024" s="60"/>
      <c r="E2024" s="40"/>
      <c r="F2024" s="40"/>
      <c r="G2024" s="40"/>
      <c r="H2024" s="40"/>
      <c r="I2024" s="44">
        <f>SUM(H2025:H2027)</f>
        <v>0</v>
      </c>
      <c r="J2024" s="45" t="str">
        <f>+J2025</f>
        <v>ml</v>
      </c>
    </row>
    <row r="2025" spans="2:10" s="1" customFormat="1" ht="12.75" x14ac:dyDescent="0.2">
      <c r="B2025" s="57"/>
      <c r="C2025" s="39" t="s">
        <v>427</v>
      </c>
      <c r="D2025" s="40"/>
      <c r="E2025" s="40"/>
      <c r="F2025" s="40"/>
      <c r="G2025" s="40"/>
      <c r="H2025" s="40">
        <f>IF(AND(F2025=0,G2025=0),D2025*E2025,IF(AND(E2025=0,G2025=0),D2025*F2025,IF(AND(E2025=0,F2025=0),D2025*G2025,IF(AND(E2025=0),D2025*F2025*G2025,IF(AND(F2025=0),D2025*E2025*G2025,IF(AND(G2025=0),D2025*E2025*F2025,D2025*E2025*F2025*G2025))))))</f>
        <v>0</v>
      </c>
      <c r="I2025" s="40"/>
      <c r="J2025" s="41" t="str">
        <f>IF(AND(E2025=0,F2025&lt;&gt;0,G2025&lt;&gt;0),"m2",IF(AND(F2025=0,E2025&lt;&gt;0,G2025&lt;&gt;0),"m2",IF(AND(G2025=0,E2025&lt;&gt;0,F2025&lt;&gt;0),"m2",IF(AND(F2025=0,G2025=0),"ml",IF(AND(E2025=0,G2025=0),"ml",IF(AND(E2025=0,F2025=0),"ml",IF(AND(E2025&lt;&gt;0,F2025&lt;&gt;0,G2025&lt;&gt;0),"m3",0)))))))</f>
        <v>ml</v>
      </c>
    </row>
    <row r="2026" spans="2:10" s="1" customFormat="1" ht="12.75" x14ac:dyDescent="0.2">
      <c r="B2026" s="57"/>
      <c r="C2026" s="39" t="s">
        <v>428</v>
      </c>
      <c r="D2026" s="40"/>
      <c r="E2026" s="40"/>
      <c r="F2026" s="40"/>
      <c r="G2026" s="40"/>
      <c r="H2026" s="40">
        <f t="shared" ref="H2026:H2027" si="106">IF(AND(F2026=0,G2026=0),D2026*E2026,IF(AND(E2026=0,G2026=0),D2026*F2026,IF(AND(E2026=0,F2026=0),D2026*G2026,IF(AND(E2026=0),D2026*F2026*G2026,IF(AND(F2026=0),D2026*E2026*G2026,IF(AND(G2026=0),D2026*E2026*F2026,D2026*E2026*F2026*G2026))))))</f>
        <v>0</v>
      </c>
      <c r="I2026" s="40"/>
      <c r="J2026" s="41" t="str">
        <f t="shared" ref="J2026:J2027" si="107">IF(AND(E2026=0,F2026&lt;&gt;0,G2026&lt;&gt;0),"m2",IF(AND(F2026=0,E2026&lt;&gt;0,G2026&lt;&gt;0),"m2",IF(AND(G2026=0,E2026&lt;&gt;0,F2026&lt;&gt;0),"m2",IF(AND(F2026=0,G2026=0),"ml",IF(AND(E2026=0,G2026=0),"ml",IF(AND(E2026=0,F2026=0),"ml",IF(AND(E2026&lt;&gt;0,F2026&lt;&gt;0,G2026&lt;&gt;0),"m3",0)))))))</f>
        <v>ml</v>
      </c>
    </row>
    <row r="2027" spans="2:10" s="1" customFormat="1" ht="12.75" x14ac:dyDescent="0.2">
      <c r="B2027" s="57"/>
      <c r="C2027" s="39" t="s">
        <v>429</v>
      </c>
      <c r="D2027" s="40"/>
      <c r="E2027" s="40"/>
      <c r="F2027" s="40"/>
      <c r="G2027" s="40"/>
      <c r="H2027" s="40">
        <f t="shared" si="106"/>
        <v>0</v>
      </c>
      <c r="I2027" s="40"/>
      <c r="J2027" s="41" t="str">
        <f t="shared" si="107"/>
        <v>ml</v>
      </c>
    </row>
    <row r="2028" spans="2:10" s="1" customFormat="1" ht="12.75" x14ac:dyDescent="0.2">
      <c r="B2028" s="43" t="s">
        <v>248</v>
      </c>
      <c r="C2028" s="43" t="s">
        <v>246</v>
      </c>
      <c r="D2028" s="60"/>
      <c r="E2028" s="40"/>
      <c r="F2028" s="40"/>
      <c r="G2028" s="40"/>
      <c r="H2028" s="40"/>
      <c r="I2028" s="44">
        <f>SUM(H2029:H2029)</f>
        <v>0</v>
      </c>
      <c r="J2028" s="45" t="str">
        <f>+J2029</f>
        <v>ml</v>
      </c>
    </row>
    <row r="2029" spans="2:10" s="1" customFormat="1" ht="12.75" x14ac:dyDescent="0.2">
      <c r="B2029" s="57"/>
      <c r="C2029" s="39" t="s">
        <v>238</v>
      </c>
      <c r="D2029" s="40"/>
      <c r="E2029" s="40"/>
      <c r="F2029" s="40"/>
      <c r="G2029" s="40"/>
      <c r="H2029" s="40">
        <f>IF(AND(F2029=0,G2029=0),D2029*E2029,IF(AND(E2029=0,G2029=0),D2029*F2029,IF(AND(E2029=0,F2029=0),D2029*G2029,IF(AND(E2029=0),D2029*F2029*G2029,IF(AND(F2029=0),D2029*E2029*G2029,IF(AND(G2029=0),D2029*E2029*F2029,D2029*E2029*F2029*G2029))))))</f>
        <v>0</v>
      </c>
      <c r="I2029" s="40"/>
      <c r="J2029" s="41" t="str">
        <f>IF(AND(E2029=0,F2029&lt;&gt;0,G2029&lt;&gt;0),"m2",IF(AND(F2029=0,E2029&lt;&gt;0,G2029&lt;&gt;0),"m2",IF(AND(G2029=0,E2029&lt;&gt;0,F2029&lt;&gt;0),"m2",IF(AND(F2029=0,G2029=0),"ml",IF(AND(E2029=0,G2029=0),"ml",IF(AND(E2029=0,F2029=0),"ml",IF(AND(E2029&lt;&gt;0,F2029&lt;&gt;0,G2029&lt;&gt;0),"m3",0)))))))</f>
        <v>ml</v>
      </c>
    </row>
    <row r="2030" spans="2:10" s="1" customFormat="1" ht="12.75" x14ac:dyDescent="0.2">
      <c r="B2030" s="43" t="s">
        <v>249</v>
      </c>
      <c r="C2030" s="43" t="s">
        <v>247</v>
      </c>
      <c r="D2030" s="60"/>
      <c r="E2030" s="40"/>
      <c r="F2030" s="40"/>
      <c r="G2030" s="40"/>
      <c r="H2030" s="40"/>
      <c r="I2030" s="44">
        <f>SUM(H2031:H2031)</f>
        <v>0</v>
      </c>
      <c r="J2030" s="45" t="str">
        <f>+J2031</f>
        <v>ml</v>
      </c>
    </row>
    <row r="2031" spans="2:10" s="1" customFormat="1" ht="12.75" x14ac:dyDescent="0.2">
      <c r="B2031" s="57"/>
      <c r="C2031" s="39" t="s">
        <v>396</v>
      </c>
      <c r="D2031" s="40"/>
      <c r="E2031" s="40"/>
      <c r="F2031" s="40"/>
      <c r="G2031" s="40"/>
      <c r="H2031" s="40">
        <f>IF(AND(F2031=0,G2031=0),D2031*E2031,IF(AND(E2031=0,G2031=0),D2031*F2031,IF(AND(E2031=0,F2031=0),D2031*G2031,IF(AND(E2031=0),D2031*F2031*G2031,IF(AND(F2031=0),D2031*E2031*G2031,IF(AND(G2031=0),D2031*E2031*F2031,D2031*E2031*F2031*G2031))))))</f>
        <v>0</v>
      </c>
      <c r="I2031" s="40"/>
      <c r="J2031" s="41" t="str">
        <f>IF(AND(E2031=0,F2031&lt;&gt;0,G2031&lt;&gt;0),"m2",IF(AND(F2031=0,E2031&lt;&gt;0,G2031&lt;&gt;0),"m2",IF(AND(G2031=0,E2031&lt;&gt;0,F2031&lt;&gt;0),"m2",IF(AND(F2031=0,G2031=0),"ml",IF(AND(E2031=0,G2031=0),"ml",IF(AND(E2031=0,F2031=0),"ml",IF(AND(E2031&lt;&gt;0,F2031&lt;&gt;0,G2031&lt;&gt;0),"m3",0)))))))</f>
        <v>ml</v>
      </c>
    </row>
    <row r="2032" spans="2:10" s="1" customFormat="1" ht="12.75" x14ac:dyDescent="0.2">
      <c r="B2032" s="43" t="s">
        <v>256</v>
      </c>
      <c r="C2032" s="43" t="s">
        <v>226</v>
      </c>
      <c r="D2032" s="60"/>
      <c r="E2032" s="40"/>
      <c r="F2032" s="40"/>
      <c r="G2032" s="40"/>
      <c r="H2032" s="40"/>
      <c r="I2032" s="44">
        <f>SUM(H2033:H2034)</f>
        <v>0</v>
      </c>
      <c r="J2032" s="45" t="str">
        <f>+J2034</f>
        <v>ml</v>
      </c>
    </row>
    <row r="2033" spans="2:10" s="1" customFormat="1" ht="12.75" x14ac:dyDescent="0.2">
      <c r="B2033" s="43"/>
      <c r="C2033" s="39" t="s">
        <v>371</v>
      </c>
      <c r="D2033" s="40"/>
      <c r="E2033" s="40"/>
      <c r="F2033" s="40"/>
      <c r="G2033" s="40"/>
      <c r="H2033" s="40">
        <f t="shared" ref="H2033:H2034" si="108">IF(AND(F2033=0,G2033=0),D2033*E2033,IF(AND(E2033=0,G2033=0),D2033*F2033,IF(AND(E2033=0,F2033=0),D2033*G2033,IF(AND(E2033=0),D2033*F2033*G2033,IF(AND(F2033=0),D2033*E2033*G2033,IF(AND(G2033=0),D2033*E2033*F2033,D2033*E2033*F2033*G2033))))))</f>
        <v>0</v>
      </c>
      <c r="I2033" s="40"/>
      <c r="J2033" s="41" t="str">
        <f t="shared" ref="J2033:J2034" si="109">IF(AND(E2033=0,F2033&lt;&gt;0,G2033&lt;&gt;0),"m2",IF(AND(F2033=0,E2033&lt;&gt;0,G2033&lt;&gt;0),"m2",IF(AND(G2033=0,E2033&lt;&gt;0,F2033&lt;&gt;0),"m2",IF(AND(F2033=0,G2033=0),"ml",IF(AND(E2033=0,G2033=0),"ml",IF(AND(E2033=0,F2033=0),"ml",IF(AND(E2033&lt;&gt;0,F2033&lt;&gt;0,G2033&lt;&gt;0),"m3",0)))))))</f>
        <v>ml</v>
      </c>
    </row>
    <row r="2034" spans="2:10" s="1" customFormat="1" ht="12.75" x14ac:dyDescent="0.2">
      <c r="B2034" s="57"/>
      <c r="C2034" s="39" t="s">
        <v>371</v>
      </c>
      <c r="D2034" s="40"/>
      <c r="E2034" s="40"/>
      <c r="F2034" s="40"/>
      <c r="G2034" s="40"/>
      <c r="H2034" s="40">
        <f t="shared" si="108"/>
        <v>0</v>
      </c>
      <c r="I2034" s="40"/>
      <c r="J2034" s="41" t="str">
        <f t="shared" si="109"/>
        <v>ml</v>
      </c>
    </row>
    <row r="2035" spans="2:10" s="1" customFormat="1" ht="12.75" x14ac:dyDescent="0.2">
      <c r="B2035" s="43" t="s">
        <v>257</v>
      </c>
      <c r="C2035" s="43" t="s">
        <v>228</v>
      </c>
      <c r="D2035" s="60"/>
      <c r="E2035" s="40"/>
      <c r="F2035" s="40"/>
      <c r="G2035" s="40"/>
      <c r="H2035" s="40"/>
      <c r="I2035" s="44">
        <f>SUM(H2036:H2036)</f>
        <v>0</v>
      </c>
      <c r="J2035" s="45" t="str">
        <f>+J2036</f>
        <v>ml</v>
      </c>
    </row>
    <row r="2036" spans="2:10" s="1" customFormat="1" ht="12.75" x14ac:dyDescent="0.2">
      <c r="B2036" s="57"/>
      <c r="C2036" s="39" t="s">
        <v>399</v>
      </c>
      <c r="D2036" s="40"/>
      <c r="E2036" s="40"/>
      <c r="F2036" s="40"/>
      <c r="G2036" s="40"/>
      <c r="H2036" s="40">
        <f>IF(AND(F2036=0,G2036=0),D2036*E2036,IF(AND(E2036=0,G2036=0),D2036*F2036,IF(AND(E2036=0,F2036=0),D2036*G2036,IF(AND(E2036=0),D2036*F2036*G2036,IF(AND(F2036=0),D2036*E2036*G2036,IF(AND(G2036=0),D2036*E2036*F2036,D2036*E2036*F2036*G2036))))))</f>
        <v>0</v>
      </c>
      <c r="I2036" s="40"/>
      <c r="J2036" s="41" t="str">
        <f>IF(AND(E2036=0,F2036&lt;&gt;0,G2036&lt;&gt;0),"m2",IF(AND(F2036=0,E2036&lt;&gt;0,G2036&lt;&gt;0),"m2",IF(AND(G2036=0,E2036&lt;&gt;0,F2036&lt;&gt;0),"m2",IF(AND(F2036=0,G2036=0),"ml",IF(AND(E2036=0,G2036=0),"ml",IF(AND(E2036=0,F2036=0),"ml",IF(AND(E2036&lt;&gt;0,F2036&lt;&gt;0,G2036&lt;&gt;0),"m3",0)))))))</f>
        <v>ml</v>
      </c>
    </row>
    <row r="2037" spans="2:10" s="1" customFormat="1" ht="12.75" x14ac:dyDescent="0.2">
      <c r="B2037" s="43" t="s">
        <v>258</v>
      </c>
      <c r="C2037" s="43" t="s">
        <v>250</v>
      </c>
      <c r="D2037" s="60"/>
      <c r="E2037" s="40"/>
      <c r="F2037" s="40"/>
      <c r="G2037" s="40"/>
      <c r="H2037" s="40"/>
      <c r="I2037" s="44">
        <f>SUM(H2038:H2038)</f>
        <v>0</v>
      </c>
      <c r="J2037" s="45" t="str">
        <f>+J2038</f>
        <v>ml</v>
      </c>
    </row>
    <row r="2038" spans="2:10" s="1" customFormat="1" ht="12.75" x14ac:dyDescent="0.2">
      <c r="B2038" s="57"/>
      <c r="C2038" s="39" t="s">
        <v>388</v>
      </c>
      <c r="D2038" s="40"/>
      <c r="E2038" s="40"/>
      <c r="F2038" s="40"/>
      <c r="G2038" s="40"/>
      <c r="H2038" s="40">
        <f>IF(AND(F2038=0,G2038=0),D2038*E2038,IF(AND(E2038=0,G2038=0),D2038*F2038,IF(AND(E2038=0,F2038=0),D2038*G2038,IF(AND(E2038=0),D2038*F2038*G2038,IF(AND(F2038=0),D2038*E2038*G2038,IF(AND(G2038=0),D2038*E2038*F2038,D2038*E2038*F2038*G2038))))))</f>
        <v>0</v>
      </c>
      <c r="I2038" s="40"/>
      <c r="J2038" s="41" t="str">
        <f>IF(AND(E2038=0,F2038&lt;&gt;0,G2038&lt;&gt;0),"m2",IF(AND(F2038=0,E2038&lt;&gt;0,G2038&lt;&gt;0),"m2",IF(AND(G2038=0,E2038&lt;&gt;0,F2038&lt;&gt;0),"m2",IF(AND(F2038=0,G2038=0),"ml",IF(AND(E2038=0,G2038=0),"ml",IF(AND(E2038=0,F2038=0),"ml",IF(AND(E2038&lt;&gt;0,F2038&lt;&gt;0,G2038&lt;&gt;0),"m3",0)))))))</f>
        <v>ml</v>
      </c>
    </row>
    <row r="2039" spans="2:10" s="1" customFormat="1" ht="12.75" x14ac:dyDescent="0.2">
      <c r="B2039" s="43" t="s">
        <v>259</v>
      </c>
      <c r="C2039" s="43" t="s">
        <v>251</v>
      </c>
      <c r="D2039" s="60"/>
      <c r="E2039" s="40"/>
      <c r="F2039" s="40"/>
      <c r="G2039" s="40"/>
      <c r="H2039" s="40"/>
      <c r="I2039" s="44">
        <f>SUM(H2040:H2040)</f>
        <v>0</v>
      </c>
      <c r="J2039" s="45" t="str">
        <f>+J2040</f>
        <v>ml</v>
      </c>
    </row>
    <row r="2040" spans="2:10" s="1" customFormat="1" ht="12.75" x14ac:dyDescent="0.2">
      <c r="B2040" s="57"/>
      <c r="C2040" s="39" t="s">
        <v>389</v>
      </c>
      <c r="D2040" s="40"/>
      <c r="E2040" s="40"/>
      <c r="F2040" s="40"/>
      <c r="G2040" s="40"/>
      <c r="H2040" s="40">
        <f>IF(AND(F2040=0,G2040=0),D2040*E2040,IF(AND(E2040=0,G2040=0),D2040*F2040,IF(AND(E2040=0,F2040=0),D2040*G2040,IF(AND(E2040=0),D2040*F2040*G2040,IF(AND(F2040=0),D2040*E2040*G2040,IF(AND(G2040=0),D2040*E2040*F2040,D2040*E2040*F2040*G2040))))))</f>
        <v>0</v>
      </c>
      <c r="I2040" s="40"/>
      <c r="J2040" s="41" t="str">
        <f>IF(AND(E2040=0,F2040&lt;&gt;0,G2040&lt;&gt;0),"m2",IF(AND(F2040=0,E2040&lt;&gt;0,G2040&lt;&gt;0),"m2",IF(AND(G2040=0,E2040&lt;&gt;0,F2040&lt;&gt;0),"m2",IF(AND(F2040=0,G2040=0),"ml",IF(AND(E2040=0,G2040=0),"ml",IF(AND(E2040=0,F2040=0),"ml",IF(AND(E2040&lt;&gt;0,F2040&lt;&gt;0,G2040&lt;&gt;0),"m3",0)))))))</f>
        <v>ml</v>
      </c>
    </row>
    <row r="2041" spans="2:10" s="1" customFormat="1" ht="12.75" x14ac:dyDescent="0.2">
      <c r="B2041" s="43" t="s">
        <v>260</v>
      </c>
      <c r="C2041" s="43" t="s">
        <v>252</v>
      </c>
      <c r="D2041" s="60"/>
      <c r="E2041" s="40"/>
      <c r="F2041" s="40"/>
      <c r="G2041" s="40"/>
      <c r="H2041" s="40"/>
      <c r="I2041" s="44">
        <f>SUM(H2042:H2042)</f>
        <v>0</v>
      </c>
      <c r="J2041" s="45" t="str">
        <f>+J2042</f>
        <v>ml</v>
      </c>
    </row>
    <row r="2042" spans="2:10" s="1" customFormat="1" ht="12.75" x14ac:dyDescent="0.2">
      <c r="B2042" s="57"/>
      <c r="C2042" s="39" t="s">
        <v>397</v>
      </c>
      <c r="D2042" s="40"/>
      <c r="E2042" s="40"/>
      <c r="F2042" s="40"/>
      <c r="G2042" s="40"/>
      <c r="H2042" s="40">
        <f>IF(AND(F2042=0,G2042=0),D2042*E2042,IF(AND(E2042=0,G2042=0),D2042*F2042,IF(AND(E2042=0,F2042=0),D2042*G2042,IF(AND(E2042=0),D2042*F2042*G2042,IF(AND(F2042=0),D2042*E2042*G2042,IF(AND(G2042=0),D2042*E2042*F2042,D2042*E2042*F2042*G2042))))))</f>
        <v>0</v>
      </c>
      <c r="I2042" s="40"/>
      <c r="J2042" s="41" t="str">
        <f>IF(AND(E2042=0,F2042&lt;&gt;0,G2042&lt;&gt;0),"m2",IF(AND(F2042=0,E2042&lt;&gt;0,G2042&lt;&gt;0),"m2",IF(AND(G2042=0,E2042&lt;&gt;0,F2042&lt;&gt;0),"m2",IF(AND(F2042=0,G2042=0),"ml",IF(AND(E2042=0,G2042=0),"ml",IF(AND(E2042=0,F2042=0),"ml",IF(AND(E2042&lt;&gt;0,F2042&lt;&gt;0,G2042&lt;&gt;0),"m3",0)))))))</f>
        <v>ml</v>
      </c>
    </row>
    <row r="2043" spans="2:10" s="1" customFormat="1" ht="12.75" x14ac:dyDescent="0.2">
      <c r="B2043" s="43" t="s">
        <v>261</v>
      </c>
      <c r="C2043" s="43" t="s">
        <v>253</v>
      </c>
      <c r="D2043" s="60"/>
      <c r="E2043" s="40"/>
      <c r="F2043" s="40"/>
      <c r="G2043" s="40"/>
      <c r="H2043" s="40"/>
      <c r="I2043" s="44">
        <f>SUM(H2044:H2044)</f>
        <v>0</v>
      </c>
      <c r="J2043" s="45" t="str">
        <f>+J2044</f>
        <v>und</v>
      </c>
    </row>
    <row r="2044" spans="2:10" s="1" customFormat="1" ht="12.75" x14ac:dyDescent="0.2">
      <c r="B2044" s="43"/>
      <c r="C2044" s="39" t="s">
        <v>402</v>
      </c>
      <c r="D2044" s="40"/>
      <c r="E2044" s="40"/>
      <c r="F2044" s="40"/>
      <c r="G2044" s="40"/>
      <c r="H2044" s="40">
        <f t="shared" ref="H2044" si="110">+D2044</f>
        <v>0</v>
      </c>
      <c r="I2044" s="40"/>
      <c r="J2044" s="41" t="s">
        <v>13</v>
      </c>
    </row>
    <row r="2045" spans="2:10" s="1" customFormat="1" ht="12.75" x14ac:dyDescent="0.2">
      <c r="B2045" s="43" t="s">
        <v>262</v>
      </c>
      <c r="C2045" s="43" t="s">
        <v>254</v>
      </c>
      <c r="D2045" s="60"/>
      <c r="E2045" s="40"/>
      <c r="F2045" s="40"/>
      <c r="G2045" s="40"/>
      <c r="H2045" s="40"/>
      <c r="I2045" s="44">
        <f>SUM(H2046:H2046)</f>
        <v>0</v>
      </c>
      <c r="J2045" s="45" t="str">
        <f>+J2046</f>
        <v>und</v>
      </c>
    </row>
    <row r="2046" spans="2:10" s="1" customFormat="1" ht="12.75" x14ac:dyDescent="0.2">
      <c r="B2046" s="57"/>
      <c r="C2046" s="39" t="s">
        <v>238</v>
      </c>
      <c r="D2046" s="40"/>
      <c r="E2046" s="40"/>
      <c r="F2046" s="40"/>
      <c r="G2046" s="40"/>
      <c r="H2046" s="40">
        <f>+D2046</f>
        <v>0</v>
      </c>
      <c r="I2046" s="40"/>
      <c r="J2046" s="41" t="s">
        <v>13</v>
      </c>
    </row>
    <row r="2047" spans="2:10" s="1" customFormat="1" ht="12.75" x14ac:dyDescent="0.2">
      <c r="B2047" s="43" t="s">
        <v>350</v>
      </c>
      <c r="C2047" s="43" t="s">
        <v>255</v>
      </c>
      <c r="D2047" s="60"/>
      <c r="E2047" s="40"/>
      <c r="F2047" s="40"/>
      <c r="G2047" s="40"/>
      <c r="H2047" s="40"/>
      <c r="I2047" s="44">
        <f>SUM(H2048:H2048)</f>
        <v>0</v>
      </c>
      <c r="J2047" s="45" t="str">
        <f>+J2048</f>
        <v>und</v>
      </c>
    </row>
    <row r="2048" spans="2:10" s="1" customFormat="1" ht="12.75" x14ac:dyDescent="0.2">
      <c r="B2048" s="57"/>
      <c r="C2048" s="39" t="s">
        <v>395</v>
      </c>
      <c r="D2048" s="40"/>
      <c r="E2048" s="40"/>
      <c r="F2048" s="40"/>
      <c r="G2048" s="40"/>
      <c r="H2048" s="40">
        <f>+D2048</f>
        <v>0</v>
      </c>
      <c r="I2048" s="40"/>
      <c r="J2048" s="41" t="s">
        <v>13</v>
      </c>
    </row>
    <row r="2049" spans="2:10" s="1" customFormat="1" ht="12.75" x14ac:dyDescent="0.2">
      <c r="B2049" s="57" t="s">
        <v>18</v>
      </c>
      <c r="C2049" s="58" t="s">
        <v>223</v>
      </c>
      <c r="D2049" s="60"/>
      <c r="E2049" s="40"/>
      <c r="F2049" s="40"/>
      <c r="G2049" s="40"/>
      <c r="H2049" s="40"/>
      <c r="I2049" s="40"/>
      <c r="J2049" s="41"/>
    </row>
    <row r="2050" spans="2:10" s="1" customFormat="1" ht="12.75" x14ac:dyDescent="0.2">
      <c r="B2050" s="43" t="s">
        <v>19</v>
      </c>
      <c r="C2050" s="43" t="s">
        <v>265</v>
      </c>
      <c r="D2050" s="60"/>
      <c r="E2050" s="40"/>
      <c r="F2050" s="40"/>
      <c r="G2050" s="40"/>
      <c r="H2050" s="40"/>
      <c r="I2050" s="44">
        <f>SUM(H2051:H2052)</f>
        <v>2</v>
      </c>
      <c r="J2050" s="45" t="str">
        <f>+J2051</f>
        <v>und</v>
      </c>
    </row>
    <row r="2051" spans="2:10" s="1" customFormat="1" ht="12.75" x14ac:dyDescent="0.2">
      <c r="B2051" s="46"/>
      <c r="C2051" s="39" t="s">
        <v>361</v>
      </c>
      <c r="D2051" s="40"/>
      <c r="E2051" s="40"/>
      <c r="F2051" s="40"/>
      <c r="G2051" s="40"/>
      <c r="H2051" s="40">
        <f>+D2051</f>
        <v>0</v>
      </c>
      <c r="I2051" s="40"/>
      <c r="J2051" s="41" t="s">
        <v>13</v>
      </c>
    </row>
    <row r="2052" spans="2:10" s="1" customFormat="1" ht="12.75" x14ac:dyDescent="0.2">
      <c r="B2052" s="46"/>
      <c r="C2052" s="39" t="s">
        <v>231</v>
      </c>
      <c r="D2052" s="40">
        <v>2</v>
      </c>
      <c r="E2052" s="40"/>
      <c r="F2052" s="40"/>
      <c r="G2052" s="40"/>
      <c r="H2052" s="40">
        <f>+D2052</f>
        <v>2</v>
      </c>
      <c r="I2052" s="40"/>
      <c r="J2052" s="41" t="s">
        <v>13</v>
      </c>
    </row>
    <row r="2053" spans="2:10" s="1" customFormat="1" ht="12.75" x14ac:dyDescent="0.2">
      <c r="B2053" s="43" t="s">
        <v>20</v>
      </c>
      <c r="C2053" s="43" t="s">
        <v>272</v>
      </c>
      <c r="D2053" s="60"/>
      <c r="E2053" s="40"/>
      <c r="F2053" s="40"/>
      <c r="G2053" s="40"/>
      <c r="H2053" s="40"/>
      <c r="I2053" s="44">
        <f>SUM(H2054:H2059)</f>
        <v>0</v>
      </c>
      <c r="J2053" s="45" t="str">
        <f>+J2054</f>
        <v>und</v>
      </c>
    </row>
    <row r="2054" spans="2:10" s="1" customFormat="1" ht="12.75" x14ac:dyDescent="0.2">
      <c r="B2054" s="46"/>
      <c r="C2054" s="77" t="s">
        <v>71</v>
      </c>
      <c r="D2054" s="40"/>
      <c r="E2054" s="40"/>
      <c r="F2054" s="40"/>
      <c r="G2054" s="40"/>
      <c r="H2054" s="40"/>
      <c r="I2054" s="40"/>
      <c r="J2054" s="41" t="s">
        <v>13</v>
      </c>
    </row>
    <row r="2055" spans="2:10" s="1" customFormat="1" ht="12.75" x14ac:dyDescent="0.2">
      <c r="B2055" s="46"/>
      <c r="C2055" s="39" t="s">
        <v>349</v>
      </c>
      <c r="D2055" s="40"/>
      <c r="E2055" s="40"/>
      <c r="F2055" s="40"/>
      <c r="G2055" s="40"/>
      <c r="H2055" s="40">
        <f>+D2055</f>
        <v>0</v>
      </c>
      <c r="I2055" s="40"/>
      <c r="J2055" s="41" t="s">
        <v>13</v>
      </c>
    </row>
    <row r="2056" spans="2:10" s="1" customFormat="1" ht="12.75" x14ac:dyDescent="0.2">
      <c r="B2056" s="46"/>
      <c r="C2056" s="77" t="s">
        <v>72</v>
      </c>
      <c r="D2056" s="40"/>
      <c r="E2056" s="40"/>
      <c r="F2056" s="40"/>
      <c r="G2056" s="40"/>
      <c r="H2056" s="40"/>
      <c r="I2056" s="40"/>
      <c r="J2056" s="41" t="s">
        <v>13</v>
      </c>
    </row>
    <row r="2057" spans="2:10" s="1" customFormat="1" ht="12.75" x14ac:dyDescent="0.2">
      <c r="B2057" s="46"/>
      <c r="C2057" s="39" t="s">
        <v>349</v>
      </c>
      <c r="D2057" s="40"/>
      <c r="E2057" s="40"/>
      <c r="F2057" s="40"/>
      <c r="G2057" s="40"/>
      <c r="H2057" s="40">
        <f>+D2057</f>
        <v>0</v>
      </c>
      <c r="I2057" s="40"/>
      <c r="J2057" s="41" t="s">
        <v>13</v>
      </c>
    </row>
    <row r="2058" spans="2:10" s="1" customFormat="1" ht="12.75" x14ac:dyDescent="0.2">
      <c r="B2058" s="46"/>
      <c r="C2058" s="77" t="s">
        <v>73</v>
      </c>
      <c r="D2058" s="40"/>
      <c r="E2058" s="40"/>
      <c r="F2058" s="40"/>
      <c r="G2058" s="40"/>
      <c r="H2058" s="40"/>
      <c r="I2058" s="40"/>
      <c r="J2058" s="41" t="s">
        <v>13</v>
      </c>
    </row>
    <row r="2059" spans="2:10" s="1" customFormat="1" ht="12.75" x14ac:dyDescent="0.2">
      <c r="B2059" s="46"/>
      <c r="C2059" s="39" t="s">
        <v>349</v>
      </c>
      <c r="D2059" s="40"/>
      <c r="E2059" s="40"/>
      <c r="F2059" s="40"/>
      <c r="G2059" s="40"/>
      <c r="H2059" s="40">
        <f>+D2059</f>
        <v>0</v>
      </c>
      <c r="I2059" s="40"/>
      <c r="J2059" s="41" t="s">
        <v>13</v>
      </c>
    </row>
    <row r="2060" spans="2:10" s="1" customFormat="1" ht="12.75" x14ac:dyDescent="0.2">
      <c r="B2060" s="43" t="s">
        <v>21</v>
      </c>
      <c r="C2060" s="43" t="s">
        <v>266</v>
      </c>
      <c r="D2060" s="60"/>
      <c r="E2060" s="40"/>
      <c r="F2060" s="40"/>
      <c r="G2060" s="40"/>
      <c r="H2060" s="40"/>
      <c r="I2060" s="44">
        <f>SUM(H2061:H2063)</f>
        <v>0</v>
      </c>
      <c r="J2060" s="45" t="str">
        <f>+J2061</f>
        <v>und</v>
      </c>
    </row>
    <row r="2061" spans="2:10" s="1" customFormat="1" ht="12.75" x14ac:dyDescent="0.2">
      <c r="B2061" s="43"/>
      <c r="C2061" s="39" t="s">
        <v>71</v>
      </c>
      <c r="D2061" s="40"/>
      <c r="E2061" s="40"/>
      <c r="F2061" s="40"/>
      <c r="G2061" s="40"/>
      <c r="H2061" s="40">
        <f t="shared" ref="H2061:H2063" si="111">+D2061</f>
        <v>0</v>
      </c>
      <c r="I2061" s="40"/>
      <c r="J2061" s="41" t="s">
        <v>13</v>
      </c>
    </row>
    <row r="2062" spans="2:10" s="1" customFormat="1" ht="12.75" x14ac:dyDescent="0.2">
      <c r="B2062" s="43"/>
      <c r="C2062" s="39" t="s">
        <v>72</v>
      </c>
      <c r="D2062" s="40"/>
      <c r="E2062" s="40"/>
      <c r="F2062" s="40"/>
      <c r="G2062" s="40"/>
      <c r="H2062" s="40">
        <f t="shared" si="111"/>
        <v>0</v>
      </c>
      <c r="I2062" s="40"/>
      <c r="J2062" s="41" t="s">
        <v>13</v>
      </c>
    </row>
    <row r="2063" spans="2:10" s="1" customFormat="1" ht="12.75" x14ac:dyDescent="0.2">
      <c r="B2063" s="43"/>
      <c r="C2063" s="39" t="s">
        <v>73</v>
      </c>
      <c r="D2063" s="40"/>
      <c r="E2063" s="40"/>
      <c r="F2063" s="40"/>
      <c r="G2063" s="40"/>
      <c r="H2063" s="40">
        <f t="shared" si="111"/>
        <v>0</v>
      </c>
      <c r="I2063" s="40"/>
      <c r="J2063" s="41" t="s">
        <v>13</v>
      </c>
    </row>
    <row r="2064" spans="2:10" s="1" customFormat="1" ht="12.75" x14ac:dyDescent="0.2">
      <c r="B2064" s="43" t="s">
        <v>273</v>
      </c>
      <c r="C2064" s="43" t="s">
        <v>354</v>
      </c>
      <c r="D2064" s="60"/>
      <c r="E2064" s="40"/>
      <c r="F2064" s="40"/>
      <c r="G2064" s="40"/>
      <c r="H2064" s="40"/>
      <c r="I2064" s="44">
        <f>SUM(H2065:H2065)</f>
        <v>0</v>
      </c>
      <c r="J2064" s="45" t="str">
        <f>+J2065</f>
        <v>und</v>
      </c>
    </row>
    <row r="2065" spans="2:10" s="1" customFormat="1" ht="12.75" x14ac:dyDescent="0.2">
      <c r="B2065" s="43"/>
      <c r="C2065" s="39" t="s">
        <v>375</v>
      </c>
      <c r="D2065" s="40"/>
      <c r="E2065" s="40"/>
      <c r="F2065" s="40"/>
      <c r="G2065" s="40"/>
      <c r="H2065" s="40">
        <f>IF(AND(F2065=0,G2065=0),D2065*E2065,IF(AND(E2065=0,G2065=0),D2065*F2065,IF(AND(E2065=0,F2065=0),D2065*G2065,IF(AND(E2065=0),D2065*F2065*G2065,IF(AND(F2065=0),D2065*E2065*G2065,IF(AND(G2065=0),D2065*E2065*F2065,D2065*E2065*F2065*G2065))))))</f>
        <v>0</v>
      </c>
      <c r="I2065" s="40"/>
      <c r="J2065" s="41" t="s">
        <v>13</v>
      </c>
    </row>
    <row r="2066" spans="2:10" s="1" customFormat="1" ht="12.75" x14ac:dyDescent="0.2">
      <c r="B2066" s="43" t="s">
        <v>274</v>
      </c>
      <c r="C2066" s="43" t="s">
        <v>357</v>
      </c>
      <c r="D2066" s="60"/>
      <c r="E2066" s="40"/>
      <c r="F2066" s="40"/>
      <c r="G2066" s="40"/>
      <c r="H2066" s="40"/>
      <c r="I2066" s="44">
        <f>SUM(H2067:H2067)</f>
        <v>0</v>
      </c>
      <c r="J2066" s="45" t="str">
        <f>+J2067</f>
        <v>und</v>
      </c>
    </row>
    <row r="2067" spans="2:10" s="1" customFormat="1" ht="12.75" x14ac:dyDescent="0.2">
      <c r="B2067" s="43"/>
      <c r="C2067" s="39" t="s">
        <v>375</v>
      </c>
      <c r="D2067" s="40"/>
      <c r="E2067" s="40"/>
      <c r="F2067" s="40"/>
      <c r="G2067" s="40"/>
      <c r="H2067" s="40">
        <f t="shared" ref="H2067" si="112">+D2067</f>
        <v>0</v>
      </c>
      <c r="I2067" s="40"/>
      <c r="J2067" s="41" t="s">
        <v>13</v>
      </c>
    </row>
    <row r="2068" spans="2:10" s="1" customFormat="1" ht="12.75" x14ac:dyDescent="0.2">
      <c r="B2068" s="43" t="s">
        <v>355</v>
      </c>
      <c r="C2068" s="43" t="s">
        <v>263</v>
      </c>
      <c r="D2068" s="60"/>
      <c r="E2068" s="40"/>
      <c r="F2068" s="40"/>
      <c r="G2068" s="40"/>
      <c r="H2068" s="40"/>
      <c r="I2068" s="44">
        <f>SUM(H2069:H2069)</f>
        <v>0</v>
      </c>
      <c r="J2068" s="45" t="str">
        <f>+J2069</f>
        <v>und</v>
      </c>
    </row>
    <row r="2069" spans="2:10" s="1" customFormat="1" ht="12.75" x14ac:dyDescent="0.2">
      <c r="B2069" s="46"/>
      <c r="C2069" s="39" t="s">
        <v>420</v>
      </c>
      <c r="D2069" s="40"/>
      <c r="E2069" s="40"/>
      <c r="F2069" s="40"/>
      <c r="G2069" s="40"/>
      <c r="H2069" s="40">
        <f>+D2069</f>
        <v>0</v>
      </c>
      <c r="I2069" s="40"/>
      <c r="J2069" s="41" t="s">
        <v>13</v>
      </c>
    </row>
    <row r="2070" spans="2:10" s="1" customFormat="1" ht="12.75" x14ac:dyDescent="0.2">
      <c r="B2070" s="43" t="s">
        <v>356</v>
      </c>
      <c r="C2070" s="43" t="s">
        <v>264</v>
      </c>
      <c r="D2070" s="60"/>
      <c r="E2070" s="40"/>
      <c r="F2070" s="40"/>
      <c r="G2070" s="40"/>
      <c r="H2070" s="40"/>
      <c r="I2070" s="44">
        <f>SUM(H2071:H2071)</f>
        <v>0</v>
      </c>
      <c r="J2070" s="45" t="str">
        <f>+J2071</f>
        <v>und</v>
      </c>
    </row>
    <row r="2071" spans="2:10" s="1" customFormat="1" ht="12.75" x14ac:dyDescent="0.2">
      <c r="B2071" s="46"/>
      <c r="C2071" s="39" t="s">
        <v>420</v>
      </c>
      <c r="D2071" s="40"/>
      <c r="E2071" s="40"/>
      <c r="F2071" s="40"/>
      <c r="G2071" s="40"/>
      <c r="H2071" s="40">
        <f>+D2071</f>
        <v>0</v>
      </c>
      <c r="I2071" s="40"/>
      <c r="J2071" s="41" t="s">
        <v>13</v>
      </c>
    </row>
    <row r="2072" spans="2:10" s="1" customFormat="1" ht="12.75" x14ac:dyDescent="0.2">
      <c r="B2072" s="46"/>
      <c r="C2072" s="59"/>
      <c r="D2072" s="60"/>
      <c r="E2072" s="40"/>
      <c r="F2072" s="40"/>
      <c r="G2072" s="40"/>
      <c r="H2072" s="40"/>
      <c r="I2072" s="40"/>
      <c r="J2072" s="41"/>
    </row>
    <row r="2073" spans="2:10" s="1" customFormat="1" ht="12.75" x14ac:dyDescent="0.2">
      <c r="B2073" s="46"/>
      <c r="C2073" s="59"/>
      <c r="D2073" s="60"/>
      <c r="E2073" s="40"/>
      <c r="F2073" s="40"/>
      <c r="G2073" s="40"/>
      <c r="H2073" s="40"/>
      <c r="I2073" s="40"/>
      <c r="J2073" s="41"/>
    </row>
    <row r="2074" spans="2:10" s="1" customFormat="1" ht="12.75" x14ac:dyDescent="0.2">
      <c r="B2074" s="46"/>
      <c r="C2074" s="59"/>
      <c r="D2074" s="60"/>
      <c r="E2074" s="40"/>
      <c r="F2074" s="40"/>
      <c r="G2074" s="40"/>
      <c r="H2074" s="40"/>
      <c r="I2074" s="40"/>
      <c r="J2074" s="41"/>
    </row>
    <row r="2075" spans="2:10" s="1" customFormat="1" ht="12.75" x14ac:dyDescent="0.2">
      <c r="B2075" s="46"/>
      <c r="C2075" s="59"/>
      <c r="D2075" s="60"/>
      <c r="E2075" s="40"/>
      <c r="F2075" s="40"/>
      <c r="G2075" s="40"/>
      <c r="H2075" s="40"/>
      <c r="I2075" s="40"/>
      <c r="J2075" s="41"/>
    </row>
    <row r="2076" spans="2:10" s="1" customFormat="1" ht="12.75" x14ac:dyDescent="0.2">
      <c r="B2076" s="46"/>
      <c r="C2076" s="59"/>
      <c r="D2076" s="60"/>
      <c r="E2076" s="40"/>
      <c r="F2076" s="40"/>
      <c r="G2076" s="40"/>
      <c r="H2076" s="40"/>
      <c r="I2076" s="40"/>
      <c r="J2076" s="41"/>
    </row>
    <row r="2077" spans="2:10" s="1" customFormat="1" ht="12.75" x14ac:dyDescent="0.2">
      <c r="B2077" s="46"/>
      <c r="C2077" s="59"/>
      <c r="D2077" s="60"/>
      <c r="E2077" s="40"/>
      <c r="F2077" s="40"/>
      <c r="G2077" s="40"/>
      <c r="H2077" s="40"/>
      <c r="I2077" s="40"/>
      <c r="J2077" s="41"/>
    </row>
    <row r="2078" spans="2:10" s="1" customFormat="1" ht="12.75" x14ac:dyDescent="0.2">
      <c r="B2078" s="46"/>
      <c r="C2078" s="59"/>
      <c r="D2078" s="60"/>
      <c r="E2078" s="40"/>
      <c r="F2078" s="40"/>
      <c r="G2078" s="40"/>
      <c r="H2078" s="40"/>
      <c r="I2078" s="40"/>
      <c r="J2078" s="41"/>
    </row>
    <row r="2079" spans="2:10" s="1" customFormat="1" ht="12.75" x14ac:dyDescent="0.2">
      <c r="B2079" s="46"/>
      <c r="C2079" s="59"/>
      <c r="D2079" s="60"/>
      <c r="E2079" s="40"/>
      <c r="F2079" s="40"/>
      <c r="G2079" s="40"/>
      <c r="H2079" s="40"/>
      <c r="I2079" s="40"/>
      <c r="J2079" s="41"/>
    </row>
    <row r="2080" spans="2:10" s="1" customFormat="1" ht="12.75" x14ac:dyDescent="0.2">
      <c r="B2080" s="46"/>
      <c r="C2080" s="59"/>
      <c r="D2080" s="60"/>
      <c r="E2080" s="40"/>
      <c r="F2080" s="40"/>
      <c r="G2080" s="40"/>
      <c r="H2080" s="40"/>
      <c r="I2080" s="40"/>
      <c r="J2080" s="41"/>
    </row>
    <row r="2081" spans="2:10" s="1" customFormat="1" ht="12.75" x14ac:dyDescent="0.2">
      <c r="B2081" s="46"/>
      <c r="C2081" s="59"/>
      <c r="D2081" s="60"/>
      <c r="E2081" s="40"/>
      <c r="F2081" s="40"/>
      <c r="G2081" s="40"/>
      <c r="H2081" s="40"/>
      <c r="I2081" s="40"/>
      <c r="J2081" s="41"/>
    </row>
    <row r="2082" spans="2:10" s="1" customFormat="1" ht="12.75" x14ac:dyDescent="0.2">
      <c r="B2082" s="46"/>
      <c r="C2082" s="59"/>
      <c r="D2082" s="60"/>
      <c r="E2082" s="40"/>
      <c r="F2082" s="40"/>
      <c r="G2082" s="40"/>
      <c r="H2082" s="40"/>
      <c r="I2082" s="40"/>
      <c r="J2082" s="41"/>
    </row>
    <row r="2083" spans="2:10" s="1" customFormat="1" ht="12.75" x14ac:dyDescent="0.2">
      <c r="B2083" s="46"/>
      <c r="C2083" s="59"/>
      <c r="D2083" s="60"/>
      <c r="E2083" s="40"/>
      <c r="F2083" s="40"/>
      <c r="G2083" s="40"/>
      <c r="H2083" s="40"/>
      <c r="I2083" s="40"/>
      <c r="J2083" s="41"/>
    </row>
    <row r="2084" spans="2:10" s="1" customFormat="1" ht="12.75" x14ac:dyDescent="0.2">
      <c r="B2084" s="46"/>
      <c r="C2084" s="59"/>
      <c r="D2084" s="60"/>
      <c r="E2084" s="40"/>
      <c r="F2084" s="40"/>
      <c r="G2084" s="40"/>
      <c r="H2084" s="40"/>
      <c r="I2084" s="40"/>
      <c r="J2084" s="41"/>
    </row>
    <row r="2085" spans="2:10" s="1" customFormat="1" ht="12.75" x14ac:dyDescent="0.2">
      <c r="B2085" s="46"/>
      <c r="C2085" s="59"/>
      <c r="D2085" s="60"/>
      <c r="E2085" s="40"/>
      <c r="F2085" s="40"/>
      <c r="G2085" s="40"/>
      <c r="H2085" s="40"/>
      <c r="I2085" s="40"/>
      <c r="J2085" s="41"/>
    </row>
    <row r="2086" spans="2:10" s="1" customFormat="1" ht="12.75" x14ac:dyDescent="0.2">
      <c r="B2086" s="46"/>
      <c r="C2086" s="59"/>
      <c r="D2086" s="60"/>
      <c r="E2086" s="40"/>
      <c r="F2086" s="40"/>
      <c r="G2086" s="40"/>
      <c r="H2086" s="40"/>
      <c r="I2086" s="40"/>
      <c r="J2086" s="41"/>
    </row>
    <row r="2087" spans="2:10" s="1" customFormat="1" ht="12.75" x14ac:dyDescent="0.2">
      <c r="B2087" s="46"/>
      <c r="C2087" s="59"/>
      <c r="D2087" s="60"/>
      <c r="E2087" s="40"/>
      <c r="F2087" s="40"/>
      <c r="G2087" s="40"/>
      <c r="H2087" s="40"/>
      <c r="I2087" s="40"/>
      <c r="J2087" s="41"/>
    </row>
    <row r="2088" spans="2:10" s="1" customFormat="1" ht="12.75" x14ac:dyDescent="0.2">
      <c r="B2088" s="46"/>
      <c r="C2088" s="59"/>
      <c r="D2088" s="60"/>
      <c r="E2088" s="40"/>
      <c r="F2088" s="40"/>
      <c r="G2088" s="40"/>
      <c r="H2088" s="40"/>
      <c r="I2088" s="40"/>
      <c r="J2088" s="41"/>
    </row>
    <row r="2089" spans="2:10" s="1" customFormat="1" ht="12.75" x14ac:dyDescent="0.2">
      <c r="B2089" s="46"/>
      <c r="C2089" s="59"/>
      <c r="D2089" s="60"/>
      <c r="E2089" s="40"/>
      <c r="F2089" s="40"/>
      <c r="G2089" s="40"/>
      <c r="H2089" s="40"/>
      <c r="I2089" s="40"/>
      <c r="J2089" s="41"/>
    </row>
    <row r="2090" spans="2:10" s="1" customFormat="1" ht="12.75" x14ac:dyDescent="0.2">
      <c r="B2090" s="46"/>
      <c r="C2090" s="59"/>
      <c r="D2090" s="60"/>
      <c r="E2090" s="40"/>
      <c r="F2090" s="40"/>
      <c r="G2090" s="40"/>
      <c r="H2090" s="40"/>
      <c r="I2090" s="40"/>
      <c r="J2090" s="41"/>
    </row>
    <row r="2091" spans="2:10" s="1" customFormat="1" ht="12.75" x14ac:dyDescent="0.2">
      <c r="B2091" s="46"/>
      <c r="C2091" s="59"/>
      <c r="D2091" s="60"/>
      <c r="E2091" s="40"/>
      <c r="F2091" s="40"/>
      <c r="G2091" s="40"/>
      <c r="H2091" s="40"/>
      <c r="I2091" s="40"/>
      <c r="J2091" s="41"/>
    </row>
    <row r="2092" spans="2:10" s="1" customFormat="1" ht="12.75" x14ac:dyDescent="0.2">
      <c r="B2092" s="46"/>
      <c r="C2092" s="59"/>
      <c r="D2092" s="60"/>
      <c r="E2092" s="40"/>
      <c r="F2092" s="40"/>
      <c r="G2092" s="40"/>
      <c r="H2092" s="40"/>
      <c r="I2092" s="40"/>
      <c r="J2092" s="41"/>
    </row>
    <row r="2093" spans="2:10" s="1" customFormat="1" ht="12.75" x14ac:dyDescent="0.2">
      <c r="B2093" s="46"/>
      <c r="C2093" s="59"/>
      <c r="D2093" s="60"/>
      <c r="E2093" s="40"/>
      <c r="F2093" s="40"/>
      <c r="G2093" s="40"/>
      <c r="H2093" s="40"/>
      <c r="I2093" s="40"/>
      <c r="J2093" s="41"/>
    </row>
    <row r="2094" spans="2:10" s="1" customFormat="1" ht="12.75" x14ac:dyDescent="0.2">
      <c r="B2094" s="46"/>
      <c r="C2094" s="59"/>
      <c r="D2094" s="60"/>
      <c r="E2094" s="40"/>
      <c r="F2094" s="40"/>
      <c r="G2094" s="40"/>
      <c r="H2094" s="40"/>
      <c r="I2094" s="40"/>
      <c r="J2094" s="41"/>
    </row>
    <row r="2095" spans="2:10" s="1" customFormat="1" ht="12.75" x14ac:dyDescent="0.2">
      <c r="B2095" s="46"/>
      <c r="C2095" s="59"/>
      <c r="D2095" s="60"/>
      <c r="E2095" s="40"/>
      <c r="F2095" s="40"/>
      <c r="G2095" s="40"/>
      <c r="H2095" s="40"/>
      <c r="I2095" s="40"/>
      <c r="J2095" s="41"/>
    </row>
    <row r="2096" spans="2:10" s="1" customFormat="1" ht="12.75" x14ac:dyDescent="0.2">
      <c r="B2096" s="46"/>
      <c r="C2096" s="59"/>
      <c r="D2096" s="60"/>
      <c r="E2096" s="40"/>
      <c r="F2096" s="40"/>
      <c r="G2096" s="40"/>
      <c r="H2096" s="40"/>
      <c r="I2096" s="40"/>
      <c r="J2096" s="41"/>
    </row>
    <row r="2097" spans="2:10" s="1" customFormat="1" ht="12.75" x14ac:dyDescent="0.2">
      <c r="B2097" s="46"/>
      <c r="C2097" s="59"/>
      <c r="D2097" s="60"/>
      <c r="E2097" s="40"/>
      <c r="F2097" s="40"/>
      <c r="G2097" s="40"/>
      <c r="H2097" s="40"/>
      <c r="I2097" s="40"/>
      <c r="J2097" s="41"/>
    </row>
    <row r="2098" spans="2:10" s="1" customFormat="1" ht="12.75" x14ac:dyDescent="0.2">
      <c r="B2098" s="46"/>
      <c r="C2098" s="59"/>
      <c r="D2098" s="60"/>
      <c r="E2098" s="40"/>
      <c r="F2098" s="40"/>
      <c r="G2098" s="40"/>
      <c r="H2098" s="40"/>
      <c r="I2098" s="40"/>
      <c r="J2098" s="41"/>
    </row>
    <row r="2099" spans="2:10" s="1" customFormat="1" ht="12.75" x14ac:dyDescent="0.2">
      <c r="B2099" s="46"/>
      <c r="C2099" s="59"/>
      <c r="D2099" s="60"/>
      <c r="E2099" s="40"/>
      <c r="F2099" s="40"/>
      <c r="G2099" s="40"/>
      <c r="H2099" s="40"/>
      <c r="I2099" s="40"/>
      <c r="J2099" s="41"/>
    </row>
    <row r="2100" spans="2:10" s="1" customFormat="1" ht="12.75" x14ac:dyDescent="0.2">
      <c r="B2100" s="46"/>
      <c r="C2100" s="59"/>
      <c r="D2100" s="60"/>
      <c r="E2100" s="40"/>
      <c r="F2100" s="40"/>
      <c r="G2100" s="40"/>
      <c r="H2100" s="40"/>
      <c r="I2100" s="40"/>
      <c r="J2100" s="41"/>
    </row>
    <row r="2101" spans="2:10" s="1" customFormat="1" ht="12.75" x14ac:dyDescent="0.2">
      <c r="B2101" s="46"/>
      <c r="C2101" s="59"/>
      <c r="D2101" s="60"/>
      <c r="E2101" s="40"/>
      <c r="F2101" s="40"/>
      <c r="G2101" s="40"/>
      <c r="H2101" s="40"/>
      <c r="I2101" s="40"/>
      <c r="J2101" s="41"/>
    </row>
    <row r="2102" spans="2:10" s="1" customFormat="1" ht="12.75" x14ac:dyDescent="0.2">
      <c r="B2102" s="46"/>
      <c r="C2102" s="59"/>
      <c r="D2102" s="60"/>
      <c r="E2102" s="40"/>
      <c r="F2102" s="40"/>
      <c r="G2102" s="40"/>
      <c r="H2102" s="40"/>
      <c r="I2102" s="40"/>
      <c r="J2102" s="41"/>
    </row>
    <row r="2103" spans="2:10" s="1" customFormat="1" ht="12.75" x14ac:dyDescent="0.2">
      <c r="B2103" s="46"/>
      <c r="C2103" s="59"/>
      <c r="D2103" s="60"/>
      <c r="E2103" s="40"/>
      <c r="F2103" s="40"/>
      <c r="G2103" s="40"/>
      <c r="H2103" s="40"/>
      <c r="I2103" s="40"/>
      <c r="J2103" s="41"/>
    </row>
    <row r="2104" spans="2:10" s="1" customFormat="1" ht="12.75" x14ac:dyDescent="0.2">
      <c r="B2104" s="46"/>
      <c r="C2104" s="59"/>
      <c r="D2104" s="60"/>
      <c r="E2104" s="40"/>
      <c r="F2104" s="40"/>
      <c r="G2104" s="40"/>
      <c r="H2104" s="40"/>
      <c r="I2104" s="40"/>
      <c r="J2104" s="41"/>
    </row>
    <row r="2105" spans="2:10" s="1" customFormat="1" ht="12.75" x14ac:dyDescent="0.2">
      <c r="B2105" s="46"/>
      <c r="C2105" s="59"/>
      <c r="D2105" s="60"/>
      <c r="E2105" s="40"/>
      <c r="F2105" s="40"/>
      <c r="G2105" s="40"/>
      <c r="H2105" s="40"/>
      <c r="I2105" s="40"/>
      <c r="J2105" s="41"/>
    </row>
    <row r="2106" spans="2:10" s="1" customFormat="1" ht="12.75" x14ac:dyDescent="0.2">
      <c r="B2106" s="46"/>
      <c r="C2106" s="59"/>
      <c r="D2106" s="60"/>
      <c r="E2106" s="40"/>
      <c r="F2106" s="40"/>
      <c r="G2106" s="40"/>
      <c r="H2106" s="40"/>
      <c r="I2106" s="40"/>
      <c r="J2106" s="41"/>
    </row>
    <row r="2107" spans="2:10" s="1" customFormat="1" ht="12.75" x14ac:dyDescent="0.2">
      <c r="B2107" s="46"/>
      <c r="C2107" s="59"/>
      <c r="D2107" s="60"/>
      <c r="E2107" s="40"/>
      <c r="F2107" s="40"/>
      <c r="G2107" s="40"/>
      <c r="H2107" s="40"/>
      <c r="I2107" s="40"/>
      <c r="J2107" s="41"/>
    </row>
    <row r="2108" spans="2:10" s="1" customFormat="1" ht="12.75" x14ac:dyDescent="0.2">
      <c r="B2108" s="46"/>
      <c r="C2108" s="59"/>
      <c r="D2108" s="60"/>
      <c r="E2108" s="40"/>
      <c r="F2108" s="40"/>
      <c r="G2108" s="40"/>
      <c r="H2108" s="40"/>
      <c r="I2108" s="40"/>
      <c r="J2108" s="41"/>
    </row>
    <row r="2109" spans="2:10" s="1" customFormat="1" ht="12.75" x14ac:dyDescent="0.2">
      <c r="B2109" s="46"/>
      <c r="C2109" s="59"/>
      <c r="D2109" s="60"/>
      <c r="E2109" s="40"/>
      <c r="F2109" s="40"/>
      <c r="G2109" s="40"/>
      <c r="H2109" s="40"/>
      <c r="I2109" s="40"/>
      <c r="J2109" s="41"/>
    </row>
    <row r="2110" spans="2:10" s="1" customFormat="1" ht="12.75" x14ac:dyDescent="0.2">
      <c r="B2110" s="46"/>
      <c r="C2110" s="59"/>
      <c r="D2110" s="60"/>
      <c r="E2110" s="40"/>
      <c r="F2110" s="40"/>
      <c r="G2110" s="40"/>
      <c r="H2110" s="40"/>
      <c r="I2110" s="40"/>
      <c r="J2110" s="41"/>
    </row>
    <row r="2111" spans="2:10" s="1" customFormat="1" ht="12.75" x14ac:dyDescent="0.2">
      <c r="B2111" s="46"/>
      <c r="C2111" s="59"/>
      <c r="D2111" s="60"/>
      <c r="E2111" s="40"/>
      <c r="F2111" s="40"/>
      <c r="G2111" s="40"/>
      <c r="H2111" s="40"/>
      <c r="I2111" s="40"/>
      <c r="J2111" s="41"/>
    </row>
    <row r="2112" spans="2:10" s="1" customFormat="1" ht="12.75" x14ac:dyDescent="0.2">
      <c r="B2112" s="46"/>
      <c r="C2112" s="59"/>
      <c r="D2112" s="60"/>
      <c r="E2112" s="40"/>
      <c r="F2112" s="40"/>
      <c r="G2112" s="40"/>
      <c r="H2112" s="40"/>
      <c r="I2112" s="40"/>
      <c r="J2112" s="41"/>
    </row>
    <row r="2113" spans="2:10" s="1" customFormat="1" ht="12.75" x14ac:dyDescent="0.2">
      <c r="B2113" s="46"/>
      <c r="C2113" s="59"/>
      <c r="D2113" s="60"/>
      <c r="E2113" s="40"/>
      <c r="F2113" s="40"/>
      <c r="G2113" s="40"/>
      <c r="H2113" s="40"/>
      <c r="I2113" s="40"/>
      <c r="J2113" s="41"/>
    </row>
    <row r="2114" spans="2:10" s="1" customFormat="1" ht="12.75" x14ac:dyDescent="0.2">
      <c r="B2114" s="46"/>
      <c r="C2114" s="59"/>
      <c r="D2114" s="60"/>
      <c r="E2114" s="40"/>
      <c r="F2114" s="40"/>
      <c r="G2114" s="40"/>
      <c r="H2114" s="40"/>
      <c r="I2114" s="40"/>
      <c r="J2114" s="41"/>
    </row>
    <row r="2115" spans="2:10" s="1" customFormat="1" ht="12.75" x14ac:dyDescent="0.2">
      <c r="B2115" s="46"/>
      <c r="C2115" s="59"/>
      <c r="D2115" s="60"/>
      <c r="E2115" s="40"/>
      <c r="F2115" s="40"/>
      <c r="G2115" s="40"/>
      <c r="H2115" s="40"/>
      <c r="I2115" s="40"/>
      <c r="J2115" s="41"/>
    </row>
    <row r="2116" spans="2:10" s="1" customFormat="1" ht="12.75" x14ac:dyDescent="0.2">
      <c r="B2116" s="46"/>
      <c r="C2116" s="59"/>
      <c r="D2116" s="60"/>
      <c r="E2116" s="40"/>
      <c r="F2116" s="40"/>
      <c r="G2116" s="40"/>
      <c r="H2116" s="40"/>
      <c r="I2116" s="40"/>
      <c r="J2116" s="41"/>
    </row>
    <row r="2117" spans="2:10" s="1" customFormat="1" ht="12.75" x14ac:dyDescent="0.2">
      <c r="B2117" s="46"/>
      <c r="C2117" s="59"/>
      <c r="D2117" s="60"/>
      <c r="E2117" s="40"/>
      <c r="F2117" s="40"/>
      <c r="G2117" s="40"/>
      <c r="H2117" s="40"/>
      <c r="I2117" s="40"/>
      <c r="J2117" s="41"/>
    </row>
    <row r="2118" spans="2:10" s="1" customFormat="1" ht="12.75" x14ac:dyDescent="0.2">
      <c r="B2118" s="46"/>
      <c r="C2118" s="59"/>
      <c r="D2118" s="60"/>
      <c r="E2118" s="40"/>
      <c r="F2118" s="40"/>
      <c r="G2118" s="40"/>
      <c r="H2118" s="40"/>
      <c r="I2118" s="40"/>
      <c r="J2118" s="41"/>
    </row>
    <row r="2119" spans="2:10" s="1" customFormat="1" ht="12.75" x14ac:dyDescent="0.2">
      <c r="B2119" s="46"/>
      <c r="C2119" s="59"/>
      <c r="D2119" s="60"/>
      <c r="E2119" s="40"/>
      <c r="F2119" s="40"/>
      <c r="G2119" s="40"/>
      <c r="H2119" s="40"/>
      <c r="I2119" s="40"/>
      <c r="J2119" s="41"/>
    </row>
    <row r="2120" spans="2:10" s="1" customFormat="1" ht="12.75" x14ac:dyDescent="0.2">
      <c r="B2120" s="46"/>
      <c r="C2120" s="59"/>
      <c r="D2120" s="60"/>
      <c r="E2120" s="40"/>
      <c r="F2120" s="40"/>
      <c r="G2120" s="40"/>
      <c r="H2120" s="40"/>
      <c r="I2120" s="40"/>
      <c r="J2120" s="41"/>
    </row>
    <row r="2121" spans="2:10" s="1" customFormat="1" ht="12.75" x14ac:dyDescent="0.2">
      <c r="B2121" s="46"/>
      <c r="C2121" s="59"/>
      <c r="D2121" s="60"/>
      <c r="E2121" s="40"/>
      <c r="F2121" s="40"/>
      <c r="G2121" s="40"/>
      <c r="H2121" s="40"/>
      <c r="I2121" s="40"/>
      <c r="J2121" s="41"/>
    </row>
    <row r="2122" spans="2:10" s="1" customFormat="1" ht="12.75" x14ac:dyDescent="0.2">
      <c r="B2122" s="46"/>
      <c r="C2122" s="59"/>
      <c r="D2122" s="60"/>
      <c r="E2122" s="40"/>
      <c r="F2122" s="40"/>
      <c r="G2122" s="40"/>
      <c r="H2122" s="40"/>
      <c r="I2122" s="40"/>
      <c r="J2122" s="41"/>
    </row>
    <row r="2123" spans="2:10" s="1" customFormat="1" ht="12.75" x14ac:dyDescent="0.2">
      <c r="B2123" s="46"/>
      <c r="C2123" s="59"/>
      <c r="D2123" s="60"/>
      <c r="E2123" s="40"/>
      <c r="F2123" s="40"/>
      <c r="G2123" s="40"/>
      <c r="H2123" s="40"/>
      <c r="I2123" s="40"/>
      <c r="J2123" s="41"/>
    </row>
    <row r="2124" spans="2:10" s="1" customFormat="1" ht="12.75" x14ac:dyDescent="0.2">
      <c r="B2124" s="46"/>
      <c r="C2124" s="59"/>
      <c r="D2124" s="60"/>
      <c r="E2124" s="40"/>
      <c r="F2124" s="40"/>
      <c r="G2124" s="40"/>
      <c r="H2124" s="40"/>
      <c r="I2124" s="40"/>
      <c r="J2124" s="41"/>
    </row>
    <row r="2125" spans="2:10" s="1" customFormat="1" ht="12.75" x14ac:dyDescent="0.2">
      <c r="B2125" s="46"/>
      <c r="C2125" s="59"/>
      <c r="D2125" s="60"/>
      <c r="E2125" s="40"/>
      <c r="F2125" s="40"/>
      <c r="G2125" s="40"/>
      <c r="H2125" s="40"/>
      <c r="I2125" s="40"/>
      <c r="J2125" s="41"/>
    </row>
    <row r="2126" spans="2:10" s="1" customFormat="1" ht="12.75" x14ac:dyDescent="0.2">
      <c r="B2126" s="46"/>
      <c r="C2126" s="59"/>
      <c r="D2126" s="60"/>
      <c r="E2126" s="40"/>
      <c r="F2126" s="40"/>
      <c r="G2126" s="40"/>
      <c r="H2126" s="40"/>
      <c r="I2126" s="40"/>
      <c r="J2126" s="41"/>
    </row>
    <row r="2127" spans="2:10" s="1" customFormat="1" ht="12.75" x14ac:dyDescent="0.2">
      <c r="B2127" s="46"/>
      <c r="C2127" s="59"/>
      <c r="D2127" s="60"/>
      <c r="E2127" s="40"/>
      <c r="F2127" s="40"/>
      <c r="G2127" s="40"/>
      <c r="H2127" s="40"/>
      <c r="I2127" s="40"/>
      <c r="J2127" s="41"/>
    </row>
    <row r="2128" spans="2:10" s="1" customFormat="1" ht="12.75" x14ac:dyDescent="0.2">
      <c r="B2128" s="46"/>
      <c r="C2128" s="59"/>
      <c r="D2128" s="60"/>
      <c r="E2128" s="40"/>
      <c r="F2128" s="40"/>
      <c r="G2128" s="40"/>
      <c r="H2128" s="40"/>
      <c r="I2128" s="40"/>
      <c r="J2128" s="41"/>
    </row>
    <row r="2129" spans="2:10" s="1" customFormat="1" ht="12.75" x14ac:dyDescent="0.2">
      <c r="B2129" s="46"/>
      <c r="C2129" s="59"/>
      <c r="D2129" s="60"/>
      <c r="E2129" s="40"/>
      <c r="F2129" s="40"/>
      <c r="G2129" s="40"/>
      <c r="H2129" s="40"/>
      <c r="I2129" s="40"/>
      <c r="J2129" s="41"/>
    </row>
    <row r="2130" spans="2:10" s="1" customFormat="1" ht="12.75" x14ac:dyDescent="0.2">
      <c r="B2130" s="46"/>
      <c r="C2130" s="59"/>
      <c r="D2130" s="60"/>
      <c r="E2130" s="40"/>
      <c r="F2130" s="40"/>
      <c r="G2130" s="40"/>
      <c r="H2130" s="40"/>
      <c r="I2130" s="40"/>
      <c r="J2130" s="41"/>
    </row>
    <row r="2131" spans="2:10" s="1" customFormat="1" ht="12.75" x14ac:dyDescent="0.2">
      <c r="B2131" s="46"/>
      <c r="C2131" s="59"/>
      <c r="D2131" s="60"/>
      <c r="E2131" s="40"/>
      <c r="F2131" s="40"/>
      <c r="G2131" s="40"/>
      <c r="H2131" s="40"/>
      <c r="I2131" s="40"/>
      <c r="J2131" s="41"/>
    </row>
    <row r="2132" spans="2:10" s="1" customFormat="1" ht="12.75" x14ac:dyDescent="0.2">
      <c r="B2132" s="46"/>
      <c r="C2132" s="59"/>
      <c r="D2132" s="60"/>
      <c r="E2132" s="40"/>
      <c r="F2132" s="40"/>
      <c r="G2132" s="40"/>
      <c r="H2132" s="40"/>
      <c r="I2132" s="40"/>
      <c r="J2132" s="41"/>
    </row>
    <row r="2133" spans="2:10" s="1" customFormat="1" ht="12.75" x14ac:dyDescent="0.2">
      <c r="B2133" s="46"/>
      <c r="C2133" s="59"/>
      <c r="D2133" s="60"/>
      <c r="E2133" s="40"/>
      <c r="F2133" s="40"/>
      <c r="G2133" s="40"/>
      <c r="H2133" s="40"/>
      <c r="I2133" s="40"/>
      <c r="J2133" s="41"/>
    </row>
    <row r="2134" spans="2:10" s="1" customFormat="1" ht="12.75" x14ac:dyDescent="0.2">
      <c r="B2134" s="46"/>
      <c r="C2134" s="59"/>
      <c r="D2134" s="60"/>
      <c r="E2134" s="40"/>
      <c r="F2134" s="40"/>
      <c r="G2134" s="40"/>
      <c r="H2134" s="40"/>
      <c r="I2134" s="40"/>
      <c r="J2134" s="41"/>
    </row>
    <row r="2135" spans="2:10" s="1" customFormat="1" ht="12.75" x14ac:dyDescent="0.2">
      <c r="B2135" s="46"/>
      <c r="C2135" s="59"/>
      <c r="D2135" s="60"/>
      <c r="E2135" s="40"/>
      <c r="F2135" s="40"/>
      <c r="G2135" s="40"/>
      <c r="H2135" s="40"/>
      <c r="I2135" s="40"/>
      <c r="J2135" s="41"/>
    </row>
    <row r="2136" spans="2:10" s="1" customFormat="1" ht="12.75" x14ac:dyDescent="0.2">
      <c r="B2136" s="46"/>
      <c r="C2136" s="59"/>
      <c r="D2136" s="60"/>
      <c r="E2136" s="40"/>
      <c r="F2136" s="40"/>
      <c r="G2136" s="40"/>
      <c r="H2136" s="40"/>
      <c r="I2136" s="40"/>
      <c r="J2136" s="41"/>
    </row>
    <row r="2137" spans="2:10" s="1" customFormat="1" ht="12.75" x14ac:dyDescent="0.2">
      <c r="B2137" s="46"/>
      <c r="C2137" s="59"/>
      <c r="D2137" s="60"/>
      <c r="E2137" s="40"/>
      <c r="F2137" s="40"/>
      <c r="G2137" s="40"/>
      <c r="H2137" s="40"/>
      <c r="I2137" s="40"/>
      <c r="J2137" s="41"/>
    </row>
    <row r="2138" spans="2:10" s="1" customFormat="1" ht="12.75" x14ac:dyDescent="0.2">
      <c r="B2138" s="46"/>
      <c r="C2138" s="59"/>
      <c r="D2138" s="60"/>
      <c r="E2138" s="40"/>
      <c r="F2138" s="40"/>
      <c r="G2138" s="40"/>
      <c r="H2138" s="40"/>
      <c r="I2138" s="40"/>
      <c r="J2138" s="41"/>
    </row>
    <row r="2139" spans="2:10" s="1" customFormat="1" ht="12.75" x14ac:dyDescent="0.2">
      <c r="B2139" s="46"/>
      <c r="C2139" s="59"/>
      <c r="D2139" s="60"/>
      <c r="E2139" s="40"/>
      <c r="F2139" s="40"/>
      <c r="G2139" s="40"/>
      <c r="H2139" s="40"/>
      <c r="I2139" s="40"/>
      <c r="J2139" s="41"/>
    </row>
    <row r="2140" spans="2:10" s="1" customFormat="1" ht="12.75" x14ac:dyDescent="0.2">
      <c r="B2140" s="46"/>
      <c r="C2140" s="59"/>
      <c r="D2140" s="60"/>
      <c r="E2140" s="40"/>
      <c r="F2140" s="40"/>
      <c r="G2140" s="40"/>
      <c r="H2140" s="40"/>
      <c r="I2140" s="40"/>
      <c r="J2140" s="41"/>
    </row>
    <row r="2141" spans="2:10" s="1" customFormat="1" ht="12.75" x14ac:dyDescent="0.2">
      <c r="B2141" s="46"/>
      <c r="C2141" s="59"/>
      <c r="D2141" s="60"/>
      <c r="E2141" s="40"/>
      <c r="F2141" s="40"/>
      <c r="G2141" s="40"/>
      <c r="H2141" s="40"/>
      <c r="I2141" s="40"/>
      <c r="J2141" s="41"/>
    </row>
    <row r="2142" spans="2:10" s="1" customFormat="1" ht="12.75" x14ac:dyDescent="0.2">
      <c r="B2142" s="46"/>
      <c r="C2142" s="59"/>
      <c r="D2142" s="60"/>
      <c r="E2142" s="40"/>
      <c r="F2142" s="40"/>
      <c r="G2142" s="40"/>
      <c r="H2142" s="40"/>
      <c r="I2142" s="40"/>
      <c r="J2142" s="41"/>
    </row>
    <row r="2143" spans="2:10" s="1" customFormat="1" ht="12.75" x14ac:dyDescent="0.2">
      <c r="B2143" s="46"/>
      <c r="C2143" s="59"/>
      <c r="D2143" s="60"/>
      <c r="E2143" s="40"/>
      <c r="F2143" s="40"/>
      <c r="G2143" s="40"/>
      <c r="H2143" s="40"/>
      <c r="I2143" s="40"/>
      <c r="J2143" s="41"/>
    </row>
    <row r="2144" spans="2:10" s="1" customFormat="1" ht="12.75" x14ac:dyDescent="0.2">
      <c r="B2144" s="46"/>
      <c r="C2144" s="59"/>
      <c r="D2144" s="60"/>
      <c r="E2144" s="40"/>
      <c r="F2144" s="40"/>
      <c r="G2144" s="40"/>
      <c r="H2144" s="40"/>
      <c r="I2144" s="40"/>
      <c r="J2144" s="41"/>
    </row>
    <row r="2145" spans="2:10" s="1" customFormat="1" ht="12.75" x14ac:dyDescent="0.2">
      <c r="B2145" s="46"/>
      <c r="C2145" s="59"/>
      <c r="D2145" s="60"/>
      <c r="E2145" s="40"/>
      <c r="F2145" s="40"/>
      <c r="G2145" s="40"/>
      <c r="H2145" s="40"/>
      <c r="I2145" s="40"/>
      <c r="J2145" s="41"/>
    </row>
    <row r="2146" spans="2:10" s="1" customFormat="1" ht="12.75" x14ac:dyDescent="0.2">
      <c r="B2146" s="46"/>
      <c r="C2146" s="59"/>
      <c r="D2146" s="60"/>
      <c r="E2146" s="40"/>
      <c r="F2146" s="40"/>
      <c r="G2146" s="40"/>
      <c r="H2146" s="40"/>
      <c r="I2146" s="40"/>
      <c r="J2146" s="41"/>
    </row>
    <row r="2147" spans="2:10" s="1" customFormat="1" ht="12.75" x14ac:dyDescent="0.2">
      <c r="B2147" s="46"/>
      <c r="C2147" s="59"/>
      <c r="D2147" s="60"/>
      <c r="E2147" s="40"/>
      <c r="F2147" s="40"/>
      <c r="G2147" s="40"/>
      <c r="H2147" s="40"/>
      <c r="I2147" s="40"/>
      <c r="J2147" s="41"/>
    </row>
    <row r="2148" spans="2:10" s="1" customFormat="1" ht="12.75" x14ac:dyDescent="0.2">
      <c r="B2148" s="46"/>
      <c r="C2148" s="59"/>
      <c r="D2148" s="60"/>
      <c r="E2148" s="40"/>
      <c r="F2148" s="40"/>
      <c r="G2148" s="40"/>
      <c r="H2148" s="40"/>
      <c r="I2148" s="40"/>
      <c r="J2148" s="41"/>
    </row>
    <row r="2149" spans="2:10" s="1" customFormat="1" ht="12.75" x14ac:dyDescent="0.2">
      <c r="C2149" s="499" t="s">
        <v>37</v>
      </c>
      <c r="D2149" s="499"/>
      <c r="E2149" s="499"/>
      <c r="F2149" s="499"/>
      <c r="G2149" s="499"/>
      <c r="H2149" s="499"/>
    </row>
    <row r="2150" spans="2:10" s="1" customFormat="1" ht="12.75" x14ac:dyDescent="0.2">
      <c r="C2150" s="499" t="s">
        <v>38</v>
      </c>
      <c r="D2150" s="499"/>
      <c r="E2150" s="499"/>
      <c r="F2150" s="499"/>
      <c r="G2150" s="499"/>
      <c r="H2150" s="499"/>
    </row>
    <row r="2151" spans="2:10" s="1" customFormat="1" ht="12.75" x14ac:dyDescent="0.2">
      <c r="C2151" s="499" t="s">
        <v>39</v>
      </c>
      <c r="D2151" s="499"/>
      <c r="E2151" s="499"/>
      <c r="F2151" s="499"/>
      <c r="G2151" s="499"/>
      <c r="H2151" s="499"/>
    </row>
    <row r="2152" spans="2:10" s="1" customFormat="1" ht="12.75" x14ac:dyDescent="0.2">
      <c r="C2152" s="500" t="s">
        <v>40</v>
      </c>
      <c r="D2152" s="500"/>
      <c r="E2152" s="500"/>
      <c r="F2152" s="500"/>
      <c r="G2152" s="500"/>
      <c r="H2152" s="500"/>
    </row>
    <row r="2153" spans="2:10" s="1" customFormat="1" ht="12.75" x14ac:dyDescent="0.2">
      <c r="C2153" s="78"/>
      <c r="D2153" s="78"/>
      <c r="E2153" s="78"/>
      <c r="F2153" s="78"/>
      <c r="G2153" s="78"/>
      <c r="H2153" s="78"/>
    </row>
    <row r="2154" spans="2:10" s="1" customFormat="1" ht="15.75" x14ac:dyDescent="0.2">
      <c r="B2154" s="501" t="s">
        <v>65</v>
      </c>
      <c r="C2154" s="502"/>
      <c r="D2154" s="502"/>
      <c r="E2154" s="502"/>
      <c r="F2154" s="502"/>
      <c r="G2154" s="502"/>
      <c r="H2154" s="502"/>
      <c r="I2154" s="502"/>
      <c r="J2154" s="503"/>
    </row>
    <row r="2155" spans="2:10" s="1" customFormat="1" ht="20.25" x14ac:dyDescent="0.2">
      <c r="B2155" s="543" t="s">
        <v>431</v>
      </c>
      <c r="C2155" s="544"/>
      <c r="D2155" s="544"/>
      <c r="E2155" s="544"/>
      <c r="F2155" s="544"/>
      <c r="G2155" s="544"/>
      <c r="H2155" s="544"/>
      <c r="I2155" s="544"/>
      <c r="J2155" s="545"/>
    </row>
    <row r="2156" spans="2:10" s="1" customFormat="1" ht="13.5" thickBot="1" x14ac:dyDescent="0.25">
      <c r="B2156" s="79"/>
      <c r="C2156" s="79"/>
      <c r="D2156" s="79"/>
      <c r="E2156" s="79"/>
      <c r="F2156" s="79"/>
      <c r="G2156" s="79"/>
      <c r="H2156" s="79"/>
      <c r="I2156" s="79"/>
      <c r="J2156" s="79"/>
    </row>
    <row r="2157" spans="2:10" s="1" customFormat="1" ht="12.75" x14ac:dyDescent="0.2">
      <c r="B2157" s="494" t="s">
        <v>27</v>
      </c>
      <c r="C2157" s="495"/>
      <c r="D2157" s="495"/>
      <c r="E2157" s="495"/>
      <c r="F2157" s="495"/>
      <c r="G2157" s="495"/>
      <c r="H2157" s="495"/>
      <c r="I2157" s="495"/>
      <c r="J2157" s="496"/>
    </row>
    <row r="2158" spans="2:10" s="1" customFormat="1" ht="12.75" x14ac:dyDescent="0.2">
      <c r="B2158" s="2" t="s">
        <v>35</v>
      </c>
      <c r="C2158" s="3" t="s">
        <v>36</v>
      </c>
      <c r="D2158" s="3"/>
      <c r="E2158" s="4"/>
      <c r="F2158" s="5"/>
      <c r="G2158" s="6" t="s">
        <v>8</v>
      </c>
      <c r="H2158" s="497">
        <v>42879</v>
      </c>
      <c r="I2158" s="497"/>
      <c r="J2158" s="7"/>
    </row>
    <row r="2159" spans="2:10" s="1" customFormat="1" ht="12.75" x14ac:dyDescent="0.2">
      <c r="B2159" s="2" t="s">
        <v>33</v>
      </c>
      <c r="C2159" s="3" t="s">
        <v>29</v>
      </c>
      <c r="D2159" s="8"/>
      <c r="E2159" s="8"/>
      <c r="F2159" s="3"/>
      <c r="G2159" s="9" t="s">
        <v>32</v>
      </c>
      <c r="H2159" s="4" t="s">
        <v>29</v>
      </c>
      <c r="I2159" s="10"/>
      <c r="J2159" s="11"/>
    </row>
    <row r="2160" spans="2:10" s="1" customFormat="1" ht="12.75" x14ac:dyDescent="0.2">
      <c r="B2160" s="2" t="s">
        <v>34</v>
      </c>
      <c r="C2160" s="3" t="s">
        <v>29</v>
      </c>
      <c r="D2160" s="8"/>
      <c r="E2160" s="8"/>
      <c r="F2160" s="3"/>
      <c r="G2160" s="9" t="s">
        <v>30</v>
      </c>
      <c r="H2160" s="4" t="s">
        <v>31</v>
      </c>
      <c r="I2160" s="10"/>
      <c r="J2160" s="11"/>
    </row>
    <row r="2161" spans="2:10" s="1" customFormat="1" ht="13.5" thickBot="1" x14ac:dyDescent="0.25">
      <c r="B2161" s="12" t="s">
        <v>43</v>
      </c>
      <c r="C2161" s="13" t="s">
        <v>44</v>
      </c>
      <c r="D2161" s="14"/>
      <c r="E2161" s="14"/>
      <c r="F2161" s="13"/>
      <c r="G2161" s="15" t="s">
        <v>41</v>
      </c>
      <c r="H2161" s="16" t="s">
        <v>42</v>
      </c>
      <c r="I2161" s="17"/>
      <c r="J2161" s="18"/>
    </row>
    <row r="2162" spans="2:10" s="1" customFormat="1" ht="12.75" x14ac:dyDescent="0.2">
      <c r="B2162" s="79"/>
      <c r="C2162" s="79"/>
      <c r="D2162" s="79"/>
      <c r="E2162" s="79"/>
      <c r="F2162" s="79"/>
      <c r="G2162" s="79"/>
      <c r="H2162" s="79"/>
      <c r="I2162" s="79"/>
      <c r="J2162" s="79"/>
    </row>
    <row r="2163" spans="2:10" s="1" customFormat="1" ht="12.75" x14ac:dyDescent="0.2">
      <c r="B2163" s="21" t="s">
        <v>5</v>
      </c>
      <c r="C2163" s="22" t="s">
        <v>0</v>
      </c>
      <c r="D2163" s="22" t="s">
        <v>9</v>
      </c>
      <c r="E2163" s="22" t="s">
        <v>10</v>
      </c>
      <c r="F2163" s="22" t="s">
        <v>1</v>
      </c>
      <c r="G2163" s="22" t="s">
        <v>2</v>
      </c>
      <c r="H2163" s="22" t="s">
        <v>11</v>
      </c>
      <c r="I2163" s="22" t="s">
        <v>6</v>
      </c>
      <c r="J2163" s="22" t="s">
        <v>7</v>
      </c>
    </row>
    <row r="2164" spans="2:10" s="1" customFormat="1" ht="12.75" x14ac:dyDescent="0.2">
      <c r="B2164" s="55">
        <v>4.03</v>
      </c>
      <c r="C2164" s="56" t="s">
        <v>222</v>
      </c>
      <c r="D2164" s="60"/>
      <c r="E2164" s="40"/>
      <c r="F2164" s="40"/>
      <c r="G2164" s="40"/>
      <c r="H2164" s="40"/>
      <c r="I2164" s="40"/>
      <c r="J2164" s="41"/>
    </row>
    <row r="2165" spans="2:10" s="1" customFormat="1" ht="12.75" x14ac:dyDescent="0.2">
      <c r="B2165" s="57" t="s">
        <v>14</v>
      </c>
      <c r="C2165" s="58" t="s">
        <v>225</v>
      </c>
      <c r="D2165" s="60"/>
      <c r="E2165" s="40"/>
      <c r="F2165" s="40"/>
      <c r="G2165" s="40"/>
      <c r="H2165" s="40"/>
      <c r="I2165" s="40"/>
      <c r="J2165" s="41"/>
    </row>
    <row r="2166" spans="2:10" s="1" customFormat="1" ht="12.75" x14ac:dyDescent="0.2">
      <c r="B2166" s="43" t="s">
        <v>15</v>
      </c>
      <c r="C2166" s="43" t="s">
        <v>359</v>
      </c>
      <c r="D2166" s="60"/>
      <c r="E2166" s="40"/>
      <c r="F2166" s="40"/>
      <c r="G2166" s="40"/>
      <c r="H2166" s="40"/>
      <c r="I2166" s="44">
        <f>SUM(H2167:H2167)</f>
        <v>0</v>
      </c>
      <c r="J2166" s="45" t="str">
        <f>+J2167</f>
        <v>ml</v>
      </c>
    </row>
    <row r="2167" spans="2:10" s="1" customFormat="1" ht="12.75" x14ac:dyDescent="0.2">
      <c r="B2167" s="43"/>
      <c r="C2167" s="39" t="s">
        <v>387</v>
      </c>
      <c r="D2167" s="40"/>
      <c r="E2167" s="40"/>
      <c r="F2167" s="40"/>
      <c r="G2167" s="40"/>
      <c r="H2167" s="40">
        <f>IF(AND(F2167=0,G2167=0),D2167*E2167,IF(AND(E2167=0,G2167=0),D2167*F2167,IF(AND(E2167=0,F2167=0),D2167*G2167,IF(AND(E2167=0),D2167*F2167*G2167,IF(AND(F2167=0),D2167*E2167*G2167,IF(AND(G2167=0),D2167*E2167*F2167,D2167*E2167*F2167*G2167))))))</f>
        <v>0</v>
      </c>
      <c r="I2167" s="40"/>
      <c r="J2167" s="41" t="str">
        <f>IF(AND(E2167=0,F2167&lt;&gt;0,G2167&lt;&gt;0),"m2",IF(AND(F2167=0,E2167&lt;&gt;0,G2167&lt;&gt;0),"m2",IF(AND(G2167=0,E2167&lt;&gt;0,F2167&lt;&gt;0),"m2",IF(AND(F2167=0,G2167=0),"ml",IF(AND(E2167=0,G2167=0),"ml",IF(AND(E2167=0,F2167=0),"ml",IF(AND(E2167&lt;&gt;0,F2167&lt;&gt;0,G2167&lt;&gt;0),"m3",0)))))))</f>
        <v>ml</v>
      </c>
    </row>
    <row r="2168" spans="2:10" s="1" customFormat="1" ht="12.75" x14ac:dyDescent="0.2">
      <c r="B2168" s="43"/>
      <c r="C2168" s="39"/>
      <c r="D2168" s="40"/>
      <c r="E2168" s="40"/>
      <c r="F2168" s="40"/>
      <c r="G2168" s="40"/>
      <c r="H2168" s="40">
        <f>IF(AND(F2168=0,G2168=0),D2168*E2168,IF(AND(E2168=0,G2168=0),D2168*F2168,IF(AND(E2168=0,F2168=0),D2168*G2168,IF(AND(E2168=0),D2168*F2168*G2168,IF(AND(F2168=0),D2168*E2168*G2168,IF(AND(G2168=0),D2168*E2168*F2168,D2168*E2168*F2168*G2168))))))</f>
        <v>0</v>
      </c>
      <c r="I2168" s="40"/>
      <c r="J2168" s="41" t="str">
        <f>IF(AND(E2168=0,F2168&lt;&gt;0,G2168&lt;&gt;0),"m2",IF(AND(F2168=0,E2168&lt;&gt;0,G2168&lt;&gt;0),"m2",IF(AND(G2168=0,E2168&lt;&gt;0,F2168&lt;&gt;0),"m2",IF(AND(F2168=0,G2168=0),"ml",IF(AND(E2168=0,G2168=0),"ml",IF(AND(E2168=0,F2168=0),"ml",IF(AND(E2168&lt;&gt;0,F2168&lt;&gt;0,G2168&lt;&gt;0),"m3",0)))))))</f>
        <v>ml</v>
      </c>
    </row>
    <row r="2169" spans="2:10" s="1" customFormat="1" ht="12.75" x14ac:dyDescent="0.2">
      <c r="B2169" s="43" t="s">
        <v>232</v>
      </c>
      <c r="C2169" s="43" t="s">
        <v>235</v>
      </c>
      <c r="D2169" s="60"/>
      <c r="E2169" s="40"/>
      <c r="F2169" s="40"/>
      <c r="G2169" s="40"/>
      <c r="H2169" s="40"/>
      <c r="I2169" s="44">
        <f>SUM(H2170:H2170)</f>
        <v>9</v>
      </c>
      <c r="J2169" s="45" t="str">
        <f>+J2170</f>
        <v>ml</v>
      </c>
    </row>
    <row r="2170" spans="2:10" s="1" customFormat="1" ht="12.75" x14ac:dyDescent="0.2">
      <c r="B2170" s="57"/>
      <c r="C2170" s="39" t="s">
        <v>378</v>
      </c>
      <c r="D2170" s="40">
        <v>2</v>
      </c>
      <c r="E2170" s="40">
        <v>4.5</v>
      </c>
      <c r="F2170" s="40"/>
      <c r="G2170" s="40"/>
      <c r="H2170" s="40">
        <f>IF(AND(F2170=0,G2170=0),D2170*E2170,IF(AND(E2170=0,G2170=0),D2170*F2170,IF(AND(E2170=0,F2170=0),D2170*G2170,IF(AND(E2170=0),D2170*F2170*G2170,IF(AND(F2170=0),D2170*E2170*G2170,IF(AND(G2170=0),D2170*E2170*F2170,D2170*E2170*F2170*G2170))))))</f>
        <v>9</v>
      </c>
      <c r="I2170" s="40"/>
      <c r="J2170" s="41" t="str">
        <f>IF(AND(E2170=0,F2170&lt;&gt;0,G2170&lt;&gt;0),"m2",IF(AND(F2170=0,E2170&lt;&gt;0,G2170&lt;&gt;0),"m2",IF(AND(G2170=0,E2170&lt;&gt;0,F2170&lt;&gt;0),"m2",IF(AND(F2170=0,G2170=0),"ml",IF(AND(E2170=0,G2170=0),"ml",IF(AND(E2170=0,F2170=0),"ml",IF(AND(E2170&lt;&gt;0,F2170&lt;&gt;0,G2170&lt;&gt;0),"m3",0)))))))</f>
        <v>ml</v>
      </c>
    </row>
    <row r="2171" spans="2:10" s="1" customFormat="1" ht="12.75" x14ac:dyDescent="0.2">
      <c r="B2171" s="57"/>
      <c r="C2171" s="39" t="s">
        <v>379</v>
      </c>
      <c r="D2171" s="40">
        <v>1</v>
      </c>
      <c r="E2171" s="40">
        <v>14</v>
      </c>
      <c r="F2171" s="40"/>
      <c r="G2171" s="40"/>
      <c r="H2171" s="40">
        <f>IF(AND(F2171=0,G2171=0),D2171*E2171,IF(AND(E2171=0,G2171=0),D2171*F2171,IF(AND(E2171=0,F2171=0),D2171*G2171,IF(AND(E2171=0),D2171*F2171*G2171,IF(AND(F2171=0),D2171*E2171*G2171,IF(AND(G2171=0),D2171*E2171*F2171,D2171*E2171*F2171*G2171))))))</f>
        <v>14</v>
      </c>
      <c r="I2171" s="40"/>
      <c r="J2171" s="41" t="str">
        <f>IF(AND(E2171=0,F2171&lt;&gt;0,G2171&lt;&gt;0),"m2",IF(AND(F2171=0,E2171&lt;&gt;0,G2171&lt;&gt;0),"m2",IF(AND(G2171=0,E2171&lt;&gt;0,F2171&lt;&gt;0),"m2",IF(AND(F2171=0,G2171=0),"ml",IF(AND(E2171=0,G2171=0),"ml",IF(AND(E2171=0,F2171=0),"ml",IF(AND(E2171&lt;&gt;0,F2171&lt;&gt;0,G2171&lt;&gt;0),"m3",0)))))))</f>
        <v>ml</v>
      </c>
    </row>
    <row r="2172" spans="2:10" s="1" customFormat="1" ht="12.75" x14ac:dyDescent="0.2">
      <c r="B2172" s="43" t="s">
        <v>233</v>
      </c>
      <c r="C2172" s="43" t="s">
        <v>236</v>
      </c>
      <c r="D2172" s="60"/>
      <c r="E2172" s="40"/>
      <c r="F2172" s="40"/>
      <c r="G2172" s="40"/>
      <c r="H2172" s="40"/>
      <c r="I2172" s="44">
        <f>SUM(H2173:H2173)</f>
        <v>0</v>
      </c>
      <c r="J2172" s="45" t="str">
        <f>+J2173</f>
        <v>ml</v>
      </c>
    </row>
    <row r="2173" spans="2:10" s="1" customFormat="1" ht="12.75" x14ac:dyDescent="0.2">
      <c r="B2173" s="57"/>
      <c r="C2173" s="39" t="s">
        <v>378</v>
      </c>
      <c r="D2173" s="40"/>
      <c r="E2173" s="40"/>
      <c r="F2173" s="40"/>
      <c r="G2173" s="40"/>
      <c r="H2173" s="40">
        <f>IF(AND(F2173=0,G2173=0),D2173*E2173,IF(AND(E2173=0,G2173=0),D2173*F2173,IF(AND(E2173=0,F2173=0),D2173*G2173,IF(AND(E2173=0),D2173*F2173*G2173,IF(AND(F2173=0),D2173*E2173*G2173,IF(AND(G2173=0),D2173*E2173*F2173,D2173*E2173*F2173*G2173))))))</f>
        <v>0</v>
      </c>
      <c r="I2173" s="40"/>
      <c r="J2173" s="41" t="str">
        <f>IF(AND(E2173=0,F2173&lt;&gt;0,G2173&lt;&gt;0),"m2",IF(AND(F2173=0,E2173&lt;&gt;0,G2173&lt;&gt;0),"m2",IF(AND(G2173=0,E2173&lt;&gt;0,F2173&lt;&gt;0),"m2",IF(AND(F2173=0,G2173=0),"ml",IF(AND(E2173=0,G2173=0),"ml",IF(AND(E2173=0,F2173=0),"ml",IF(AND(E2173&lt;&gt;0,F2173&lt;&gt;0,G2173&lt;&gt;0),"m3",0)))))))</f>
        <v>ml</v>
      </c>
    </row>
    <row r="2174" spans="2:10" s="1" customFormat="1" ht="12.75" x14ac:dyDescent="0.2">
      <c r="B2174" s="57"/>
      <c r="C2174" s="39" t="s">
        <v>379</v>
      </c>
      <c r="D2174" s="40"/>
      <c r="E2174" s="40"/>
      <c r="F2174" s="40"/>
      <c r="G2174" s="40"/>
      <c r="H2174" s="40">
        <f>IF(AND(F2174=0,G2174=0),D2174*E2174,IF(AND(E2174=0,G2174=0),D2174*F2174,IF(AND(E2174=0,F2174=0),D2174*G2174,IF(AND(E2174=0),D2174*F2174*G2174,IF(AND(F2174=0),D2174*E2174*G2174,IF(AND(G2174=0),D2174*E2174*F2174,D2174*E2174*F2174*G2174))))))</f>
        <v>0</v>
      </c>
      <c r="I2174" s="40"/>
      <c r="J2174" s="41" t="str">
        <f>IF(AND(E2174=0,F2174&lt;&gt;0,G2174&lt;&gt;0),"m2",IF(AND(F2174=0,E2174&lt;&gt;0,G2174&lt;&gt;0),"m2",IF(AND(G2174=0,E2174&lt;&gt;0,F2174&lt;&gt;0),"m2",IF(AND(F2174=0,G2174=0),"ml",IF(AND(E2174=0,G2174=0),"ml",IF(AND(E2174=0,F2174=0),"ml",IF(AND(E2174&lt;&gt;0,F2174&lt;&gt;0,G2174&lt;&gt;0),"m3",0)))))))</f>
        <v>ml</v>
      </c>
    </row>
    <row r="2175" spans="2:10" s="1" customFormat="1" ht="12.75" x14ac:dyDescent="0.2">
      <c r="B2175" s="43" t="s">
        <v>234</v>
      </c>
      <c r="C2175" s="43" t="s">
        <v>267</v>
      </c>
      <c r="D2175" s="60"/>
      <c r="E2175" s="40"/>
      <c r="F2175" s="40"/>
      <c r="G2175" s="40"/>
      <c r="H2175" s="40"/>
      <c r="I2175" s="44">
        <f>SUM(H2177:H2182)</f>
        <v>25.5</v>
      </c>
      <c r="J2175" s="45" t="str">
        <f>+J2177</f>
        <v>ml</v>
      </c>
    </row>
    <row r="2176" spans="2:10" s="1" customFormat="1" ht="12.75" x14ac:dyDescent="0.2">
      <c r="B2176" s="43"/>
      <c r="C2176" s="77" t="s">
        <v>71</v>
      </c>
      <c r="D2176" s="60"/>
      <c r="E2176" s="40"/>
      <c r="F2176" s="40"/>
      <c r="G2176" s="40"/>
      <c r="H2176" s="40"/>
      <c r="I2176" s="44"/>
      <c r="J2176" s="45"/>
    </row>
    <row r="2177" spans="2:10" s="1" customFormat="1" ht="12.75" x14ac:dyDescent="0.2">
      <c r="B2177" s="43"/>
      <c r="C2177" s="39" t="s">
        <v>349</v>
      </c>
      <c r="D2177" s="40">
        <v>2</v>
      </c>
      <c r="E2177" s="40">
        <v>3.25</v>
      </c>
      <c r="F2177" s="40"/>
      <c r="G2177" s="40"/>
      <c r="H2177" s="40">
        <f t="shared" ref="H2177:H2182" si="113">IF(AND(F2177=0,G2177=0),D2177*E2177,IF(AND(E2177=0,G2177=0),D2177*F2177,IF(AND(E2177=0,F2177=0),D2177*G2177,IF(AND(E2177=0),D2177*F2177*G2177,IF(AND(F2177=0),D2177*E2177*G2177,IF(AND(G2177=0),D2177*E2177*F2177,D2177*E2177*F2177*G2177))))))</f>
        <v>6.5</v>
      </c>
      <c r="I2177" s="40"/>
      <c r="J2177" s="41" t="str">
        <f t="shared" ref="J2177:J2182" si="114">IF(AND(E2177=0,F2177&lt;&gt;0,G2177&lt;&gt;0),"m2",IF(AND(F2177=0,E2177&lt;&gt;0,G2177&lt;&gt;0),"m2",IF(AND(G2177=0,E2177&lt;&gt;0,F2177&lt;&gt;0),"m2",IF(AND(F2177=0,G2177=0),"ml",IF(AND(E2177=0,G2177=0),"ml",IF(AND(E2177=0,F2177=0),"ml",IF(AND(E2177&lt;&gt;0,F2177&lt;&gt;0,G2177&lt;&gt;0),"m3",0)))))))</f>
        <v>ml</v>
      </c>
    </row>
    <row r="2178" spans="2:10" s="1" customFormat="1" ht="12.75" x14ac:dyDescent="0.2">
      <c r="B2178" s="43"/>
      <c r="C2178" s="39" t="s">
        <v>369</v>
      </c>
      <c r="D2178" s="40">
        <v>2</v>
      </c>
      <c r="E2178" s="40">
        <v>3</v>
      </c>
      <c r="F2178" s="40"/>
      <c r="G2178" s="40"/>
      <c r="H2178" s="40">
        <f t="shared" si="113"/>
        <v>6</v>
      </c>
      <c r="I2178" s="40"/>
      <c r="J2178" s="41" t="str">
        <f t="shared" si="114"/>
        <v>ml</v>
      </c>
    </row>
    <row r="2179" spans="2:10" s="1" customFormat="1" ht="12.75" x14ac:dyDescent="0.2">
      <c r="B2179" s="43"/>
      <c r="C2179" s="77" t="s">
        <v>72</v>
      </c>
      <c r="D2179" s="40"/>
      <c r="E2179" s="40"/>
      <c r="F2179" s="40"/>
      <c r="G2179" s="40"/>
      <c r="H2179" s="40">
        <f t="shared" si="113"/>
        <v>0</v>
      </c>
      <c r="I2179" s="40"/>
      <c r="J2179" s="41" t="str">
        <f t="shared" si="114"/>
        <v>ml</v>
      </c>
    </row>
    <row r="2180" spans="2:10" s="1" customFormat="1" ht="12.75" x14ac:dyDescent="0.2">
      <c r="B2180" s="43"/>
      <c r="C2180" s="39" t="s">
        <v>349</v>
      </c>
      <c r="D2180" s="40">
        <v>2</v>
      </c>
      <c r="E2180" s="40">
        <v>3.25</v>
      </c>
      <c r="F2180" s="40"/>
      <c r="G2180" s="40"/>
      <c r="H2180" s="40">
        <f t="shared" si="113"/>
        <v>6.5</v>
      </c>
      <c r="I2180" s="40"/>
      <c r="J2180" s="41" t="str">
        <f t="shared" si="114"/>
        <v>ml</v>
      </c>
    </row>
    <row r="2181" spans="2:10" s="1" customFormat="1" ht="12.75" x14ac:dyDescent="0.2">
      <c r="B2181" s="43"/>
      <c r="C2181" s="77" t="s">
        <v>73</v>
      </c>
      <c r="D2181" s="40"/>
      <c r="E2181" s="40"/>
      <c r="F2181" s="40"/>
      <c r="G2181" s="40"/>
      <c r="H2181" s="40">
        <f t="shared" si="113"/>
        <v>0</v>
      </c>
      <c r="I2181" s="40"/>
      <c r="J2181" s="41" t="str">
        <f t="shared" si="114"/>
        <v>ml</v>
      </c>
    </row>
    <row r="2182" spans="2:10" s="1" customFormat="1" ht="12.75" x14ac:dyDescent="0.2">
      <c r="B2182" s="43"/>
      <c r="C2182" s="39" t="s">
        <v>349</v>
      </c>
      <c r="D2182" s="40">
        <v>2</v>
      </c>
      <c r="E2182" s="40">
        <v>3.25</v>
      </c>
      <c r="F2182" s="40"/>
      <c r="G2182" s="40"/>
      <c r="H2182" s="40">
        <f t="shared" si="113"/>
        <v>6.5</v>
      </c>
      <c r="I2182" s="40"/>
      <c r="J2182" s="41" t="str">
        <f t="shared" si="114"/>
        <v>ml</v>
      </c>
    </row>
    <row r="2183" spans="2:10" s="1" customFormat="1" ht="12.75" x14ac:dyDescent="0.2">
      <c r="B2183" s="43" t="s">
        <v>268</v>
      </c>
      <c r="C2183" s="43" t="s">
        <v>347</v>
      </c>
      <c r="D2183" s="60"/>
      <c r="E2183" s="40"/>
      <c r="F2183" s="40"/>
      <c r="G2183" s="40"/>
      <c r="H2183" s="40"/>
      <c r="I2183" s="44">
        <f>SUM(H2184:H2190)</f>
        <v>0</v>
      </c>
      <c r="J2183" s="45" t="str">
        <f>+J2184</f>
        <v>ml</v>
      </c>
    </row>
    <row r="2184" spans="2:10" s="1" customFormat="1" ht="12.75" x14ac:dyDescent="0.2">
      <c r="B2184" s="57"/>
      <c r="C2184" s="77" t="s">
        <v>71</v>
      </c>
      <c r="D2184" s="40"/>
      <c r="E2184" s="40"/>
      <c r="F2184" s="40"/>
      <c r="G2184" s="40"/>
      <c r="H2184" s="40">
        <f t="shared" ref="H2184:H2190" si="115">IF(AND(F2184=0,G2184=0),D2184*E2184,IF(AND(E2184=0,G2184=0),D2184*F2184,IF(AND(E2184=0,F2184=0),D2184*G2184,IF(AND(E2184=0),D2184*F2184*G2184,IF(AND(F2184=0),D2184*E2184*G2184,IF(AND(G2184=0),D2184*E2184*F2184,D2184*E2184*F2184*G2184))))))</f>
        <v>0</v>
      </c>
      <c r="I2184" s="40"/>
      <c r="J2184" s="41" t="str">
        <f t="shared" ref="J2184:J2190" si="116">IF(AND(E2184=0,F2184&lt;&gt;0,G2184&lt;&gt;0),"m2",IF(AND(F2184=0,E2184&lt;&gt;0,G2184&lt;&gt;0),"m2",IF(AND(G2184=0,E2184&lt;&gt;0,F2184&lt;&gt;0),"m2",IF(AND(F2184=0,G2184=0),"ml",IF(AND(E2184=0,G2184=0),"ml",IF(AND(E2184=0,F2184=0),"ml",IF(AND(E2184&lt;&gt;0,F2184&lt;&gt;0,G2184&lt;&gt;0),"m3",0)))))))</f>
        <v>ml</v>
      </c>
    </row>
    <row r="2185" spans="2:10" s="1" customFormat="1" ht="12.75" x14ac:dyDescent="0.2">
      <c r="B2185" s="57"/>
      <c r="C2185" s="39" t="s">
        <v>349</v>
      </c>
      <c r="D2185" s="40"/>
      <c r="E2185" s="40"/>
      <c r="F2185" s="40"/>
      <c r="G2185" s="40"/>
      <c r="H2185" s="40">
        <f t="shared" si="115"/>
        <v>0</v>
      </c>
      <c r="I2185" s="40"/>
      <c r="J2185" s="41" t="str">
        <f t="shared" si="116"/>
        <v>ml</v>
      </c>
    </row>
    <row r="2186" spans="2:10" s="1" customFormat="1" ht="12.75" x14ac:dyDescent="0.2">
      <c r="B2186" s="57"/>
      <c r="C2186" s="39" t="s">
        <v>369</v>
      </c>
      <c r="D2186" s="40"/>
      <c r="E2186" s="40"/>
      <c r="F2186" s="40"/>
      <c r="G2186" s="40"/>
      <c r="H2186" s="40">
        <f t="shared" si="115"/>
        <v>0</v>
      </c>
      <c r="I2186" s="40"/>
      <c r="J2186" s="41" t="str">
        <f t="shared" si="116"/>
        <v>ml</v>
      </c>
    </row>
    <row r="2187" spans="2:10" s="1" customFormat="1" ht="12.75" x14ac:dyDescent="0.2">
      <c r="B2187" s="57"/>
      <c r="C2187" s="77" t="s">
        <v>72</v>
      </c>
      <c r="D2187" s="40"/>
      <c r="E2187" s="40"/>
      <c r="F2187" s="40"/>
      <c r="G2187" s="40"/>
      <c r="H2187" s="40">
        <f t="shared" si="115"/>
        <v>0</v>
      </c>
      <c r="I2187" s="40"/>
      <c r="J2187" s="41" t="str">
        <f t="shared" si="116"/>
        <v>ml</v>
      </c>
    </row>
    <row r="2188" spans="2:10" s="1" customFormat="1" ht="12.75" x14ac:dyDescent="0.2">
      <c r="B2188" s="57"/>
      <c r="C2188" s="39" t="s">
        <v>349</v>
      </c>
      <c r="D2188" s="40"/>
      <c r="E2188" s="40"/>
      <c r="F2188" s="40"/>
      <c r="G2188" s="40"/>
      <c r="H2188" s="40">
        <f t="shared" si="115"/>
        <v>0</v>
      </c>
      <c r="I2188" s="40"/>
      <c r="J2188" s="41" t="str">
        <f t="shared" si="116"/>
        <v>ml</v>
      </c>
    </row>
    <row r="2189" spans="2:10" s="1" customFormat="1" ht="12.75" x14ac:dyDescent="0.2">
      <c r="B2189" s="57"/>
      <c r="C2189" s="77" t="s">
        <v>73</v>
      </c>
      <c r="D2189" s="40"/>
      <c r="E2189" s="40"/>
      <c r="F2189" s="40"/>
      <c r="G2189" s="40"/>
      <c r="H2189" s="40">
        <f t="shared" si="115"/>
        <v>0</v>
      </c>
      <c r="I2189" s="40"/>
      <c r="J2189" s="41" t="str">
        <f t="shared" si="116"/>
        <v>ml</v>
      </c>
    </row>
    <row r="2190" spans="2:10" s="1" customFormat="1" ht="12.75" x14ac:dyDescent="0.2">
      <c r="B2190" s="57"/>
      <c r="C2190" s="39" t="s">
        <v>349</v>
      </c>
      <c r="D2190" s="40"/>
      <c r="E2190" s="40"/>
      <c r="F2190" s="40"/>
      <c r="G2190" s="40"/>
      <c r="H2190" s="40">
        <f t="shared" si="115"/>
        <v>0</v>
      </c>
      <c r="I2190" s="40"/>
      <c r="J2190" s="41" t="str">
        <f t="shared" si="116"/>
        <v>ml</v>
      </c>
    </row>
    <row r="2191" spans="2:10" s="1" customFormat="1" ht="12.75" x14ac:dyDescent="0.2">
      <c r="B2191" s="43" t="s">
        <v>270</v>
      </c>
      <c r="C2191" s="43" t="s">
        <v>269</v>
      </c>
      <c r="D2191" s="60"/>
      <c r="E2191" s="40"/>
      <c r="F2191" s="40"/>
      <c r="G2191" s="40"/>
      <c r="H2191" s="40"/>
      <c r="I2191" s="44">
        <f>SUM(H2192:H2198)</f>
        <v>0</v>
      </c>
      <c r="J2191" s="45" t="str">
        <f>+J2192</f>
        <v>ml</v>
      </c>
    </row>
    <row r="2192" spans="2:10" s="1" customFormat="1" ht="12.75" x14ac:dyDescent="0.2">
      <c r="B2192" s="43"/>
      <c r="C2192" s="77" t="s">
        <v>71</v>
      </c>
      <c r="D2192" s="40"/>
      <c r="E2192" s="40"/>
      <c r="F2192" s="40"/>
      <c r="G2192" s="40"/>
      <c r="H2192" s="40">
        <f t="shared" ref="H2192:H2198" si="117">IF(AND(F2192=0,G2192=0),D2192*E2192,IF(AND(E2192=0,G2192=0),D2192*F2192,IF(AND(E2192=0,F2192=0),D2192*G2192,IF(AND(E2192=0),D2192*F2192*G2192,IF(AND(F2192=0),D2192*E2192*G2192,IF(AND(G2192=0),D2192*E2192*F2192,D2192*E2192*F2192*G2192))))))</f>
        <v>0</v>
      </c>
      <c r="I2192" s="40"/>
      <c r="J2192" s="41" t="str">
        <f t="shared" ref="J2192:J2198" si="118">IF(AND(E2192=0,F2192&lt;&gt;0,G2192&lt;&gt;0),"m2",IF(AND(F2192=0,E2192&lt;&gt;0,G2192&lt;&gt;0),"m2",IF(AND(G2192=0,E2192&lt;&gt;0,F2192&lt;&gt;0),"m2",IF(AND(F2192=0,G2192=0),"ml",IF(AND(E2192=0,G2192=0),"ml",IF(AND(E2192=0,F2192=0),"ml",IF(AND(E2192&lt;&gt;0,F2192&lt;&gt;0,G2192&lt;&gt;0),"m3",0)))))))</f>
        <v>ml</v>
      </c>
    </row>
    <row r="2193" spans="2:10" s="1" customFormat="1" ht="12.75" x14ac:dyDescent="0.2">
      <c r="B2193" s="43"/>
      <c r="C2193" s="39" t="s">
        <v>349</v>
      </c>
      <c r="D2193" s="40"/>
      <c r="E2193" s="40"/>
      <c r="F2193" s="40"/>
      <c r="G2193" s="40"/>
      <c r="H2193" s="40">
        <f t="shared" si="117"/>
        <v>0</v>
      </c>
      <c r="I2193" s="40"/>
      <c r="J2193" s="41" t="str">
        <f t="shared" si="118"/>
        <v>ml</v>
      </c>
    </row>
    <row r="2194" spans="2:10" s="1" customFormat="1" ht="12.75" x14ac:dyDescent="0.2">
      <c r="B2194" s="43"/>
      <c r="C2194" s="39" t="s">
        <v>369</v>
      </c>
      <c r="D2194" s="40"/>
      <c r="E2194" s="40"/>
      <c r="F2194" s="40"/>
      <c r="G2194" s="40"/>
      <c r="H2194" s="40">
        <f t="shared" si="117"/>
        <v>0</v>
      </c>
      <c r="I2194" s="40"/>
      <c r="J2194" s="41" t="str">
        <f t="shared" si="118"/>
        <v>ml</v>
      </c>
    </row>
    <row r="2195" spans="2:10" s="1" customFormat="1" ht="12.75" x14ac:dyDescent="0.2">
      <c r="B2195" s="43"/>
      <c r="C2195" s="77" t="s">
        <v>72</v>
      </c>
      <c r="D2195" s="40"/>
      <c r="E2195" s="40"/>
      <c r="F2195" s="40"/>
      <c r="G2195" s="40"/>
      <c r="H2195" s="40">
        <f t="shared" si="117"/>
        <v>0</v>
      </c>
      <c r="I2195" s="40"/>
      <c r="J2195" s="41" t="str">
        <f t="shared" si="118"/>
        <v>ml</v>
      </c>
    </row>
    <row r="2196" spans="2:10" s="1" customFormat="1" ht="12.75" x14ac:dyDescent="0.2">
      <c r="B2196" s="43"/>
      <c r="C2196" s="39" t="s">
        <v>349</v>
      </c>
      <c r="D2196" s="40"/>
      <c r="E2196" s="40"/>
      <c r="F2196" s="40"/>
      <c r="G2196" s="40"/>
      <c r="H2196" s="40">
        <f t="shared" si="117"/>
        <v>0</v>
      </c>
      <c r="I2196" s="40"/>
      <c r="J2196" s="41" t="str">
        <f t="shared" si="118"/>
        <v>ml</v>
      </c>
    </row>
    <row r="2197" spans="2:10" s="1" customFormat="1" ht="12.75" x14ac:dyDescent="0.2">
      <c r="B2197" s="43"/>
      <c r="C2197" s="77" t="s">
        <v>73</v>
      </c>
      <c r="D2197" s="40"/>
      <c r="E2197" s="40"/>
      <c r="F2197" s="40"/>
      <c r="G2197" s="40"/>
      <c r="H2197" s="40">
        <f t="shared" si="117"/>
        <v>0</v>
      </c>
      <c r="I2197" s="40"/>
      <c r="J2197" s="41" t="str">
        <f t="shared" si="118"/>
        <v>ml</v>
      </c>
    </row>
    <row r="2198" spans="2:10" s="1" customFormat="1" ht="12.75" x14ac:dyDescent="0.2">
      <c r="B2198" s="43"/>
      <c r="C2198" s="39" t="s">
        <v>349</v>
      </c>
      <c r="D2198" s="40"/>
      <c r="E2198" s="40"/>
      <c r="F2198" s="40"/>
      <c r="G2198" s="40"/>
      <c r="H2198" s="40">
        <f t="shared" si="117"/>
        <v>0</v>
      </c>
      <c r="I2198" s="40"/>
      <c r="J2198" s="41" t="str">
        <f t="shared" si="118"/>
        <v>ml</v>
      </c>
    </row>
    <row r="2199" spans="2:10" s="1" customFormat="1" ht="12.75" x14ac:dyDescent="0.2">
      <c r="B2199" s="43" t="s">
        <v>342</v>
      </c>
      <c r="C2199" s="43" t="s">
        <v>271</v>
      </c>
      <c r="D2199" s="60"/>
      <c r="E2199" s="40"/>
      <c r="F2199" s="40"/>
      <c r="G2199" s="40"/>
      <c r="H2199" s="40"/>
      <c r="I2199" s="44">
        <f>SUM(H2200:H2200)</f>
        <v>0</v>
      </c>
      <c r="J2199" s="45" t="str">
        <f>+J2200</f>
        <v>und</v>
      </c>
    </row>
    <row r="2200" spans="2:10" s="1" customFormat="1" ht="12.75" x14ac:dyDescent="0.2">
      <c r="B2200" s="57"/>
      <c r="C2200" s="39" t="s">
        <v>370</v>
      </c>
      <c r="D2200" s="40"/>
      <c r="E2200" s="40"/>
      <c r="F2200" s="40"/>
      <c r="G2200" s="40"/>
      <c r="H2200" s="40">
        <f>+D2200</f>
        <v>0</v>
      </c>
      <c r="I2200" s="40"/>
      <c r="J2200" s="41" t="s">
        <v>13</v>
      </c>
    </row>
    <row r="2201" spans="2:10" s="1" customFormat="1" ht="12.75" x14ac:dyDescent="0.2">
      <c r="B2201" s="43" t="s">
        <v>346</v>
      </c>
      <c r="C2201" s="43" t="s">
        <v>348</v>
      </c>
      <c r="D2201" s="60"/>
      <c r="E2201" s="40"/>
      <c r="F2201" s="40"/>
      <c r="G2201" s="40"/>
      <c r="H2201" s="40"/>
      <c r="I2201" s="44">
        <f>SUM(H2202:H2202)</f>
        <v>2</v>
      </c>
      <c r="J2201" s="45" t="str">
        <f>+J2202</f>
        <v>und</v>
      </c>
    </row>
    <row r="2202" spans="2:10" s="1" customFormat="1" ht="12.75" x14ac:dyDescent="0.2">
      <c r="B2202" s="57"/>
      <c r="C2202" s="39" t="s">
        <v>349</v>
      </c>
      <c r="D2202" s="40">
        <v>2</v>
      </c>
      <c r="E2202" s="40"/>
      <c r="F2202" s="40"/>
      <c r="G2202" s="40"/>
      <c r="H2202" s="40">
        <f>+D2202</f>
        <v>2</v>
      </c>
      <c r="I2202" s="40"/>
      <c r="J2202" s="41" t="s">
        <v>13</v>
      </c>
    </row>
    <row r="2203" spans="2:10" s="1" customFormat="1" ht="12.75" x14ac:dyDescent="0.2">
      <c r="B2203" s="57" t="s">
        <v>16</v>
      </c>
      <c r="C2203" s="58" t="s">
        <v>224</v>
      </c>
      <c r="D2203" s="60"/>
      <c r="E2203" s="40"/>
      <c r="F2203" s="40"/>
      <c r="G2203" s="40"/>
      <c r="H2203" s="40"/>
      <c r="I2203" s="40"/>
      <c r="J2203" s="41"/>
    </row>
    <row r="2204" spans="2:10" s="1" customFormat="1" ht="12.75" x14ac:dyDescent="0.2">
      <c r="B2204" s="43" t="s">
        <v>17</v>
      </c>
      <c r="C2204" s="43" t="s">
        <v>343</v>
      </c>
      <c r="D2204" s="60"/>
      <c r="E2204" s="40"/>
      <c r="F2204" s="40"/>
      <c r="G2204" s="40"/>
      <c r="H2204" s="40"/>
      <c r="I2204" s="44">
        <f>SUM(H2205:H2206)</f>
        <v>0</v>
      </c>
      <c r="J2204" s="45" t="str">
        <f>+J2205</f>
        <v>ml</v>
      </c>
    </row>
    <row r="2205" spans="2:10" s="1" customFormat="1" ht="12.75" x14ac:dyDescent="0.2">
      <c r="B2205" s="57"/>
      <c r="C2205" s="39" t="s">
        <v>425</v>
      </c>
      <c r="D2205" s="40"/>
      <c r="E2205" s="40"/>
      <c r="F2205" s="40"/>
      <c r="G2205" s="40"/>
      <c r="H2205" s="40">
        <f>IF(AND(F2205=0,G2205=0),D2205*E2205,IF(AND(E2205=0,G2205=0),D2205*F2205,IF(AND(E2205=0,F2205=0),D2205*G2205,IF(AND(E2205=0),D2205*F2205*G2205,IF(AND(F2205=0),D2205*E2205*G2205,IF(AND(G2205=0),D2205*E2205*F2205,D2205*E2205*F2205*G2205))))))</f>
        <v>0</v>
      </c>
      <c r="I2205" s="40"/>
      <c r="J2205" s="41" t="str">
        <f>IF(AND(E2205=0,F2205&lt;&gt;0,G2205&lt;&gt;0),"m2",IF(AND(F2205=0,E2205&lt;&gt;0,G2205&lt;&gt;0),"m2",IF(AND(G2205=0,E2205&lt;&gt;0,F2205&lt;&gt;0),"m2",IF(AND(F2205=0,G2205=0),"ml",IF(AND(E2205=0,G2205=0),"ml",IF(AND(E2205=0,F2205=0),"ml",IF(AND(E2205&lt;&gt;0,F2205&lt;&gt;0,G2205&lt;&gt;0),"m3",0)))))))</f>
        <v>ml</v>
      </c>
    </row>
    <row r="2206" spans="2:10" s="1" customFormat="1" ht="12.75" x14ac:dyDescent="0.2">
      <c r="B2206" s="57"/>
      <c r="C2206" s="39" t="s">
        <v>425</v>
      </c>
      <c r="D2206" s="40"/>
      <c r="E2206" s="40"/>
      <c r="F2206" s="40"/>
      <c r="G2206" s="40"/>
      <c r="H2206" s="40">
        <f>IF(AND(F2206=0,G2206=0),D2206*E2206,IF(AND(E2206=0,G2206=0),D2206*F2206,IF(AND(E2206=0,F2206=0),D2206*G2206,IF(AND(E2206=0),D2206*F2206*G2206,IF(AND(F2206=0),D2206*E2206*G2206,IF(AND(G2206=0),D2206*E2206*F2206,D2206*E2206*F2206*G2206))))))</f>
        <v>0</v>
      </c>
      <c r="I2206" s="40"/>
      <c r="J2206" s="41"/>
    </row>
    <row r="2207" spans="2:10" s="1" customFormat="1" ht="12.75" x14ac:dyDescent="0.2">
      <c r="B2207" s="43" t="s">
        <v>240</v>
      </c>
      <c r="C2207" s="43" t="s">
        <v>237</v>
      </c>
      <c r="D2207" s="60"/>
      <c r="E2207" s="40"/>
      <c r="F2207" s="40"/>
      <c r="G2207" s="40"/>
      <c r="H2207" s="40"/>
      <c r="I2207" s="44">
        <f>SUM(H2208:H2210)</f>
        <v>0</v>
      </c>
      <c r="J2207" s="45" t="str">
        <f>+J2208</f>
        <v>ml</v>
      </c>
    </row>
    <row r="2208" spans="2:10" s="1" customFormat="1" ht="12.75" x14ac:dyDescent="0.2">
      <c r="B2208" s="57"/>
      <c r="C2208" s="39" t="s">
        <v>427</v>
      </c>
      <c r="D2208" s="40"/>
      <c r="E2208" s="40"/>
      <c r="F2208" s="40"/>
      <c r="G2208" s="40"/>
      <c r="H2208" s="40">
        <f>IF(AND(F2208=0,G2208=0),D2208*E2208,IF(AND(E2208=0,G2208=0),D2208*F2208,IF(AND(E2208=0,F2208=0),D2208*G2208,IF(AND(E2208=0),D2208*F2208*G2208,IF(AND(F2208=0),D2208*E2208*G2208,IF(AND(G2208=0),D2208*E2208*F2208,D2208*E2208*F2208*G2208))))))</f>
        <v>0</v>
      </c>
      <c r="I2208" s="40"/>
      <c r="J2208" s="41" t="str">
        <f>IF(AND(E2208=0,F2208&lt;&gt;0,G2208&lt;&gt;0),"m2",IF(AND(F2208=0,E2208&lt;&gt;0,G2208&lt;&gt;0),"m2",IF(AND(G2208=0,E2208&lt;&gt;0,F2208&lt;&gt;0),"m2",IF(AND(F2208=0,G2208=0),"ml",IF(AND(E2208=0,G2208=0),"ml",IF(AND(E2208=0,F2208=0),"ml",IF(AND(E2208&lt;&gt;0,F2208&lt;&gt;0,G2208&lt;&gt;0),"m3",0)))))))</f>
        <v>ml</v>
      </c>
    </row>
    <row r="2209" spans="2:10" s="1" customFormat="1" ht="12.75" x14ac:dyDescent="0.2">
      <c r="B2209" s="57"/>
      <c r="C2209" s="39" t="s">
        <v>428</v>
      </c>
      <c r="D2209" s="40"/>
      <c r="E2209" s="40"/>
      <c r="F2209" s="40"/>
      <c r="G2209" s="40"/>
      <c r="H2209" s="40">
        <f t="shared" ref="H2209:H2210" si="119">IF(AND(F2209=0,G2209=0),D2209*E2209,IF(AND(E2209=0,G2209=0),D2209*F2209,IF(AND(E2209=0,F2209=0),D2209*G2209,IF(AND(E2209=0),D2209*F2209*G2209,IF(AND(F2209=0),D2209*E2209*G2209,IF(AND(G2209=0),D2209*E2209*F2209,D2209*E2209*F2209*G2209))))))</f>
        <v>0</v>
      </c>
      <c r="I2209" s="40"/>
      <c r="J2209" s="41" t="str">
        <f t="shared" ref="J2209:J2210" si="120">IF(AND(E2209=0,F2209&lt;&gt;0,G2209&lt;&gt;0),"m2",IF(AND(F2209=0,E2209&lt;&gt;0,G2209&lt;&gt;0),"m2",IF(AND(G2209=0,E2209&lt;&gt;0,F2209&lt;&gt;0),"m2",IF(AND(F2209=0,G2209=0),"ml",IF(AND(E2209=0,G2209=0),"ml",IF(AND(E2209=0,F2209=0),"ml",IF(AND(E2209&lt;&gt;0,F2209&lt;&gt;0,G2209&lt;&gt;0),"m3",0)))))))</f>
        <v>ml</v>
      </c>
    </row>
    <row r="2210" spans="2:10" s="1" customFormat="1" ht="12.75" x14ac:dyDescent="0.2">
      <c r="B2210" s="57"/>
      <c r="C2210" s="39" t="s">
        <v>429</v>
      </c>
      <c r="D2210" s="40"/>
      <c r="E2210" s="40"/>
      <c r="F2210" s="40"/>
      <c r="G2210" s="40"/>
      <c r="H2210" s="40">
        <f t="shared" si="119"/>
        <v>0</v>
      </c>
      <c r="I2210" s="40"/>
      <c r="J2210" s="41" t="str">
        <f t="shared" si="120"/>
        <v>ml</v>
      </c>
    </row>
    <row r="2211" spans="2:10" s="1" customFormat="1" ht="12.75" x14ac:dyDescent="0.2">
      <c r="B2211" s="43" t="s">
        <v>241</v>
      </c>
      <c r="C2211" s="43" t="s">
        <v>239</v>
      </c>
      <c r="D2211" s="60"/>
      <c r="E2211" s="40"/>
      <c r="F2211" s="40"/>
      <c r="G2211" s="40"/>
      <c r="H2211" s="40"/>
      <c r="I2211" s="44">
        <f>SUM(H2212:H2212)</f>
        <v>0</v>
      </c>
      <c r="J2211" s="45" t="str">
        <f>+J2212</f>
        <v>ml</v>
      </c>
    </row>
    <row r="2212" spans="2:10" s="1" customFormat="1" ht="12.75" x14ac:dyDescent="0.2">
      <c r="B2212" s="57"/>
      <c r="C2212" s="39" t="s">
        <v>400</v>
      </c>
      <c r="D2212" s="40"/>
      <c r="E2212" s="40"/>
      <c r="F2212" s="40"/>
      <c r="G2212" s="40"/>
      <c r="H2212" s="40">
        <f>IF(AND(F2212=0,G2212=0),D2212*E2212,IF(AND(E2212=0,G2212=0),D2212*F2212,IF(AND(E2212=0,F2212=0),D2212*G2212,IF(AND(E2212=0),D2212*F2212*G2212,IF(AND(F2212=0),D2212*E2212*G2212,IF(AND(G2212=0),D2212*E2212*F2212,D2212*E2212*F2212*G2212))))))</f>
        <v>0</v>
      </c>
      <c r="I2212" s="40"/>
      <c r="J2212" s="41" t="str">
        <f>IF(AND(E2212=0,F2212&lt;&gt;0,G2212&lt;&gt;0),"m2",IF(AND(F2212=0,E2212&lt;&gt;0,G2212&lt;&gt;0),"m2",IF(AND(G2212=0,E2212&lt;&gt;0,F2212&lt;&gt;0),"m2",IF(AND(F2212=0,G2212=0),"ml",IF(AND(E2212=0,G2212=0),"ml",IF(AND(E2212=0,F2212=0),"ml",IF(AND(E2212&lt;&gt;0,F2212&lt;&gt;0,G2212&lt;&gt;0),"m3",0)))))))</f>
        <v>ml</v>
      </c>
    </row>
    <row r="2213" spans="2:10" s="1" customFormat="1" ht="12.75" x14ac:dyDescent="0.2">
      <c r="B2213" s="43" t="s">
        <v>243</v>
      </c>
      <c r="C2213" s="43" t="s">
        <v>242</v>
      </c>
      <c r="D2213" s="60"/>
      <c r="E2213" s="40"/>
      <c r="F2213" s="40"/>
      <c r="G2213" s="40"/>
      <c r="H2213" s="40"/>
      <c r="I2213" s="44">
        <f>SUM(H2214:H2214)</f>
        <v>0</v>
      </c>
      <c r="J2213" s="45" t="str">
        <f>+J2214</f>
        <v>ml</v>
      </c>
    </row>
    <row r="2214" spans="2:10" s="1" customFormat="1" ht="12.75" x14ac:dyDescent="0.2">
      <c r="B2214" s="57"/>
      <c r="C2214" s="39" t="s">
        <v>401</v>
      </c>
      <c r="D2214" s="40"/>
      <c r="E2214" s="40"/>
      <c r="F2214" s="40"/>
      <c r="G2214" s="40"/>
      <c r="H2214" s="40">
        <f>IF(AND(F2214=0,G2214=0),D2214*E2214,IF(AND(E2214=0,G2214=0),D2214*F2214,IF(AND(E2214=0,F2214=0),D2214*G2214,IF(AND(E2214=0),D2214*F2214*G2214,IF(AND(F2214=0),D2214*E2214*G2214,IF(AND(G2214=0),D2214*E2214*F2214,D2214*E2214*F2214*G2214))))))</f>
        <v>0</v>
      </c>
      <c r="I2214" s="40"/>
      <c r="J2214" s="41" t="str">
        <f>IF(AND(E2214=0,F2214&lt;&gt;0,G2214&lt;&gt;0),"m2",IF(AND(F2214=0,E2214&lt;&gt;0,G2214&lt;&gt;0),"m2",IF(AND(G2214=0,E2214&lt;&gt;0,F2214&lt;&gt;0),"m2",IF(AND(F2214=0,G2214=0),"ml",IF(AND(E2214=0,G2214=0),"ml",IF(AND(E2214=0,F2214=0),"ml",IF(AND(E2214&lt;&gt;0,F2214&lt;&gt;0,G2214&lt;&gt;0),"m3",0)))))))</f>
        <v>ml</v>
      </c>
    </row>
    <row r="2215" spans="2:10" s="1" customFormat="1" ht="12.75" x14ac:dyDescent="0.2">
      <c r="B2215" s="43" t="s">
        <v>244</v>
      </c>
      <c r="C2215" s="43" t="s">
        <v>245</v>
      </c>
      <c r="D2215" s="60"/>
      <c r="E2215" s="40"/>
      <c r="F2215" s="40"/>
      <c r="G2215" s="40"/>
      <c r="H2215" s="40"/>
      <c r="I2215" s="44">
        <f>SUM(H2216:H2218)</f>
        <v>0</v>
      </c>
      <c r="J2215" s="45" t="str">
        <f>+J2216</f>
        <v>ml</v>
      </c>
    </row>
    <row r="2216" spans="2:10" s="1" customFormat="1" ht="12.75" x14ac:dyDescent="0.2">
      <c r="B2216" s="57"/>
      <c r="C2216" s="39" t="s">
        <v>427</v>
      </c>
      <c r="D2216" s="40"/>
      <c r="E2216" s="40"/>
      <c r="F2216" s="40"/>
      <c r="G2216" s="40"/>
      <c r="H2216" s="40">
        <f>IF(AND(F2216=0,G2216=0),D2216*E2216,IF(AND(E2216=0,G2216=0),D2216*F2216,IF(AND(E2216=0,F2216=0),D2216*G2216,IF(AND(E2216=0),D2216*F2216*G2216,IF(AND(F2216=0),D2216*E2216*G2216,IF(AND(G2216=0),D2216*E2216*F2216,D2216*E2216*F2216*G2216))))))</f>
        <v>0</v>
      </c>
      <c r="I2216" s="40"/>
      <c r="J2216" s="41" t="str">
        <f>IF(AND(E2216=0,F2216&lt;&gt;0,G2216&lt;&gt;0),"m2",IF(AND(F2216=0,E2216&lt;&gt;0,G2216&lt;&gt;0),"m2",IF(AND(G2216=0,E2216&lt;&gt;0,F2216&lt;&gt;0),"m2",IF(AND(F2216=0,G2216=0),"ml",IF(AND(E2216=0,G2216=0),"ml",IF(AND(E2216=0,F2216=0),"ml",IF(AND(E2216&lt;&gt;0,F2216&lt;&gt;0,G2216&lt;&gt;0),"m3",0)))))))</f>
        <v>ml</v>
      </c>
    </row>
    <row r="2217" spans="2:10" s="1" customFormat="1" ht="12.75" x14ac:dyDescent="0.2">
      <c r="B2217" s="57"/>
      <c r="C2217" s="39" t="s">
        <v>428</v>
      </c>
      <c r="D2217" s="40"/>
      <c r="E2217" s="40"/>
      <c r="F2217" s="40"/>
      <c r="G2217" s="40"/>
      <c r="H2217" s="40">
        <f t="shared" ref="H2217:H2218" si="121">IF(AND(F2217=0,G2217=0),D2217*E2217,IF(AND(E2217=0,G2217=0),D2217*F2217,IF(AND(E2217=0,F2217=0),D2217*G2217,IF(AND(E2217=0),D2217*F2217*G2217,IF(AND(F2217=0),D2217*E2217*G2217,IF(AND(G2217=0),D2217*E2217*F2217,D2217*E2217*F2217*G2217))))))</f>
        <v>0</v>
      </c>
      <c r="I2217" s="40"/>
      <c r="J2217" s="41" t="str">
        <f t="shared" ref="J2217:J2218" si="122">IF(AND(E2217=0,F2217&lt;&gt;0,G2217&lt;&gt;0),"m2",IF(AND(F2217=0,E2217&lt;&gt;0,G2217&lt;&gt;0),"m2",IF(AND(G2217=0,E2217&lt;&gt;0,F2217&lt;&gt;0),"m2",IF(AND(F2217=0,G2217=0),"ml",IF(AND(E2217=0,G2217=0),"ml",IF(AND(E2217=0,F2217=0),"ml",IF(AND(E2217&lt;&gt;0,F2217&lt;&gt;0,G2217&lt;&gt;0),"m3",0)))))))</f>
        <v>ml</v>
      </c>
    </row>
    <row r="2218" spans="2:10" s="1" customFormat="1" ht="12.75" x14ac:dyDescent="0.2">
      <c r="B2218" s="57"/>
      <c r="C2218" s="39" t="s">
        <v>429</v>
      </c>
      <c r="D2218" s="40"/>
      <c r="E2218" s="40"/>
      <c r="F2218" s="40"/>
      <c r="G2218" s="40"/>
      <c r="H2218" s="40">
        <f t="shared" si="121"/>
        <v>0</v>
      </c>
      <c r="I2218" s="40"/>
      <c r="J2218" s="41" t="str">
        <f t="shared" si="122"/>
        <v>ml</v>
      </c>
    </row>
    <row r="2219" spans="2:10" s="1" customFormat="1" ht="12.75" x14ac:dyDescent="0.2">
      <c r="B2219" s="43" t="s">
        <v>248</v>
      </c>
      <c r="C2219" s="43" t="s">
        <v>246</v>
      </c>
      <c r="D2219" s="60"/>
      <c r="E2219" s="40"/>
      <c r="F2219" s="40"/>
      <c r="G2219" s="40"/>
      <c r="H2219" s="40"/>
      <c r="I2219" s="44">
        <f>SUM(H2220:H2220)</f>
        <v>0</v>
      </c>
      <c r="J2219" s="45" t="str">
        <f>+J2220</f>
        <v>ml</v>
      </c>
    </row>
    <row r="2220" spans="2:10" s="1" customFormat="1" ht="12.75" x14ac:dyDescent="0.2">
      <c r="B2220" s="57"/>
      <c r="C2220" s="39" t="s">
        <v>238</v>
      </c>
      <c r="D2220" s="40"/>
      <c r="E2220" s="40"/>
      <c r="F2220" s="40"/>
      <c r="G2220" s="40"/>
      <c r="H2220" s="40">
        <f>IF(AND(F2220=0,G2220=0),D2220*E2220,IF(AND(E2220=0,G2220=0),D2220*F2220,IF(AND(E2220=0,F2220=0),D2220*G2220,IF(AND(E2220=0),D2220*F2220*G2220,IF(AND(F2220=0),D2220*E2220*G2220,IF(AND(G2220=0),D2220*E2220*F2220,D2220*E2220*F2220*G2220))))))</f>
        <v>0</v>
      </c>
      <c r="I2220" s="40"/>
      <c r="J2220" s="41" t="str">
        <f>IF(AND(E2220=0,F2220&lt;&gt;0,G2220&lt;&gt;0),"m2",IF(AND(F2220=0,E2220&lt;&gt;0,G2220&lt;&gt;0),"m2",IF(AND(G2220=0,E2220&lt;&gt;0,F2220&lt;&gt;0),"m2",IF(AND(F2220=0,G2220=0),"ml",IF(AND(E2220=0,G2220=0),"ml",IF(AND(E2220=0,F2220=0),"ml",IF(AND(E2220&lt;&gt;0,F2220&lt;&gt;0,G2220&lt;&gt;0),"m3",0)))))))</f>
        <v>ml</v>
      </c>
    </row>
    <row r="2221" spans="2:10" s="1" customFormat="1" ht="12.75" x14ac:dyDescent="0.2">
      <c r="B2221" s="43" t="s">
        <v>249</v>
      </c>
      <c r="C2221" s="43" t="s">
        <v>247</v>
      </c>
      <c r="D2221" s="60"/>
      <c r="E2221" s="40"/>
      <c r="F2221" s="40"/>
      <c r="G2221" s="40"/>
      <c r="H2221" s="40"/>
      <c r="I2221" s="44">
        <f>SUM(H2222:H2222)</f>
        <v>0</v>
      </c>
      <c r="J2221" s="45" t="str">
        <f>+J2222</f>
        <v>ml</v>
      </c>
    </row>
    <row r="2222" spans="2:10" s="1" customFormat="1" ht="12.75" x14ac:dyDescent="0.2">
      <c r="B2222" s="57"/>
      <c r="C2222" s="39" t="s">
        <v>396</v>
      </c>
      <c r="D2222" s="40"/>
      <c r="E2222" s="40"/>
      <c r="F2222" s="40"/>
      <c r="G2222" s="40"/>
      <c r="H2222" s="40">
        <f>IF(AND(F2222=0,G2222=0),D2222*E2222,IF(AND(E2222=0,G2222=0),D2222*F2222,IF(AND(E2222=0,F2222=0),D2222*G2222,IF(AND(E2222=0),D2222*F2222*G2222,IF(AND(F2222=0),D2222*E2222*G2222,IF(AND(G2222=0),D2222*E2222*F2222,D2222*E2222*F2222*G2222))))))</f>
        <v>0</v>
      </c>
      <c r="I2222" s="40"/>
      <c r="J2222" s="41" t="str">
        <f>IF(AND(E2222=0,F2222&lt;&gt;0,G2222&lt;&gt;0),"m2",IF(AND(F2222=0,E2222&lt;&gt;0,G2222&lt;&gt;0),"m2",IF(AND(G2222=0,E2222&lt;&gt;0,F2222&lt;&gt;0),"m2",IF(AND(F2222=0,G2222=0),"ml",IF(AND(E2222=0,G2222=0),"ml",IF(AND(E2222=0,F2222=0),"ml",IF(AND(E2222&lt;&gt;0,F2222&lt;&gt;0,G2222&lt;&gt;0),"m3",0)))))))</f>
        <v>ml</v>
      </c>
    </row>
    <row r="2223" spans="2:10" s="1" customFormat="1" ht="12.75" x14ac:dyDescent="0.2">
      <c r="B2223" s="43" t="s">
        <v>256</v>
      </c>
      <c r="C2223" s="43" t="s">
        <v>226</v>
      </c>
      <c r="D2223" s="60"/>
      <c r="E2223" s="40"/>
      <c r="F2223" s="40"/>
      <c r="G2223" s="40"/>
      <c r="H2223" s="40"/>
      <c r="I2223" s="44">
        <f>SUM(H2224:H2225)</f>
        <v>0</v>
      </c>
      <c r="J2223" s="45" t="str">
        <f>+J2225</f>
        <v>ml</v>
      </c>
    </row>
    <row r="2224" spans="2:10" s="1" customFormat="1" ht="12.75" x14ac:dyDescent="0.2">
      <c r="B2224" s="43"/>
      <c r="C2224" s="39" t="s">
        <v>371</v>
      </c>
      <c r="D2224" s="40"/>
      <c r="E2224" s="40"/>
      <c r="F2224" s="40"/>
      <c r="G2224" s="40"/>
      <c r="H2224" s="40">
        <f t="shared" ref="H2224:H2225" si="123">IF(AND(F2224=0,G2224=0),D2224*E2224,IF(AND(E2224=0,G2224=0),D2224*F2224,IF(AND(E2224=0,F2224=0),D2224*G2224,IF(AND(E2224=0),D2224*F2224*G2224,IF(AND(F2224=0),D2224*E2224*G2224,IF(AND(G2224=0),D2224*E2224*F2224,D2224*E2224*F2224*G2224))))))</f>
        <v>0</v>
      </c>
      <c r="I2224" s="40"/>
      <c r="J2224" s="41" t="str">
        <f t="shared" ref="J2224:J2225" si="124">IF(AND(E2224=0,F2224&lt;&gt;0,G2224&lt;&gt;0),"m2",IF(AND(F2224=0,E2224&lt;&gt;0,G2224&lt;&gt;0),"m2",IF(AND(G2224=0,E2224&lt;&gt;0,F2224&lt;&gt;0),"m2",IF(AND(F2224=0,G2224=0),"ml",IF(AND(E2224=0,G2224=0),"ml",IF(AND(E2224=0,F2224=0),"ml",IF(AND(E2224&lt;&gt;0,F2224&lt;&gt;0,G2224&lt;&gt;0),"m3",0)))))))</f>
        <v>ml</v>
      </c>
    </row>
    <row r="2225" spans="2:10" s="1" customFormat="1" ht="12.75" x14ac:dyDescent="0.2">
      <c r="B2225" s="57"/>
      <c r="C2225" s="39" t="s">
        <v>371</v>
      </c>
      <c r="D2225" s="40"/>
      <c r="E2225" s="40"/>
      <c r="F2225" s="40"/>
      <c r="G2225" s="40"/>
      <c r="H2225" s="40">
        <f t="shared" si="123"/>
        <v>0</v>
      </c>
      <c r="I2225" s="40"/>
      <c r="J2225" s="41" t="str">
        <f t="shared" si="124"/>
        <v>ml</v>
      </c>
    </row>
    <row r="2226" spans="2:10" s="1" customFormat="1" ht="12.75" x14ac:dyDescent="0.2">
      <c r="B2226" s="43" t="s">
        <v>257</v>
      </c>
      <c r="C2226" s="43" t="s">
        <v>228</v>
      </c>
      <c r="D2226" s="60"/>
      <c r="E2226" s="40"/>
      <c r="F2226" s="40"/>
      <c r="G2226" s="40"/>
      <c r="H2226" s="40"/>
      <c r="I2226" s="44">
        <f>SUM(H2227:H2227)</f>
        <v>0</v>
      </c>
      <c r="J2226" s="45" t="str">
        <f>+J2227</f>
        <v>ml</v>
      </c>
    </row>
    <row r="2227" spans="2:10" s="1" customFormat="1" ht="12.75" x14ac:dyDescent="0.2">
      <c r="B2227" s="57"/>
      <c r="C2227" s="39" t="s">
        <v>399</v>
      </c>
      <c r="D2227" s="40"/>
      <c r="E2227" s="40"/>
      <c r="F2227" s="40"/>
      <c r="G2227" s="40"/>
      <c r="H2227" s="40">
        <f>IF(AND(F2227=0,G2227=0),D2227*E2227,IF(AND(E2227=0,G2227=0),D2227*F2227,IF(AND(E2227=0,F2227=0),D2227*G2227,IF(AND(E2227=0),D2227*F2227*G2227,IF(AND(F2227=0),D2227*E2227*G2227,IF(AND(G2227=0),D2227*E2227*F2227,D2227*E2227*F2227*G2227))))))</f>
        <v>0</v>
      </c>
      <c r="I2227" s="40"/>
      <c r="J2227" s="41" t="str">
        <f>IF(AND(E2227=0,F2227&lt;&gt;0,G2227&lt;&gt;0),"m2",IF(AND(F2227=0,E2227&lt;&gt;0,G2227&lt;&gt;0),"m2",IF(AND(G2227=0,E2227&lt;&gt;0,F2227&lt;&gt;0),"m2",IF(AND(F2227=0,G2227=0),"ml",IF(AND(E2227=0,G2227=0),"ml",IF(AND(E2227=0,F2227=0),"ml",IF(AND(E2227&lt;&gt;0,F2227&lt;&gt;0,G2227&lt;&gt;0),"m3",0)))))))</f>
        <v>ml</v>
      </c>
    </row>
    <row r="2228" spans="2:10" s="1" customFormat="1" ht="12.75" x14ac:dyDescent="0.2">
      <c r="B2228" s="43" t="s">
        <v>258</v>
      </c>
      <c r="C2228" s="43" t="s">
        <v>250</v>
      </c>
      <c r="D2228" s="60"/>
      <c r="E2228" s="40"/>
      <c r="F2228" s="40"/>
      <c r="G2228" s="40"/>
      <c r="H2228" s="40"/>
      <c r="I2228" s="44">
        <f>SUM(H2229:H2229)</f>
        <v>0</v>
      </c>
      <c r="J2228" s="45" t="str">
        <f>+J2229</f>
        <v>ml</v>
      </c>
    </row>
    <row r="2229" spans="2:10" s="1" customFormat="1" ht="12.75" x14ac:dyDescent="0.2">
      <c r="B2229" s="57"/>
      <c r="C2229" s="39" t="s">
        <v>388</v>
      </c>
      <c r="D2229" s="40"/>
      <c r="E2229" s="40"/>
      <c r="F2229" s="40"/>
      <c r="G2229" s="40"/>
      <c r="H2229" s="40">
        <f>IF(AND(F2229=0,G2229=0),D2229*E2229,IF(AND(E2229=0,G2229=0),D2229*F2229,IF(AND(E2229=0,F2229=0),D2229*G2229,IF(AND(E2229=0),D2229*F2229*G2229,IF(AND(F2229=0),D2229*E2229*G2229,IF(AND(G2229=0),D2229*E2229*F2229,D2229*E2229*F2229*G2229))))))</f>
        <v>0</v>
      </c>
      <c r="I2229" s="40"/>
      <c r="J2229" s="41" t="str">
        <f>IF(AND(E2229=0,F2229&lt;&gt;0,G2229&lt;&gt;0),"m2",IF(AND(F2229=0,E2229&lt;&gt;0,G2229&lt;&gt;0),"m2",IF(AND(G2229=0,E2229&lt;&gt;0,F2229&lt;&gt;0),"m2",IF(AND(F2229=0,G2229=0),"ml",IF(AND(E2229=0,G2229=0),"ml",IF(AND(E2229=0,F2229=0),"ml",IF(AND(E2229&lt;&gt;0,F2229&lt;&gt;0,G2229&lt;&gt;0),"m3",0)))))))</f>
        <v>ml</v>
      </c>
    </row>
    <row r="2230" spans="2:10" s="1" customFormat="1" ht="12.75" x14ac:dyDescent="0.2">
      <c r="B2230" s="43" t="s">
        <v>259</v>
      </c>
      <c r="C2230" s="43" t="s">
        <v>251</v>
      </c>
      <c r="D2230" s="60"/>
      <c r="E2230" s="40"/>
      <c r="F2230" s="40"/>
      <c r="G2230" s="40"/>
      <c r="H2230" s="40"/>
      <c r="I2230" s="44">
        <f>SUM(H2231:H2231)</f>
        <v>0</v>
      </c>
      <c r="J2230" s="45" t="str">
        <f>+J2231</f>
        <v>ml</v>
      </c>
    </row>
    <row r="2231" spans="2:10" s="1" customFormat="1" ht="12.75" x14ac:dyDescent="0.2">
      <c r="B2231" s="57"/>
      <c r="C2231" s="39" t="s">
        <v>389</v>
      </c>
      <c r="D2231" s="40"/>
      <c r="E2231" s="40"/>
      <c r="F2231" s="40"/>
      <c r="G2231" s="40"/>
      <c r="H2231" s="40">
        <f>IF(AND(F2231=0,G2231=0),D2231*E2231,IF(AND(E2231=0,G2231=0),D2231*F2231,IF(AND(E2231=0,F2231=0),D2231*G2231,IF(AND(E2231=0),D2231*F2231*G2231,IF(AND(F2231=0),D2231*E2231*G2231,IF(AND(G2231=0),D2231*E2231*F2231,D2231*E2231*F2231*G2231))))))</f>
        <v>0</v>
      </c>
      <c r="I2231" s="40"/>
      <c r="J2231" s="41" t="str">
        <f>IF(AND(E2231=0,F2231&lt;&gt;0,G2231&lt;&gt;0),"m2",IF(AND(F2231=0,E2231&lt;&gt;0,G2231&lt;&gt;0),"m2",IF(AND(G2231=0,E2231&lt;&gt;0,F2231&lt;&gt;0),"m2",IF(AND(F2231=0,G2231=0),"ml",IF(AND(E2231=0,G2231=0),"ml",IF(AND(E2231=0,F2231=0),"ml",IF(AND(E2231&lt;&gt;0,F2231&lt;&gt;0,G2231&lt;&gt;0),"m3",0)))))))</f>
        <v>ml</v>
      </c>
    </row>
    <row r="2232" spans="2:10" s="1" customFormat="1" ht="12.75" x14ac:dyDescent="0.2">
      <c r="B2232" s="43" t="s">
        <v>260</v>
      </c>
      <c r="C2232" s="43" t="s">
        <v>252</v>
      </c>
      <c r="D2232" s="60"/>
      <c r="E2232" s="40"/>
      <c r="F2232" s="40"/>
      <c r="G2232" s="40"/>
      <c r="H2232" s="40"/>
      <c r="I2232" s="44">
        <f>SUM(H2233:H2233)</f>
        <v>0</v>
      </c>
      <c r="J2232" s="45" t="str">
        <f>+J2233</f>
        <v>ml</v>
      </c>
    </row>
    <row r="2233" spans="2:10" s="1" customFormat="1" ht="12.75" x14ac:dyDescent="0.2">
      <c r="B2233" s="57"/>
      <c r="C2233" s="39" t="s">
        <v>397</v>
      </c>
      <c r="D2233" s="40"/>
      <c r="E2233" s="40"/>
      <c r="F2233" s="40"/>
      <c r="G2233" s="40"/>
      <c r="H2233" s="40">
        <f>IF(AND(F2233=0,G2233=0),D2233*E2233,IF(AND(E2233=0,G2233=0),D2233*F2233,IF(AND(E2233=0,F2233=0),D2233*G2233,IF(AND(E2233=0),D2233*F2233*G2233,IF(AND(F2233=0),D2233*E2233*G2233,IF(AND(G2233=0),D2233*E2233*F2233,D2233*E2233*F2233*G2233))))))</f>
        <v>0</v>
      </c>
      <c r="I2233" s="40"/>
      <c r="J2233" s="41" t="str">
        <f>IF(AND(E2233=0,F2233&lt;&gt;0,G2233&lt;&gt;0),"m2",IF(AND(F2233=0,E2233&lt;&gt;0,G2233&lt;&gt;0),"m2",IF(AND(G2233=0,E2233&lt;&gt;0,F2233&lt;&gt;0),"m2",IF(AND(F2233=0,G2233=0),"ml",IF(AND(E2233=0,G2233=0),"ml",IF(AND(E2233=0,F2233=0),"ml",IF(AND(E2233&lt;&gt;0,F2233&lt;&gt;0,G2233&lt;&gt;0),"m3",0)))))))</f>
        <v>ml</v>
      </c>
    </row>
    <row r="2234" spans="2:10" s="1" customFormat="1" ht="12.75" x14ac:dyDescent="0.2">
      <c r="B2234" s="43" t="s">
        <v>261</v>
      </c>
      <c r="C2234" s="43" t="s">
        <v>253</v>
      </c>
      <c r="D2234" s="60"/>
      <c r="E2234" s="40"/>
      <c r="F2234" s="40"/>
      <c r="G2234" s="40"/>
      <c r="H2234" s="40"/>
      <c r="I2234" s="44">
        <f>SUM(H2235:H2235)</f>
        <v>0</v>
      </c>
      <c r="J2234" s="45" t="str">
        <f>+J2235</f>
        <v>und</v>
      </c>
    </row>
    <row r="2235" spans="2:10" s="1" customFormat="1" ht="12.75" x14ac:dyDescent="0.2">
      <c r="B2235" s="43"/>
      <c r="C2235" s="39" t="s">
        <v>402</v>
      </c>
      <c r="D2235" s="40"/>
      <c r="E2235" s="40"/>
      <c r="F2235" s="40"/>
      <c r="G2235" s="40"/>
      <c r="H2235" s="40">
        <f t="shared" ref="H2235" si="125">+D2235</f>
        <v>0</v>
      </c>
      <c r="I2235" s="40"/>
      <c r="J2235" s="41" t="s">
        <v>13</v>
      </c>
    </row>
    <row r="2236" spans="2:10" s="1" customFormat="1" ht="12.75" x14ac:dyDescent="0.2">
      <c r="B2236" s="43" t="s">
        <v>262</v>
      </c>
      <c r="C2236" s="43" t="s">
        <v>254</v>
      </c>
      <c r="D2236" s="60"/>
      <c r="E2236" s="40"/>
      <c r="F2236" s="40"/>
      <c r="G2236" s="40"/>
      <c r="H2236" s="40"/>
      <c r="I2236" s="44">
        <f>SUM(H2237:H2237)</f>
        <v>0</v>
      </c>
      <c r="J2236" s="45" t="str">
        <f>+J2237</f>
        <v>und</v>
      </c>
    </row>
    <row r="2237" spans="2:10" s="1" customFormat="1" ht="12.75" x14ac:dyDescent="0.2">
      <c r="B2237" s="57"/>
      <c r="C2237" s="39" t="s">
        <v>238</v>
      </c>
      <c r="D2237" s="40"/>
      <c r="E2237" s="40"/>
      <c r="F2237" s="40"/>
      <c r="G2237" s="40"/>
      <c r="H2237" s="40">
        <f>+D2237</f>
        <v>0</v>
      </c>
      <c r="I2237" s="40"/>
      <c r="J2237" s="41" t="s">
        <v>13</v>
      </c>
    </row>
    <row r="2238" spans="2:10" s="1" customFormat="1" ht="12.75" x14ac:dyDescent="0.2">
      <c r="B2238" s="43" t="s">
        <v>350</v>
      </c>
      <c r="C2238" s="43" t="s">
        <v>255</v>
      </c>
      <c r="D2238" s="60"/>
      <c r="E2238" s="40"/>
      <c r="F2238" s="40"/>
      <c r="G2238" s="40"/>
      <c r="H2238" s="40"/>
      <c r="I2238" s="44">
        <f>SUM(H2239:H2239)</f>
        <v>0</v>
      </c>
      <c r="J2238" s="45" t="str">
        <f>+J2239</f>
        <v>und</v>
      </c>
    </row>
    <row r="2239" spans="2:10" s="1" customFormat="1" ht="12.75" x14ac:dyDescent="0.2">
      <c r="B2239" s="57"/>
      <c r="C2239" s="39" t="s">
        <v>395</v>
      </c>
      <c r="D2239" s="40"/>
      <c r="E2239" s="40"/>
      <c r="F2239" s="40"/>
      <c r="G2239" s="40"/>
      <c r="H2239" s="40">
        <f>+D2239</f>
        <v>0</v>
      </c>
      <c r="I2239" s="40"/>
      <c r="J2239" s="41" t="s">
        <v>13</v>
      </c>
    </row>
    <row r="2240" spans="2:10" s="1" customFormat="1" ht="12.75" x14ac:dyDescent="0.2">
      <c r="B2240" s="57" t="s">
        <v>18</v>
      </c>
      <c r="C2240" s="58" t="s">
        <v>223</v>
      </c>
      <c r="D2240" s="60"/>
      <c r="E2240" s="40"/>
      <c r="F2240" s="40"/>
      <c r="G2240" s="40"/>
      <c r="H2240" s="40"/>
      <c r="I2240" s="40"/>
      <c r="J2240" s="41"/>
    </row>
    <row r="2241" spans="2:10" s="1" customFormat="1" ht="12.75" x14ac:dyDescent="0.2">
      <c r="B2241" s="43" t="s">
        <v>19</v>
      </c>
      <c r="C2241" s="43" t="s">
        <v>265</v>
      </c>
      <c r="D2241" s="60"/>
      <c r="E2241" s="40"/>
      <c r="F2241" s="40"/>
      <c r="G2241" s="40"/>
      <c r="H2241" s="40"/>
      <c r="I2241" s="44">
        <f>SUM(H2242:H2243)</f>
        <v>2</v>
      </c>
      <c r="J2241" s="45" t="str">
        <f>+J2242</f>
        <v>und</v>
      </c>
    </row>
    <row r="2242" spans="2:10" s="1" customFormat="1" ht="12.75" x14ac:dyDescent="0.2">
      <c r="B2242" s="46"/>
      <c r="C2242" s="39" t="s">
        <v>361</v>
      </c>
      <c r="D2242" s="40"/>
      <c r="E2242" s="40"/>
      <c r="F2242" s="40"/>
      <c r="G2242" s="40"/>
      <c r="H2242" s="40">
        <f>+D2242</f>
        <v>0</v>
      </c>
      <c r="I2242" s="40"/>
      <c r="J2242" s="41" t="s">
        <v>13</v>
      </c>
    </row>
    <row r="2243" spans="2:10" s="1" customFormat="1" ht="12.75" x14ac:dyDescent="0.2">
      <c r="B2243" s="46"/>
      <c r="C2243" s="39" t="s">
        <v>231</v>
      </c>
      <c r="D2243" s="40">
        <v>2</v>
      </c>
      <c r="E2243" s="40"/>
      <c r="F2243" s="40"/>
      <c r="G2243" s="40"/>
      <c r="H2243" s="40">
        <f>+D2243</f>
        <v>2</v>
      </c>
      <c r="I2243" s="40"/>
      <c r="J2243" s="41" t="s">
        <v>13</v>
      </c>
    </row>
    <row r="2244" spans="2:10" s="1" customFormat="1" ht="12.75" x14ac:dyDescent="0.2">
      <c r="B2244" s="43" t="s">
        <v>20</v>
      </c>
      <c r="C2244" s="43" t="s">
        <v>272</v>
      </c>
      <c r="D2244" s="60"/>
      <c r="E2244" s="40"/>
      <c r="F2244" s="40"/>
      <c r="G2244" s="40"/>
      <c r="H2244" s="40"/>
      <c r="I2244" s="44">
        <f>SUM(H2245:H2250)</f>
        <v>0</v>
      </c>
      <c r="J2244" s="45" t="str">
        <f>+J2245</f>
        <v>und</v>
      </c>
    </row>
    <row r="2245" spans="2:10" s="1" customFormat="1" ht="12.75" x14ac:dyDescent="0.2">
      <c r="B2245" s="46"/>
      <c r="C2245" s="77" t="s">
        <v>71</v>
      </c>
      <c r="D2245" s="40"/>
      <c r="E2245" s="40"/>
      <c r="F2245" s="40"/>
      <c r="G2245" s="40"/>
      <c r="H2245" s="40"/>
      <c r="I2245" s="40"/>
      <c r="J2245" s="41" t="s">
        <v>13</v>
      </c>
    </row>
    <row r="2246" spans="2:10" s="1" customFormat="1" ht="12.75" x14ac:dyDescent="0.2">
      <c r="B2246" s="46"/>
      <c r="C2246" s="39" t="s">
        <v>349</v>
      </c>
      <c r="D2246" s="40"/>
      <c r="E2246" s="40"/>
      <c r="F2246" s="40"/>
      <c r="G2246" s="40"/>
      <c r="H2246" s="40">
        <f>+D2246</f>
        <v>0</v>
      </c>
      <c r="I2246" s="40"/>
      <c r="J2246" s="41" t="s">
        <v>13</v>
      </c>
    </row>
    <row r="2247" spans="2:10" s="1" customFormat="1" ht="12.75" x14ac:dyDescent="0.2">
      <c r="B2247" s="46"/>
      <c r="C2247" s="77" t="s">
        <v>72</v>
      </c>
      <c r="D2247" s="40"/>
      <c r="E2247" s="40"/>
      <c r="F2247" s="40"/>
      <c r="G2247" s="40"/>
      <c r="H2247" s="40"/>
      <c r="I2247" s="40"/>
      <c r="J2247" s="41" t="s">
        <v>13</v>
      </c>
    </row>
    <row r="2248" spans="2:10" s="1" customFormat="1" ht="12.75" x14ac:dyDescent="0.2">
      <c r="B2248" s="46"/>
      <c r="C2248" s="39" t="s">
        <v>349</v>
      </c>
      <c r="D2248" s="40"/>
      <c r="E2248" s="40"/>
      <c r="F2248" s="40"/>
      <c r="G2248" s="40"/>
      <c r="H2248" s="40">
        <f>+D2248</f>
        <v>0</v>
      </c>
      <c r="I2248" s="40"/>
      <c r="J2248" s="41" t="s">
        <v>13</v>
      </c>
    </row>
    <row r="2249" spans="2:10" s="1" customFormat="1" ht="12.75" x14ac:dyDescent="0.2">
      <c r="B2249" s="46"/>
      <c r="C2249" s="77" t="s">
        <v>73</v>
      </c>
      <c r="D2249" s="40"/>
      <c r="E2249" s="40"/>
      <c r="F2249" s="40"/>
      <c r="G2249" s="40"/>
      <c r="H2249" s="40"/>
      <c r="I2249" s="40"/>
      <c r="J2249" s="41" t="s">
        <v>13</v>
      </c>
    </row>
    <row r="2250" spans="2:10" s="1" customFormat="1" ht="12.75" x14ac:dyDescent="0.2">
      <c r="B2250" s="46"/>
      <c r="C2250" s="39" t="s">
        <v>349</v>
      </c>
      <c r="D2250" s="40"/>
      <c r="E2250" s="40"/>
      <c r="F2250" s="40"/>
      <c r="G2250" s="40"/>
      <c r="H2250" s="40">
        <f>+D2250</f>
        <v>0</v>
      </c>
      <c r="I2250" s="40"/>
      <c r="J2250" s="41" t="s">
        <v>13</v>
      </c>
    </row>
    <row r="2251" spans="2:10" s="1" customFormat="1" ht="12.75" x14ac:dyDescent="0.2">
      <c r="B2251" s="43" t="s">
        <v>21</v>
      </c>
      <c r="C2251" s="43" t="s">
        <v>266</v>
      </c>
      <c r="D2251" s="60"/>
      <c r="E2251" s="40"/>
      <c r="F2251" s="40"/>
      <c r="G2251" s="40"/>
      <c r="H2251" s="40"/>
      <c r="I2251" s="44">
        <f>SUM(H2252:H2254)</f>
        <v>0</v>
      </c>
      <c r="J2251" s="45" t="str">
        <f>+J2252</f>
        <v>und</v>
      </c>
    </row>
    <row r="2252" spans="2:10" s="1" customFormat="1" ht="12.75" x14ac:dyDescent="0.2">
      <c r="B2252" s="43"/>
      <c r="C2252" s="39" t="s">
        <v>71</v>
      </c>
      <c r="D2252" s="40"/>
      <c r="E2252" s="40"/>
      <c r="F2252" s="40"/>
      <c r="G2252" s="40"/>
      <c r="H2252" s="40">
        <f t="shared" ref="H2252:H2254" si="126">+D2252</f>
        <v>0</v>
      </c>
      <c r="I2252" s="40"/>
      <c r="J2252" s="41" t="s">
        <v>13</v>
      </c>
    </row>
    <row r="2253" spans="2:10" s="1" customFormat="1" ht="12.75" x14ac:dyDescent="0.2">
      <c r="B2253" s="43"/>
      <c r="C2253" s="39" t="s">
        <v>72</v>
      </c>
      <c r="D2253" s="40"/>
      <c r="E2253" s="40"/>
      <c r="F2253" s="40"/>
      <c r="G2253" s="40"/>
      <c r="H2253" s="40">
        <f t="shared" si="126"/>
        <v>0</v>
      </c>
      <c r="I2253" s="40"/>
      <c r="J2253" s="41" t="s">
        <v>13</v>
      </c>
    </row>
    <row r="2254" spans="2:10" s="1" customFormat="1" ht="12.75" x14ac:dyDescent="0.2">
      <c r="B2254" s="43"/>
      <c r="C2254" s="39" t="s">
        <v>73</v>
      </c>
      <c r="D2254" s="40"/>
      <c r="E2254" s="40"/>
      <c r="F2254" s="40"/>
      <c r="G2254" s="40"/>
      <c r="H2254" s="40">
        <f t="shared" si="126"/>
        <v>0</v>
      </c>
      <c r="I2254" s="40"/>
      <c r="J2254" s="41" t="s">
        <v>13</v>
      </c>
    </row>
    <row r="2255" spans="2:10" s="1" customFormat="1" ht="12.75" x14ac:dyDescent="0.2">
      <c r="B2255" s="43" t="s">
        <v>273</v>
      </c>
      <c r="C2255" s="43" t="s">
        <v>354</v>
      </c>
      <c r="D2255" s="60"/>
      <c r="E2255" s="40"/>
      <c r="F2255" s="40"/>
      <c r="G2255" s="40"/>
      <c r="H2255" s="40"/>
      <c r="I2255" s="44">
        <f>SUM(H2256:H2256)</f>
        <v>0</v>
      </c>
      <c r="J2255" s="45" t="str">
        <f>+J2256</f>
        <v>und</v>
      </c>
    </row>
    <row r="2256" spans="2:10" s="1" customFormat="1" ht="12.75" x14ac:dyDescent="0.2">
      <c r="B2256" s="43"/>
      <c r="C2256" s="39" t="s">
        <v>375</v>
      </c>
      <c r="D2256" s="40"/>
      <c r="E2256" s="40"/>
      <c r="F2256" s="40"/>
      <c r="G2256" s="40"/>
      <c r="H2256" s="40">
        <f>IF(AND(F2256=0,G2256=0),D2256*E2256,IF(AND(E2256=0,G2256=0),D2256*F2256,IF(AND(E2256=0,F2256=0),D2256*G2256,IF(AND(E2256=0),D2256*F2256*G2256,IF(AND(F2256=0),D2256*E2256*G2256,IF(AND(G2256=0),D2256*E2256*F2256,D2256*E2256*F2256*G2256))))))</f>
        <v>0</v>
      </c>
      <c r="I2256" s="40"/>
      <c r="J2256" s="41" t="s">
        <v>13</v>
      </c>
    </row>
    <row r="2257" spans="2:10" s="1" customFormat="1" ht="12.75" x14ac:dyDescent="0.2">
      <c r="B2257" s="43" t="s">
        <v>274</v>
      </c>
      <c r="C2257" s="43" t="s">
        <v>357</v>
      </c>
      <c r="D2257" s="60"/>
      <c r="E2257" s="40"/>
      <c r="F2257" s="40"/>
      <c r="G2257" s="40"/>
      <c r="H2257" s="40"/>
      <c r="I2257" s="44">
        <f>SUM(H2258:H2258)</f>
        <v>0</v>
      </c>
      <c r="J2257" s="45" t="str">
        <f>+J2258</f>
        <v>und</v>
      </c>
    </row>
    <row r="2258" spans="2:10" s="1" customFormat="1" ht="12.75" x14ac:dyDescent="0.2">
      <c r="B2258" s="43"/>
      <c r="C2258" s="39" t="s">
        <v>375</v>
      </c>
      <c r="D2258" s="40"/>
      <c r="E2258" s="40"/>
      <c r="F2258" s="40"/>
      <c r="G2258" s="40"/>
      <c r="H2258" s="40">
        <f t="shared" ref="H2258" si="127">+D2258</f>
        <v>0</v>
      </c>
      <c r="I2258" s="40"/>
      <c r="J2258" s="41" t="s">
        <v>13</v>
      </c>
    </row>
    <row r="2259" spans="2:10" s="1" customFormat="1" ht="12.75" x14ac:dyDescent="0.2">
      <c r="B2259" s="43" t="s">
        <v>355</v>
      </c>
      <c r="C2259" s="43" t="s">
        <v>263</v>
      </c>
      <c r="D2259" s="60"/>
      <c r="E2259" s="40"/>
      <c r="F2259" s="40"/>
      <c r="G2259" s="40"/>
      <c r="H2259" s="40"/>
      <c r="I2259" s="44">
        <f>SUM(H2260:H2260)</f>
        <v>0</v>
      </c>
      <c r="J2259" s="45" t="str">
        <f>+J2260</f>
        <v>und</v>
      </c>
    </row>
    <row r="2260" spans="2:10" s="1" customFormat="1" ht="12.75" x14ac:dyDescent="0.2">
      <c r="B2260" s="46"/>
      <c r="C2260" s="39" t="s">
        <v>420</v>
      </c>
      <c r="D2260" s="40"/>
      <c r="E2260" s="40"/>
      <c r="F2260" s="40"/>
      <c r="G2260" s="40"/>
      <c r="H2260" s="40">
        <f>+D2260</f>
        <v>0</v>
      </c>
      <c r="I2260" s="40"/>
      <c r="J2260" s="41" t="s">
        <v>13</v>
      </c>
    </row>
    <row r="2261" spans="2:10" s="1" customFormat="1" ht="12.75" x14ac:dyDescent="0.2">
      <c r="B2261" s="43" t="s">
        <v>356</v>
      </c>
      <c r="C2261" s="43" t="s">
        <v>264</v>
      </c>
      <c r="D2261" s="60"/>
      <c r="E2261" s="40"/>
      <c r="F2261" s="40"/>
      <c r="G2261" s="40"/>
      <c r="H2261" s="40"/>
      <c r="I2261" s="44">
        <f>SUM(H2262:H2262)</f>
        <v>0</v>
      </c>
      <c r="J2261" s="45" t="str">
        <f>+J2262</f>
        <v>und</v>
      </c>
    </row>
    <row r="2262" spans="2:10" s="1" customFormat="1" ht="12.75" x14ac:dyDescent="0.2">
      <c r="B2262" s="46"/>
      <c r="C2262" s="39" t="s">
        <v>420</v>
      </c>
      <c r="D2262" s="40"/>
      <c r="E2262" s="40"/>
      <c r="F2262" s="40"/>
      <c r="G2262" s="40"/>
      <c r="H2262" s="40">
        <f>+D2262</f>
        <v>0</v>
      </c>
      <c r="I2262" s="40"/>
      <c r="J2262" s="41" t="s">
        <v>13</v>
      </c>
    </row>
    <row r="2263" spans="2:10" s="1" customFormat="1" ht="12.75" x14ac:dyDescent="0.2">
      <c r="B2263" s="46"/>
      <c r="C2263" s="59"/>
      <c r="D2263" s="60"/>
      <c r="E2263" s="40"/>
      <c r="F2263" s="40"/>
      <c r="G2263" s="40"/>
      <c r="H2263" s="40"/>
      <c r="I2263" s="40"/>
      <c r="J2263" s="41"/>
    </row>
    <row r="2264" spans="2:10" s="1" customFormat="1" ht="12.75" x14ac:dyDescent="0.2">
      <c r="B2264" s="46"/>
      <c r="C2264" s="59"/>
      <c r="D2264" s="60"/>
      <c r="E2264" s="40"/>
      <c r="F2264" s="40"/>
      <c r="G2264" s="40"/>
      <c r="H2264" s="40"/>
      <c r="I2264" s="40"/>
      <c r="J2264" s="41"/>
    </row>
    <row r="2265" spans="2:10" s="1" customFormat="1" ht="12.75" x14ac:dyDescent="0.2">
      <c r="B2265" s="46"/>
      <c r="C2265" s="59"/>
      <c r="D2265" s="60"/>
      <c r="E2265" s="40"/>
      <c r="F2265" s="40"/>
      <c r="G2265" s="40"/>
      <c r="H2265" s="40"/>
      <c r="I2265" s="40"/>
      <c r="J2265" s="41"/>
    </row>
    <row r="2266" spans="2:10" s="1" customFormat="1" ht="12.75" x14ac:dyDescent="0.2">
      <c r="B2266" s="46"/>
      <c r="C2266" s="59"/>
      <c r="D2266" s="60"/>
      <c r="E2266" s="40"/>
      <c r="F2266" s="40"/>
      <c r="G2266" s="40"/>
      <c r="H2266" s="40"/>
      <c r="I2266" s="40"/>
      <c r="J2266" s="41"/>
    </row>
    <row r="2267" spans="2:10" s="1" customFormat="1" ht="12.75" x14ac:dyDescent="0.2">
      <c r="B2267" s="46"/>
      <c r="C2267" s="59"/>
      <c r="D2267" s="60"/>
      <c r="E2267" s="40"/>
      <c r="F2267" s="40"/>
      <c r="G2267" s="40"/>
      <c r="H2267" s="40"/>
      <c r="I2267" s="40"/>
      <c r="J2267" s="41"/>
    </row>
    <row r="2268" spans="2:10" s="1" customFormat="1" ht="12.75" x14ac:dyDescent="0.2">
      <c r="B2268" s="46"/>
      <c r="C2268" s="59"/>
      <c r="D2268" s="60"/>
      <c r="E2268" s="40"/>
      <c r="F2268" s="40"/>
      <c r="G2268" s="40"/>
      <c r="H2268" s="40"/>
      <c r="I2268" s="40"/>
      <c r="J2268" s="41"/>
    </row>
    <row r="2269" spans="2:10" s="1" customFormat="1" ht="12.75" x14ac:dyDescent="0.2">
      <c r="B2269" s="46"/>
      <c r="C2269" s="59"/>
      <c r="D2269" s="60"/>
      <c r="E2269" s="40"/>
      <c r="F2269" s="40"/>
      <c r="G2269" s="40"/>
      <c r="H2269" s="40"/>
      <c r="I2269" s="40"/>
      <c r="J2269" s="41"/>
    </row>
    <row r="2270" spans="2:10" s="1" customFormat="1" ht="12.75" x14ac:dyDescent="0.2">
      <c r="B2270" s="46"/>
      <c r="C2270" s="59"/>
      <c r="D2270" s="60"/>
      <c r="E2270" s="40"/>
      <c r="F2270" s="40"/>
      <c r="G2270" s="40"/>
      <c r="H2270" s="40"/>
      <c r="I2270" s="40"/>
      <c r="J2270" s="41"/>
    </row>
    <row r="2271" spans="2:10" s="1" customFormat="1" ht="12.75" x14ac:dyDescent="0.2">
      <c r="B2271" s="46"/>
      <c r="C2271" s="59"/>
      <c r="D2271" s="60"/>
      <c r="E2271" s="40"/>
      <c r="F2271" s="40"/>
      <c r="G2271" s="40"/>
      <c r="H2271" s="40"/>
      <c r="I2271" s="40"/>
      <c r="J2271" s="41"/>
    </row>
    <row r="2272" spans="2:10" s="1" customFormat="1" ht="12.75" x14ac:dyDescent="0.2">
      <c r="B2272" s="46"/>
      <c r="C2272" s="59"/>
      <c r="D2272" s="60"/>
      <c r="E2272" s="40"/>
      <c r="F2272" s="40"/>
      <c r="G2272" s="40"/>
      <c r="H2272" s="40"/>
      <c r="I2272" s="40"/>
      <c r="J2272" s="41"/>
    </row>
    <row r="2273" spans="2:10" s="1" customFormat="1" ht="12.75" x14ac:dyDescent="0.2">
      <c r="B2273" s="46"/>
      <c r="C2273" s="59"/>
      <c r="D2273" s="60"/>
      <c r="E2273" s="40"/>
      <c r="F2273" s="40"/>
      <c r="G2273" s="40"/>
      <c r="H2273" s="40"/>
      <c r="I2273" s="40"/>
      <c r="J2273" s="41"/>
    </row>
    <row r="2274" spans="2:10" s="1" customFormat="1" ht="12.75" x14ac:dyDescent="0.2">
      <c r="B2274" s="46"/>
      <c r="C2274" s="59"/>
      <c r="D2274" s="60"/>
      <c r="E2274" s="40"/>
      <c r="F2274" s="40"/>
      <c r="G2274" s="40"/>
      <c r="H2274" s="40"/>
      <c r="I2274" s="40"/>
      <c r="J2274" s="41"/>
    </row>
    <row r="2275" spans="2:10" s="1" customFormat="1" ht="12.75" x14ac:dyDescent="0.2">
      <c r="B2275" s="46"/>
      <c r="C2275" s="59"/>
      <c r="D2275" s="60"/>
      <c r="E2275" s="40"/>
      <c r="F2275" s="40"/>
      <c r="G2275" s="40"/>
      <c r="H2275" s="40"/>
      <c r="I2275" s="40"/>
      <c r="J2275" s="41"/>
    </row>
    <row r="2276" spans="2:10" s="1" customFormat="1" ht="12.75" x14ac:dyDescent="0.2">
      <c r="B2276" s="46"/>
      <c r="C2276" s="59"/>
      <c r="D2276" s="60"/>
      <c r="E2276" s="40"/>
      <c r="F2276" s="40"/>
      <c r="G2276" s="40"/>
      <c r="H2276" s="40"/>
      <c r="I2276" s="40"/>
      <c r="J2276" s="41"/>
    </row>
    <row r="2277" spans="2:10" s="1" customFormat="1" ht="12.75" x14ac:dyDescent="0.2">
      <c r="B2277" s="46"/>
      <c r="C2277" s="59"/>
      <c r="D2277" s="60"/>
      <c r="E2277" s="40"/>
      <c r="F2277" s="40"/>
      <c r="G2277" s="40"/>
      <c r="H2277" s="40"/>
      <c r="I2277" s="40"/>
      <c r="J2277" s="41"/>
    </row>
    <row r="2278" spans="2:10" s="1" customFormat="1" ht="12.75" x14ac:dyDescent="0.2">
      <c r="B2278" s="46"/>
      <c r="C2278" s="59"/>
      <c r="D2278" s="60"/>
      <c r="E2278" s="40"/>
      <c r="F2278" s="40"/>
      <c r="G2278" s="40"/>
      <c r="H2278" s="40"/>
      <c r="I2278" s="40"/>
      <c r="J2278" s="41"/>
    </row>
    <row r="2279" spans="2:10" s="1" customFormat="1" ht="12.75" x14ac:dyDescent="0.2">
      <c r="B2279" s="46"/>
      <c r="C2279" s="59"/>
      <c r="D2279" s="60"/>
      <c r="E2279" s="40"/>
      <c r="F2279" s="40"/>
      <c r="G2279" s="40"/>
      <c r="H2279" s="40"/>
      <c r="I2279" s="40"/>
      <c r="J2279" s="41"/>
    </row>
    <row r="2280" spans="2:10" s="1" customFormat="1" ht="12.75" x14ac:dyDescent="0.2">
      <c r="B2280" s="46"/>
      <c r="C2280" s="59"/>
      <c r="D2280" s="60"/>
      <c r="E2280" s="40"/>
      <c r="F2280" s="40"/>
      <c r="G2280" s="40"/>
      <c r="H2280" s="40"/>
      <c r="I2280" s="40"/>
      <c r="J2280" s="41"/>
    </row>
    <row r="2281" spans="2:10" s="1" customFormat="1" ht="12.75" x14ac:dyDescent="0.2">
      <c r="B2281" s="46"/>
      <c r="C2281" s="59"/>
      <c r="D2281" s="60"/>
      <c r="E2281" s="40"/>
      <c r="F2281" s="40"/>
      <c r="G2281" s="40"/>
      <c r="H2281" s="40"/>
      <c r="I2281" s="40"/>
      <c r="J2281" s="41"/>
    </row>
    <row r="2282" spans="2:10" s="1" customFormat="1" ht="12.75" x14ac:dyDescent="0.2">
      <c r="B2282" s="46"/>
      <c r="C2282" s="59"/>
      <c r="D2282" s="60"/>
      <c r="E2282" s="40"/>
      <c r="F2282" s="40"/>
      <c r="G2282" s="40"/>
      <c r="H2282" s="40"/>
      <c r="I2282" s="40"/>
      <c r="J2282" s="41"/>
    </row>
    <row r="2283" spans="2:10" s="1" customFormat="1" ht="12.75" x14ac:dyDescent="0.2">
      <c r="B2283" s="46"/>
      <c r="C2283" s="59"/>
      <c r="D2283" s="60"/>
      <c r="E2283" s="40"/>
      <c r="F2283" s="40"/>
      <c r="G2283" s="40"/>
      <c r="H2283" s="40"/>
      <c r="I2283" s="40"/>
      <c r="J2283" s="41"/>
    </row>
    <row r="2284" spans="2:10" s="1" customFormat="1" ht="12.75" x14ac:dyDescent="0.2">
      <c r="B2284" s="46"/>
      <c r="C2284" s="59"/>
      <c r="D2284" s="60"/>
      <c r="E2284" s="40"/>
      <c r="F2284" s="40"/>
      <c r="G2284" s="40"/>
      <c r="H2284" s="40"/>
      <c r="I2284" s="40"/>
      <c r="J2284" s="41"/>
    </row>
    <row r="2285" spans="2:10" s="1" customFormat="1" ht="12.75" x14ac:dyDescent="0.2">
      <c r="B2285" s="46"/>
      <c r="C2285" s="59"/>
      <c r="D2285" s="60"/>
      <c r="E2285" s="40"/>
      <c r="F2285" s="40"/>
      <c r="G2285" s="40"/>
      <c r="H2285" s="40"/>
      <c r="I2285" s="40"/>
      <c r="J2285" s="41"/>
    </row>
    <row r="2286" spans="2:10" s="1" customFormat="1" ht="12.75" x14ac:dyDescent="0.2">
      <c r="B2286" s="46"/>
      <c r="C2286" s="59"/>
      <c r="D2286" s="60"/>
      <c r="E2286" s="40"/>
      <c r="F2286" s="40"/>
      <c r="G2286" s="40"/>
      <c r="H2286" s="40"/>
      <c r="I2286" s="40"/>
      <c r="J2286" s="41"/>
    </row>
    <row r="2287" spans="2:10" s="1" customFormat="1" ht="12.75" x14ac:dyDescent="0.2">
      <c r="B2287" s="46"/>
      <c r="C2287" s="59"/>
      <c r="D2287" s="60"/>
      <c r="E2287" s="40"/>
      <c r="F2287" s="40"/>
      <c r="G2287" s="40"/>
      <c r="H2287" s="40"/>
      <c r="I2287" s="40"/>
      <c r="J2287" s="41"/>
    </row>
    <row r="2288" spans="2:10" s="1" customFormat="1" ht="12.75" x14ac:dyDescent="0.2">
      <c r="B2288" s="46"/>
      <c r="C2288" s="59"/>
      <c r="D2288" s="60"/>
      <c r="E2288" s="40"/>
      <c r="F2288" s="40"/>
      <c r="G2288" s="40"/>
      <c r="H2288" s="40"/>
      <c r="I2288" s="40"/>
      <c r="J2288" s="41"/>
    </row>
    <row r="2289" spans="2:10" s="1" customFormat="1" ht="12.75" x14ac:dyDescent="0.2">
      <c r="B2289" s="46"/>
      <c r="C2289" s="59"/>
      <c r="D2289" s="60"/>
      <c r="E2289" s="40"/>
      <c r="F2289" s="40"/>
      <c r="G2289" s="40"/>
      <c r="H2289" s="40"/>
      <c r="I2289" s="40"/>
      <c r="J2289" s="41"/>
    </row>
    <row r="2290" spans="2:10" s="1" customFormat="1" ht="12.75" x14ac:dyDescent="0.2">
      <c r="B2290" s="46"/>
      <c r="C2290" s="59"/>
      <c r="D2290" s="60"/>
      <c r="E2290" s="40"/>
      <c r="F2290" s="40"/>
      <c r="G2290" s="40"/>
      <c r="H2290" s="40"/>
      <c r="I2290" s="40"/>
      <c r="J2290" s="41"/>
    </row>
    <row r="2291" spans="2:10" s="1" customFormat="1" ht="12.75" x14ac:dyDescent="0.2">
      <c r="B2291" s="46"/>
      <c r="C2291" s="59"/>
      <c r="D2291" s="60"/>
      <c r="E2291" s="40"/>
      <c r="F2291" s="40"/>
      <c r="G2291" s="40"/>
      <c r="H2291" s="40"/>
      <c r="I2291" s="40"/>
      <c r="J2291" s="41"/>
    </row>
    <row r="2292" spans="2:10" s="1" customFormat="1" ht="12.75" x14ac:dyDescent="0.2">
      <c r="B2292" s="46"/>
      <c r="C2292" s="59"/>
      <c r="D2292" s="60"/>
      <c r="E2292" s="40"/>
      <c r="F2292" s="40"/>
      <c r="G2292" s="40"/>
      <c r="H2292" s="40"/>
      <c r="I2292" s="40"/>
      <c r="J2292" s="41"/>
    </row>
    <row r="2293" spans="2:10" s="1" customFormat="1" ht="12.75" x14ac:dyDescent="0.2">
      <c r="B2293" s="46"/>
      <c r="C2293" s="59"/>
      <c r="D2293" s="60"/>
      <c r="E2293" s="40"/>
      <c r="F2293" s="40"/>
      <c r="G2293" s="40"/>
      <c r="H2293" s="40"/>
      <c r="I2293" s="40"/>
      <c r="J2293" s="41"/>
    </row>
    <row r="2294" spans="2:10" s="1" customFormat="1" ht="12.75" x14ac:dyDescent="0.2">
      <c r="B2294" s="46"/>
      <c r="C2294" s="59"/>
      <c r="D2294" s="60"/>
      <c r="E2294" s="40"/>
      <c r="F2294" s="40"/>
      <c r="G2294" s="40"/>
      <c r="H2294" s="40"/>
      <c r="I2294" s="40"/>
      <c r="J2294" s="41"/>
    </row>
    <row r="2295" spans="2:10" s="1" customFormat="1" ht="12.75" x14ac:dyDescent="0.2">
      <c r="B2295" s="46"/>
      <c r="C2295" s="59"/>
      <c r="D2295" s="60"/>
      <c r="E2295" s="40"/>
      <c r="F2295" s="40"/>
      <c r="G2295" s="40"/>
      <c r="H2295" s="40"/>
      <c r="I2295" s="40"/>
      <c r="J2295" s="41"/>
    </row>
    <row r="2296" spans="2:10" s="1" customFormat="1" ht="12.75" x14ac:dyDescent="0.2">
      <c r="B2296" s="46"/>
      <c r="C2296" s="59"/>
      <c r="D2296" s="60"/>
      <c r="E2296" s="40"/>
      <c r="F2296" s="40"/>
      <c r="G2296" s="40"/>
      <c r="H2296" s="40"/>
      <c r="I2296" s="40"/>
      <c r="J2296" s="41"/>
    </row>
    <row r="2297" spans="2:10" s="1" customFormat="1" ht="12.75" x14ac:dyDescent="0.2">
      <c r="B2297" s="46"/>
      <c r="C2297" s="59"/>
      <c r="D2297" s="60"/>
      <c r="E2297" s="40"/>
      <c r="F2297" s="40"/>
      <c r="G2297" s="40"/>
      <c r="H2297" s="40"/>
      <c r="I2297" s="40"/>
      <c r="J2297" s="41"/>
    </row>
    <row r="2298" spans="2:10" s="1" customFormat="1" ht="12.75" x14ac:dyDescent="0.2">
      <c r="B2298" s="46"/>
      <c r="C2298" s="59"/>
      <c r="D2298" s="60"/>
      <c r="E2298" s="40"/>
      <c r="F2298" s="40"/>
      <c r="G2298" s="40"/>
      <c r="H2298" s="40"/>
      <c r="I2298" s="40"/>
      <c r="J2298" s="41"/>
    </row>
    <row r="2299" spans="2:10" s="1" customFormat="1" ht="12.75" x14ac:dyDescent="0.2">
      <c r="B2299" s="46"/>
      <c r="C2299" s="59"/>
      <c r="D2299" s="60"/>
      <c r="E2299" s="40"/>
      <c r="F2299" s="40"/>
      <c r="G2299" s="40"/>
      <c r="H2299" s="40"/>
      <c r="I2299" s="40"/>
      <c r="J2299" s="41"/>
    </row>
    <row r="2300" spans="2:10" s="1" customFormat="1" ht="12.75" x14ac:dyDescent="0.2">
      <c r="B2300" s="46"/>
      <c r="C2300" s="59"/>
      <c r="D2300" s="60"/>
      <c r="E2300" s="40"/>
      <c r="F2300" s="40"/>
      <c r="G2300" s="40"/>
      <c r="H2300" s="40"/>
      <c r="I2300" s="40"/>
      <c r="J2300" s="41"/>
    </row>
    <row r="2301" spans="2:10" s="1" customFormat="1" ht="12.75" x14ac:dyDescent="0.2">
      <c r="B2301" s="46"/>
      <c r="C2301" s="59"/>
      <c r="D2301" s="60"/>
      <c r="E2301" s="40"/>
      <c r="F2301" s="40"/>
      <c r="G2301" s="40"/>
      <c r="H2301" s="40"/>
      <c r="I2301" s="40"/>
      <c r="J2301" s="41"/>
    </row>
    <row r="2302" spans="2:10" s="1" customFormat="1" ht="12.75" x14ac:dyDescent="0.2">
      <c r="B2302" s="46"/>
      <c r="C2302" s="59"/>
      <c r="D2302" s="60"/>
      <c r="E2302" s="40"/>
      <c r="F2302" s="40"/>
      <c r="G2302" s="40"/>
      <c r="H2302" s="40"/>
      <c r="I2302" s="40"/>
      <c r="J2302" s="41"/>
    </row>
    <row r="2303" spans="2:10" s="1" customFormat="1" ht="12.75" x14ac:dyDescent="0.2">
      <c r="B2303" s="46"/>
      <c r="C2303" s="59"/>
      <c r="D2303" s="60"/>
      <c r="E2303" s="40"/>
      <c r="F2303" s="40"/>
      <c r="G2303" s="40"/>
      <c r="H2303" s="40"/>
      <c r="I2303" s="40"/>
      <c r="J2303" s="41"/>
    </row>
    <row r="2304" spans="2:10" s="1" customFormat="1" ht="12.75" x14ac:dyDescent="0.2">
      <c r="B2304" s="46"/>
      <c r="C2304" s="59"/>
      <c r="D2304" s="60"/>
      <c r="E2304" s="40"/>
      <c r="F2304" s="40"/>
      <c r="G2304" s="40"/>
      <c r="H2304" s="40"/>
      <c r="I2304" s="40"/>
      <c r="J2304" s="41"/>
    </row>
    <row r="2305" spans="2:10" s="1" customFormat="1" ht="12.75" x14ac:dyDescent="0.2">
      <c r="B2305" s="46"/>
      <c r="C2305" s="59"/>
      <c r="D2305" s="60"/>
      <c r="E2305" s="40"/>
      <c r="F2305" s="40"/>
      <c r="G2305" s="40"/>
      <c r="H2305" s="40"/>
      <c r="I2305" s="40"/>
      <c r="J2305" s="41"/>
    </row>
    <row r="2306" spans="2:10" s="1" customFormat="1" ht="12.75" x14ac:dyDescent="0.2">
      <c r="B2306" s="46"/>
      <c r="C2306" s="59"/>
      <c r="D2306" s="60"/>
      <c r="E2306" s="40"/>
      <c r="F2306" s="40"/>
      <c r="G2306" s="40"/>
      <c r="H2306" s="40"/>
      <c r="I2306" s="40"/>
      <c r="J2306" s="41"/>
    </row>
    <row r="2307" spans="2:10" s="1" customFormat="1" ht="12.75" x14ac:dyDescent="0.2">
      <c r="B2307" s="46"/>
      <c r="C2307" s="59"/>
      <c r="D2307" s="60"/>
      <c r="E2307" s="40"/>
      <c r="F2307" s="40"/>
      <c r="G2307" s="40"/>
      <c r="H2307" s="40"/>
      <c r="I2307" s="40"/>
      <c r="J2307" s="41"/>
    </row>
    <row r="2308" spans="2:10" s="1" customFormat="1" ht="12.75" x14ac:dyDescent="0.2">
      <c r="B2308" s="46"/>
      <c r="C2308" s="59"/>
      <c r="D2308" s="60"/>
      <c r="E2308" s="40"/>
      <c r="F2308" s="40"/>
      <c r="G2308" s="40"/>
      <c r="H2308" s="40"/>
      <c r="I2308" s="40"/>
      <c r="J2308" s="41"/>
    </row>
    <row r="2309" spans="2:10" s="1" customFormat="1" ht="12.75" x14ac:dyDescent="0.2">
      <c r="B2309" s="46"/>
      <c r="C2309" s="59"/>
      <c r="D2309" s="60"/>
      <c r="E2309" s="40"/>
      <c r="F2309" s="40"/>
      <c r="G2309" s="40"/>
      <c r="H2309" s="40"/>
      <c r="I2309" s="40"/>
      <c r="J2309" s="41"/>
    </row>
    <row r="2310" spans="2:10" s="1" customFormat="1" ht="12.75" x14ac:dyDescent="0.2">
      <c r="B2310" s="46"/>
      <c r="C2310" s="59"/>
      <c r="D2310" s="60"/>
      <c r="E2310" s="40"/>
      <c r="F2310" s="40"/>
      <c r="G2310" s="40"/>
      <c r="H2310" s="40"/>
      <c r="I2310" s="40"/>
      <c r="J2310" s="41"/>
    </row>
    <row r="2311" spans="2:10" s="1" customFormat="1" ht="12.75" x14ac:dyDescent="0.2">
      <c r="B2311" s="46"/>
      <c r="C2311" s="59"/>
      <c r="D2311" s="60"/>
      <c r="E2311" s="40"/>
      <c r="F2311" s="40"/>
      <c r="G2311" s="40"/>
      <c r="H2311" s="40"/>
      <c r="I2311" s="40"/>
      <c r="J2311" s="41"/>
    </row>
    <row r="2312" spans="2:10" s="1" customFormat="1" ht="12.75" x14ac:dyDescent="0.2">
      <c r="B2312" s="46"/>
      <c r="C2312" s="59"/>
      <c r="D2312" s="60"/>
      <c r="E2312" s="40"/>
      <c r="F2312" s="40"/>
      <c r="G2312" s="40"/>
      <c r="H2312" s="40"/>
      <c r="I2312" s="40"/>
      <c r="J2312" s="41"/>
    </row>
    <row r="2313" spans="2:10" s="1" customFormat="1" ht="12.75" x14ac:dyDescent="0.2">
      <c r="B2313" s="46"/>
      <c r="C2313" s="59"/>
      <c r="D2313" s="60"/>
      <c r="E2313" s="40"/>
      <c r="F2313" s="40"/>
      <c r="G2313" s="40"/>
      <c r="H2313" s="40"/>
      <c r="I2313" s="40"/>
      <c r="J2313" s="41"/>
    </row>
    <row r="2314" spans="2:10" s="1" customFormat="1" ht="12.75" x14ac:dyDescent="0.2">
      <c r="B2314" s="46"/>
      <c r="C2314" s="59"/>
      <c r="D2314" s="60"/>
      <c r="E2314" s="40"/>
      <c r="F2314" s="40"/>
      <c r="G2314" s="40"/>
      <c r="H2314" s="40"/>
      <c r="I2314" s="40"/>
      <c r="J2314" s="41"/>
    </row>
    <row r="2315" spans="2:10" s="1" customFormat="1" ht="12.75" x14ac:dyDescent="0.2">
      <c r="B2315" s="46"/>
      <c r="C2315" s="59"/>
      <c r="D2315" s="60"/>
      <c r="E2315" s="40"/>
      <c r="F2315" s="40"/>
      <c r="G2315" s="40"/>
      <c r="H2315" s="40"/>
      <c r="I2315" s="40"/>
      <c r="J2315" s="41"/>
    </row>
    <row r="2316" spans="2:10" s="1" customFormat="1" ht="12.75" x14ac:dyDescent="0.2">
      <c r="B2316" s="46"/>
      <c r="C2316" s="59"/>
      <c r="D2316" s="60"/>
      <c r="E2316" s="40"/>
      <c r="F2316" s="40"/>
      <c r="G2316" s="40"/>
      <c r="H2316" s="40"/>
      <c r="I2316" s="40"/>
      <c r="J2316" s="41"/>
    </row>
    <row r="2317" spans="2:10" s="1" customFormat="1" ht="12.75" x14ac:dyDescent="0.2">
      <c r="B2317" s="46"/>
      <c r="C2317" s="59"/>
      <c r="D2317" s="60"/>
      <c r="E2317" s="40"/>
      <c r="F2317" s="40"/>
      <c r="G2317" s="40"/>
      <c r="H2317" s="40"/>
      <c r="I2317" s="40"/>
      <c r="J2317" s="41"/>
    </row>
    <row r="2318" spans="2:10" s="1" customFormat="1" ht="12.75" x14ac:dyDescent="0.2">
      <c r="B2318" s="46"/>
      <c r="C2318" s="59"/>
      <c r="D2318" s="60"/>
      <c r="E2318" s="40"/>
      <c r="F2318" s="40"/>
      <c r="G2318" s="40"/>
      <c r="H2318" s="40"/>
      <c r="I2318" s="40"/>
      <c r="J2318" s="41"/>
    </row>
    <row r="2319" spans="2:10" s="1" customFormat="1" ht="12.75" x14ac:dyDescent="0.2">
      <c r="B2319" s="46"/>
      <c r="C2319" s="59"/>
      <c r="D2319" s="60"/>
      <c r="E2319" s="40"/>
      <c r="F2319" s="40"/>
      <c r="G2319" s="40"/>
      <c r="H2319" s="40"/>
      <c r="I2319" s="40"/>
      <c r="J2319" s="41"/>
    </row>
    <row r="2320" spans="2:10" s="1" customFormat="1" ht="12.75" x14ac:dyDescent="0.2">
      <c r="B2320" s="46"/>
      <c r="C2320" s="59"/>
      <c r="D2320" s="60"/>
      <c r="E2320" s="40"/>
      <c r="F2320" s="40"/>
      <c r="G2320" s="40"/>
      <c r="H2320" s="40"/>
      <c r="I2320" s="40"/>
      <c r="J2320" s="41"/>
    </row>
    <row r="2321" spans="2:10" s="1" customFormat="1" ht="12.75" x14ac:dyDescent="0.2">
      <c r="B2321" s="46"/>
      <c r="C2321" s="59"/>
      <c r="D2321" s="60"/>
      <c r="E2321" s="40"/>
      <c r="F2321" s="40"/>
      <c r="G2321" s="40"/>
      <c r="H2321" s="40"/>
      <c r="I2321" s="40"/>
      <c r="J2321" s="41"/>
    </row>
    <row r="2322" spans="2:10" s="1" customFormat="1" ht="12.75" x14ac:dyDescent="0.2">
      <c r="B2322" s="46"/>
      <c r="C2322" s="59"/>
      <c r="D2322" s="60"/>
      <c r="E2322" s="40"/>
      <c r="F2322" s="40"/>
      <c r="G2322" s="40"/>
      <c r="H2322" s="40"/>
      <c r="I2322" s="40"/>
      <c r="J2322" s="41"/>
    </row>
    <row r="2323" spans="2:10" s="1" customFormat="1" ht="12.75" x14ac:dyDescent="0.2">
      <c r="B2323" s="46"/>
      <c r="C2323" s="59"/>
      <c r="D2323" s="60"/>
      <c r="E2323" s="40"/>
      <c r="F2323" s="40"/>
      <c r="G2323" s="40"/>
      <c r="H2323" s="40"/>
      <c r="I2323" s="40"/>
      <c r="J2323" s="41"/>
    </row>
    <row r="2324" spans="2:10" s="1" customFormat="1" ht="12.75" x14ac:dyDescent="0.2">
      <c r="B2324" s="46"/>
      <c r="C2324" s="59"/>
      <c r="D2324" s="60"/>
      <c r="E2324" s="40"/>
      <c r="F2324" s="40"/>
      <c r="G2324" s="40"/>
      <c r="H2324" s="40"/>
      <c r="I2324" s="40"/>
      <c r="J2324" s="41"/>
    </row>
    <row r="2325" spans="2:10" s="1" customFormat="1" ht="12.75" x14ac:dyDescent="0.2">
      <c r="B2325" s="46"/>
      <c r="C2325" s="59"/>
      <c r="D2325" s="60"/>
      <c r="E2325" s="40"/>
      <c r="F2325" s="40"/>
      <c r="G2325" s="40"/>
      <c r="H2325" s="40"/>
      <c r="I2325" s="40"/>
      <c r="J2325" s="41"/>
    </row>
    <row r="2326" spans="2:10" s="1" customFormat="1" ht="12.75" x14ac:dyDescent="0.2">
      <c r="B2326" s="46"/>
      <c r="C2326" s="59"/>
      <c r="D2326" s="60"/>
      <c r="E2326" s="40"/>
      <c r="F2326" s="40"/>
      <c r="G2326" s="40"/>
      <c r="H2326" s="40"/>
      <c r="I2326" s="40"/>
      <c r="J2326" s="41"/>
    </row>
    <row r="2327" spans="2:10" s="1" customFormat="1" ht="12.75" x14ac:dyDescent="0.2">
      <c r="B2327" s="46"/>
      <c r="C2327" s="59"/>
      <c r="D2327" s="60"/>
      <c r="E2327" s="40"/>
      <c r="F2327" s="40"/>
      <c r="G2327" s="40"/>
      <c r="H2327" s="40"/>
      <c r="I2327" s="40"/>
      <c r="J2327" s="41"/>
    </row>
    <row r="2328" spans="2:10" s="1" customFormat="1" ht="12.75" x14ac:dyDescent="0.2">
      <c r="B2328" s="46"/>
      <c r="C2328" s="59"/>
      <c r="D2328" s="60"/>
      <c r="E2328" s="40"/>
      <c r="F2328" s="40"/>
      <c r="G2328" s="40"/>
      <c r="H2328" s="40"/>
      <c r="I2328" s="40"/>
      <c r="J2328" s="41"/>
    </row>
    <row r="2329" spans="2:10" s="1" customFormat="1" ht="12.75" x14ac:dyDescent="0.2">
      <c r="B2329" s="46"/>
      <c r="C2329" s="59"/>
      <c r="D2329" s="60"/>
      <c r="E2329" s="40"/>
      <c r="F2329" s="40"/>
      <c r="G2329" s="40"/>
      <c r="H2329" s="40"/>
      <c r="I2329" s="40"/>
      <c r="J2329" s="41"/>
    </row>
    <row r="2330" spans="2:10" s="1" customFormat="1" ht="12.75" x14ac:dyDescent="0.2">
      <c r="B2330" s="46"/>
      <c r="C2330" s="59"/>
      <c r="D2330" s="60"/>
      <c r="E2330" s="40"/>
      <c r="F2330" s="40"/>
      <c r="G2330" s="40"/>
      <c r="H2330" s="40"/>
      <c r="I2330" s="40"/>
      <c r="J2330" s="41"/>
    </row>
    <row r="2331" spans="2:10" s="1" customFormat="1" ht="12.75" x14ac:dyDescent="0.2">
      <c r="B2331" s="46"/>
      <c r="C2331" s="59"/>
      <c r="D2331" s="60"/>
      <c r="E2331" s="40"/>
      <c r="F2331" s="40"/>
      <c r="G2331" s="40"/>
      <c r="H2331" s="40"/>
      <c r="I2331" s="40"/>
      <c r="J2331" s="41"/>
    </row>
    <row r="2332" spans="2:10" s="1" customFormat="1" ht="12.75" x14ac:dyDescent="0.2">
      <c r="B2332" s="46"/>
      <c r="C2332" s="59"/>
      <c r="D2332" s="60"/>
      <c r="E2332" s="40"/>
      <c r="F2332" s="40"/>
      <c r="G2332" s="40"/>
      <c r="H2332" s="40"/>
      <c r="I2332" s="40"/>
      <c r="J2332" s="41"/>
    </row>
    <row r="2333" spans="2:10" s="1" customFormat="1" ht="12.75" x14ac:dyDescent="0.2">
      <c r="B2333" s="46"/>
      <c r="C2333" s="59"/>
      <c r="D2333" s="60"/>
      <c r="E2333" s="40"/>
      <c r="F2333" s="40"/>
      <c r="G2333" s="40"/>
      <c r="H2333" s="40"/>
      <c r="I2333" s="40"/>
      <c r="J2333" s="41"/>
    </row>
    <row r="2334" spans="2:10" s="1" customFormat="1" ht="12.75" x14ac:dyDescent="0.2">
      <c r="B2334" s="46"/>
      <c r="C2334" s="59"/>
      <c r="D2334" s="60"/>
      <c r="E2334" s="40"/>
      <c r="F2334" s="40"/>
      <c r="G2334" s="40"/>
      <c r="H2334" s="40"/>
      <c r="I2334" s="40"/>
      <c r="J2334" s="41"/>
    </row>
    <row r="2335" spans="2:10" s="1" customFormat="1" ht="12.75" x14ac:dyDescent="0.2">
      <c r="B2335" s="46"/>
      <c r="C2335" s="59"/>
      <c r="D2335" s="60"/>
      <c r="E2335" s="40"/>
      <c r="F2335" s="40"/>
      <c r="G2335" s="40"/>
      <c r="H2335" s="40"/>
      <c r="I2335" s="40"/>
      <c r="J2335" s="41"/>
    </row>
    <row r="2336" spans="2:10" s="1" customFormat="1" ht="12.75" x14ac:dyDescent="0.2">
      <c r="B2336" s="46"/>
      <c r="C2336" s="59"/>
      <c r="D2336" s="60"/>
      <c r="E2336" s="40"/>
      <c r="F2336" s="40"/>
      <c r="G2336" s="40"/>
      <c r="H2336" s="40"/>
      <c r="I2336" s="40"/>
      <c r="J2336" s="41"/>
    </row>
    <row r="2337" spans="2:10" s="1" customFormat="1" ht="12.75" x14ac:dyDescent="0.2">
      <c r="B2337" s="46"/>
      <c r="C2337" s="59"/>
      <c r="D2337" s="60"/>
      <c r="E2337" s="40"/>
      <c r="F2337" s="40"/>
      <c r="G2337" s="40"/>
      <c r="H2337" s="40"/>
      <c r="I2337" s="40"/>
      <c r="J2337" s="41"/>
    </row>
    <row r="2338" spans="2:10" s="1" customFormat="1" ht="12.75" x14ac:dyDescent="0.2">
      <c r="B2338" s="46"/>
      <c r="C2338" s="59"/>
      <c r="D2338" s="60"/>
      <c r="E2338" s="40"/>
      <c r="F2338" s="40"/>
      <c r="G2338" s="40"/>
      <c r="H2338" s="40"/>
      <c r="I2338" s="40"/>
      <c r="J2338" s="41"/>
    </row>
    <row r="2339" spans="2:10" s="1" customFormat="1" ht="12.75" x14ac:dyDescent="0.2">
      <c r="B2339" s="46"/>
      <c r="C2339" s="59"/>
      <c r="D2339" s="60"/>
      <c r="E2339" s="40"/>
      <c r="F2339" s="40"/>
      <c r="G2339" s="40"/>
      <c r="H2339" s="40"/>
      <c r="I2339" s="40"/>
      <c r="J2339" s="41"/>
    </row>
    <row r="2340" spans="2:10" s="1" customFormat="1" ht="12.75" x14ac:dyDescent="0.2">
      <c r="C2340" s="499" t="s">
        <v>37</v>
      </c>
      <c r="D2340" s="499"/>
      <c r="E2340" s="499"/>
      <c r="F2340" s="499"/>
      <c r="G2340" s="499"/>
      <c r="H2340" s="499"/>
    </row>
    <row r="2341" spans="2:10" s="1" customFormat="1" ht="12.75" x14ac:dyDescent="0.2">
      <c r="C2341" s="499" t="s">
        <v>38</v>
      </c>
      <c r="D2341" s="499"/>
      <c r="E2341" s="499"/>
      <c r="F2341" s="499"/>
      <c r="G2341" s="499"/>
      <c r="H2341" s="499"/>
    </row>
    <row r="2342" spans="2:10" s="1" customFormat="1" ht="12.75" x14ac:dyDescent="0.2">
      <c r="C2342" s="499" t="s">
        <v>39</v>
      </c>
      <c r="D2342" s="499"/>
      <c r="E2342" s="499"/>
      <c r="F2342" s="499"/>
      <c r="G2342" s="499"/>
      <c r="H2342" s="499"/>
    </row>
    <row r="2343" spans="2:10" s="1" customFormat="1" ht="12.75" x14ac:dyDescent="0.2">
      <c r="C2343" s="500" t="s">
        <v>40</v>
      </c>
      <c r="D2343" s="500"/>
      <c r="E2343" s="500"/>
      <c r="F2343" s="500"/>
      <c r="G2343" s="500"/>
      <c r="H2343" s="500"/>
    </row>
    <row r="2344" spans="2:10" s="1" customFormat="1" ht="12.75" x14ac:dyDescent="0.2">
      <c r="C2344" s="78"/>
      <c r="D2344" s="78"/>
      <c r="E2344" s="78"/>
      <c r="F2344" s="78"/>
      <c r="G2344" s="78"/>
      <c r="H2344" s="78"/>
    </row>
    <row r="2345" spans="2:10" s="1" customFormat="1" ht="15.75" x14ac:dyDescent="0.2">
      <c r="B2345" s="501" t="s">
        <v>65</v>
      </c>
      <c r="C2345" s="502"/>
      <c r="D2345" s="502"/>
      <c r="E2345" s="502"/>
      <c r="F2345" s="502"/>
      <c r="G2345" s="502"/>
      <c r="H2345" s="502"/>
      <c r="I2345" s="502"/>
      <c r="J2345" s="503"/>
    </row>
    <row r="2346" spans="2:10" s="1" customFormat="1" ht="20.25" x14ac:dyDescent="0.2">
      <c r="B2346" s="543" t="s">
        <v>432</v>
      </c>
      <c r="C2346" s="544"/>
      <c r="D2346" s="544"/>
      <c r="E2346" s="544"/>
      <c r="F2346" s="544"/>
      <c r="G2346" s="544"/>
      <c r="H2346" s="544"/>
      <c r="I2346" s="544"/>
      <c r="J2346" s="545"/>
    </row>
    <row r="2347" spans="2:10" s="1" customFormat="1" ht="13.5" thickBot="1" x14ac:dyDescent="0.25">
      <c r="B2347" s="79"/>
      <c r="C2347" s="79"/>
      <c r="D2347" s="79"/>
      <c r="E2347" s="79"/>
      <c r="F2347" s="79"/>
      <c r="G2347" s="79"/>
      <c r="H2347" s="79"/>
      <c r="I2347" s="79"/>
      <c r="J2347" s="79"/>
    </row>
    <row r="2348" spans="2:10" s="1" customFormat="1" ht="28.5" customHeight="1" x14ac:dyDescent="0.2">
      <c r="B2348" s="494" t="s">
        <v>27</v>
      </c>
      <c r="C2348" s="495"/>
      <c r="D2348" s="495"/>
      <c r="E2348" s="495"/>
      <c r="F2348" s="495"/>
      <c r="G2348" s="495"/>
      <c r="H2348" s="495"/>
      <c r="I2348" s="495"/>
      <c r="J2348" s="496"/>
    </row>
    <row r="2349" spans="2:10" s="1" customFormat="1" ht="12.75" x14ac:dyDescent="0.2">
      <c r="B2349" s="2" t="s">
        <v>35</v>
      </c>
      <c r="C2349" s="3" t="s">
        <v>36</v>
      </c>
      <c r="D2349" s="3"/>
      <c r="E2349" s="4"/>
      <c r="F2349" s="5"/>
      <c r="G2349" s="6" t="s">
        <v>8</v>
      </c>
      <c r="H2349" s="497">
        <v>42879</v>
      </c>
      <c r="I2349" s="497"/>
      <c r="J2349" s="7"/>
    </row>
    <row r="2350" spans="2:10" s="1" customFormat="1" ht="12.75" x14ac:dyDescent="0.2">
      <c r="B2350" s="2" t="s">
        <v>33</v>
      </c>
      <c r="C2350" s="3" t="s">
        <v>29</v>
      </c>
      <c r="D2350" s="8"/>
      <c r="E2350" s="8"/>
      <c r="F2350" s="3"/>
      <c r="G2350" s="9" t="s">
        <v>32</v>
      </c>
      <c r="H2350" s="4" t="s">
        <v>29</v>
      </c>
      <c r="I2350" s="10"/>
      <c r="J2350" s="11"/>
    </row>
    <row r="2351" spans="2:10" s="1" customFormat="1" ht="12.75" x14ac:dyDescent="0.2">
      <c r="B2351" s="2" t="s">
        <v>34</v>
      </c>
      <c r="C2351" s="3" t="s">
        <v>29</v>
      </c>
      <c r="D2351" s="8"/>
      <c r="E2351" s="8"/>
      <c r="F2351" s="3"/>
      <c r="G2351" s="9" t="s">
        <v>30</v>
      </c>
      <c r="H2351" s="4" t="s">
        <v>31</v>
      </c>
      <c r="I2351" s="10"/>
      <c r="J2351" s="11"/>
    </row>
    <row r="2352" spans="2:10" s="1" customFormat="1" ht="13.5" thickBot="1" x14ac:dyDescent="0.25">
      <c r="B2352" s="12" t="s">
        <v>43</v>
      </c>
      <c r="C2352" s="13" t="s">
        <v>44</v>
      </c>
      <c r="D2352" s="14"/>
      <c r="E2352" s="14"/>
      <c r="F2352" s="13"/>
      <c r="G2352" s="15" t="s">
        <v>41</v>
      </c>
      <c r="H2352" s="16" t="s">
        <v>42</v>
      </c>
      <c r="I2352" s="17"/>
      <c r="J2352" s="18"/>
    </row>
    <row r="2353" spans="2:10" s="1" customFormat="1" ht="12.75" x14ac:dyDescent="0.2">
      <c r="B2353" s="79"/>
      <c r="C2353" s="79"/>
      <c r="D2353" s="79"/>
      <c r="E2353" s="79"/>
      <c r="F2353" s="79"/>
      <c r="G2353" s="79"/>
      <c r="H2353" s="79"/>
      <c r="I2353" s="79"/>
      <c r="J2353" s="79"/>
    </row>
    <row r="2354" spans="2:10" s="1" customFormat="1" ht="12.75" x14ac:dyDescent="0.2">
      <c r="B2354" s="21" t="s">
        <v>5</v>
      </c>
      <c r="C2354" s="22" t="s">
        <v>0</v>
      </c>
      <c r="D2354" s="22" t="s">
        <v>9</v>
      </c>
      <c r="E2354" s="22" t="s">
        <v>10</v>
      </c>
      <c r="F2354" s="22" t="s">
        <v>1</v>
      </c>
      <c r="G2354" s="22" t="s">
        <v>2</v>
      </c>
      <c r="H2354" s="22" t="s">
        <v>11</v>
      </c>
      <c r="I2354" s="22" t="s">
        <v>6</v>
      </c>
      <c r="J2354" s="22" t="s">
        <v>7</v>
      </c>
    </row>
    <row r="2355" spans="2:10" s="1" customFormat="1" ht="12.75" x14ac:dyDescent="0.2">
      <c r="B2355" s="55">
        <v>4.03</v>
      </c>
      <c r="C2355" s="56" t="s">
        <v>222</v>
      </c>
      <c r="D2355" s="60"/>
      <c r="E2355" s="40"/>
      <c r="F2355" s="40"/>
      <c r="G2355" s="40"/>
      <c r="H2355" s="40"/>
      <c r="I2355" s="40"/>
      <c r="J2355" s="41"/>
    </row>
    <row r="2356" spans="2:10" s="1" customFormat="1" ht="12.75" x14ac:dyDescent="0.2">
      <c r="B2356" s="57" t="s">
        <v>14</v>
      </c>
      <c r="C2356" s="58" t="s">
        <v>225</v>
      </c>
      <c r="D2356" s="60"/>
      <c r="E2356" s="40"/>
      <c r="F2356" s="40"/>
      <c r="G2356" s="40"/>
      <c r="H2356" s="40"/>
      <c r="I2356" s="40"/>
      <c r="J2356" s="41"/>
    </row>
    <row r="2357" spans="2:10" s="1" customFormat="1" ht="12.75" x14ac:dyDescent="0.2">
      <c r="B2357" s="43" t="s">
        <v>15</v>
      </c>
      <c r="C2357" s="43" t="s">
        <v>359</v>
      </c>
      <c r="D2357" s="60"/>
      <c r="E2357" s="40"/>
      <c r="F2357" s="40"/>
      <c r="G2357" s="40"/>
      <c r="H2357" s="40"/>
      <c r="I2357" s="44">
        <f>SUM(H2358:H2358)</f>
        <v>0</v>
      </c>
      <c r="J2357" s="45" t="str">
        <f>+J2358</f>
        <v>ml</v>
      </c>
    </row>
    <row r="2358" spans="2:10" s="1" customFormat="1" ht="12.75" x14ac:dyDescent="0.2">
      <c r="B2358" s="43"/>
      <c r="C2358" s="39" t="s">
        <v>387</v>
      </c>
      <c r="D2358" s="40"/>
      <c r="E2358" s="40"/>
      <c r="F2358" s="40"/>
      <c r="G2358" s="40"/>
      <c r="H2358" s="40">
        <f>IF(AND(F2358=0,G2358=0),D2358*E2358,IF(AND(E2358=0,G2358=0),D2358*F2358,IF(AND(E2358=0,F2358=0),D2358*G2358,IF(AND(E2358=0),D2358*F2358*G2358,IF(AND(F2358=0),D2358*E2358*G2358,IF(AND(G2358=0),D2358*E2358*F2358,D2358*E2358*F2358*G2358))))))</f>
        <v>0</v>
      </c>
      <c r="I2358" s="40"/>
      <c r="J2358" s="41" t="str">
        <f>IF(AND(E2358=0,F2358&lt;&gt;0,G2358&lt;&gt;0),"m2",IF(AND(F2358=0,E2358&lt;&gt;0,G2358&lt;&gt;0),"m2",IF(AND(G2358=0,E2358&lt;&gt;0,F2358&lt;&gt;0),"m2",IF(AND(F2358=0,G2358=0),"ml",IF(AND(E2358=0,G2358=0),"ml",IF(AND(E2358=0,F2358=0),"ml",IF(AND(E2358&lt;&gt;0,F2358&lt;&gt;0,G2358&lt;&gt;0),"m3",0)))))))</f>
        <v>ml</v>
      </c>
    </row>
    <row r="2359" spans="2:10" s="1" customFormat="1" ht="12.75" x14ac:dyDescent="0.2">
      <c r="B2359" s="43"/>
      <c r="C2359" s="39"/>
      <c r="D2359" s="40"/>
      <c r="E2359" s="40"/>
      <c r="F2359" s="40"/>
      <c r="G2359" s="40"/>
      <c r="H2359" s="40">
        <f>IF(AND(F2359=0,G2359=0),D2359*E2359,IF(AND(E2359=0,G2359=0),D2359*F2359,IF(AND(E2359=0,F2359=0),D2359*G2359,IF(AND(E2359=0),D2359*F2359*G2359,IF(AND(F2359=0),D2359*E2359*G2359,IF(AND(G2359=0),D2359*E2359*F2359,D2359*E2359*F2359*G2359))))))</f>
        <v>0</v>
      </c>
      <c r="I2359" s="40"/>
      <c r="J2359" s="41" t="str">
        <f>IF(AND(E2359=0,F2359&lt;&gt;0,G2359&lt;&gt;0),"m2",IF(AND(F2359=0,E2359&lt;&gt;0,G2359&lt;&gt;0),"m2",IF(AND(G2359=0,E2359&lt;&gt;0,F2359&lt;&gt;0),"m2",IF(AND(F2359=0,G2359=0),"ml",IF(AND(E2359=0,G2359=0),"ml",IF(AND(E2359=0,F2359=0),"ml",IF(AND(E2359&lt;&gt;0,F2359&lt;&gt;0,G2359&lt;&gt;0),"m3",0)))))))</f>
        <v>ml</v>
      </c>
    </row>
    <row r="2360" spans="2:10" s="1" customFormat="1" ht="12.75" x14ac:dyDescent="0.2">
      <c r="B2360" s="43" t="s">
        <v>232</v>
      </c>
      <c r="C2360" s="43" t="s">
        <v>235</v>
      </c>
      <c r="D2360" s="60"/>
      <c r="E2360" s="40"/>
      <c r="F2360" s="40"/>
      <c r="G2360" s="40"/>
      <c r="H2360" s="40"/>
      <c r="I2360" s="44">
        <f>SUM(H2361:H2361)</f>
        <v>0</v>
      </c>
      <c r="J2360" s="45" t="str">
        <f>+J2361</f>
        <v>ml</v>
      </c>
    </row>
    <row r="2361" spans="2:10" s="1" customFormat="1" ht="12.75" x14ac:dyDescent="0.2">
      <c r="B2361" s="57"/>
      <c r="C2361" s="39" t="s">
        <v>378</v>
      </c>
      <c r="D2361" s="40"/>
      <c r="E2361" s="40"/>
      <c r="F2361" s="40"/>
      <c r="G2361" s="40"/>
      <c r="H2361" s="40">
        <f>IF(AND(F2361=0,G2361=0),D2361*E2361,IF(AND(E2361=0,G2361=0),D2361*F2361,IF(AND(E2361=0,F2361=0),D2361*G2361,IF(AND(E2361=0),D2361*F2361*G2361,IF(AND(F2361=0),D2361*E2361*G2361,IF(AND(G2361=0),D2361*E2361*F2361,D2361*E2361*F2361*G2361))))))</f>
        <v>0</v>
      </c>
      <c r="I2361" s="40"/>
      <c r="J2361" s="41" t="str">
        <f>IF(AND(E2361=0,F2361&lt;&gt;0,G2361&lt;&gt;0),"m2",IF(AND(F2361=0,E2361&lt;&gt;0,G2361&lt;&gt;0),"m2",IF(AND(G2361=0,E2361&lt;&gt;0,F2361&lt;&gt;0),"m2",IF(AND(F2361=0,G2361=0),"ml",IF(AND(E2361=0,G2361=0),"ml",IF(AND(E2361=0,F2361=0),"ml",IF(AND(E2361&lt;&gt;0,F2361&lt;&gt;0,G2361&lt;&gt;0),"m3",0)))))))</f>
        <v>ml</v>
      </c>
    </row>
    <row r="2362" spans="2:10" s="1" customFormat="1" ht="12.75" x14ac:dyDescent="0.2">
      <c r="B2362" s="57"/>
      <c r="C2362" s="39" t="s">
        <v>379</v>
      </c>
      <c r="D2362" s="40"/>
      <c r="E2362" s="40"/>
      <c r="F2362" s="40"/>
      <c r="G2362" s="40"/>
      <c r="H2362" s="40">
        <f>IF(AND(F2362=0,G2362=0),D2362*E2362,IF(AND(E2362=0,G2362=0),D2362*F2362,IF(AND(E2362=0,F2362=0),D2362*G2362,IF(AND(E2362=0),D2362*F2362*G2362,IF(AND(F2362=0),D2362*E2362*G2362,IF(AND(G2362=0),D2362*E2362*F2362,D2362*E2362*F2362*G2362))))))</f>
        <v>0</v>
      </c>
      <c r="I2362" s="40"/>
      <c r="J2362" s="41" t="str">
        <f>IF(AND(E2362=0,F2362&lt;&gt;0,G2362&lt;&gt;0),"m2",IF(AND(F2362=0,E2362&lt;&gt;0,G2362&lt;&gt;0),"m2",IF(AND(G2362=0,E2362&lt;&gt;0,F2362&lt;&gt;0),"m2",IF(AND(F2362=0,G2362=0),"ml",IF(AND(E2362=0,G2362=0),"ml",IF(AND(E2362=0,F2362=0),"ml",IF(AND(E2362&lt;&gt;0,F2362&lt;&gt;0,G2362&lt;&gt;0),"m3",0)))))))</f>
        <v>ml</v>
      </c>
    </row>
    <row r="2363" spans="2:10" s="1" customFormat="1" ht="12.75" x14ac:dyDescent="0.2">
      <c r="B2363" s="43" t="s">
        <v>233</v>
      </c>
      <c r="C2363" s="43" t="s">
        <v>236</v>
      </c>
      <c r="D2363" s="60"/>
      <c r="E2363" s="40"/>
      <c r="F2363" s="40"/>
      <c r="G2363" s="40"/>
      <c r="H2363" s="40"/>
      <c r="I2363" s="44">
        <f>SUM(H2364:H2364)</f>
        <v>0</v>
      </c>
      <c r="J2363" s="45" t="str">
        <f>+J2364</f>
        <v>ml</v>
      </c>
    </row>
    <row r="2364" spans="2:10" s="1" customFormat="1" ht="12.75" x14ac:dyDescent="0.2">
      <c r="B2364" s="57"/>
      <c r="C2364" s="39" t="s">
        <v>378</v>
      </c>
      <c r="D2364" s="40"/>
      <c r="E2364" s="40"/>
      <c r="F2364" s="40"/>
      <c r="G2364" s="40"/>
      <c r="H2364" s="40">
        <f>IF(AND(F2364=0,G2364=0),D2364*E2364,IF(AND(E2364=0,G2364=0),D2364*F2364,IF(AND(E2364=0,F2364=0),D2364*G2364,IF(AND(E2364=0),D2364*F2364*G2364,IF(AND(F2364=0),D2364*E2364*G2364,IF(AND(G2364=0),D2364*E2364*F2364,D2364*E2364*F2364*G2364))))))</f>
        <v>0</v>
      </c>
      <c r="I2364" s="40"/>
      <c r="J2364" s="41" t="str">
        <f>IF(AND(E2364=0,F2364&lt;&gt;0,G2364&lt;&gt;0),"m2",IF(AND(F2364=0,E2364&lt;&gt;0,G2364&lt;&gt;0),"m2",IF(AND(G2364=0,E2364&lt;&gt;0,F2364&lt;&gt;0),"m2",IF(AND(F2364=0,G2364=0),"ml",IF(AND(E2364=0,G2364=0),"ml",IF(AND(E2364=0,F2364=0),"ml",IF(AND(E2364&lt;&gt;0,F2364&lt;&gt;0,G2364&lt;&gt;0),"m3",0)))))))</f>
        <v>ml</v>
      </c>
    </row>
    <row r="2365" spans="2:10" s="1" customFormat="1" ht="12.75" x14ac:dyDescent="0.2">
      <c r="B2365" s="57"/>
      <c r="C2365" s="39" t="s">
        <v>379</v>
      </c>
      <c r="D2365" s="40"/>
      <c r="E2365" s="40"/>
      <c r="F2365" s="40"/>
      <c r="G2365" s="40"/>
      <c r="H2365" s="40">
        <f>IF(AND(F2365=0,G2365=0),D2365*E2365,IF(AND(E2365=0,G2365=0),D2365*F2365,IF(AND(E2365=0,F2365=0),D2365*G2365,IF(AND(E2365=0),D2365*F2365*G2365,IF(AND(F2365=0),D2365*E2365*G2365,IF(AND(G2365=0),D2365*E2365*F2365,D2365*E2365*F2365*G2365))))))</f>
        <v>0</v>
      </c>
      <c r="I2365" s="40"/>
      <c r="J2365" s="41" t="str">
        <f>IF(AND(E2365=0,F2365&lt;&gt;0,G2365&lt;&gt;0),"m2",IF(AND(F2365=0,E2365&lt;&gt;0,G2365&lt;&gt;0),"m2",IF(AND(G2365=0,E2365&lt;&gt;0,F2365&lt;&gt;0),"m2",IF(AND(F2365=0,G2365=0),"ml",IF(AND(E2365=0,G2365=0),"ml",IF(AND(E2365=0,F2365=0),"ml",IF(AND(E2365&lt;&gt;0,F2365&lt;&gt;0,G2365&lt;&gt;0),"m3",0)))))))</f>
        <v>ml</v>
      </c>
    </row>
    <row r="2366" spans="2:10" s="1" customFormat="1" ht="12.75" x14ac:dyDescent="0.2">
      <c r="B2366" s="43" t="s">
        <v>234</v>
      </c>
      <c r="C2366" s="43" t="s">
        <v>267</v>
      </c>
      <c r="D2366" s="60"/>
      <c r="E2366" s="40"/>
      <c r="F2366" s="40"/>
      <c r="G2366" s="40"/>
      <c r="H2366" s="40"/>
      <c r="I2366" s="44">
        <f>SUM(H2368:H2373)</f>
        <v>0</v>
      </c>
      <c r="J2366" s="45" t="str">
        <f>+J2368</f>
        <v>ml</v>
      </c>
    </row>
    <row r="2367" spans="2:10" s="1" customFormat="1" ht="12.75" x14ac:dyDescent="0.2">
      <c r="B2367" s="43"/>
      <c r="C2367" s="77" t="s">
        <v>71</v>
      </c>
      <c r="D2367" s="60"/>
      <c r="E2367" s="40"/>
      <c r="F2367" s="40"/>
      <c r="G2367" s="40"/>
      <c r="H2367" s="40"/>
      <c r="I2367" s="44"/>
      <c r="J2367" s="45"/>
    </row>
    <row r="2368" spans="2:10" s="1" customFormat="1" ht="12.75" x14ac:dyDescent="0.2">
      <c r="B2368" s="43"/>
      <c r="C2368" s="39" t="s">
        <v>349</v>
      </c>
      <c r="D2368" s="40"/>
      <c r="E2368" s="40"/>
      <c r="F2368" s="40"/>
      <c r="G2368" s="40"/>
      <c r="H2368" s="40">
        <f t="shared" ref="H2368:H2373" si="128">IF(AND(F2368=0,G2368=0),D2368*E2368,IF(AND(E2368=0,G2368=0),D2368*F2368,IF(AND(E2368=0,F2368=0),D2368*G2368,IF(AND(E2368=0),D2368*F2368*G2368,IF(AND(F2368=0),D2368*E2368*G2368,IF(AND(G2368=0),D2368*E2368*F2368,D2368*E2368*F2368*G2368))))))</f>
        <v>0</v>
      </c>
      <c r="I2368" s="40"/>
      <c r="J2368" s="41" t="str">
        <f t="shared" ref="J2368:J2373" si="129">IF(AND(E2368=0,F2368&lt;&gt;0,G2368&lt;&gt;0),"m2",IF(AND(F2368=0,E2368&lt;&gt;0,G2368&lt;&gt;0),"m2",IF(AND(G2368=0,E2368&lt;&gt;0,F2368&lt;&gt;0),"m2",IF(AND(F2368=0,G2368=0),"ml",IF(AND(E2368=0,G2368=0),"ml",IF(AND(E2368=0,F2368=0),"ml",IF(AND(E2368&lt;&gt;0,F2368&lt;&gt;0,G2368&lt;&gt;0),"m3",0)))))))</f>
        <v>ml</v>
      </c>
    </row>
    <row r="2369" spans="2:10" s="1" customFormat="1" ht="12.75" x14ac:dyDescent="0.2">
      <c r="B2369" s="43"/>
      <c r="C2369" s="39" t="s">
        <v>369</v>
      </c>
      <c r="D2369" s="40"/>
      <c r="E2369" s="40"/>
      <c r="F2369" s="40"/>
      <c r="G2369" s="40"/>
      <c r="H2369" s="40">
        <f t="shared" si="128"/>
        <v>0</v>
      </c>
      <c r="I2369" s="40"/>
      <c r="J2369" s="41" t="str">
        <f t="shared" si="129"/>
        <v>ml</v>
      </c>
    </row>
    <row r="2370" spans="2:10" s="1" customFormat="1" ht="12.75" x14ac:dyDescent="0.2">
      <c r="B2370" s="43"/>
      <c r="C2370" s="77" t="s">
        <v>72</v>
      </c>
      <c r="D2370" s="40"/>
      <c r="E2370" s="40"/>
      <c r="F2370" s="40"/>
      <c r="G2370" s="40"/>
      <c r="H2370" s="40">
        <f t="shared" si="128"/>
        <v>0</v>
      </c>
      <c r="I2370" s="40"/>
      <c r="J2370" s="41" t="str">
        <f t="shared" si="129"/>
        <v>ml</v>
      </c>
    </row>
    <row r="2371" spans="2:10" s="1" customFormat="1" ht="12.75" x14ac:dyDescent="0.2">
      <c r="B2371" s="43"/>
      <c r="C2371" s="39" t="s">
        <v>349</v>
      </c>
      <c r="D2371" s="40"/>
      <c r="E2371" s="40"/>
      <c r="F2371" s="40"/>
      <c r="G2371" s="40"/>
      <c r="H2371" s="40">
        <f t="shared" si="128"/>
        <v>0</v>
      </c>
      <c r="I2371" s="40"/>
      <c r="J2371" s="41" t="str">
        <f t="shared" si="129"/>
        <v>ml</v>
      </c>
    </row>
    <row r="2372" spans="2:10" s="1" customFormat="1" ht="12.75" x14ac:dyDescent="0.2">
      <c r="B2372" s="43"/>
      <c r="C2372" s="77" t="s">
        <v>73</v>
      </c>
      <c r="D2372" s="40"/>
      <c r="E2372" s="40"/>
      <c r="F2372" s="40"/>
      <c r="G2372" s="40"/>
      <c r="H2372" s="40">
        <f t="shared" si="128"/>
        <v>0</v>
      </c>
      <c r="I2372" s="40"/>
      <c r="J2372" s="41" t="str">
        <f t="shared" si="129"/>
        <v>ml</v>
      </c>
    </row>
    <row r="2373" spans="2:10" s="1" customFormat="1" ht="12.75" x14ac:dyDescent="0.2">
      <c r="B2373" s="43"/>
      <c r="C2373" s="39" t="s">
        <v>349</v>
      </c>
      <c r="D2373" s="40"/>
      <c r="E2373" s="40"/>
      <c r="F2373" s="40"/>
      <c r="G2373" s="40"/>
      <c r="H2373" s="40">
        <f t="shared" si="128"/>
        <v>0</v>
      </c>
      <c r="I2373" s="40"/>
      <c r="J2373" s="41" t="str">
        <f t="shared" si="129"/>
        <v>ml</v>
      </c>
    </row>
    <row r="2374" spans="2:10" s="1" customFormat="1" ht="12.75" x14ac:dyDescent="0.2">
      <c r="B2374" s="43" t="s">
        <v>268</v>
      </c>
      <c r="C2374" s="43" t="s">
        <v>347</v>
      </c>
      <c r="D2374" s="60"/>
      <c r="E2374" s="40"/>
      <c r="F2374" s="40"/>
      <c r="G2374" s="40"/>
      <c r="H2374" s="40"/>
      <c r="I2374" s="44">
        <f>SUM(H2375:H2381)</f>
        <v>0</v>
      </c>
      <c r="J2374" s="45" t="str">
        <f>+J2375</f>
        <v>ml</v>
      </c>
    </row>
    <row r="2375" spans="2:10" s="1" customFormat="1" ht="12.75" x14ac:dyDescent="0.2">
      <c r="B2375" s="57"/>
      <c r="C2375" s="77" t="s">
        <v>71</v>
      </c>
      <c r="D2375" s="40"/>
      <c r="E2375" s="40"/>
      <c r="F2375" s="40"/>
      <c r="G2375" s="40"/>
      <c r="H2375" s="40">
        <f t="shared" ref="H2375:H2381" si="130">IF(AND(F2375=0,G2375=0),D2375*E2375,IF(AND(E2375=0,G2375=0),D2375*F2375,IF(AND(E2375=0,F2375=0),D2375*G2375,IF(AND(E2375=0),D2375*F2375*G2375,IF(AND(F2375=0),D2375*E2375*G2375,IF(AND(G2375=0),D2375*E2375*F2375,D2375*E2375*F2375*G2375))))))</f>
        <v>0</v>
      </c>
      <c r="I2375" s="40"/>
      <c r="J2375" s="41" t="str">
        <f t="shared" ref="J2375:J2381" si="131">IF(AND(E2375=0,F2375&lt;&gt;0,G2375&lt;&gt;0),"m2",IF(AND(F2375=0,E2375&lt;&gt;0,G2375&lt;&gt;0),"m2",IF(AND(G2375=0,E2375&lt;&gt;0,F2375&lt;&gt;0),"m2",IF(AND(F2375=0,G2375=0),"ml",IF(AND(E2375=0,G2375=0),"ml",IF(AND(E2375=0,F2375=0),"ml",IF(AND(E2375&lt;&gt;0,F2375&lt;&gt;0,G2375&lt;&gt;0),"m3",0)))))))</f>
        <v>ml</v>
      </c>
    </row>
    <row r="2376" spans="2:10" s="1" customFormat="1" ht="12.75" x14ac:dyDescent="0.2">
      <c r="B2376" s="57"/>
      <c r="C2376" s="39" t="s">
        <v>349</v>
      </c>
      <c r="D2376" s="40"/>
      <c r="E2376" s="40"/>
      <c r="F2376" s="40"/>
      <c r="G2376" s="40"/>
      <c r="H2376" s="40">
        <f t="shared" si="130"/>
        <v>0</v>
      </c>
      <c r="I2376" s="40"/>
      <c r="J2376" s="41" t="str">
        <f t="shared" si="131"/>
        <v>ml</v>
      </c>
    </row>
    <row r="2377" spans="2:10" s="1" customFormat="1" ht="12.75" x14ac:dyDescent="0.2">
      <c r="B2377" s="57"/>
      <c r="C2377" s="39" t="s">
        <v>369</v>
      </c>
      <c r="D2377" s="40"/>
      <c r="E2377" s="40"/>
      <c r="F2377" s="40"/>
      <c r="G2377" s="40"/>
      <c r="H2377" s="40">
        <f t="shared" si="130"/>
        <v>0</v>
      </c>
      <c r="I2377" s="40"/>
      <c r="J2377" s="41" t="str">
        <f t="shared" si="131"/>
        <v>ml</v>
      </c>
    </row>
    <row r="2378" spans="2:10" s="1" customFormat="1" ht="12.75" x14ac:dyDescent="0.2">
      <c r="B2378" s="57"/>
      <c r="C2378" s="77" t="s">
        <v>72</v>
      </c>
      <c r="D2378" s="40"/>
      <c r="E2378" s="40"/>
      <c r="F2378" s="40"/>
      <c r="G2378" s="40"/>
      <c r="H2378" s="40">
        <f t="shared" si="130"/>
        <v>0</v>
      </c>
      <c r="I2378" s="40"/>
      <c r="J2378" s="41" t="str">
        <f t="shared" si="131"/>
        <v>ml</v>
      </c>
    </row>
    <row r="2379" spans="2:10" s="1" customFormat="1" ht="12.75" x14ac:dyDescent="0.2">
      <c r="B2379" s="57"/>
      <c r="C2379" s="39" t="s">
        <v>349</v>
      </c>
      <c r="D2379" s="40"/>
      <c r="E2379" s="40"/>
      <c r="F2379" s="40"/>
      <c r="G2379" s="40"/>
      <c r="H2379" s="40">
        <f t="shared" si="130"/>
        <v>0</v>
      </c>
      <c r="I2379" s="40"/>
      <c r="J2379" s="41" t="str">
        <f t="shared" si="131"/>
        <v>ml</v>
      </c>
    </row>
    <row r="2380" spans="2:10" s="1" customFormat="1" ht="12.75" x14ac:dyDescent="0.2">
      <c r="B2380" s="57"/>
      <c r="C2380" s="77" t="s">
        <v>73</v>
      </c>
      <c r="D2380" s="40"/>
      <c r="E2380" s="40"/>
      <c r="F2380" s="40"/>
      <c r="G2380" s="40"/>
      <c r="H2380" s="40">
        <f t="shared" si="130"/>
        <v>0</v>
      </c>
      <c r="I2380" s="40"/>
      <c r="J2380" s="41" t="str">
        <f t="shared" si="131"/>
        <v>ml</v>
      </c>
    </row>
    <row r="2381" spans="2:10" s="1" customFormat="1" ht="12.75" x14ac:dyDescent="0.2">
      <c r="B2381" s="57"/>
      <c r="C2381" s="39" t="s">
        <v>349</v>
      </c>
      <c r="D2381" s="40"/>
      <c r="E2381" s="40"/>
      <c r="F2381" s="40"/>
      <c r="G2381" s="40"/>
      <c r="H2381" s="40">
        <f t="shared" si="130"/>
        <v>0</v>
      </c>
      <c r="I2381" s="40"/>
      <c r="J2381" s="41" t="str">
        <f t="shared" si="131"/>
        <v>ml</v>
      </c>
    </row>
    <row r="2382" spans="2:10" s="1" customFormat="1" ht="12.75" x14ac:dyDescent="0.2">
      <c r="B2382" s="43" t="s">
        <v>270</v>
      </c>
      <c r="C2382" s="43" t="s">
        <v>269</v>
      </c>
      <c r="D2382" s="60"/>
      <c r="E2382" s="40"/>
      <c r="F2382" s="40"/>
      <c r="G2382" s="40"/>
      <c r="H2382" s="40"/>
      <c r="I2382" s="44">
        <f>SUM(H2383:H2389)</f>
        <v>153</v>
      </c>
      <c r="J2382" s="45" t="str">
        <f>+J2383</f>
        <v>ml</v>
      </c>
    </row>
    <row r="2383" spans="2:10" s="1" customFormat="1" ht="12.75" x14ac:dyDescent="0.2">
      <c r="B2383" s="43"/>
      <c r="C2383" s="77" t="s">
        <v>71</v>
      </c>
      <c r="D2383" s="40"/>
      <c r="E2383" s="40"/>
      <c r="F2383" s="40"/>
      <c r="G2383" s="40"/>
      <c r="H2383" s="40">
        <f t="shared" ref="H2383:H2389" si="132">IF(AND(F2383=0,G2383=0),D2383*E2383,IF(AND(E2383=0,G2383=0),D2383*F2383,IF(AND(E2383=0,F2383=0),D2383*G2383,IF(AND(E2383=0),D2383*F2383*G2383,IF(AND(F2383=0),D2383*E2383*G2383,IF(AND(G2383=0),D2383*E2383*F2383,D2383*E2383*F2383*G2383))))))</f>
        <v>0</v>
      </c>
      <c r="I2383" s="40"/>
      <c r="J2383" s="41" t="str">
        <f t="shared" ref="J2383:J2389" si="133">IF(AND(E2383=0,F2383&lt;&gt;0,G2383&lt;&gt;0),"m2",IF(AND(F2383=0,E2383&lt;&gt;0,G2383&lt;&gt;0),"m2",IF(AND(G2383=0,E2383&lt;&gt;0,F2383&lt;&gt;0),"m2",IF(AND(F2383=0,G2383=0),"ml",IF(AND(E2383=0,G2383=0),"ml",IF(AND(E2383=0,F2383=0),"ml",IF(AND(E2383&lt;&gt;0,F2383&lt;&gt;0,G2383&lt;&gt;0),"m3",0)))))))</f>
        <v>ml</v>
      </c>
    </row>
    <row r="2384" spans="2:10" s="1" customFormat="1" ht="12.75" x14ac:dyDescent="0.2">
      <c r="B2384" s="43"/>
      <c r="C2384" s="39" t="s">
        <v>349</v>
      </c>
      <c r="D2384" s="40">
        <v>12</v>
      </c>
      <c r="E2384" s="40">
        <v>3.25</v>
      </c>
      <c r="F2384" s="40"/>
      <c r="G2384" s="40"/>
      <c r="H2384" s="40">
        <f t="shared" si="132"/>
        <v>39</v>
      </c>
      <c r="I2384" s="40"/>
      <c r="J2384" s="41" t="str">
        <f t="shared" si="133"/>
        <v>ml</v>
      </c>
    </row>
    <row r="2385" spans="2:10" s="1" customFormat="1" ht="12.75" x14ac:dyDescent="0.2">
      <c r="B2385" s="43"/>
      <c r="C2385" s="39" t="s">
        <v>369</v>
      </c>
      <c r="D2385" s="40">
        <v>12</v>
      </c>
      <c r="E2385" s="40">
        <v>3</v>
      </c>
      <c r="F2385" s="40"/>
      <c r="G2385" s="40"/>
      <c r="H2385" s="40">
        <f t="shared" si="132"/>
        <v>36</v>
      </c>
      <c r="I2385" s="40"/>
      <c r="J2385" s="41" t="str">
        <f t="shared" si="133"/>
        <v>ml</v>
      </c>
    </row>
    <row r="2386" spans="2:10" s="1" customFormat="1" ht="12.75" x14ac:dyDescent="0.2">
      <c r="B2386" s="43"/>
      <c r="C2386" s="77" t="s">
        <v>72</v>
      </c>
      <c r="D2386" s="40"/>
      <c r="E2386" s="40"/>
      <c r="F2386" s="40"/>
      <c r="G2386" s="40"/>
      <c r="H2386" s="40">
        <f t="shared" si="132"/>
        <v>0</v>
      </c>
      <c r="I2386" s="40"/>
      <c r="J2386" s="41" t="str">
        <f t="shared" si="133"/>
        <v>ml</v>
      </c>
    </row>
    <row r="2387" spans="2:10" s="1" customFormat="1" ht="12.75" x14ac:dyDescent="0.2">
      <c r="B2387" s="43"/>
      <c r="C2387" s="39" t="s">
        <v>349</v>
      </c>
      <c r="D2387" s="40">
        <v>12</v>
      </c>
      <c r="E2387" s="40">
        <v>3.25</v>
      </c>
      <c r="F2387" s="40"/>
      <c r="G2387" s="40"/>
      <c r="H2387" s="40">
        <f t="shared" si="132"/>
        <v>39</v>
      </c>
      <c r="I2387" s="40"/>
      <c r="J2387" s="41" t="str">
        <f t="shared" si="133"/>
        <v>ml</v>
      </c>
    </row>
    <row r="2388" spans="2:10" s="1" customFormat="1" ht="12.75" x14ac:dyDescent="0.2">
      <c r="B2388" s="43"/>
      <c r="C2388" s="77" t="s">
        <v>73</v>
      </c>
      <c r="D2388" s="40"/>
      <c r="E2388" s="40"/>
      <c r="F2388" s="40"/>
      <c r="G2388" s="40"/>
      <c r="H2388" s="40">
        <f t="shared" si="132"/>
        <v>0</v>
      </c>
      <c r="I2388" s="40"/>
      <c r="J2388" s="41" t="str">
        <f t="shared" si="133"/>
        <v>ml</v>
      </c>
    </row>
    <row r="2389" spans="2:10" s="1" customFormat="1" ht="12.75" x14ac:dyDescent="0.2">
      <c r="B2389" s="43"/>
      <c r="C2389" s="39" t="s">
        <v>349</v>
      </c>
      <c r="D2389" s="40">
        <v>12</v>
      </c>
      <c r="E2389" s="40">
        <v>3.25</v>
      </c>
      <c r="F2389" s="40"/>
      <c r="G2389" s="40"/>
      <c r="H2389" s="40">
        <f t="shared" si="132"/>
        <v>39</v>
      </c>
      <c r="I2389" s="40"/>
      <c r="J2389" s="41" t="str">
        <f t="shared" si="133"/>
        <v>ml</v>
      </c>
    </row>
    <row r="2390" spans="2:10" s="1" customFormat="1" ht="12.75" x14ac:dyDescent="0.2">
      <c r="B2390" s="43" t="s">
        <v>342</v>
      </c>
      <c r="C2390" s="43" t="s">
        <v>271</v>
      </c>
      <c r="D2390" s="60"/>
      <c r="E2390" s="40"/>
      <c r="F2390" s="40"/>
      <c r="G2390" s="40"/>
      <c r="H2390" s="40"/>
      <c r="I2390" s="44">
        <f>SUM(H2391:H2391)</f>
        <v>12</v>
      </c>
      <c r="J2390" s="45" t="str">
        <f>+J2391</f>
        <v>und</v>
      </c>
    </row>
    <row r="2391" spans="2:10" s="1" customFormat="1" ht="12.75" x14ac:dyDescent="0.2">
      <c r="B2391" s="57"/>
      <c r="C2391" s="39" t="s">
        <v>370</v>
      </c>
      <c r="D2391" s="40">
        <v>12</v>
      </c>
      <c r="E2391" s="40"/>
      <c r="F2391" s="40"/>
      <c r="G2391" s="40"/>
      <c r="H2391" s="40">
        <f>+D2391</f>
        <v>12</v>
      </c>
      <c r="I2391" s="40"/>
      <c r="J2391" s="41" t="s">
        <v>13</v>
      </c>
    </row>
    <row r="2392" spans="2:10" s="1" customFormat="1" ht="12.75" x14ac:dyDescent="0.2">
      <c r="B2392" s="43" t="s">
        <v>346</v>
      </c>
      <c r="C2392" s="43" t="s">
        <v>348</v>
      </c>
      <c r="D2392" s="60"/>
      <c r="E2392" s="40"/>
      <c r="F2392" s="40"/>
      <c r="G2392" s="40"/>
      <c r="H2392" s="40"/>
      <c r="I2392" s="44">
        <f>SUM(H2393:H2393)</f>
        <v>12</v>
      </c>
      <c r="J2392" s="45" t="str">
        <f>+J2393</f>
        <v>und</v>
      </c>
    </row>
    <row r="2393" spans="2:10" s="1" customFormat="1" ht="12.75" x14ac:dyDescent="0.2">
      <c r="B2393" s="57"/>
      <c r="C2393" s="39" t="s">
        <v>349</v>
      </c>
      <c r="D2393" s="40">
        <v>12</v>
      </c>
      <c r="E2393" s="40"/>
      <c r="F2393" s="40"/>
      <c r="G2393" s="40"/>
      <c r="H2393" s="40">
        <f>+D2393</f>
        <v>12</v>
      </c>
      <c r="I2393" s="40"/>
      <c r="J2393" s="41" t="s">
        <v>13</v>
      </c>
    </row>
    <row r="2394" spans="2:10" s="1" customFormat="1" ht="12.75" x14ac:dyDescent="0.2">
      <c r="B2394" s="57" t="s">
        <v>16</v>
      </c>
      <c r="C2394" s="58" t="s">
        <v>224</v>
      </c>
      <c r="D2394" s="60"/>
      <c r="E2394" s="40"/>
      <c r="F2394" s="40"/>
      <c r="G2394" s="40"/>
      <c r="H2394" s="40"/>
      <c r="I2394" s="40"/>
      <c r="J2394" s="41"/>
    </row>
    <row r="2395" spans="2:10" s="1" customFormat="1" ht="12.75" x14ac:dyDescent="0.2">
      <c r="B2395" s="43" t="s">
        <v>17</v>
      </c>
      <c r="C2395" s="43" t="s">
        <v>343</v>
      </c>
      <c r="D2395" s="60"/>
      <c r="E2395" s="40"/>
      <c r="F2395" s="40"/>
      <c r="G2395" s="40"/>
      <c r="H2395" s="40"/>
      <c r="I2395" s="44">
        <f>SUM(H2396:H2397)</f>
        <v>0</v>
      </c>
      <c r="J2395" s="45" t="str">
        <f>+J2396</f>
        <v>ml</v>
      </c>
    </row>
    <row r="2396" spans="2:10" s="1" customFormat="1" ht="12.75" x14ac:dyDescent="0.2">
      <c r="B2396" s="57"/>
      <c r="C2396" s="39" t="s">
        <v>425</v>
      </c>
      <c r="D2396" s="40"/>
      <c r="E2396" s="40"/>
      <c r="F2396" s="40"/>
      <c r="G2396" s="40"/>
      <c r="H2396" s="40">
        <f>IF(AND(F2396=0,G2396=0),D2396*E2396,IF(AND(E2396=0,G2396=0),D2396*F2396,IF(AND(E2396=0,F2396=0),D2396*G2396,IF(AND(E2396=0),D2396*F2396*G2396,IF(AND(F2396=0),D2396*E2396*G2396,IF(AND(G2396=0),D2396*E2396*F2396,D2396*E2396*F2396*G2396))))))</f>
        <v>0</v>
      </c>
      <c r="I2396" s="40"/>
      <c r="J2396" s="41" t="str">
        <f>IF(AND(E2396=0,F2396&lt;&gt;0,G2396&lt;&gt;0),"m2",IF(AND(F2396=0,E2396&lt;&gt;0,G2396&lt;&gt;0),"m2",IF(AND(G2396=0,E2396&lt;&gt;0,F2396&lt;&gt;0),"m2",IF(AND(F2396=0,G2396=0),"ml",IF(AND(E2396=0,G2396=0),"ml",IF(AND(E2396=0,F2396=0),"ml",IF(AND(E2396&lt;&gt;0,F2396&lt;&gt;0,G2396&lt;&gt;0),"m3",0)))))))</f>
        <v>ml</v>
      </c>
    </row>
    <row r="2397" spans="2:10" s="1" customFormat="1" ht="12.75" x14ac:dyDescent="0.2">
      <c r="B2397" s="57"/>
      <c r="C2397" s="39" t="s">
        <v>425</v>
      </c>
      <c r="D2397" s="40"/>
      <c r="E2397" s="40"/>
      <c r="F2397" s="40"/>
      <c r="G2397" s="40"/>
      <c r="H2397" s="40">
        <f>IF(AND(F2397=0,G2397=0),D2397*E2397,IF(AND(E2397=0,G2397=0),D2397*F2397,IF(AND(E2397=0,F2397=0),D2397*G2397,IF(AND(E2397=0),D2397*F2397*G2397,IF(AND(F2397=0),D2397*E2397*G2397,IF(AND(G2397=0),D2397*E2397*F2397,D2397*E2397*F2397*G2397))))))</f>
        <v>0</v>
      </c>
      <c r="I2397" s="40"/>
      <c r="J2397" s="41"/>
    </row>
    <row r="2398" spans="2:10" s="1" customFormat="1" ht="12.75" x14ac:dyDescent="0.2">
      <c r="B2398" s="43" t="s">
        <v>240</v>
      </c>
      <c r="C2398" s="43" t="s">
        <v>237</v>
      </c>
      <c r="D2398" s="60"/>
      <c r="E2398" s="40"/>
      <c r="F2398" s="40"/>
      <c r="G2398" s="40"/>
      <c r="H2398" s="40"/>
      <c r="I2398" s="44">
        <f>SUM(H2399:H2401)</f>
        <v>0</v>
      </c>
      <c r="J2398" s="45" t="str">
        <f>+J2399</f>
        <v>ml</v>
      </c>
    </row>
    <row r="2399" spans="2:10" s="1" customFormat="1" ht="12.75" x14ac:dyDescent="0.2">
      <c r="B2399" s="57"/>
      <c r="C2399" s="39" t="s">
        <v>427</v>
      </c>
      <c r="D2399" s="40"/>
      <c r="E2399" s="40"/>
      <c r="F2399" s="40"/>
      <c r="G2399" s="40"/>
      <c r="H2399" s="40">
        <f>IF(AND(F2399=0,G2399=0),D2399*E2399,IF(AND(E2399=0,G2399=0),D2399*F2399,IF(AND(E2399=0,F2399=0),D2399*G2399,IF(AND(E2399=0),D2399*F2399*G2399,IF(AND(F2399=0),D2399*E2399*G2399,IF(AND(G2399=0),D2399*E2399*F2399,D2399*E2399*F2399*G2399))))))</f>
        <v>0</v>
      </c>
      <c r="I2399" s="40"/>
      <c r="J2399" s="41" t="str">
        <f>IF(AND(E2399=0,F2399&lt;&gt;0,G2399&lt;&gt;0),"m2",IF(AND(F2399=0,E2399&lt;&gt;0,G2399&lt;&gt;0),"m2",IF(AND(G2399=0,E2399&lt;&gt;0,F2399&lt;&gt;0),"m2",IF(AND(F2399=0,G2399=0),"ml",IF(AND(E2399=0,G2399=0),"ml",IF(AND(E2399=0,F2399=0),"ml",IF(AND(E2399&lt;&gt;0,F2399&lt;&gt;0,G2399&lt;&gt;0),"m3",0)))))))</f>
        <v>ml</v>
      </c>
    </row>
    <row r="2400" spans="2:10" s="1" customFormat="1" ht="12.75" x14ac:dyDescent="0.2">
      <c r="B2400" s="57"/>
      <c r="C2400" s="39" t="s">
        <v>428</v>
      </c>
      <c r="D2400" s="40"/>
      <c r="E2400" s="40"/>
      <c r="F2400" s="40"/>
      <c r="G2400" s="40"/>
      <c r="H2400" s="40">
        <f t="shared" ref="H2400:H2401" si="134">IF(AND(F2400=0,G2400=0),D2400*E2400,IF(AND(E2400=0,G2400=0),D2400*F2400,IF(AND(E2400=0,F2400=0),D2400*G2400,IF(AND(E2400=0),D2400*F2400*G2400,IF(AND(F2400=0),D2400*E2400*G2400,IF(AND(G2400=0),D2400*E2400*F2400,D2400*E2400*F2400*G2400))))))</f>
        <v>0</v>
      </c>
      <c r="I2400" s="40"/>
      <c r="J2400" s="41" t="str">
        <f t="shared" ref="J2400:J2401" si="135">IF(AND(E2400=0,F2400&lt;&gt;0,G2400&lt;&gt;0),"m2",IF(AND(F2400=0,E2400&lt;&gt;0,G2400&lt;&gt;0),"m2",IF(AND(G2400=0,E2400&lt;&gt;0,F2400&lt;&gt;0),"m2",IF(AND(F2400=0,G2400=0),"ml",IF(AND(E2400=0,G2400=0),"ml",IF(AND(E2400=0,F2400=0),"ml",IF(AND(E2400&lt;&gt;0,F2400&lt;&gt;0,G2400&lt;&gt;0),"m3",0)))))))</f>
        <v>ml</v>
      </c>
    </row>
    <row r="2401" spans="2:10" s="1" customFormat="1" ht="12.75" x14ac:dyDescent="0.2">
      <c r="B2401" s="57"/>
      <c r="C2401" s="39" t="s">
        <v>429</v>
      </c>
      <c r="D2401" s="40"/>
      <c r="E2401" s="40"/>
      <c r="F2401" s="40"/>
      <c r="G2401" s="40"/>
      <c r="H2401" s="40">
        <f t="shared" si="134"/>
        <v>0</v>
      </c>
      <c r="I2401" s="40"/>
      <c r="J2401" s="41" t="str">
        <f t="shared" si="135"/>
        <v>ml</v>
      </c>
    </row>
    <row r="2402" spans="2:10" s="1" customFormat="1" ht="12.75" x14ac:dyDescent="0.2">
      <c r="B2402" s="43" t="s">
        <v>241</v>
      </c>
      <c r="C2402" s="43" t="s">
        <v>239</v>
      </c>
      <c r="D2402" s="60"/>
      <c r="E2402" s="40"/>
      <c r="F2402" s="40"/>
      <c r="G2402" s="40"/>
      <c r="H2402" s="40"/>
      <c r="I2402" s="44">
        <f>SUM(H2403:H2403)</f>
        <v>0</v>
      </c>
      <c r="J2402" s="45" t="str">
        <f>+J2403</f>
        <v>ml</v>
      </c>
    </row>
    <row r="2403" spans="2:10" s="1" customFormat="1" ht="12.75" x14ac:dyDescent="0.2">
      <c r="B2403" s="57"/>
      <c r="C2403" s="39" t="s">
        <v>400</v>
      </c>
      <c r="D2403" s="40"/>
      <c r="E2403" s="40"/>
      <c r="F2403" s="40"/>
      <c r="G2403" s="40"/>
      <c r="H2403" s="40">
        <f>IF(AND(F2403=0,G2403=0),D2403*E2403,IF(AND(E2403=0,G2403=0),D2403*F2403,IF(AND(E2403=0,F2403=0),D2403*G2403,IF(AND(E2403=0),D2403*F2403*G2403,IF(AND(F2403=0),D2403*E2403*G2403,IF(AND(G2403=0),D2403*E2403*F2403,D2403*E2403*F2403*G2403))))))</f>
        <v>0</v>
      </c>
      <c r="I2403" s="40"/>
      <c r="J2403" s="41" t="str">
        <f>IF(AND(E2403=0,F2403&lt;&gt;0,G2403&lt;&gt;0),"m2",IF(AND(F2403=0,E2403&lt;&gt;0,G2403&lt;&gt;0),"m2",IF(AND(G2403=0,E2403&lt;&gt;0,F2403&lt;&gt;0),"m2",IF(AND(F2403=0,G2403=0),"ml",IF(AND(E2403=0,G2403=0),"ml",IF(AND(E2403=0,F2403=0),"ml",IF(AND(E2403&lt;&gt;0,F2403&lt;&gt;0,G2403&lt;&gt;0),"m3",0)))))))</f>
        <v>ml</v>
      </c>
    </row>
    <row r="2404" spans="2:10" s="1" customFormat="1" ht="12.75" x14ac:dyDescent="0.2">
      <c r="B2404" s="43" t="s">
        <v>243</v>
      </c>
      <c r="C2404" s="43" t="s">
        <v>242</v>
      </c>
      <c r="D2404" s="60"/>
      <c r="E2404" s="40"/>
      <c r="F2404" s="40"/>
      <c r="G2404" s="40"/>
      <c r="H2404" s="40"/>
      <c r="I2404" s="44">
        <f>SUM(H2405:H2405)</f>
        <v>0</v>
      </c>
      <c r="J2404" s="45" t="str">
        <f>+J2405</f>
        <v>ml</v>
      </c>
    </row>
    <row r="2405" spans="2:10" s="1" customFormat="1" ht="12.75" x14ac:dyDescent="0.2">
      <c r="B2405" s="57"/>
      <c r="C2405" s="39" t="s">
        <v>401</v>
      </c>
      <c r="D2405" s="40"/>
      <c r="E2405" s="40"/>
      <c r="F2405" s="40"/>
      <c r="G2405" s="40"/>
      <c r="H2405" s="40">
        <f>IF(AND(F2405=0,G2405=0),D2405*E2405,IF(AND(E2405=0,G2405=0),D2405*F2405,IF(AND(E2405=0,F2405=0),D2405*G2405,IF(AND(E2405=0),D2405*F2405*G2405,IF(AND(F2405=0),D2405*E2405*G2405,IF(AND(G2405=0),D2405*E2405*F2405,D2405*E2405*F2405*G2405))))))</f>
        <v>0</v>
      </c>
      <c r="I2405" s="40"/>
      <c r="J2405" s="41" t="str">
        <f>IF(AND(E2405=0,F2405&lt;&gt;0,G2405&lt;&gt;0),"m2",IF(AND(F2405=0,E2405&lt;&gt;0,G2405&lt;&gt;0),"m2",IF(AND(G2405=0,E2405&lt;&gt;0,F2405&lt;&gt;0),"m2",IF(AND(F2405=0,G2405=0),"ml",IF(AND(E2405=0,G2405=0),"ml",IF(AND(E2405=0,F2405=0),"ml",IF(AND(E2405&lt;&gt;0,F2405&lt;&gt;0,G2405&lt;&gt;0),"m3",0)))))))</f>
        <v>ml</v>
      </c>
    </row>
    <row r="2406" spans="2:10" s="1" customFormat="1" ht="12.75" x14ac:dyDescent="0.2">
      <c r="B2406" s="43" t="s">
        <v>244</v>
      </c>
      <c r="C2406" s="43" t="s">
        <v>245</v>
      </c>
      <c r="D2406" s="60"/>
      <c r="E2406" s="40"/>
      <c r="F2406" s="40"/>
      <c r="G2406" s="40"/>
      <c r="H2406" s="40"/>
      <c r="I2406" s="44">
        <f>SUM(H2407:H2409)</f>
        <v>0</v>
      </c>
      <c r="J2406" s="45" t="str">
        <f>+J2407</f>
        <v>ml</v>
      </c>
    </row>
    <row r="2407" spans="2:10" s="1" customFormat="1" ht="12.75" x14ac:dyDescent="0.2">
      <c r="B2407" s="57"/>
      <c r="C2407" s="39" t="s">
        <v>427</v>
      </c>
      <c r="D2407" s="40"/>
      <c r="E2407" s="40"/>
      <c r="F2407" s="40"/>
      <c r="G2407" s="40"/>
      <c r="H2407" s="40">
        <f>IF(AND(F2407=0,G2407=0),D2407*E2407,IF(AND(E2407=0,G2407=0),D2407*F2407,IF(AND(E2407=0,F2407=0),D2407*G2407,IF(AND(E2407=0),D2407*F2407*G2407,IF(AND(F2407=0),D2407*E2407*G2407,IF(AND(G2407=0),D2407*E2407*F2407,D2407*E2407*F2407*G2407))))))</f>
        <v>0</v>
      </c>
      <c r="I2407" s="40"/>
      <c r="J2407" s="41" t="str">
        <f>IF(AND(E2407=0,F2407&lt;&gt;0,G2407&lt;&gt;0),"m2",IF(AND(F2407=0,E2407&lt;&gt;0,G2407&lt;&gt;0),"m2",IF(AND(G2407=0,E2407&lt;&gt;0,F2407&lt;&gt;0),"m2",IF(AND(F2407=0,G2407=0),"ml",IF(AND(E2407=0,G2407=0),"ml",IF(AND(E2407=0,F2407=0),"ml",IF(AND(E2407&lt;&gt;0,F2407&lt;&gt;0,G2407&lt;&gt;0),"m3",0)))))))</f>
        <v>ml</v>
      </c>
    </row>
    <row r="2408" spans="2:10" s="1" customFormat="1" ht="12.75" x14ac:dyDescent="0.2">
      <c r="B2408" s="57"/>
      <c r="C2408" s="39" t="s">
        <v>428</v>
      </c>
      <c r="D2408" s="40"/>
      <c r="E2408" s="40"/>
      <c r="F2408" s="40"/>
      <c r="G2408" s="40"/>
      <c r="H2408" s="40">
        <f t="shared" ref="H2408:H2409" si="136">IF(AND(F2408=0,G2408=0),D2408*E2408,IF(AND(E2408=0,G2408=0),D2408*F2408,IF(AND(E2408=0,F2408=0),D2408*G2408,IF(AND(E2408=0),D2408*F2408*G2408,IF(AND(F2408=0),D2408*E2408*G2408,IF(AND(G2408=0),D2408*E2408*F2408,D2408*E2408*F2408*G2408))))))</f>
        <v>0</v>
      </c>
      <c r="I2408" s="40"/>
      <c r="J2408" s="41" t="str">
        <f t="shared" ref="J2408:J2409" si="137">IF(AND(E2408=0,F2408&lt;&gt;0,G2408&lt;&gt;0),"m2",IF(AND(F2408=0,E2408&lt;&gt;0,G2408&lt;&gt;0),"m2",IF(AND(G2408=0,E2408&lt;&gt;0,F2408&lt;&gt;0),"m2",IF(AND(F2408=0,G2408=0),"ml",IF(AND(E2408=0,G2408=0),"ml",IF(AND(E2408=0,F2408=0),"ml",IF(AND(E2408&lt;&gt;0,F2408&lt;&gt;0,G2408&lt;&gt;0),"m3",0)))))))</f>
        <v>ml</v>
      </c>
    </row>
    <row r="2409" spans="2:10" s="1" customFormat="1" ht="12.75" x14ac:dyDescent="0.2">
      <c r="B2409" s="57"/>
      <c r="C2409" s="39" t="s">
        <v>429</v>
      </c>
      <c r="D2409" s="40"/>
      <c r="E2409" s="40"/>
      <c r="F2409" s="40"/>
      <c r="G2409" s="40"/>
      <c r="H2409" s="40">
        <f t="shared" si="136"/>
        <v>0</v>
      </c>
      <c r="I2409" s="40"/>
      <c r="J2409" s="41" t="str">
        <f t="shared" si="137"/>
        <v>ml</v>
      </c>
    </row>
    <row r="2410" spans="2:10" s="1" customFormat="1" ht="12.75" x14ac:dyDescent="0.2">
      <c r="B2410" s="43" t="s">
        <v>248</v>
      </c>
      <c r="C2410" s="43" t="s">
        <v>246</v>
      </c>
      <c r="D2410" s="60"/>
      <c r="E2410" s="40"/>
      <c r="F2410" s="40"/>
      <c r="G2410" s="40"/>
      <c r="H2410" s="40"/>
      <c r="I2410" s="44">
        <f>SUM(H2411:H2411)</f>
        <v>0</v>
      </c>
      <c r="J2410" s="45" t="str">
        <f>+J2411</f>
        <v>ml</v>
      </c>
    </row>
    <row r="2411" spans="2:10" s="1" customFormat="1" ht="12.75" x14ac:dyDescent="0.2">
      <c r="B2411" s="57"/>
      <c r="C2411" s="39" t="s">
        <v>238</v>
      </c>
      <c r="D2411" s="40"/>
      <c r="E2411" s="40"/>
      <c r="F2411" s="40"/>
      <c r="G2411" s="40"/>
      <c r="H2411" s="40">
        <f>IF(AND(F2411=0,G2411=0),D2411*E2411,IF(AND(E2411=0,G2411=0),D2411*F2411,IF(AND(E2411=0,F2411=0),D2411*G2411,IF(AND(E2411=0),D2411*F2411*G2411,IF(AND(F2411=0),D2411*E2411*G2411,IF(AND(G2411=0),D2411*E2411*F2411,D2411*E2411*F2411*G2411))))))</f>
        <v>0</v>
      </c>
      <c r="I2411" s="40"/>
      <c r="J2411" s="41" t="str">
        <f>IF(AND(E2411=0,F2411&lt;&gt;0,G2411&lt;&gt;0),"m2",IF(AND(F2411=0,E2411&lt;&gt;0,G2411&lt;&gt;0),"m2",IF(AND(G2411=0,E2411&lt;&gt;0,F2411&lt;&gt;0),"m2",IF(AND(F2411=0,G2411=0),"ml",IF(AND(E2411=0,G2411=0),"ml",IF(AND(E2411=0,F2411=0),"ml",IF(AND(E2411&lt;&gt;0,F2411&lt;&gt;0,G2411&lt;&gt;0),"m3",0)))))))</f>
        <v>ml</v>
      </c>
    </row>
    <row r="2412" spans="2:10" s="1" customFormat="1" ht="12.75" x14ac:dyDescent="0.2">
      <c r="B2412" s="43" t="s">
        <v>249</v>
      </c>
      <c r="C2412" s="43" t="s">
        <v>247</v>
      </c>
      <c r="D2412" s="60"/>
      <c r="E2412" s="40"/>
      <c r="F2412" s="40"/>
      <c r="G2412" s="40"/>
      <c r="H2412" s="40"/>
      <c r="I2412" s="44">
        <f>SUM(H2413:H2413)</f>
        <v>0</v>
      </c>
      <c r="J2412" s="45" t="str">
        <f>+J2413</f>
        <v>ml</v>
      </c>
    </row>
    <row r="2413" spans="2:10" s="1" customFormat="1" ht="12.75" x14ac:dyDescent="0.2">
      <c r="B2413" s="57"/>
      <c r="C2413" s="39" t="s">
        <v>396</v>
      </c>
      <c r="D2413" s="40"/>
      <c r="E2413" s="40"/>
      <c r="F2413" s="40"/>
      <c r="G2413" s="40"/>
      <c r="H2413" s="40">
        <f>IF(AND(F2413=0,G2413=0),D2413*E2413,IF(AND(E2413=0,G2413=0),D2413*F2413,IF(AND(E2413=0,F2413=0),D2413*G2413,IF(AND(E2413=0),D2413*F2413*G2413,IF(AND(F2413=0),D2413*E2413*G2413,IF(AND(G2413=0),D2413*E2413*F2413,D2413*E2413*F2413*G2413))))))</f>
        <v>0</v>
      </c>
      <c r="I2413" s="40"/>
      <c r="J2413" s="41" t="str">
        <f>IF(AND(E2413=0,F2413&lt;&gt;0,G2413&lt;&gt;0),"m2",IF(AND(F2413=0,E2413&lt;&gt;0,G2413&lt;&gt;0),"m2",IF(AND(G2413=0,E2413&lt;&gt;0,F2413&lt;&gt;0),"m2",IF(AND(F2413=0,G2413=0),"ml",IF(AND(E2413=0,G2413=0),"ml",IF(AND(E2413=0,F2413=0),"ml",IF(AND(E2413&lt;&gt;0,F2413&lt;&gt;0,G2413&lt;&gt;0),"m3",0)))))))</f>
        <v>ml</v>
      </c>
    </row>
    <row r="2414" spans="2:10" s="1" customFormat="1" ht="12.75" x14ac:dyDescent="0.2">
      <c r="B2414" s="43" t="s">
        <v>256</v>
      </c>
      <c r="C2414" s="43" t="s">
        <v>226</v>
      </c>
      <c r="D2414" s="60"/>
      <c r="E2414" s="40"/>
      <c r="F2414" s="40"/>
      <c r="G2414" s="40"/>
      <c r="H2414" s="40"/>
      <c r="I2414" s="44">
        <f>SUM(H2415:H2416)</f>
        <v>0</v>
      </c>
      <c r="J2414" s="45" t="str">
        <f>+J2416</f>
        <v>ml</v>
      </c>
    </row>
    <row r="2415" spans="2:10" s="1" customFormat="1" ht="12.75" x14ac:dyDescent="0.2">
      <c r="B2415" s="43"/>
      <c r="C2415" s="39" t="s">
        <v>371</v>
      </c>
      <c r="D2415" s="40"/>
      <c r="E2415" s="40"/>
      <c r="F2415" s="40"/>
      <c r="G2415" s="40"/>
      <c r="H2415" s="40">
        <f t="shared" ref="H2415:H2416" si="138">IF(AND(F2415=0,G2415=0),D2415*E2415,IF(AND(E2415=0,G2415=0),D2415*F2415,IF(AND(E2415=0,F2415=0),D2415*G2415,IF(AND(E2415=0),D2415*F2415*G2415,IF(AND(F2415=0),D2415*E2415*G2415,IF(AND(G2415=0),D2415*E2415*F2415,D2415*E2415*F2415*G2415))))))</f>
        <v>0</v>
      </c>
      <c r="I2415" s="40"/>
      <c r="J2415" s="41" t="str">
        <f t="shared" ref="J2415:J2416" si="139">IF(AND(E2415=0,F2415&lt;&gt;0,G2415&lt;&gt;0),"m2",IF(AND(F2415=0,E2415&lt;&gt;0,G2415&lt;&gt;0),"m2",IF(AND(G2415=0,E2415&lt;&gt;0,F2415&lt;&gt;0),"m2",IF(AND(F2415=0,G2415=0),"ml",IF(AND(E2415=0,G2415=0),"ml",IF(AND(E2415=0,F2415=0),"ml",IF(AND(E2415&lt;&gt;0,F2415&lt;&gt;0,G2415&lt;&gt;0),"m3",0)))))))</f>
        <v>ml</v>
      </c>
    </row>
    <row r="2416" spans="2:10" s="1" customFormat="1" ht="12.75" x14ac:dyDescent="0.2">
      <c r="B2416" s="57"/>
      <c r="C2416" s="39" t="s">
        <v>371</v>
      </c>
      <c r="D2416" s="40"/>
      <c r="E2416" s="40"/>
      <c r="F2416" s="40"/>
      <c r="G2416" s="40"/>
      <c r="H2416" s="40">
        <f t="shared" si="138"/>
        <v>0</v>
      </c>
      <c r="I2416" s="40"/>
      <c r="J2416" s="41" t="str">
        <f t="shared" si="139"/>
        <v>ml</v>
      </c>
    </row>
    <row r="2417" spans="2:10" s="1" customFormat="1" ht="12.75" x14ac:dyDescent="0.2">
      <c r="B2417" s="43" t="s">
        <v>257</v>
      </c>
      <c r="C2417" s="43" t="s">
        <v>228</v>
      </c>
      <c r="D2417" s="60"/>
      <c r="E2417" s="40"/>
      <c r="F2417" s="40"/>
      <c r="G2417" s="40"/>
      <c r="H2417" s="40"/>
      <c r="I2417" s="44">
        <f>SUM(H2418:H2418)</f>
        <v>0</v>
      </c>
      <c r="J2417" s="45" t="str">
        <f>+J2418</f>
        <v>ml</v>
      </c>
    </row>
    <row r="2418" spans="2:10" s="1" customFormat="1" ht="12.75" x14ac:dyDescent="0.2">
      <c r="B2418" s="57"/>
      <c r="C2418" s="39" t="s">
        <v>399</v>
      </c>
      <c r="D2418" s="40"/>
      <c r="E2418" s="40"/>
      <c r="F2418" s="40"/>
      <c r="G2418" s="40"/>
      <c r="H2418" s="40">
        <f>IF(AND(F2418=0,G2418=0),D2418*E2418,IF(AND(E2418=0,G2418=0),D2418*F2418,IF(AND(E2418=0,F2418=0),D2418*G2418,IF(AND(E2418=0),D2418*F2418*G2418,IF(AND(F2418=0),D2418*E2418*G2418,IF(AND(G2418=0),D2418*E2418*F2418,D2418*E2418*F2418*G2418))))))</f>
        <v>0</v>
      </c>
      <c r="I2418" s="40"/>
      <c r="J2418" s="41" t="str">
        <f>IF(AND(E2418=0,F2418&lt;&gt;0,G2418&lt;&gt;0),"m2",IF(AND(F2418=0,E2418&lt;&gt;0,G2418&lt;&gt;0),"m2",IF(AND(G2418=0,E2418&lt;&gt;0,F2418&lt;&gt;0),"m2",IF(AND(F2418=0,G2418=0),"ml",IF(AND(E2418=0,G2418=0),"ml",IF(AND(E2418=0,F2418=0),"ml",IF(AND(E2418&lt;&gt;0,F2418&lt;&gt;0,G2418&lt;&gt;0),"m3",0)))))))</f>
        <v>ml</v>
      </c>
    </row>
    <row r="2419" spans="2:10" s="1" customFormat="1" ht="12.75" x14ac:dyDescent="0.2">
      <c r="B2419" s="43" t="s">
        <v>258</v>
      </c>
      <c r="C2419" s="43" t="s">
        <v>250</v>
      </c>
      <c r="D2419" s="60"/>
      <c r="E2419" s="40"/>
      <c r="F2419" s="40"/>
      <c r="G2419" s="40"/>
      <c r="H2419" s="40"/>
      <c r="I2419" s="44">
        <f>SUM(H2420:H2420)</f>
        <v>0</v>
      </c>
      <c r="J2419" s="45" t="str">
        <f>+J2420</f>
        <v>ml</v>
      </c>
    </row>
    <row r="2420" spans="2:10" s="1" customFormat="1" ht="12.75" x14ac:dyDescent="0.2">
      <c r="B2420" s="57"/>
      <c r="C2420" s="39" t="s">
        <v>388</v>
      </c>
      <c r="D2420" s="40"/>
      <c r="E2420" s="40"/>
      <c r="F2420" s="40"/>
      <c r="G2420" s="40"/>
      <c r="H2420" s="40">
        <f>IF(AND(F2420=0,G2420=0),D2420*E2420,IF(AND(E2420=0,G2420=0),D2420*F2420,IF(AND(E2420=0,F2420=0),D2420*G2420,IF(AND(E2420=0),D2420*F2420*G2420,IF(AND(F2420=0),D2420*E2420*G2420,IF(AND(G2420=0),D2420*E2420*F2420,D2420*E2420*F2420*G2420))))))</f>
        <v>0</v>
      </c>
      <c r="I2420" s="40"/>
      <c r="J2420" s="41" t="str">
        <f>IF(AND(E2420=0,F2420&lt;&gt;0,G2420&lt;&gt;0),"m2",IF(AND(F2420=0,E2420&lt;&gt;0,G2420&lt;&gt;0),"m2",IF(AND(G2420=0,E2420&lt;&gt;0,F2420&lt;&gt;0),"m2",IF(AND(F2420=0,G2420=0),"ml",IF(AND(E2420=0,G2420=0),"ml",IF(AND(E2420=0,F2420=0),"ml",IF(AND(E2420&lt;&gt;0,F2420&lt;&gt;0,G2420&lt;&gt;0),"m3",0)))))))</f>
        <v>ml</v>
      </c>
    </row>
    <row r="2421" spans="2:10" s="1" customFormat="1" ht="12.75" x14ac:dyDescent="0.2">
      <c r="B2421" s="43" t="s">
        <v>259</v>
      </c>
      <c r="C2421" s="43" t="s">
        <v>251</v>
      </c>
      <c r="D2421" s="60"/>
      <c r="E2421" s="40"/>
      <c r="F2421" s="40"/>
      <c r="G2421" s="40"/>
      <c r="H2421" s="40"/>
      <c r="I2421" s="44">
        <f>SUM(H2422:H2422)</f>
        <v>0</v>
      </c>
      <c r="J2421" s="45" t="str">
        <f>+J2422</f>
        <v>ml</v>
      </c>
    </row>
    <row r="2422" spans="2:10" s="1" customFormat="1" ht="12.75" x14ac:dyDescent="0.2">
      <c r="B2422" s="57"/>
      <c r="C2422" s="39" t="s">
        <v>389</v>
      </c>
      <c r="D2422" s="40"/>
      <c r="E2422" s="40"/>
      <c r="F2422" s="40"/>
      <c r="G2422" s="40"/>
      <c r="H2422" s="40">
        <f>IF(AND(F2422=0,G2422=0),D2422*E2422,IF(AND(E2422=0,G2422=0),D2422*F2422,IF(AND(E2422=0,F2422=0),D2422*G2422,IF(AND(E2422=0),D2422*F2422*G2422,IF(AND(F2422=0),D2422*E2422*G2422,IF(AND(G2422=0),D2422*E2422*F2422,D2422*E2422*F2422*G2422))))))</f>
        <v>0</v>
      </c>
      <c r="I2422" s="40"/>
      <c r="J2422" s="41" t="str">
        <f>IF(AND(E2422=0,F2422&lt;&gt;0,G2422&lt;&gt;0),"m2",IF(AND(F2422=0,E2422&lt;&gt;0,G2422&lt;&gt;0),"m2",IF(AND(G2422=0,E2422&lt;&gt;0,F2422&lt;&gt;0),"m2",IF(AND(F2422=0,G2422=0),"ml",IF(AND(E2422=0,G2422=0),"ml",IF(AND(E2422=0,F2422=0),"ml",IF(AND(E2422&lt;&gt;0,F2422&lt;&gt;0,G2422&lt;&gt;0),"m3",0)))))))</f>
        <v>ml</v>
      </c>
    </row>
    <row r="2423" spans="2:10" s="1" customFormat="1" ht="12.75" x14ac:dyDescent="0.2">
      <c r="B2423" s="43" t="s">
        <v>260</v>
      </c>
      <c r="C2423" s="43" t="s">
        <v>252</v>
      </c>
      <c r="D2423" s="60"/>
      <c r="E2423" s="40"/>
      <c r="F2423" s="40"/>
      <c r="G2423" s="40"/>
      <c r="H2423" s="40"/>
      <c r="I2423" s="44">
        <f>SUM(H2424:H2424)</f>
        <v>0</v>
      </c>
      <c r="J2423" s="45" t="str">
        <f>+J2424</f>
        <v>ml</v>
      </c>
    </row>
    <row r="2424" spans="2:10" s="1" customFormat="1" ht="12.75" x14ac:dyDescent="0.2">
      <c r="B2424" s="57"/>
      <c r="C2424" s="39" t="s">
        <v>397</v>
      </c>
      <c r="D2424" s="40"/>
      <c r="E2424" s="40"/>
      <c r="F2424" s="40"/>
      <c r="G2424" s="40"/>
      <c r="H2424" s="40">
        <f>IF(AND(F2424=0,G2424=0),D2424*E2424,IF(AND(E2424=0,G2424=0),D2424*F2424,IF(AND(E2424=0,F2424=0),D2424*G2424,IF(AND(E2424=0),D2424*F2424*G2424,IF(AND(F2424=0),D2424*E2424*G2424,IF(AND(G2424=0),D2424*E2424*F2424,D2424*E2424*F2424*G2424))))))</f>
        <v>0</v>
      </c>
      <c r="I2424" s="40"/>
      <c r="J2424" s="41" t="str">
        <f>IF(AND(E2424=0,F2424&lt;&gt;0,G2424&lt;&gt;0),"m2",IF(AND(F2424=0,E2424&lt;&gt;0,G2424&lt;&gt;0),"m2",IF(AND(G2424=0,E2424&lt;&gt;0,F2424&lt;&gt;0),"m2",IF(AND(F2424=0,G2424=0),"ml",IF(AND(E2424=0,G2424=0),"ml",IF(AND(E2424=0,F2424=0),"ml",IF(AND(E2424&lt;&gt;0,F2424&lt;&gt;0,G2424&lt;&gt;0),"m3",0)))))))</f>
        <v>ml</v>
      </c>
    </row>
    <row r="2425" spans="2:10" s="1" customFormat="1" ht="12.75" x14ac:dyDescent="0.2">
      <c r="B2425" s="43" t="s">
        <v>261</v>
      </c>
      <c r="C2425" s="43" t="s">
        <v>253</v>
      </c>
      <c r="D2425" s="60"/>
      <c r="E2425" s="40"/>
      <c r="F2425" s="40"/>
      <c r="G2425" s="40"/>
      <c r="H2425" s="40"/>
      <c r="I2425" s="44">
        <f>SUM(H2426:H2426)</f>
        <v>0</v>
      </c>
      <c r="J2425" s="45" t="str">
        <f>+J2426</f>
        <v>und</v>
      </c>
    </row>
    <row r="2426" spans="2:10" s="1" customFormat="1" ht="12.75" x14ac:dyDescent="0.2">
      <c r="B2426" s="43"/>
      <c r="C2426" s="39" t="s">
        <v>402</v>
      </c>
      <c r="D2426" s="40"/>
      <c r="E2426" s="40"/>
      <c r="F2426" s="40"/>
      <c r="G2426" s="40"/>
      <c r="H2426" s="40">
        <f t="shared" ref="H2426" si="140">+D2426</f>
        <v>0</v>
      </c>
      <c r="I2426" s="40"/>
      <c r="J2426" s="41" t="s">
        <v>13</v>
      </c>
    </row>
    <row r="2427" spans="2:10" s="1" customFormat="1" ht="12.75" x14ac:dyDescent="0.2">
      <c r="B2427" s="43" t="s">
        <v>262</v>
      </c>
      <c r="C2427" s="43" t="s">
        <v>254</v>
      </c>
      <c r="D2427" s="60"/>
      <c r="E2427" s="40"/>
      <c r="F2427" s="40"/>
      <c r="G2427" s="40"/>
      <c r="H2427" s="40"/>
      <c r="I2427" s="44">
        <f>SUM(H2428:H2428)</f>
        <v>0</v>
      </c>
      <c r="J2427" s="45" t="str">
        <f>+J2428</f>
        <v>und</v>
      </c>
    </row>
    <row r="2428" spans="2:10" s="1" customFormat="1" ht="12.75" x14ac:dyDescent="0.2">
      <c r="B2428" s="57"/>
      <c r="C2428" s="39" t="s">
        <v>238</v>
      </c>
      <c r="D2428" s="40"/>
      <c r="E2428" s="40"/>
      <c r="F2428" s="40"/>
      <c r="G2428" s="40"/>
      <c r="H2428" s="40">
        <f>+D2428</f>
        <v>0</v>
      </c>
      <c r="I2428" s="40"/>
      <c r="J2428" s="41" t="s">
        <v>13</v>
      </c>
    </row>
    <row r="2429" spans="2:10" s="1" customFormat="1" ht="12.75" x14ac:dyDescent="0.2">
      <c r="B2429" s="43" t="s">
        <v>350</v>
      </c>
      <c r="C2429" s="43" t="s">
        <v>255</v>
      </c>
      <c r="D2429" s="60"/>
      <c r="E2429" s="40"/>
      <c r="F2429" s="40"/>
      <c r="G2429" s="40"/>
      <c r="H2429" s="40"/>
      <c r="I2429" s="44">
        <f>SUM(H2430:H2430)</f>
        <v>0</v>
      </c>
      <c r="J2429" s="45" t="str">
        <f>+J2430</f>
        <v>und</v>
      </c>
    </row>
    <row r="2430" spans="2:10" s="1" customFormat="1" ht="12.75" x14ac:dyDescent="0.2">
      <c r="B2430" s="57"/>
      <c r="C2430" s="39" t="s">
        <v>395</v>
      </c>
      <c r="D2430" s="40"/>
      <c r="E2430" s="40"/>
      <c r="F2430" s="40"/>
      <c r="G2430" s="40"/>
      <c r="H2430" s="40">
        <f>+D2430</f>
        <v>0</v>
      </c>
      <c r="I2430" s="40"/>
      <c r="J2430" s="41" t="s">
        <v>13</v>
      </c>
    </row>
    <row r="2431" spans="2:10" s="1" customFormat="1" ht="12.75" x14ac:dyDescent="0.2">
      <c r="B2431" s="57" t="s">
        <v>18</v>
      </c>
      <c r="C2431" s="58" t="s">
        <v>223</v>
      </c>
      <c r="D2431" s="60"/>
      <c r="E2431" s="40"/>
      <c r="F2431" s="40"/>
      <c r="G2431" s="40"/>
      <c r="H2431" s="40"/>
      <c r="I2431" s="40"/>
      <c r="J2431" s="41"/>
    </row>
    <row r="2432" spans="2:10" s="1" customFormat="1" ht="12.75" x14ac:dyDescent="0.2">
      <c r="B2432" s="43" t="s">
        <v>19</v>
      </c>
      <c r="C2432" s="43" t="s">
        <v>265</v>
      </c>
      <c r="D2432" s="60"/>
      <c r="E2432" s="40"/>
      <c r="F2432" s="40"/>
      <c r="G2432" s="40"/>
      <c r="H2432" s="40"/>
      <c r="I2432" s="44">
        <f>SUM(H2433:H2434)</f>
        <v>0</v>
      </c>
      <c r="J2432" s="45" t="str">
        <f>+J2433</f>
        <v>und</v>
      </c>
    </row>
    <row r="2433" spans="2:10" s="1" customFormat="1" ht="12.75" x14ac:dyDescent="0.2">
      <c r="B2433" s="46"/>
      <c r="C2433" s="39" t="s">
        <v>361</v>
      </c>
      <c r="D2433" s="40"/>
      <c r="E2433" s="40"/>
      <c r="F2433" s="40"/>
      <c r="G2433" s="40"/>
      <c r="H2433" s="40">
        <f>+D2433</f>
        <v>0</v>
      </c>
      <c r="I2433" s="40"/>
      <c r="J2433" s="41" t="s">
        <v>13</v>
      </c>
    </row>
    <row r="2434" spans="2:10" s="1" customFormat="1" ht="12.75" x14ac:dyDescent="0.2">
      <c r="B2434" s="46"/>
      <c r="C2434" s="39" t="s">
        <v>231</v>
      </c>
      <c r="D2434" s="40"/>
      <c r="E2434" s="40"/>
      <c r="F2434" s="40"/>
      <c r="G2434" s="40"/>
      <c r="H2434" s="40">
        <f>+D2434</f>
        <v>0</v>
      </c>
      <c r="I2434" s="40"/>
      <c r="J2434" s="41" t="s">
        <v>13</v>
      </c>
    </row>
    <row r="2435" spans="2:10" s="1" customFormat="1" ht="12.75" x14ac:dyDescent="0.2">
      <c r="B2435" s="43" t="s">
        <v>20</v>
      </c>
      <c r="C2435" s="43" t="s">
        <v>272</v>
      </c>
      <c r="D2435" s="60"/>
      <c r="E2435" s="40"/>
      <c r="F2435" s="40"/>
      <c r="G2435" s="40"/>
      <c r="H2435" s="40"/>
      <c r="I2435" s="44">
        <f>SUM(H2436:H2441)</f>
        <v>0</v>
      </c>
      <c r="J2435" s="45" t="str">
        <f>+J2436</f>
        <v>und</v>
      </c>
    </row>
    <row r="2436" spans="2:10" s="1" customFormat="1" ht="12.75" x14ac:dyDescent="0.2">
      <c r="B2436" s="46"/>
      <c r="C2436" s="77" t="s">
        <v>71</v>
      </c>
      <c r="D2436" s="40"/>
      <c r="E2436" s="40"/>
      <c r="F2436" s="40"/>
      <c r="G2436" s="40"/>
      <c r="H2436" s="40"/>
      <c r="I2436" s="40"/>
      <c r="J2436" s="41" t="s">
        <v>13</v>
      </c>
    </row>
    <row r="2437" spans="2:10" s="1" customFormat="1" ht="12.75" x14ac:dyDescent="0.2">
      <c r="B2437" s="46"/>
      <c r="C2437" s="39" t="s">
        <v>349</v>
      </c>
      <c r="D2437" s="40"/>
      <c r="E2437" s="40"/>
      <c r="F2437" s="40"/>
      <c r="G2437" s="40"/>
      <c r="H2437" s="40">
        <f>+D2437</f>
        <v>0</v>
      </c>
      <c r="I2437" s="40"/>
      <c r="J2437" s="41" t="s">
        <v>13</v>
      </c>
    </row>
    <row r="2438" spans="2:10" s="1" customFormat="1" ht="12.75" x14ac:dyDescent="0.2">
      <c r="B2438" s="46"/>
      <c r="C2438" s="77" t="s">
        <v>72</v>
      </c>
      <c r="D2438" s="40"/>
      <c r="E2438" s="40"/>
      <c r="F2438" s="40"/>
      <c r="G2438" s="40"/>
      <c r="H2438" s="40"/>
      <c r="I2438" s="40"/>
      <c r="J2438" s="41" t="s">
        <v>13</v>
      </c>
    </row>
    <row r="2439" spans="2:10" s="1" customFormat="1" ht="12.75" x14ac:dyDescent="0.2">
      <c r="B2439" s="46"/>
      <c r="C2439" s="39" t="s">
        <v>349</v>
      </c>
      <c r="D2439" s="40"/>
      <c r="E2439" s="40"/>
      <c r="F2439" s="40"/>
      <c r="G2439" s="40"/>
      <c r="H2439" s="40">
        <f>+D2439</f>
        <v>0</v>
      </c>
      <c r="I2439" s="40"/>
      <c r="J2439" s="41" t="s">
        <v>13</v>
      </c>
    </row>
    <row r="2440" spans="2:10" s="1" customFormat="1" ht="12.75" x14ac:dyDescent="0.2">
      <c r="B2440" s="46"/>
      <c r="C2440" s="77" t="s">
        <v>73</v>
      </c>
      <c r="D2440" s="40"/>
      <c r="E2440" s="40"/>
      <c r="F2440" s="40"/>
      <c r="G2440" s="40"/>
      <c r="H2440" s="40"/>
      <c r="I2440" s="40"/>
      <c r="J2440" s="41" t="s">
        <v>13</v>
      </c>
    </row>
    <row r="2441" spans="2:10" s="1" customFormat="1" ht="12.75" x14ac:dyDescent="0.2">
      <c r="B2441" s="46"/>
      <c r="C2441" s="39" t="s">
        <v>349</v>
      </c>
      <c r="D2441" s="40"/>
      <c r="E2441" s="40"/>
      <c r="F2441" s="40"/>
      <c r="G2441" s="40"/>
      <c r="H2441" s="40">
        <f>+D2441</f>
        <v>0</v>
      </c>
      <c r="I2441" s="40"/>
      <c r="J2441" s="41" t="s">
        <v>13</v>
      </c>
    </row>
    <row r="2442" spans="2:10" s="1" customFormat="1" ht="12.75" x14ac:dyDescent="0.2">
      <c r="B2442" s="43" t="s">
        <v>21</v>
      </c>
      <c r="C2442" s="43" t="s">
        <v>266</v>
      </c>
      <c r="D2442" s="60"/>
      <c r="E2442" s="40"/>
      <c r="F2442" s="40"/>
      <c r="G2442" s="40"/>
      <c r="H2442" s="40"/>
      <c r="I2442" s="44">
        <f>SUM(H2443:H2445)</f>
        <v>144</v>
      </c>
      <c r="J2442" s="45" t="str">
        <f>+J2443</f>
        <v>und</v>
      </c>
    </row>
    <row r="2443" spans="2:10" s="1" customFormat="1" ht="12.75" x14ac:dyDescent="0.2">
      <c r="B2443" s="43"/>
      <c r="C2443" s="39" t="s">
        <v>71</v>
      </c>
      <c r="D2443" s="40">
        <v>12</v>
      </c>
      <c r="E2443" s="40">
        <v>4</v>
      </c>
      <c r="F2443" s="40"/>
      <c r="G2443" s="40"/>
      <c r="H2443" s="40">
        <f t="shared" ref="H2443:H2445" si="141">IF(AND(F2443=0,G2443=0),D2443*E2443,IF(AND(E2443=0,G2443=0),D2443*F2443,IF(AND(E2443=0,F2443=0),D2443*G2443,IF(AND(E2443=0),D2443*F2443*G2443,IF(AND(F2443=0),D2443*E2443*G2443,IF(AND(G2443=0),D2443*E2443*F2443,D2443*E2443*F2443*G2443))))))</f>
        <v>48</v>
      </c>
      <c r="I2443" s="40"/>
      <c r="J2443" s="41" t="s">
        <v>13</v>
      </c>
    </row>
    <row r="2444" spans="2:10" s="1" customFormat="1" ht="12.75" x14ac:dyDescent="0.2">
      <c r="B2444" s="43"/>
      <c r="C2444" s="39" t="s">
        <v>72</v>
      </c>
      <c r="D2444" s="40">
        <v>12</v>
      </c>
      <c r="E2444" s="40">
        <v>4</v>
      </c>
      <c r="F2444" s="40"/>
      <c r="G2444" s="40"/>
      <c r="H2444" s="40">
        <f t="shared" si="141"/>
        <v>48</v>
      </c>
      <c r="I2444" s="40"/>
      <c r="J2444" s="41" t="s">
        <v>13</v>
      </c>
    </row>
    <row r="2445" spans="2:10" s="1" customFormat="1" ht="12.75" x14ac:dyDescent="0.2">
      <c r="B2445" s="43"/>
      <c r="C2445" s="39" t="s">
        <v>73</v>
      </c>
      <c r="D2445" s="40">
        <v>12</v>
      </c>
      <c r="E2445" s="40">
        <v>4</v>
      </c>
      <c r="F2445" s="40"/>
      <c r="G2445" s="40"/>
      <c r="H2445" s="40">
        <f t="shared" si="141"/>
        <v>48</v>
      </c>
      <c r="I2445" s="40"/>
      <c r="J2445" s="41" t="s">
        <v>13</v>
      </c>
    </row>
    <row r="2446" spans="2:10" s="1" customFormat="1" ht="12.75" x14ac:dyDescent="0.2">
      <c r="B2446" s="43" t="s">
        <v>273</v>
      </c>
      <c r="C2446" s="43" t="s">
        <v>354</v>
      </c>
      <c r="D2446" s="60"/>
      <c r="E2446" s="40"/>
      <c r="F2446" s="40"/>
      <c r="G2446" s="40"/>
      <c r="H2446" s="40"/>
      <c r="I2446" s="44">
        <f>SUM(H2447:H2447)</f>
        <v>0</v>
      </c>
      <c r="J2446" s="45" t="str">
        <f>+J2447</f>
        <v>und</v>
      </c>
    </row>
    <row r="2447" spans="2:10" s="1" customFormat="1" ht="12.75" x14ac:dyDescent="0.2">
      <c r="B2447" s="43"/>
      <c r="C2447" s="39" t="s">
        <v>375</v>
      </c>
      <c r="D2447" s="40"/>
      <c r="E2447" s="40"/>
      <c r="F2447" s="40"/>
      <c r="G2447" s="40"/>
      <c r="H2447" s="40">
        <f>IF(AND(F2447=0,G2447=0),D2447*E2447,IF(AND(E2447=0,G2447=0),D2447*F2447,IF(AND(E2447=0,F2447=0),D2447*G2447,IF(AND(E2447=0),D2447*F2447*G2447,IF(AND(F2447=0),D2447*E2447*G2447,IF(AND(G2447=0),D2447*E2447*F2447,D2447*E2447*F2447*G2447))))))</f>
        <v>0</v>
      </c>
      <c r="I2447" s="40"/>
      <c r="J2447" s="41" t="s">
        <v>13</v>
      </c>
    </row>
    <row r="2448" spans="2:10" s="1" customFormat="1" ht="12.75" x14ac:dyDescent="0.2">
      <c r="B2448" s="43" t="s">
        <v>274</v>
      </c>
      <c r="C2448" s="43" t="s">
        <v>357</v>
      </c>
      <c r="D2448" s="60"/>
      <c r="E2448" s="40"/>
      <c r="F2448" s="40"/>
      <c r="G2448" s="40"/>
      <c r="H2448" s="40"/>
      <c r="I2448" s="44">
        <f>SUM(H2449:H2449)</f>
        <v>0</v>
      </c>
      <c r="J2448" s="45" t="str">
        <f>+J2449</f>
        <v>und</v>
      </c>
    </row>
    <row r="2449" spans="2:10" s="1" customFormat="1" ht="12.75" x14ac:dyDescent="0.2">
      <c r="B2449" s="43"/>
      <c r="C2449" s="39" t="s">
        <v>375</v>
      </c>
      <c r="D2449" s="40"/>
      <c r="E2449" s="40"/>
      <c r="F2449" s="40"/>
      <c r="G2449" s="40"/>
      <c r="H2449" s="40">
        <f t="shared" ref="H2449" si="142">+D2449</f>
        <v>0</v>
      </c>
      <c r="I2449" s="40"/>
      <c r="J2449" s="41" t="s">
        <v>13</v>
      </c>
    </row>
    <row r="2450" spans="2:10" s="1" customFormat="1" ht="12.75" x14ac:dyDescent="0.2">
      <c r="B2450" s="43" t="s">
        <v>355</v>
      </c>
      <c r="C2450" s="43" t="s">
        <v>263</v>
      </c>
      <c r="D2450" s="60"/>
      <c r="E2450" s="40"/>
      <c r="F2450" s="40"/>
      <c r="G2450" s="40"/>
      <c r="H2450" s="40"/>
      <c r="I2450" s="44">
        <f>SUM(H2451:H2451)</f>
        <v>0</v>
      </c>
      <c r="J2450" s="45" t="str">
        <f>+J2451</f>
        <v>und</v>
      </c>
    </row>
    <row r="2451" spans="2:10" s="1" customFormat="1" ht="12.75" x14ac:dyDescent="0.2">
      <c r="B2451" s="46"/>
      <c r="C2451" s="39" t="s">
        <v>420</v>
      </c>
      <c r="D2451" s="40"/>
      <c r="E2451" s="40"/>
      <c r="F2451" s="40"/>
      <c r="G2451" s="40"/>
      <c r="H2451" s="40">
        <f>+D2451</f>
        <v>0</v>
      </c>
      <c r="I2451" s="40"/>
      <c r="J2451" s="41" t="s">
        <v>13</v>
      </c>
    </row>
    <row r="2452" spans="2:10" s="1" customFormat="1" ht="12.75" x14ac:dyDescent="0.2">
      <c r="B2452" s="43" t="s">
        <v>356</v>
      </c>
      <c r="C2452" s="43" t="s">
        <v>264</v>
      </c>
      <c r="D2452" s="60"/>
      <c r="E2452" s="40"/>
      <c r="F2452" s="40"/>
      <c r="G2452" s="40"/>
      <c r="H2452" s="40"/>
      <c r="I2452" s="44">
        <f>SUM(H2453:H2453)</f>
        <v>0</v>
      </c>
      <c r="J2452" s="45" t="str">
        <f>+J2453</f>
        <v>und</v>
      </c>
    </row>
    <row r="2453" spans="2:10" s="1" customFormat="1" ht="12.75" x14ac:dyDescent="0.2">
      <c r="B2453" s="46"/>
      <c r="C2453" s="39" t="s">
        <v>420</v>
      </c>
      <c r="D2453" s="40"/>
      <c r="E2453" s="40"/>
      <c r="F2453" s="40"/>
      <c r="G2453" s="40"/>
      <c r="H2453" s="40">
        <f>+D2453</f>
        <v>0</v>
      </c>
      <c r="I2453" s="40"/>
      <c r="J2453" s="41" t="s">
        <v>13</v>
      </c>
    </row>
    <row r="2454" spans="2:10" s="1" customFormat="1" ht="12.75" x14ac:dyDescent="0.2">
      <c r="B2454" s="46"/>
      <c r="C2454" s="59"/>
      <c r="D2454" s="60"/>
      <c r="E2454" s="40"/>
      <c r="F2454" s="40"/>
      <c r="G2454" s="40"/>
      <c r="H2454" s="40"/>
      <c r="I2454" s="40"/>
      <c r="J2454" s="41"/>
    </row>
    <row r="2455" spans="2:10" s="1" customFormat="1" ht="12.75" x14ac:dyDescent="0.2">
      <c r="B2455" s="46"/>
      <c r="C2455" s="59"/>
      <c r="D2455" s="60"/>
      <c r="E2455" s="40"/>
      <c r="F2455" s="40"/>
      <c r="G2455" s="40"/>
      <c r="H2455" s="40"/>
      <c r="I2455" s="40"/>
      <c r="J2455" s="41"/>
    </row>
    <row r="2456" spans="2:10" s="1" customFormat="1" ht="12.75" x14ac:dyDescent="0.2">
      <c r="B2456" s="46"/>
      <c r="C2456" s="59"/>
      <c r="D2456" s="60"/>
      <c r="E2456" s="40"/>
      <c r="F2456" s="40"/>
      <c r="G2456" s="40"/>
      <c r="H2456" s="40"/>
      <c r="I2456" s="40"/>
      <c r="J2456" s="41"/>
    </row>
    <row r="2457" spans="2:10" s="1" customFormat="1" ht="12.75" x14ac:dyDescent="0.2">
      <c r="B2457" s="46"/>
      <c r="C2457" s="59"/>
      <c r="D2457" s="60"/>
      <c r="E2457" s="40"/>
      <c r="F2457" s="40"/>
      <c r="G2457" s="40"/>
      <c r="H2457" s="40"/>
      <c r="I2457" s="40"/>
      <c r="J2457" s="41"/>
    </row>
    <row r="2458" spans="2:10" s="1" customFormat="1" ht="12.75" x14ac:dyDescent="0.2">
      <c r="B2458" s="46"/>
      <c r="C2458" s="59"/>
      <c r="D2458" s="60"/>
      <c r="E2458" s="40"/>
      <c r="F2458" s="40"/>
      <c r="G2458" s="40"/>
      <c r="H2458" s="40"/>
      <c r="I2458" s="40"/>
      <c r="J2458" s="41"/>
    </row>
    <row r="2459" spans="2:10" s="1" customFormat="1" ht="12.75" x14ac:dyDescent="0.2">
      <c r="B2459" s="46"/>
      <c r="C2459" s="59"/>
      <c r="D2459" s="60"/>
      <c r="E2459" s="40"/>
      <c r="F2459" s="40"/>
      <c r="G2459" s="40"/>
      <c r="H2459" s="40"/>
      <c r="I2459" s="40"/>
      <c r="J2459" s="41"/>
    </row>
    <row r="2460" spans="2:10" s="1" customFormat="1" ht="12.75" x14ac:dyDescent="0.2">
      <c r="B2460" s="46"/>
      <c r="C2460" s="59"/>
      <c r="D2460" s="60"/>
      <c r="E2460" s="40"/>
      <c r="F2460" s="40"/>
      <c r="G2460" s="40"/>
      <c r="H2460" s="40"/>
      <c r="I2460" s="40"/>
      <c r="J2460" s="41"/>
    </row>
    <row r="2461" spans="2:10" s="1" customFormat="1" ht="12.75" x14ac:dyDescent="0.2">
      <c r="B2461" s="46"/>
      <c r="C2461" s="59"/>
      <c r="D2461" s="60"/>
      <c r="E2461" s="40"/>
      <c r="F2461" s="40"/>
      <c r="G2461" s="40"/>
      <c r="H2461" s="40"/>
      <c r="I2461" s="40"/>
      <c r="J2461" s="41"/>
    </row>
    <row r="2462" spans="2:10" s="1" customFormat="1" ht="12.75" x14ac:dyDescent="0.2">
      <c r="B2462" s="46"/>
      <c r="C2462" s="59"/>
      <c r="D2462" s="60"/>
      <c r="E2462" s="40"/>
      <c r="F2462" s="40"/>
      <c r="G2462" s="40"/>
      <c r="H2462" s="40"/>
      <c r="I2462" s="40"/>
      <c r="J2462" s="41"/>
    </row>
    <row r="2463" spans="2:10" s="1" customFormat="1" ht="12.75" x14ac:dyDescent="0.2">
      <c r="B2463" s="46"/>
      <c r="C2463" s="59"/>
      <c r="D2463" s="60"/>
      <c r="E2463" s="40"/>
      <c r="F2463" s="40"/>
      <c r="G2463" s="40"/>
      <c r="H2463" s="40"/>
      <c r="I2463" s="40"/>
      <c r="J2463" s="41"/>
    </row>
    <row r="2464" spans="2:10" s="1" customFormat="1" ht="12.75" x14ac:dyDescent="0.2">
      <c r="B2464" s="46"/>
      <c r="C2464" s="59"/>
      <c r="D2464" s="60"/>
      <c r="E2464" s="40"/>
      <c r="F2464" s="40"/>
      <c r="G2464" s="40"/>
      <c r="H2464" s="40"/>
      <c r="I2464" s="40"/>
      <c r="J2464" s="41"/>
    </row>
    <row r="2465" spans="2:10" s="1" customFormat="1" ht="12.75" x14ac:dyDescent="0.2">
      <c r="B2465" s="46"/>
      <c r="C2465" s="59"/>
      <c r="D2465" s="60"/>
      <c r="E2465" s="40"/>
      <c r="F2465" s="40"/>
      <c r="G2465" s="40"/>
      <c r="H2465" s="40"/>
      <c r="I2465" s="40"/>
      <c r="J2465" s="41"/>
    </row>
    <row r="2466" spans="2:10" s="1" customFormat="1" ht="12.75" x14ac:dyDescent="0.2">
      <c r="B2466" s="46"/>
      <c r="C2466" s="59"/>
      <c r="D2466" s="60"/>
      <c r="E2466" s="40"/>
      <c r="F2466" s="40"/>
      <c r="G2466" s="40"/>
      <c r="H2466" s="40"/>
      <c r="I2466" s="40"/>
      <c r="J2466" s="41"/>
    </row>
    <row r="2467" spans="2:10" s="1" customFormat="1" ht="12.75" x14ac:dyDescent="0.2">
      <c r="B2467" s="46"/>
      <c r="C2467" s="59"/>
      <c r="D2467" s="60"/>
      <c r="E2467" s="40"/>
      <c r="F2467" s="40"/>
      <c r="G2467" s="40"/>
      <c r="H2467" s="40"/>
      <c r="I2467" s="40"/>
      <c r="J2467" s="41"/>
    </row>
    <row r="2468" spans="2:10" s="1" customFormat="1" ht="12.75" x14ac:dyDescent="0.2">
      <c r="B2468" s="46"/>
      <c r="C2468" s="59"/>
      <c r="D2468" s="60"/>
      <c r="E2468" s="40"/>
      <c r="F2468" s="40"/>
      <c r="G2468" s="40"/>
      <c r="H2468" s="40"/>
      <c r="I2468" s="40"/>
      <c r="J2468" s="41"/>
    </row>
    <row r="2469" spans="2:10" s="1" customFormat="1" ht="12.75" x14ac:dyDescent="0.2">
      <c r="B2469" s="46"/>
      <c r="C2469" s="59"/>
      <c r="D2469" s="60"/>
      <c r="E2469" s="40"/>
      <c r="F2469" s="40"/>
      <c r="G2469" s="40"/>
      <c r="H2469" s="40"/>
      <c r="I2469" s="40"/>
      <c r="J2469" s="41"/>
    </row>
    <row r="2470" spans="2:10" s="1" customFormat="1" ht="12.75" x14ac:dyDescent="0.2">
      <c r="B2470" s="46"/>
      <c r="C2470" s="59"/>
      <c r="D2470" s="60"/>
      <c r="E2470" s="40"/>
      <c r="F2470" s="40"/>
      <c r="G2470" s="40"/>
      <c r="H2470" s="40"/>
      <c r="I2470" s="40"/>
      <c r="J2470" s="41"/>
    </row>
    <row r="2471" spans="2:10" s="1" customFormat="1" ht="12.75" x14ac:dyDescent="0.2">
      <c r="B2471" s="46"/>
      <c r="C2471" s="59"/>
      <c r="D2471" s="60"/>
      <c r="E2471" s="40"/>
      <c r="F2471" s="40"/>
      <c r="G2471" s="40"/>
      <c r="H2471" s="40"/>
      <c r="I2471" s="40"/>
      <c r="J2471" s="41"/>
    </row>
    <row r="2472" spans="2:10" s="1" customFormat="1" ht="12.75" x14ac:dyDescent="0.2">
      <c r="B2472" s="46"/>
      <c r="C2472" s="59"/>
      <c r="D2472" s="60"/>
      <c r="E2472" s="40"/>
      <c r="F2472" s="40"/>
      <c r="G2472" s="40"/>
      <c r="H2472" s="40"/>
      <c r="I2472" s="40"/>
      <c r="J2472" s="41"/>
    </row>
    <row r="2473" spans="2:10" s="1" customFormat="1" ht="12.75" x14ac:dyDescent="0.2">
      <c r="B2473" s="46"/>
      <c r="C2473" s="59"/>
      <c r="D2473" s="60"/>
      <c r="E2473" s="40"/>
      <c r="F2473" s="40"/>
      <c r="G2473" s="40"/>
      <c r="H2473" s="40"/>
      <c r="I2473" s="40"/>
      <c r="J2473" s="41"/>
    </row>
    <row r="2474" spans="2:10" s="1" customFormat="1" ht="12.75" x14ac:dyDescent="0.2">
      <c r="B2474" s="46"/>
      <c r="C2474" s="59"/>
      <c r="D2474" s="60"/>
      <c r="E2474" s="40"/>
      <c r="F2474" s="40"/>
      <c r="G2474" s="40"/>
      <c r="H2474" s="40"/>
      <c r="I2474" s="40"/>
      <c r="J2474" s="41"/>
    </row>
    <row r="2475" spans="2:10" s="1" customFormat="1" ht="12.75" x14ac:dyDescent="0.2">
      <c r="B2475" s="46"/>
      <c r="C2475" s="59"/>
      <c r="D2475" s="60"/>
      <c r="E2475" s="40"/>
      <c r="F2475" s="40"/>
      <c r="G2475" s="40"/>
      <c r="H2475" s="40"/>
      <c r="I2475" s="40"/>
      <c r="J2475" s="41"/>
    </row>
    <row r="2476" spans="2:10" s="1" customFormat="1" ht="12.75" x14ac:dyDescent="0.2">
      <c r="B2476" s="46"/>
      <c r="C2476" s="59"/>
      <c r="D2476" s="60"/>
      <c r="E2476" s="40"/>
      <c r="F2476" s="40"/>
      <c r="G2476" s="40"/>
      <c r="H2476" s="40"/>
      <c r="I2476" s="40"/>
      <c r="J2476" s="41"/>
    </row>
    <row r="2477" spans="2:10" s="1" customFormat="1" ht="12.75" x14ac:dyDescent="0.2">
      <c r="B2477" s="46"/>
      <c r="C2477" s="59"/>
      <c r="D2477" s="60"/>
      <c r="E2477" s="40"/>
      <c r="F2477" s="40"/>
      <c r="G2477" s="40"/>
      <c r="H2477" s="40"/>
      <c r="I2477" s="40"/>
      <c r="J2477" s="41"/>
    </row>
    <row r="2478" spans="2:10" s="1" customFormat="1" ht="12.75" x14ac:dyDescent="0.2">
      <c r="B2478" s="46"/>
      <c r="C2478" s="59"/>
      <c r="D2478" s="60"/>
      <c r="E2478" s="40"/>
      <c r="F2478" s="40"/>
      <c r="G2478" s="40"/>
      <c r="H2478" s="40"/>
      <c r="I2478" s="40"/>
      <c r="J2478" s="41"/>
    </row>
    <row r="2479" spans="2:10" s="1" customFormat="1" ht="12.75" x14ac:dyDescent="0.2">
      <c r="B2479" s="46"/>
      <c r="C2479" s="59"/>
      <c r="D2479" s="60"/>
      <c r="E2479" s="40"/>
      <c r="F2479" s="40"/>
      <c r="G2479" s="40"/>
      <c r="H2479" s="40"/>
      <c r="I2479" s="40"/>
      <c r="J2479" s="41"/>
    </row>
    <row r="2480" spans="2:10" s="1" customFormat="1" ht="12.75" x14ac:dyDescent="0.2">
      <c r="B2480" s="46"/>
      <c r="C2480" s="59"/>
      <c r="D2480" s="60"/>
      <c r="E2480" s="40"/>
      <c r="F2480" s="40"/>
      <c r="G2480" s="40"/>
      <c r="H2480" s="40"/>
      <c r="I2480" s="40"/>
      <c r="J2480" s="41"/>
    </row>
    <row r="2481" spans="2:10" s="1" customFormat="1" ht="12.75" x14ac:dyDescent="0.2">
      <c r="B2481" s="46"/>
      <c r="C2481" s="59"/>
      <c r="D2481" s="60"/>
      <c r="E2481" s="40"/>
      <c r="F2481" s="40"/>
      <c r="G2481" s="40"/>
      <c r="H2481" s="40"/>
      <c r="I2481" s="40"/>
      <c r="J2481" s="41"/>
    </row>
    <row r="2482" spans="2:10" s="1" customFormat="1" ht="12.75" x14ac:dyDescent="0.2">
      <c r="B2482" s="46"/>
      <c r="C2482" s="59"/>
      <c r="D2482" s="60"/>
      <c r="E2482" s="40"/>
      <c r="F2482" s="40"/>
      <c r="G2482" s="40"/>
      <c r="H2482" s="40"/>
      <c r="I2482" s="40"/>
      <c r="J2482" s="41"/>
    </row>
    <row r="2483" spans="2:10" s="1" customFormat="1" ht="12.75" x14ac:dyDescent="0.2">
      <c r="B2483" s="46"/>
      <c r="C2483" s="59"/>
      <c r="D2483" s="60"/>
      <c r="E2483" s="40"/>
      <c r="F2483" s="40"/>
      <c r="G2483" s="40"/>
      <c r="H2483" s="40"/>
      <c r="I2483" s="40"/>
      <c r="J2483" s="41"/>
    </row>
    <row r="2484" spans="2:10" s="1" customFormat="1" ht="12.75" x14ac:dyDescent="0.2">
      <c r="B2484" s="46"/>
      <c r="C2484" s="59"/>
      <c r="D2484" s="60"/>
      <c r="E2484" s="40"/>
      <c r="F2484" s="40"/>
      <c r="G2484" s="40"/>
      <c r="H2484" s="40"/>
      <c r="I2484" s="40"/>
      <c r="J2484" s="41"/>
    </row>
    <row r="2485" spans="2:10" s="1" customFormat="1" ht="12.75" x14ac:dyDescent="0.2">
      <c r="B2485" s="46"/>
      <c r="C2485" s="59"/>
      <c r="D2485" s="60"/>
      <c r="E2485" s="40"/>
      <c r="F2485" s="40"/>
      <c r="G2485" s="40"/>
      <c r="H2485" s="40"/>
      <c r="I2485" s="40"/>
      <c r="J2485" s="41"/>
    </row>
    <row r="2486" spans="2:10" s="1" customFormat="1" ht="12.75" x14ac:dyDescent="0.2">
      <c r="B2486" s="46"/>
      <c r="C2486" s="59"/>
      <c r="D2486" s="60"/>
      <c r="E2486" s="40"/>
      <c r="F2486" s="40"/>
      <c r="G2486" s="40"/>
      <c r="H2486" s="40"/>
      <c r="I2486" s="40"/>
      <c r="J2486" s="41"/>
    </row>
    <row r="2487" spans="2:10" s="1" customFormat="1" ht="12.75" x14ac:dyDescent="0.2">
      <c r="B2487" s="46"/>
      <c r="C2487" s="59"/>
      <c r="D2487" s="60"/>
      <c r="E2487" s="40"/>
      <c r="F2487" s="40"/>
      <c r="G2487" s="40"/>
      <c r="H2487" s="40"/>
      <c r="I2487" s="40"/>
      <c r="J2487" s="41"/>
    </row>
    <row r="2488" spans="2:10" s="1" customFormat="1" ht="12.75" x14ac:dyDescent="0.2">
      <c r="B2488" s="46"/>
      <c r="C2488" s="59"/>
      <c r="D2488" s="60"/>
      <c r="E2488" s="40"/>
      <c r="F2488" s="40"/>
      <c r="G2488" s="40"/>
      <c r="H2488" s="40"/>
      <c r="I2488" s="40"/>
      <c r="J2488" s="41"/>
    </row>
    <row r="2489" spans="2:10" s="1" customFormat="1" ht="12.75" x14ac:dyDescent="0.2">
      <c r="B2489" s="46"/>
      <c r="C2489" s="59"/>
      <c r="D2489" s="60"/>
      <c r="E2489" s="40"/>
      <c r="F2489" s="40"/>
      <c r="G2489" s="40"/>
      <c r="H2489" s="40"/>
      <c r="I2489" s="40"/>
      <c r="J2489" s="41"/>
    </row>
    <row r="2490" spans="2:10" s="1" customFormat="1" ht="12.75" x14ac:dyDescent="0.2">
      <c r="B2490" s="46"/>
      <c r="C2490" s="59"/>
      <c r="D2490" s="60"/>
      <c r="E2490" s="40"/>
      <c r="F2490" s="40"/>
      <c r="G2490" s="40"/>
      <c r="H2490" s="40"/>
      <c r="I2490" s="40"/>
      <c r="J2490" s="41"/>
    </row>
    <row r="2491" spans="2:10" s="1" customFormat="1" ht="12.75" x14ac:dyDescent="0.2">
      <c r="B2491" s="46"/>
      <c r="C2491" s="59"/>
      <c r="D2491" s="60"/>
      <c r="E2491" s="40"/>
      <c r="F2491" s="40"/>
      <c r="G2491" s="40"/>
      <c r="H2491" s="40"/>
      <c r="I2491" s="40"/>
      <c r="J2491" s="41"/>
    </row>
    <row r="2492" spans="2:10" s="1" customFormat="1" ht="12.75" x14ac:dyDescent="0.2">
      <c r="B2492" s="46"/>
      <c r="C2492" s="59"/>
      <c r="D2492" s="60"/>
      <c r="E2492" s="40"/>
      <c r="F2492" s="40"/>
      <c r="G2492" s="40"/>
      <c r="H2492" s="40"/>
      <c r="I2492" s="40"/>
      <c r="J2492" s="41"/>
    </row>
    <row r="2493" spans="2:10" s="1" customFormat="1" ht="12.75" x14ac:dyDescent="0.2">
      <c r="B2493" s="46"/>
      <c r="C2493" s="59"/>
      <c r="D2493" s="60"/>
      <c r="E2493" s="40"/>
      <c r="F2493" s="40"/>
      <c r="G2493" s="40"/>
      <c r="H2493" s="40"/>
      <c r="I2493" s="40"/>
      <c r="J2493" s="41"/>
    </row>
    <row r="2494" spans="2:10" s="1" customFormat="1" ht="12.75" x14ac:dyDescent="0.2">
      <c r="B2494" s="46"/>
      <c r="C2494" s="59"/>
      <c r="D2494" s="60"/>
      <c r="E2494" s="40"/>
      <c r="F2494" s="40"/>
      <c r="G2494" s="40"/>
      <c r="H2494" s="40"/>
      <c r="I2494" s="40"/>
      <c r="J2494" s="41"/>
    </row>
    <row r="2495" spans="2:10" s="1" customFormat="1" ht="12.75" x14ac:dyDescent="0.2">
      <c r="B2495" s="46"/>
      <c r="C2495" s="59"/>
      <c r="D2495" s="60"/>
      <c r="E2495" s="40"/>
      <c r="F2495" s="40"/>
      <c r="G2495" s="40"/>
      <c r="H2495" s="40"/>
      <c r="I2495" s="40"/>
      <c r="J2495" s="41"/>
    </row>
    <row r="2496" spans="2:10" s="1" customFormat="1" ht="12.75" x14ac:dyDescent="0.2">
      <c r="B2496" s="46"/>
      <c r="C2496" s="59"/>
      <c r="D2496" s="60"/>
      <c r="E2496" s="40"/>
      <c r="F2496" s="40"/>
      <c r="G2496" s="40"/>
      <c r="H2496" s="40"/>
      <c r="I2496" s="40"/>
      <c r="J2496" s="41"/>
    </row>
    <row r="2497" spans="2:10" s="1" customFormat="1" ht="12.75" x14ac:dyDescent="0.2">
      <c r="B2497" s="46"/>
      <c r="C2497" s="59"/>
      <c r="D2497" s="60"/>
      <c r="E2497" s="40"/>
      <c r="F2497" s="40"/>
      <c r="G2497" s="40"/>
      <c r="H2497" s="40"/>
      <c r="I2497" s="40"/>
      <c r="J2497" s="41"/>
    </row>
    <row r="2498" spans="2:10" s="1" customFormat="1" ht="12.75" x14ac:dyDescent="0.2">
      <c r="B2498" s="46"/>
      <c r="C2498" s="59"/>
      <c r="D2498" s="60"/>
      <c r="E2498" s="40"/>
      <c r="F2498" s="40"/>
      <c r="G2498" s="40"/>
      <c r="H2498" s="40"/>
      <c r="I2498" s="40"/>
      <c r="J2498" s="41"/>
    </row>
    <row r="2499" spans="2:10" s="1" customFormat="1" ht="12.75" x14ac:dyDescent="0.2">
      <c r="B2499" s="46"/>
      <c r="C2499" s="59"/>
      <c r="D2499" s="60"/>
      <c r="E2499" s="40"/>
      <c r="F2499" s="40"/>
      <c r="G2499" s="40"/>
      <c r="H2499" s="40"/>
      <c r="I2499" s="40"/>
      <c r="J2499" s="41"/>
    </row>
    <row r="2500" spans="2:10" s="1" customFormat="1" ht="12.75" x14ac:dyDescent="0.2">
      <c r="B2500" s="46"/>
      <c r="C2500" s="59"/>
      <c r="D2500" s="60"/>
      <c r="E2500" s="40"/>
      <c r="F2500" s="40"/>
      <c r="G2500" s="40"/>
      <c r="H2500" s="40"/>
      <c r="I2500" s="40"/>
      <c r="J2500" s="41"/>
    </row>
    <row r="2501" spans="2:10" s="1" customFormat="1" ht="12.75" x14ac:dyDescent="0.2">
      <c r="B2501" s="46"/>
      <c r="C2501" s="59"/>
      <c r="D2501" s="60"/>
      <c r="E2501" s="40"/>
      <c r="F2501" s="40"/>
      <c r="G2501" s="40"/>
      <c r="H2501" s="40"/>
      <c r="I2501" s="40"/>
      <c r="J2501" s="41"/>
    </row>
    <row r="2502" spans="2:10" s="1" customFormat="1" ht="12.75" x14ac:dyDescent="0.2">
      <c r="B2502" s="46"/>
      <c r="C2502" s="59"/>
      <c r="D2502" s="60"/>
      <c r="E2502" s="40"/>
      <c r="F2502" s="40"/>
      <c r="G2502" s="40"/>
      <c r="H2502" s="40"/>
      <c r="I2502" s="40"/>
      <c r="J2502" s="41"/>
    </row>
    <row r="2503" spans="2:10" s="1" customFormat="1" ht="12.75" x14ac:dyDescent="0.2">
      <c r="B2503" s="46"/>
      <c r="C2503" s="59"/>
      <c r="D2503" s="60"/>
      <c r="E2503" s="40"/>
      <c r="F2503" s="40"/>
      <c r="G2503" s="40"/>
      <c r="H2503" s="40"/>
      <c r="I2503" s="40"/>
      <c r="J2503" s="41"/>
    </row>
    <row r="2504" spans="2:10" s="1" customFormat="1" ht="12.75" x14ac:dyDescent="0.2">
      <c r="B2504" s="46"/>
      <c r="C2504" s="59"/>
      <c r="D2504" s="60"/>
      <c r="E2504" s="40"/>
      <c r="F2504" s="40"/>
      <c r="G2504" s="40"/>
      <c r="H2504" s="40"/>
      <c r="I2504" s="40"/>
      <c r="J2504" s="41"/>
    </row>
    <row r="2505" spans="2:10" s="1" customFormat="1" ht="12.75" x14ac:dyDescent="0.2">
      <c r="B2505" s="46"/>
      <c r="C2505" s="59"/>
      <c r="D2505" s="60"/>
      <c r="E2505" s="40"/>
      <c r="F2505" s="40"/>
      <c r="G2505" s="40"/>
      <c r="H2505" s="40"/>
      <c r="I2505" s="40"/>
      <c r="J2505" s="41"/>
    </row>
    <row r="2506" spans="2:10" s="1" customFormat="1" ht="12.75" x14ac:dyDescent="0.2">
      <c r="B2506" s="46"/>
      <c r="C2506" s="59"/>
      <c r="D2506" s="60"/>
      <c r="E2506" s="40"/>
      <c r="F2506" s="40"/>
      <c r="G2506" s="40"/>
      <c r="H2506" s="40"/>
      <c r="I2506" s="40"/>
      <c r="J2506" s="41"/>
    </row>
    <row r="2507" spans="2:10" s="1" customFormat="1" ht="12.75" x14ac:dyDescent="0.2">
      <c r="B2507" s="46"/>
      <c r="C2507" s="59"/>
      <c r="D2507" s="60"/>
      <c r="E2507" s="40"/>
      <c r="F2507" s="40"/>
      <c r="G2507" s="40"/>
      <c r="H2507" s="40"/>
      <c r="I2507" s="40"/>
      <c r="J2507" s="41"/>
    </row>
    <row r="2508" spans="2:10" s="1" customFormat="1" ht="12.75" x14ac:dyDescent="0.2">
      <c r="B2508" s="46"/>
      <c r="C2508" s="59"/>
      <c r="D2508" s="60"/>
      <c r="E2508" s="40"/>
      <c r="F2508" s="40"/>
      <c r="G2508" s="40"/>
      <c r="H2508" s="40"/>
      <c r="I2508" s="40"/>
      <c r="J2508" s="41"/>
    </row>
    <row r="2509" spans="2:10" s="1" customFormat="1" ht="12.75" x14ac:dyDescent="0.2">
      <c r="B2509" s="46"/>
      <c r="C2509" s="59"/>
      <c r="D2509" s="60"/>
      <c r="E2509" s="40"/>
      <c r="F2509" s="40"/>
      <c r="G2509" s="40"/>
      <c r="H2509" s="40"/>
      <c r="I2509" s="40"/>
      <c r="J2509" s="41"/>
    </row>
    <row r="2510" spans="2:10" s="1" customFormat="1" ht="12.75" x14ac:dyDescent="0.2">
      <c r="B2510" s="46"/>
      <c r="C2510" s="59"/>
      <c r="D2510" s="60"/>
      <c r="E2510" s="40"/>
      <c r="F2510" s="40"/>
      <c r="G2510" s="40"/>
      <c r="H2510" s="40"/>
      <c r="I2510" s="40"/>
      <c r="J2510" s="41"/>
    </row>
    <row r="2511" spans="2:10" s="1" customFormat="1" ht="12.75" x14ac:dyDescent="0.2">
      <c r="B2511" s="46"/>
      <c r="C2511" s="59"/>
      <c r="D2511" s="60"/>
      <c r="E2511" s="40"/>
      <c r="F2511" s="40"/>
      <c r="G2511" s="40"/>
      <c r="H2511" s="40"/>
      <c r="I2511" s="40"/>
      <c r="J2511" s="41"/>
    </row>
    <row r="2512" spans="2:10" s="1" customFormat="1" ht="12.75" x14ac:dyDescent="0.2">
      <c r="B2512" s="46"/>
      <c r="C2512" s="59"/>
      <c r="D2512" s="60"/>
      <c r="E2512" s="40"/>
      <c r="F2512" s="40"/>
      <c r="G2512" s="40"/>
      <c r="H2512" s="40"/>
      <c r="I2512" s="40"/>
      <c r="J2512" s="41"/>
    </row>
    <row r="2513" spans="2:10" s="1" customFormat="1" ht="12.75" x14ac:dyDescent="0.2">
      <c r="B2513" s="46"/>
      <c r="C2513" s="59"/>
      <c r="D2513" s="60"/>
      <c r="E2513" s="40"/>
      <c r="F2513" s="40"/>
      <c r="G2513" s="40"/>
      <c r="H2513" s="40"/>
      <c r="I2513" s="40"/>
      <c r="J2513" s="41"/>
    </row>
    <row r="2514" spans="2:10" s="1" customFormat="1" ht="12.75" x14ac:dyDescent="0.2">
      <c r="B2514" s="46"/>
      <c r="C2514" s="59"/>
      <c r="D2514" s="60"/>
      <c r="E2514" s="40"/>
      <c r="F2514" s="40"/>
      <c r="G2514" s="40"/>
      <c r="H2514" s="40"/>
      <c r="I2514" s="40"/>
      <c r="J2514" s="41"/>
    </row>
    <row r="2515" spans="2:10" s="1" customFormat="1" ht="12.75" x14ac:dyDescent="0.2">
      <c r="B2515" s="46"/>
      <c r="C2515" s="59"/>
      <c r="D2515" s="60"/>
      <c r="E2515" s="40"/>
      <c r="F2515" s="40"/>
      <c r="G2515" s="40"/>
      <c r="H2515" s="40"/>
      <c r="I2515" s="40"/>
      <c r="J2515" s="41"/>
    </row>
    <row r="2516" spans="2:10" s="1" customFormat="1" ht="12.75" x14ac:dyDescent="0.2">
      <c r="B2516" s="46"/>
      <c r="C2516" s="59"/>
      <c r="D2516" s="60"/>
      <c r="E2516" s="40"/>
      <c r="F2516" s="40"/>
      <c r="G2516" s="40"/>
      <c r="H2516" s="40"/>
      <c r="I2516" s="40"/>
      <c r="J2516" s="41"/>
    </row>
    <row r="2517" spans="2:10" s="1" customFormat="1" ht="12.75" x14ac:dyDescent="0.2">
      <c r="B2517" s="46"/>
      <c r="C2517" s="59"/>
      <c r="D2517" s="60"/>
      <c r="E2517" s="40"/>
      <c r="F2517" s="40"/>
      <c r="G2517" s="40"/>
      <c r="H2517" s="40"/>
      <c r="I2517" s="40"/>
      <c r="J2517" s="41"/>
    </row>
    <row r="2518" spans="2:10" s="1" customFormat="1" ht="12.75" x14ac:dyDescent="0.2">
      <c r="B2518" s="46"/>
      <c r="C2518" s="59"/>
      <c r="D2518" s="60"/>
      <c r="E2518" s="40"/>
      <c r="F2518" s="40"/>
      <c r="G2518" s="40"/>
      <c r="H2518" s="40"/>
      <c r="I2518" s="40"/>
      <c r="J2518" s="41"/>
    </row>
    <row r="2519" spans="2:10" s="1" customFormat="1" ht="12.75" x14ac:dyDescent="0.2">
      <c r="B2519" s="46"/>
      <c r="C2519" s="59"/>
      <c r="D2519" s="60"/>
      <c r="E2519" s="40"/>
      <c r="F2519" s="40"/>
      <c r="G2519" s="40"/>
      <c r="H2519" s="40"/>
      <c r="I2519" s="40"/>
      <c r="J2519" s="41"/>
    </row>
    <row r="2520" spans="2:10" s="1" customFormat="1" ht="12.75" x14ac:dyDescent="0.2">
      <c r="B2520" s="46"/>
      <c r="C2520" s="59"/>
      <c r="D2520" s="60"/>
      <c r="E2520" s="40"/>
      <c r="F2520" s="40"/>
      <c r="G2520" s="40"/>
      <c r="H2520" s="40"/>
      <c r="I2520" s="40"/>
      <c r="J2520" s="41"/>
    </row>
    <row r="2521" spans="2:10" s="1" customFormat="1" ht="12.75" x14ac:dyDescent="0.2">
      <c r="B2521" s="46"/>
      <c r="C2521" s="59"/>
      <c r="D2521" s="60"/>
      <c r="E2521" s="40"/>
      <c r="F2521" s="40"/>
      <c r="G2521" s="40"/>
      <c r="H2521" s="40"/>
      <c r="I2521" s="40"/>
      <c r="J2521" s="41"/>
    </row>
    <row r="2522" spans="2:10" s="1" customFormat="1" ht="12.75" x14ac:dyDescent="0.2">
      <c r="B2522" s="46"/>
      <c r="C2522" s="59"/>
      <c r="D2522" s="60"/>
      <c r="E2522" s="40"/>
      <c r="F2522" s="40"/>
      <c r="G2522" s="40"/>
      <c r="H2522" s="40"/>
      <c r="I2522" s="40"/>
      <c r="J2522" s="41"/>
    </row>
    <row r="2523" spans="2:10" s="1" customFormat="1" ht="12.75" x14ac:dyDescent="0.2">
      <c r="B2523" s="46"/>
      <c r="C2523" s="59"/>
      <c r="D2523" s="60"/>
      <c r="E2523" s="40"/>
      <c r="F2523" s="40"/>
      <c r="G2523" s="40"/>
      <c r="H2523" s="40"/>
      <c r="I2523" s="40"/>
      <c r="J2523" s="41"/>
    </row>
    <row r="2524" spans="2:10" s="1" customFormat="1" ht="12.75" x14ac:dyDescent="0.2">
      <c r="B2524" s="46"/>
      <c r="C2524" s="59"/>
      <c r="D2524" s="60"/>
      <c r="E2524" s="40"/>
      <c r="F2524" s="40"/>
      <c r="G2524" s="40"/>
      <c r="H2524" s="40"/>
      <c r="I2524" s="40"/>
      <c r="J2524" s="41"/>
    </row>
    <row r="2525" spans="2:10" s="1" customFormat="1" ht="12.75" x14ac:dyDescent="0.2">
      <c r="B2525" s="46"/>
      <c r="C2525" s="59"/>
      <c r="D2525" s="60"/>
      <c r="E2525" s="40"/>
      <c r="F2525" s="40"/>
      <c r="G2525" s="40"/>
      <c r="H2525" s="40"/>
      <c r="I2525" s="40"/>
      <c r="J2525" s="41"/>
    </row>
    <row r="2526" spans="2:10" s="1" customFormat="1" ht="12.75" x14ac:dyDescent="0.2">
      <c r="B2526" s="46"/>
      <c r="C2526" s="59"/>
      <c r="D2526" s="60"/>
      <c r="E2526" s="40"/>
      <c r="F2526" s="40"/>
      <c r="G2526" s="40"/>
      <c r="H2526" s="40"/>
      <c r="I2526" s="40"/>
      <c r="J2526" s="41"/>
    </row>
    <row r="2527" spans="2:10" s="1" customFormat="1" ht="12.75" x14ac:dyDescent="0.2">
      <c r="B2527" s="46"/>
      <c r="C2527" s="59"/>
      <c r="D2527" s="60"/>
      <c r="E2527" s="40"/>
      <c r="F2527" s="40"/>
      <c r="G2527" s="40"/>
      <c r="H2527" s="40"/>
      <c r="I2527" s="40"/>
      <c r="J2527" s="41"/>
    </row>
    <row r="2528" spans="2:10" s="1" customFormat="1" ht="12.75" x14ac:dyDescent="0.2">
      <c r="B2528" s="46"/>
      <c r="C2528" s="59"/>
      <c r="D2528" s="60"/>
      <c r="E2528" s="40"/>
      <c r="F2528" s="40"/>
      <c r="G2528" s="40"/>
      <c r="H2528" s="40"/>
      <c r="I2528" s="40"/>
      <c r="J2528" s="41"/>
    </row>
    <row r="2529" spans="2:10" s="1" customFormat="1" ht="12.75" x14ac:dyDescent="0.2">
      <c r="B2529" s="46"/>
      <c r="C2529" s="59"/>
      <c r="D2529" s="60"/>
      <c r="E2529" s="40"/>
      <c r="F2529" s="40"/>
      <c r="G2529" s="40"/>
      <c r="H2529" s="40"/>
      <c r="I2529" s="40"/>
      <c r="J2529" s="41"/>
    </row>
  </sheetData>
  <mergeCells count="112">
    <mergeCell ref="C248:H248"/>
    <mergeCell ref="C249:H249"/>
    <mergeCell ref="C250:H250"/>
    <mergeCell ref="C251:H251"/>
    <mergeCell ref="B253:J253"/>
    <mergeCell ref="B8:J8"/>
    <mergeCell ref="C1:H1"/>
    <mergeCell ref="C2:H2"/>
    <mergeCell ref="C3:H3"/>
    <mergeCell ref="C4:H4"/>
    <mergeCell ref="B6:J6"/>
    <mergeCell ref="B62:J62"/>
    <mergeCell ref="B63:J63"/>
    <mergeCell ref="B65:J65"/>
    <mergeCell ref="H66:I66"/>
    <mergeCell ref="B10:J10"/>
    <mergeCell ref="H11:I11"/>
    <mergeCell ref="C57:H57"/>
    <mergeCell ref="C58:H58"/>
    <mergeCell ref="C59:H59"/>
    <mergeCell ref="C60:H60"/>
    <mergeCell ref="C439:H439"/>
    <mergeCell ref="C440:H440"/>
    <mergeCell ref="B442:J442"/>
    <mergeCell ref="B443:J443"/>
    <mergeCell ref="B445:J445"/>
    <mergeCell ref="B254:J254"/>
    <mergeCell ref="B256:J256"/>
    <mergeCell ref="H257:I257"/>
    <mergeCell ref="C437:H437"/>
    <mergeCell ref="C438:H438"/>
    <mergeCell ref="B632:J632"/>
    <mergeCell ref="B633:J633"/>
    <mergeCell ref="B635:J635"/>
    <mergeCell ref="H636:I636"/>
    <mergeCell ref="C817:H817"/>
    <mergeCell ref="H446:I446"/>
    <mergeCell ref="C627:H627"/>
    <mergeCell ref="C628:H628"/>
    <mergeCell ref="C629:H629"/>
    <mergeCell ref="C630:H630"/>
    <mergeCell ref="B825:J825"/>
    <mergeCell ref="H826:I826"/>
    <mergeCell ref="C1007:H1007"/>
    <mergeCell ref="C1008:H1008"/>
    <mergeCell ref="C1009:H1009"/>
    <mergeCell ref="C818:H818"/>
    <mergeCell ref="C819:H819"/>
    <mergeCell ref="C820:H820"/>
    <mergeCell ref="B822:J822"/>
    <mergeCell ref="B823:J823"/>
    <mergeCell ref="C1197:H1197"/>
    <mergeCell ref="C1198:H1198"/>
    <mergeCell ref="C1199:H1199"/>
    <mergeCell ref="C1200:H1200"/>
    <mergeCell ref="B1202:J1202"/>
    <mergeCell ref="C1010:H1010"/>
    <mergeCell ref="B1012:J1012"/>
    <mergeCell ref="B1013:J1013"/>
    <mergeCell ref="B1015:J1015"/>
    <mergeCell ref="H1016:I1016"/>
    <mergeCell ref="C1390:H1390"/>
    <mergeCell ref="C1391:H1391"/>
    <mergeCell ref="B1393:J1393"/>
    <mergeCell ref="B1394:J1394"/>
    <mergeCell ref="B1396:J1396"/>
    <mergeCell ref="B1203:J1203"/>
    <mergeCell ref="B1205:J1205"/>
    <mergeCell ref="H1206:I1206"/>
    <mergeCell ref="C1388:H1388"/>
    <mergeCell ref="C1389:H1389"/>
    <mergeCell ref="B1583:J1583"/>
    <mergeCell ref="B1584:J1584"/>
    <mergeCell ref="B1586:J1586"/>
    <mergeCell ref="H1587:I1587"/>
    <mergeCell ref="C1768:H1768"/>
    <mergeCell ref="H1397:I1397"/>
    <mergeCell ref="C1578:H1578"/>
    <mergeCell ref="C1579:H1579"/>
    <mergeCell ref="C1580:H1580"/>
    <mergeCell ref="C1581:H1581"/>
    <mergeCell ref="B1776:J1776"/>
    <mergeCell ref="H1777:I1777"/>
    <mergeCell ref="C1958:H1958"/>
    <mergeCell ref="C1959:H1959"/>
    <mergeCell ref="C1960:H1960"/>
    <mergeCell ref="C1769:H1769"/>
    <mergeCell ref="C1770:H1770"/>
    <mergeCell ref="C1771:H1771"/>
    <mergeCell ref="B1773:J1773"/>
    <mergeCell ref="B1774:J1774"/>
    <mergeCell ref="C2149:H2149"/>
    <mergeCell ref="C2150:H2150"/>
    <mergeCell ref="C2151:H2151"/>
    <mergeCell ref="C2152:H2152"/>
    <mergeCell ref="B2154:J2154"/>
    <mergeCell ref="C1961:H1961"/>
    <mergeCell ref="B1963:J1963"/>
    <mergeCell ref="B1964:J1964"/>
    <mergeCell ref="B1966:J1966"/>
    <mergeCell ref="H1967:I1967"/>
    <mergeCell ref="H2349:I2349"/>
    <mergeCell ref="C2342:H2342"/>
    <mergeCell ref="C2343:H2343"/>
    <mergeCell ref="B2345:J2345"/>
    <mergeCell ref="B2346:J2346"/>
    <mergeCell ref="B2348:J2348"/>
    <mergeCell ref="B2155:J2155"/>
    <mergeCell ref="B2157:J2157"/>
    <mergeCell ref="H2158:I2158"/>
    <mergeCell ref="C2340:H2340"/>
    <mergeCell ref="C2341:H2341"/>
  </mergeCells>
  <pageMargins left="0.70866141732283472" right="0.70866141732283472" top="0.74803149606299213" bottom="0.74803149606299213" header="0.31496062992125984" footer="0.31496062992125984"/>
  <pageSetup paperSize="9" scale="62" fitToWidth="0" fitToHeight="0" orientation="portrait" r:id="rId1"/>
  <rowBreaks count="1" manualBreakCount="1">
    <brk id="55" min="2" max="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12</vt:i4>
      </vt:variant>
    </vt:vector>
  </HeadingPairs>
  <TitlesOfParts>
    <vt:vector size="22" baseType="lpstr">
      <vt:lpstr>MET-I.S.</vt:lpstr>
      <vt:lpstr>CUADRO COMPARATIVO</vt:lpstr>
      <vt:lpstr>RESUMEN_MM</vt:lpstr>
      <vt:lpstr>MET_MM</vt:lpstr>
      <vt:lpstr>RESUMEN_PN</vt:lpstr>
      <vt:lpstr>MET_PN</vt:lpstr>
      <vt:lpstr>RESUMEN_DED</vt:lpstr>
      <vt:lpstr>MET_DED</vt:lpstr>
      <vt:lpstr>MET_PLUVIAL BASE</vt:lpstr>
      <vt:lpstr>MET-DRENAJE EXP.</vt:lpstr>
      <vt:lpstr>'CUADRO COMPARATIVO'!Área_de_impresión</vt:lpstr>
      <vt:lpstr>MET_DED!Área_de_impresión</vt:lpstr>
      <vt:lpstr>MET_MM!Área_de_impresión</vt:lpstr>
      <vt:lpstr>'MET_PLUVIAL BASE'!Área_de_impresión</vt:lpstr>
      <vt:lpstr>MET_PN!Área_de_impresión</vt:lpstr>
      <vt:lpstr>'MET-DRENAJE EXP.'!Área_de_impresión</vt:lpstr>
      <vt:lpstr>'MET-I.S.'!Área_de_impresión</vt:lpstr>
      <vt:lpstr>RESUMEN_DED!Área_de_impresión</vt:lpstr>
      <vt:lpstr>RESUMEN_MM!Área_de_impresión</vt:lpstr>
      <vt:lpstr>RESUMEN_PN!Área_de_impresión</vt:lpstr>
      <vt:lpstr>'CUADRO COMPARATIVO'!Títulos_a_imprimir</vt:lpstr>
      <vt:lpstr>'MET-I.S.'!Títulos_a_imprimir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cp:lastPrinted>2022-01-14T15:44:32Z</cp:lastPrinted>
  <dcterms:created xsi:type="dcterms:W3CDTF">2017-05-18T21:02:36Z</dcterms:created>
  <dcterms:modified xsi:type="dcterms:W3CDTF">2022-06-03T01:25:01Z</dcterms:modified>
</cp:coreProperties>
</file>