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L\Desktop\IOARR DISA ANDAHUAYLAS\Pres. y Crono. IOARR HOSP. ANDAHUAYLAS\Pres. y Crono. IOARR HOSP. ANDAHUAYLAS\"/>
    </mc:Choice>
  </mc:AlternateContent>
  <xr:revisionPtr revIDLastSave="0" documentId="13_ncr:1_{D7C26772-1ED6-4572-A9C1-3C2A6B291DD6}" xr6:coauthVersionLast="45" xr6:coauthVersionMax="45" xr10:uidLastSave="{00000000-0000-0000-0000-000000000000}"/>
  <bookViews>
    <workbookView xWindow="7248" yWindow="168" windowWidth="12732" windowHeight="11628" tabRatio="721" firstSheet="3" activeTab="11" xr2:uid="{00000000-000D-0000-FFFF-FFFF00000000}"/>
  </bookViews>
  <sheets>
    <sheet name="VARIABLES" sheetId="50" state="hidden" r:id="rId1"/>
    <sheet name="RESÚMEN" sheetId="48" state="hidden" r:id="rId2"/>
    <sheet name="Exp.Téc. " sheetId="22" state="hidden" r:id="rId3"/>
    <sheet name="RESUMEN TOTAL" sheetId="54" r:id="rId4"/>
    <sheet name="G.General" sheetId="55" r:id="rId5"/>
    <sheet name="G. Supervision" sheetId="46" r:id="rId6"/>
    <sheet name="Supervision" sheetId="12" state="hidden" r:id="rId7"/>
    <sheet name="Capacitacion Social" sheetId="21" state="hidden" r:id="rId8"/>
    <sheet name="Gestion del proyecto" sheetId="52" r:id="rId9"/>
    <sheet name="G. Liquidacion" sheetId="16" r:id="rId10"/>
    <sheet name="G. Exp. Tecnico" sheetId="39" r:id="rId11"/>
    <sheet name="IOARR" sheetId="56" r:id="rId12"/>
    <sheet name="Hoja1" sheetId="53" state="hidden" r:id="rId13"/>
    <sheet name="CONSOLIDADO" sheetId="49" state="hidden" r:id="rId14"/>
    <sheet name="Remuneraciones" sheetId="51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10" hidden="1">'G. Exp. Tecnico'!$C$34:$H$92</definedName>
    <definedName name="_xlnm._FilterDatabase" localSheetId="9" hidden="1">'G. Liquidacion'!$C$34:$G$105</definedName>
    <definedName name="_xlnm._FilterDatabase" localSheetId="5" hidden="1">'G. Supervision'!$C$34:$H$71</definedName>
    <definedName name="_xlnm._FilterDatabase" localSheetId="4" hidden="1">G.General!$C$34:$H$90</definedName>
    <definedName name="_xlnm._FilterDatabase" localSheetId="8" hidden="1">'Gestion del proyecto'!$C$34:$H$64</definedName>
    <definedName name="_xlnm._FilterDatabase" localSheetId="6" hidden="1">Supervision!$B$35:$G$153</definedName>
    <definedName name="´ññ" localSheetId="7">#REF!</definedName>
    <definedName name="´ññ" localSheetId="2">#REF!</definedName>
    <definedName name="´ññ" localSheetId="10">#REF!</definedName>
    <definedName name="´ññ" localSheetId="8">#REF!</definedName>
    <definedName name="´ññ">#REF!</definedName>
    <definedName name="_xlnm.Print_Area" localSheetId="7">'Capacitacion Social'!$A$1:$G$200</definedName>
    <definedName name="_xlnm.Print_Area" localSheetId="13">CONSOLIDADO!$A$1:$G$28</definedName>
    <definedName name="_xlnm.Print_Area" localSheetId="2">'Exp.Téc. '!$A$1:$H$180</definedName>
    <definedName name="_xlnm.Print_Area" localSheetId="10">'G. Exp. Tecnico'!$B$2:$I$260</definedName>
    <definedName name="_xlnm.Print_Area" localSheetId="9">'G. Liquidacion'!$B$2:$H$161</definedName>
    <definedName name="_xlnm.Print_Area" localSheetId="5">'G. Supervision'!$B$2:$I$217</definedName>
    <definedName name="_xlnm.Print_Area" localSheetId="4">G.General!$B$2:$I$288</definedName>
    <definedName name="_xlnm.Print_Area" localSheetId="8">'Gestion del proyecto'!$B$2:$I$163</definedName>
    <definedName name="_xlnm.Print_Area" localSheetId="14">Remuneraciones!$B$2:$N$38</definedName>
    <definedName name="_xlnm.Print_Area" localSheetId="1">RESÚMEN!$B$3:$G$37</definedName>
    <definedName name="_xlnm.Print_Area" localSheetId="3">'RESUMEN TOTAL'!$B$1:$G$45</definedName>
    <definedName name="_xlnm.Print_Area" localSheetId="6">Supervision!$A$1:$H$256</definedName>
    <definedName name="_xlnm.Print_Area" localSheetId="0">VARIABLES!$A$1:$H$36</definedName>
    <definedName name="BAJO_URUBAMBA" localSheetId="10">#REF!</definedName>
    <definedName name="BAJO_URUBAMBA" localSheetId="4">[1]Resumen!#REF!</definedName>
    <definedName name="BAJO_URUBAMBA" localSheetId="8">#REF!</definedName>
    <definedName name="BAJO_URUBAMBA">#REF!</definedName>
    <definedName name="_xlnm.Database" localSheetId="10">#REF!</definedName>
    <definedName name="_xlnm.Database" localSheetId="8">#REF!</definedName>
    <definedName name="_xlnm.Database">#REF!</definedName>
    <definedName name="BuiltIn_Print_Area" localSheetId="7">#REF!</definedName>
    <definedName name="BuiltIn_Print_Area" localSheetId="2">#REF!</definedName>
    <definedName name="BuiltIn_Print_Area" localSheetId="10">#REF!</definedName>
    <definedName name="BuiltIn_Print_Area" localSheetId="8">#REF!</definedName>
    <definedName name="BuiltIn_Print_Area">#REF!</definedName>
    <definedName name="BuiltIn_Print_Area___0" localSheetId="7">#REF!</definedName>
    <definedName name="BuiltIn_Print_Area___0" localSheetId="2">#REF!</definedName>
    <definedName name="BuiltIn_Print_Area___0" localSheetId="10">#REF!</definedName>
    <definedName name="BuiltIn_Print_Area___0" localSheetId="8">#REF!</definedName>
    <definedName name="BuiltIn_Print_Area___0">#REF!</definedName>
    <definedName name="CABEZA">VARIABLES!$B$1:$H$7</definedName>
    <definedName name="ECHARATI" localSheetId="10">#REF!</definedName>
    <definedName name="ECHARATI" localSheetId="4">[1]Resumen!#REF!</definedName>
    <definedName name="ECHARATI" localSheetId="8">#REF!</definedName>
    <definedName name="ECHARATI">#REF!</definedName>
    <definedName name="KITENI" localSheetId="10">#REF!</definedName>
    <definedName name="KITENI" localSheetId="4">[1]Resumen!#REF!</definedName>
    <definedName name="KITENI" localSheetId="8">#REF!</definedName>
    <definedName name="KITENI">#REF!</definedName>
    <definedName name="KK" localSheetId="8">#REF!</definedName>
    <definedName name="KK">#REF!</definedName>
    <definedName name="s" localSheetId="7">#REF!</definedName>
    <definedName name="s" localSheetId="2">#REF!</definedName>
    <definedName name="s" localSheetId="10">#REF!</definedName>
    <definedName name="s" localSheetId="8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USTENTO">VARIABLES!$B$4:$H$36</definedName>
    <definedName name="_xlnm.Print_Titles" localSheetId="10">'G. Exp. Tecnico'!$2:$25</definedName>
    <definedName name="_xlnm.Print_Titles" localSheetId="9">'G. Liquidacion'!$2:$25</definedName>
    <definedName name="_xlnm.Print_Titles" localSheetId="5">'G. Supervision'!$2:$25</definedName>
    <definedName name="_xlnm.Print_Titles" localSheetId="4">G.General!$2:$26</definedName>
    <definedName name="_xlnm.Print_Titles" localSheetId="8">'Gestion del proyecto'!$2:$25</definedName>
    <definedName name="_xlnm.Print_Titles" localSheetId="0">VARIABLES!$1:$5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54" l="1"/>
  <c r="F28" i="54"/>
  <c r="G28" i="54" s="1"/>
  <c r="C28" i="54"/>
  <c r="D28" i="54"/>
  <c r="E28" i="54"/>
  <c r="E19" i="54"/>
  <c r="E29" i="54" s="1"/>
  <c r="E20" i="54"/>
  <c r="E21" i="54"/>
  <c r="E22" i="54"/>
  <c r="E23" i="54"/>
  <c r="E24" i="54"/>
  <c r="E25" i="54"/>
  <c r="E26" i="54"/>
  <c r="E27" i="54"/>
  <c r="E18" i="54"/>
  <c r="D19" i="54"/>
  <c r="D20" i="54"/>
  <c r="D21" i="54"/>
  <c r="D22" i="54"/>
  <c r="D23" i="54"/>
  <c r="D24" i="54"/>
  <c r="D25" i="54"/>
  <c r="D26" i="54"/>
  <c r="D27" i="54"/>
  <c r="D18" i="54"/>
  <c r="C27" i="54"/>
  <c r="C26" i="54"/>
  <c r="C25" i="54"/>
  <c r="C19" i="54"/>
  <c r="C20" i="54"/>
  <c r="C21" i="54"/>
  <c r="C22" i="54"/>
  <c r="C23" i="54"/>
  <c r="C24" i="54"/>
  <c r="C18" i="54"/>
  <c r="D13" i="39" l="1"/>
  <c r="D12" i="39"/>
  <c r="D11" i="39"/>
  <c r="D13" i="16"/>
  <c r="D12" i="16"/>
  <c r="D11" i="16"/>
  <c r="D13" i="52"/>
  <c r="D12" i="52"/>
  <c r="D11" i="52"/>
  <c r="D13" i="46"/>
  <c r="D12" i="46"/>
  <c r="D11" i="46"/>
  <c r="D11" i="55"/>
  <c r="D12" i="55"/>
  <c r="D13" i="55"/>
  <c r="D10" i="46"/>
  <c r="H128" i="46" l="1"/>
  <c r="C6" i="39"/>
  <c r="B6" i="16"/>
  <c r="C6" i="52"/>
  <c r="B6" i="46"/>
  <c r="C13" i="39"/>
  <c r="C12" i="39"/>
  <c r="C11" i="39"/>
  <c r="D10" i="39"/>
  <c r="C13" i="16"/>
  <c r="C12" i="16"/>
  <c r="C11" i="16"/>
  <c r="D10" i="16"/>
  <c r="C13" i="52"/>
  <c r="C12" i="52"/>
  <c r="C11" i="52"/>
  <c r="D10" i="52"/>
  <c r="C13" i="46"/>
  <c r="C12" i="46"/>
  <c r="C11" i="46"/>
  <c r="C11" i="55"/>
  <c r="C12" i="55"/>
  <c r="C13" i="55"/>
  <c r="D14" i="55"/>
  <c r="N282" i="55"/>
  <c r="H282" i="55"/>
  <c r="H283" i="55" s="1"/>
  <c r="I279" i="55" s="1"/>
  <c r="M282" i="55"/>
  <c r="H276" i="55"/>
  <c r="H275" i="55"/>
  <c r="H277" i="55"/>
  <c r="I272" i="55" s="1"/>
  <c r="H269" i="55"/>
  <c r="H270" i="55" s="1"/>
  <c r="I261" i="55" s="1"/>
  <c r="I258" i="55" s="1"/>
  <c r="I19" i="55" s="1"/>
  <c r="H268" i="55"/>
  <c r="H267" i="55"/>
  <c r="H266" i="55"/>
  <c r="H265" i="55"/>
  <c r="H264" i="55"/>
  <c r="J255" i="55"/>
  <c r="H255" i="55"/>
  <c r="J254" i="55"/>
  <c r="H254" i="55"/>
  <c r="J253" i="55"/>
  <c r="H253" i="55"/>
  <c r="J252" i="55"/>
  <c r="H252" i="55"/>
  <c r="J251" i="55"/>
  <c r="H251" i="55"/>
  <c r="J250" i="55"/>
  <c r="H250" i="55"/>
  <c r="J249" i="55"/>
  <c r="H249" i="55"/>
  <c r="J248" i="55"/>
  <c r="H248" i="55"/>
  <c r="J247" i="55"/>
  <c r="H247" i="55"/>
  <c r="J246" i="55"/>
  <c r="H246" i="55"/>
  <c r="J245" i="55"/>
  <c r="H245" i="55"/>
  <c r="J244" i="55"/>
  <c r="H244" i="55"/>
  <c r="J243" i="55"/>
  <c r="H243" i="55"/>
  <c r="J242" i="55"/>
  <c r="H242" i="55"/>
  <c r="J241" i="55"/>
  <c r="H241" i="55"/>
  <c r="J240" i="55"/>
  <c r="H240" i="55"/>
  <c r="J239" i="55"/>
  <c r="H239" i="55"/>
  <c r="J238" i="55"/>
  <c r="H238" i="55"/>
  <c r="J237" i="55"/>
  <c r="H237" i="55"/>
  <c r="J236" i="55"/>
  <c r="H236" i="55"/>
  <c r="J235" i="55"/>
  <c r="H235" i="55"/>
  <c r="J234" i="55"/>
  <c r="H234" i="55"/>
  <c r="J233" i="55"/>
  <c r="H233" i="55"/>
  <c r="J232" i="55"/>
  <c r="H232" i="55"/>
  <c r="J231" i="55"/>
  <c r="H231" i="55"/>
  <c r="J230" i="55"/>
  <c r="H230" i="55"/>
  <c r="J229" i="55"/>
  <c r="H229" i="55"/>
  <c r="J228" i="55"/>
  <c r="H228" i="55"/>
  <c r="J227" i="55"/>
  <c r="H227" i="55"/>
  <c r="J226" i="55"/>
  <c r="H226" i="55"/>
  <c r="J225" i="55"/>
  <c r="H225" i="55"/>
  <c r="J224" i="55"/>
  <c r="H224" i="55"/>
  <c r="J223" i="55"/>
  <c r="H223" i="55"/>
  <c r="J222" i="55"/>
  <c r="H222" i="55"/>
  <c r="K221" i="55"/>
  <c r="J221" i="55"/>
  <c r="H221" i="55"/>
  <c r="H212" i="55"/>
  <c r="H211" i="55"/>
  <c r="H210" i="55"/>
  <c r="H209" i="55"/>
  <c r="H208" i="55"/>
  <c r="H207" i="55"/>
  <c r="H206" i="55"/>
  <c r="H205" i="55"/>
  <c r="H204" i="55"/>
  <c r="H203" i="55"/>
  <c r="H202" i="55"/>
  <c r="P194" i="55"/>
  <c r="H194" i="55"/>
  <c r="P193" i="55"/>
  <c r="H193" i="55"/>
  <c r="H195" i="55"/>
  <c r="H185" i="55"/>
  <c r="H184" i="55"/>
  <c r="H183" i="55"/>
  <c r="H182" i="55"/>
  <c r="H181" i="55"/>
  <c r="H180" i="55"/>
  <c r="K179" i="55"/>
  <c r="K186" i="55"/>
  <c r="H179" i="55"/>
  <c r="H178" i="55"/>
  <c r="H177" i="55"/>
  <c r="H176" i="55"/>
  <c r="H186" i="55" s="1"/>
  <c r="I169" i="55" s="1"/>
  <c r="H175" i="55"/>
  <c r="H174" i="55"/>
  <c r="G163" i="55"/>
  <c r="F163" i="55"/>
  <c r="E163" i="55"/>
  <c r="H163" i="55"/>
  <c r="D163" i="55"/>
  <c r="C163" i="55"/>
  <c r="G162" i="55"/>
  <c r="F162" i="55"/>
  <c r="E162" i="55"/>
  <c r="D162" i="55"/>
  <c r="C162" i="55"/>
  <c r="G161" i="55"/>
  <c r="F161" i="55"/>
  <c r="E161" i="55"/>
  <c r="D161" i="55"/>
  <c r="C161" i="55"/>
  <c r="G160" i="55"/>
  <c r="F160" i="55"/>
  <c r="E160" i="55"/>
  <c r="D160" i="55"/>
  <c r="C160" i="55"/>
  <c r="G159" i="55"/>
  <c r="F159" i="55"/>
  <c r="E159" i="55"/>
  <c r="D159" i="55"/>
  <c r="C159" i="55"/>
  <c r="G158" i="55"/>
  <c r="F158" i="55"/>
  <c r="E158" i="55"/>
  <c r="D158" i="55"/>
  <c r="H158" i="55" s="1"/>
  <c r="C158" i="55"/>
  <c r="G157" i="55"/>
  <c r="F157" i="55"/>
  <c r="E157" i="55"/>
  <c r="D157" i="55"/>
  <c r="H157" i="55" s="1"/>
  <c r="C157" i="55"/>
  <c r="G156" i="55"/>
  <c r="F156" i="55"/>
  <c r="E156" i="55"/>
  <c r="D156" i="55"/>
  <c r="C156" i="55"/>
  <c r="G155" i="55"/>
  <c r="F155" i="55"/>
  <c r="E155" i="55"/>
  <c r="D155" i="55"/>
  <c r="C155" i="55"/>
  <c r="G154" i="55"/>
  <c r="F154" i="55"/>
  <c r="E154" i="55"/>
  <c r="D154" i="55"/>
  <c r="C154" i="55"/>
  <c r="G153" i="55"/>
  <c r="F153" i="55"/>
  <c r="E153" i="55"/>
  <c r="D153" i="55"/>
  <c r="C153" i="55"/>
  <c r="F143" i="55"/>
  <c r="E143" i="55"/>
  <c r="D143" i="55"/>
  <c r="C143" i="55"/>
  <c r="F142" i="55"/>
  <c r="G142" i="55" s="1"/>
  <c r="E142" i="55"/>
  <c r="D142" i="55"/>
  <c r="C142" i="55"/>
  <c r="F141" i="55"/>
  <c r="E141" i="55"/>
  <c r="D141" i="55"/>
  <c r="C141" i="55"/>
  <c r="F140" i="55"/>
  <c r="G140" i="55" s="1"/>
  <c r="H140" i="55" s="1"/>
  <c r="G102" i="55" s="1"/>
  <c r="H102" i="55" s="1"/>
  <c r="E140" i="55"/>
  <c r="D140" i="55"/>
  <c r="C140" i="55"/>
  <c r="F139" i="55"/>
  <c r="E139" i="55"/>
  <c r="D139" i="55"/>
  <c r="C139" i="55"/>
  <c r="F138" i="55"/>
  <c r="G138" i="55" s="1"/>
  <c r="H138" i="55" s="1"/>
  <c r="G100" i="55" s="1"/>
  <c r="H100" i="55" s="1"/>
  <c r="E138" i="55"/>
  <c r="D138" i="55"/>
  <c r="C138" i="55"/>
  <c r="F137" i="55"/>
  <c r="E137" i="55"/>
  <c r="D137" i="55"/>
  <c r="C137" i="55"/>
  <c r="F136" i="55"/>
  <c r="G136" i="55"/>
  <c r="E136" i="55"/>
  <c r="D136" i="55"/>
  <c r="C136" i="55"/>
  <c r="F135" i="55"/>
  <c r="E135" i="55"/>
  <c r="D135" i="55"/>
  <c r="C135" i="55"/>
  <c r="F134" i="55"/>
  <c r="E134" i="55"/>
  <c r="G134" i="55" s="1"/>
  <c r="H134" i="55" s="1"/>
  <c r="G96" i="55" s="1"/>
  <c r="H96" i="55" s="1"/>
  <c r="D134" i="55"/>
  <c r="C134" i="55"/>
  <c r="F133" i="55"/>
  <c r="E133" i="55"/>
  <c r="D133" i="55"/>
  <c r="C133" i="55"/>
  <c r="E132" i="55"/>
  <c r="G123" i="55"/>
  <c r="F123" i="55"/>
  <c r="E123" i="55"/>
  <c r="D123" i="55"/>
  <c r="C123" i="55"/>
  <c r="G122" i="55"/>
  <c r="F122" i="55"/>
  <c r="E122" i="55"/>
  <c r="D122" i="55"/>
  <c r="H122" i="55" s="1"/>
  <c r="C122" i="55"/>
  <c r="G121" i="55"/>
  <c r="F121" i="55"/>
  <c r="E121" i="55"/>
  <c r="D121" i="55"/>
  <c r="C121" i="55"/>
  <c r="G120" i="55"/>
  <c r="F120" i="55"/>
  <c r="E120" i="55"/>
  <c r="D120" i="55"/>
  <c r="C120" i="55"/>
  <c r="G119" i="55"/>
  <c r="F119" i="55"/>
  <c r="E119" i="55"/>
  <c r="D119" i="55"/>
  <c r="C119" i="55"/>
  <c r="G118" i="55"/>
  <c r="F118" i="55"/>
  <c r="H118" i="55" s="1"/>
  <c r="E118" i="55"/>
  <c r="D118" i="55"/>
  <c r="C118" i="55"/>
  <c r="G117" i="55"/>
  <c r="F117" i="55"/>
  <c r="E117" i="55"/>
  <c r="D117" i="55"/>
  <c r="C117" i="55"/>
  <c r="G116" i="55"/>
  <c r="F116" i="55"/>
  <c r="E116" i="55"/>
  <c r="D116" i="55"/>
  <c r="C116" i="55"/>
  <c r="G115" i="55"/>
  <c r="F115" i="55"/>
  <c r="E115" i="55"/>
  <c r="D115" i="55"/>
  <c r="C115" i="55"/>
  <c r="G114" i="55"/>
  <c r="F114" i="55"/>
  <c r="E114" i="55"/>
  <c r="D114" i="55"/>
  <c r="H114" i="55" s="1"/>
  <c r="C114" i="55"/>
  <c r="G113" i="55"/>
  <c r="H113" i="55" s="1"/>
  <c r="F113" i="55"/>
  <c r="E113" i="55"/>
  <c r="D113" i="55"/>
  <c r="C113" i="55"/>
  <c r="E112" i="55"/>
  <c r="F105" i="55"/>
  <c r="E105" i="55"/>
  <c r="D105" i="55"/>
  <c r="C105" i="55"/>
  <c r="F104" i="55"/>
  <c r="E104" i="55"/>
  <c r="D104" i="55"/>
  <c r="C104" i="55"/>
  <c r="F103" i="55"/>
  <c r="E103" i="55"/>
  <c r="D103" i="55"/>
  <c r="C103" i="55"/>
  <c r="F102" i="55"/>
  <c r="E102" i="55"/>
  <c r="D102" i="55"/>
  <c r="C102" i="55"/>
  <c r="F101" i="55"/>
  <c r="E101" i="55"/>
  <c r="D101" i="55"/>
  <c r="C101" i="55"/>
  <c r="F100" i="55"/>
  <c r="E100" i="55"/>
  <c r="D100" i="55"/>
  <c r="C100" i="55"/>
  <c r="F99" i="55"/>
  <c r="E99" i="55"/>
  <c r="D99" i="55"/>
  <c r="C99" i="55"/>
  <c r="F98" i="55"/>
  <c r="E98" i="55"/>
  <c r="D98" i="55"/>
  <c r="C98" i="55"/>
  <c r="F97" i="55"/>
  <c r="E97" i="55"/>
  <c r="D97" i="55"/>
  <c r="C97" i="55"/>
  <c r="F96" i="55"/>
  <c r="E96" i="55"/>
  <c r="D96" i="55"/>
  <c r="C96" i="55"/>
  <c r="F95" i="55"/>
  <c r="E95" i="55"/>
  <c r="D95" i="55"/>
  <c r="C95" i="55"/>
  <c r="E94" i="55"/>
  <c r="G85" i="55"/>
  <c r="F85" i="55"/>
  <c r="E85" i="55"/>
  <c r="D85" i="55"/>
  <c r="C85" i="55"/>
  <c r="G84" i="55"/>
  <c r="F84" i="55"/>
  <c r="E84" i="55"/>
  <c r="H84" i="55" s="1"/>
  <c r="D84" i="55"/>
  <c r="C84" i="55"/>
  <c r="G83" i="55"/>
  <c r="F83" i="55"/>
  <c r="E83" i="55"/>
  <c r="D83" i="55"/>
  <c r="C83" i="55"/>
  <c r="G82" i="55"/>
  <c r="F82" i="55"/>
  <c r="E82" i="55"/>
  <c r="D82" i="55"/>
  <c r="H82" i="55" s="1"/>
  <c r="C82" i="55"/>
  <c r="G81" i="55"/>
  <c r="H81" i="55" s="1"/>
  <c r="F81" i="55"/>
  <c r="E81" i="55"/>
  <c r="D81" i="55"/>
  <c r="C81" i="55"/>
  <c r="G80" i="55"/>
  <c r="F80" i="55"/>
  <c r="E80" i="55"/>
  <c r="D80" i="55"/>
  <c r="H80" i="55" s="1"/>
  <c r="C80" i="55"/>
  <c r="G79" i="55"/>
  <c r="F79" i="55"/>
  <c r="E79" i="55"/>
  <c r="D79" i="55"/>
  <c r="C79" i="55"/>
  <c r="G78" i="55"/>
  <c r="F78" i="55"/>
  <c r="E78" i="55"/>
  <c r="D78" i="55"/>
  <c r="C78" i="55"/>
  <c r="G77" i="55"/>
  <c r="F77" i="55"/>
  <c r="E77" i="55"/>
  <c r="D77" i="55"/>
  <c r="C77" i="55"/>
  <c r="G76" i="55"/>
  <c r="F76" i="55"/>
  <c r="E76" i="55"/>
  <c r="D76" i="55"/>
  <c r="C76" i="55"/>
  <c r="G75" i="55"/>
  <c r="F75" i="55"/>
  <c r="E75" i="55"/>
  <c r="D75" i="55"/>
  <c r="C75" i="55"/>
  <c r="E74" i="55"/>
  <c r="G67" i="55"/>
  <c r="F67" i="55"/>
  <c r="E67" i="55"/>
  <c r="D67" i="55"/>
  <c r="C67" i="55"/>
  <c r="G66" i="55"/>
  <c r="F66" i="55"/>
  <c r="E66" i="55"/>
  <c r="D66" i="55"/>
  <c r="C66" i="55"/>
  <c r="G65" i="55"/>
  <c r="F65" i="55"/>
  <c r="E65" i="55"/>
  <c r="D65" i="55"/>
  <c r="C65" i="55"/>
  <c r="G64" i="55"/>
  <c r="F64" i="55"/>
  <c r="E64" i="55"/>
  <c r="D64" i="55"/>
  <c r="C64" i="55"/>
  <c r="G63" i="55"/>
  <c r="F63" i="55"/>
  <c r="E63" i="55"/>
  <c r="D63" i="55"/>
  <c r="H63" i="55" s="1"/>
  <c r="C63" i="55"/>
  <c r="G62" i="55"/>
  <c r="F62" i="55"/>
  <c r="E62" i="55"/>
  <c r="D62" i="55"/>
  <c r="H62" i="55" s="1"/>
  <c r="C62" i="55"/>
  <c r="G61" i="55"/>
  <c r="F61" i="55"/>
  <c r="E61" i="55"/>
  <c r="D61" i="55"/>
  <c r="C61" i="55"/>
  <c r="G60" i="55"/>
  <c r="F60" i="55"/>
  <c r="E60" i="55"/>
  <c r="C60" i="55"/>
  <c r="G59" i="55"/>
  <c r="F59" i="55"/>
  <c r="E59" i="55"/>
  <c r="D59" i="55"/>
  <c r="H59" i="55" s="1"/>
  <c r="C59" i="55"/>
  <c r="G58" i="55"/>
  <c r="F58" i="55"/>
  <c r="E58" i="55"/>
  <c r="D58" i="55"/>
  <c r="H58" i="55" s="1"/>
  <c r="C58" i="55"/>
  <c r="G57" i="55"/>
  <c r="F57" i="55"/>
  <c r="E57" i="55"/>
  <c r="D57" i="55"/>
  <c r="C57" i="55"/>
  <c r="E56" i="55"/>
  <c r="H46" i="55"/>
  <c r="H45" i="55"/>
  <c r="H44" i="55"/>
  <c r="H43" i="55"/>
  <c r="H42" i="55"/>
  <c r="H41" i="55"/>
  <c r="H40" i="55"/>
  <c r="H39" i="55"/>
  <c r="H38" i="55"/>
  <c r="H47" i="55" s="1"/>
  <c r="I31" i="55" s="1"/>
  <c r="H37" i="55"/>
  <c r="H36" i="55"/>
  <c r="C20" i="55"/>
  <c r="C19" i="55"/>
  <c r="C18" i="55"/>
  <c r="C17" i="55"/>
  <c r="F101" i="16"/>
  <c r="F100" i="16"/>
  <c r="F79" i="16"/>
  <c r="F78" i="16"/>
  <c r="F70" i="16"/>
  <c r="F69" i="16"/>
  <c r="F59" i="16"/>
  <c r="F58" i="16"/>
  <c r="F49" i="16"/>
  <c r="F48" i="16"/>
  <c r="G101" i="52"/>
  <c r="G100" i="52"/>
  <c r="G79" i="52"/>
  <c r="G78" i="52"/>
  <c r="G58" i="52"/>
  <c r="G57" i="52"/>
  <c r="G49" i="52"/>
  <c r="G48" i="52"/>
  <c r="G114" i="46"/>
  <c r="G88" i="46"/>
  <c r="G115" i="46"/>
  <c r="G89" i="46" s="1"/>
  <c r="G116" i="46"/>
  <c r="G90" i="46" s="1"/>
  <c r="H90" i="46" s="1"/>
  <c r="G113" i="46"/>
  <c r="G87" i="46" s="1"/>
  <c r="G63" i="46"/>
  <c r="G64" i="46"/>
  <c r="G65" i="46"/>
  <c r="G62" i="46"/>
  <c r="G52" i="46"/>
  <c r="G53" i="46"/>
  <c r="H53" i="46" s="1"/>
  <c r="G54" i="46"/>
  <c r="G51" i="46"/>
  <c r="Q140" i="46"/>
  <c r="H140" i="46"/>
  <c r="F48" i="52"/>
  <c r="F49" i="52"/>
  <c r="D14" i="46"/>
  <c r="D14" i="39" s="1"/>
  <c r="D14" i="16" s="1"/>
  <c r="D14" i="52" s="1"/>
  <c r="G32" i="54"/>
  <c r="H223" i="39"/>
  <c r="C158" i="39"/>
  <c r="D158" i="39"/>
  <c r="E158" i="39"/>
  <c r="F158" i="39"/>
  <c r="G158" i="39"/>
  <c r="G118" i="39" s="1"/>
  <c r="C138" i="39"/>
  <c r="D138" i="39"/>
  <c r="E138" i="39"/>
  <c r="G138" i="39" s="1"/>
  <c r="H138" i="39" s="1"/>
  <c r="F138" i="39"/>
  <c r="C118" i="39"/>
  <c r="D118" i="39"/>
  <c r="H118" i="39" s="1"/>
  <c r="E118" i="39"/>
  <c r="F118" i="39"/>
  <c r="C100" i="39"/>
  <c r="D100" i="39"/>
  <c r="H100" i="39" s="1"/>
  <c r="E100" i="39"/>
  <c r="F100" i="39"/>
  <c r="G100" i="39"/>
  <c r="C79" i="39"/>
  <c r="D79" i="39"/>
  <c r="E79" i="39"/>
  <c r="F79" i="39"/>
  <c r="C61" i="39"/>
  <c r="D61" i="39"/>
  <c r="E61" i="39"/>
  <c r="F61" i="39"/>
  <c r="H39" i="39"/>
  <c r="H37" i="46"/>
  <c r="H38" i="46"/>
  <c r="G120" i="16"/>
  <c r="G121" i="16"/>
  <c r="G124" i="16"/>
  <c r="G243" i="39"/>
  <c r="G249" i="39"/>
  <c r="AY11" i="53"/>
  <c r="AZ11" i="53" s="1"/>
  <c r="AV11" i="53"/>
  <c r="AW11" i="53" s="1"/>
  <c r="AS11" i="53"/>
  <c r="AT11" i="53" s="1"/>
  <c r="AP11" i="53"/>
  <c r="AQ11" i="53" s="1"/>
  <c r="AM11" i="53"/>
  <c r="AJ11" i="53"/>
  <c r="AG11" i="53"/>
  <c r="AD11" i="53"/>
  <c r="AA11" i="53"/>
  <c r="AB11" i="53" s="1"/>
  <c r="X11" i="53"/>
  <c r="U11" i="53"/>
  <c r="V11" i="53" s="1"/>
  <c r="R11" i="53"/>
  <c r="S11" i="53" s="1"/>
  <c r="O11" i="53"/>
  <c r="L11" i="53"/>
  <c r="M11" i="53"/>
  <c r="I11" i="53"/>
  <c r="J11" i="53"/>
  <c r="F11" i="53"/>
  <c r="G11" i="53" s="1"/>
  <c r="C11" i="53"/>
  <c r="AZ10" i="53"/>
  <c r="AW10" i="53"/>
  <c r="AT10" i="53"/>
  <c r="AQ10" i="53"/>
  <c r="AN10" i="53"/>
  <c r="AK10" i="53"/>
  <c r="AH10" i="53"/>
  <c r="AE10" i="53"/>
  <c r="AB10" i="53"/>
  <c r="Y10" i="53"/>
  <c r="V10" i="53"/>
  <c r="S10" i="53"/>
  <c r="P10" i="53"/>
  <c r="M10" i="53"/>
  <c r="J10" i="53"/>
  <c r="G10" i="53"/>
  <c r="D10" i="53"/>
  <c r="AY8" i="53"/>
  <c r="AY13" i="53" s="1"/>
  <c r="AV8" i="53"/>
  <c r="AS8" i="53"/>
  <c r="AS12" i="53"/>
  <c r="AP8" i="53"/>
  <c r="AM8" i="53"/>
  <c r="AJ8" i="53"/>
  <c r="AG8" i="53"/>
  <c r="AG13" i="53"/>
  <c r="AD8" i="53"/>
  <c r="AA8" i="53"/>
  <c r="AA13" i="53" s="1"/>
  <c r="X8" i="53"/>
  <c r="X13" i="53" s="1"/>
  <c r="U8" i="53"/>
  <c r="U13" i="53" s="1"/>
  <c r="R8" i="53"/>
  <c r="R12" i="53"/>
  <c r="O8" i="53"/>
  <c r="O13" i="53" s="1"/>
  <c r="L8" i="53"/>
  <c r="L13" i="53" s="1"/>
  <c r="I8" i="53"/>
  <c r="F8" i="53"/>
  <c r="F12" i="53" s="1"/>
  <c r="C8" i="53"/>
  <c r="AZ7" i="53"/>
  <c r="AW7" i="53"/>
  <c r="AT7" i="53"/>
  <c r="AQ7" i="53"/>
  <c r="AN7" i="53"/>
  <c r="AK7" i="53"/>
  <c r="AH7" i="53"/>
  <c r="AE7" i="53"/>
  <c r="AB7" i="53"/>
  <c r="Y7" i="53"/>
  <c r="V7" i="53"/>
  <c r="S7" i="53"/>
  <c r="P7" i="53"/>
  <c r="M7" i="53"/>
  <c r="J7" i="53"/>
  <c r="G7" i="53"/>
  <c r="D7" i="53"/>
  <c r="BC6" i="53"/>
  <c r="BD6" i="53" s="1"/>
  <c r="AZ6" i="53"/>
  <c r="AW6" i="53"/>
  <c r="AT6" i="53"/>
  <c r="AQ6" i="53"/>
  <c r="AN6" i="53"/>
  <c r="AK6" i="53"/>
  <c r="AH6" i="53"/>
  <c r="AE6" i="53"/>
  <c r="AB6" i="53"/>
  <c r="Y6" i="53"/>
  <c r="V6" i="53"/>
  <c r="S6" i="53"/>
  <c r="P6" i="53"/>
  <c r="M6" i="53"/>
  <c r="J6" i="53"/>
  <c r="G6" i="53"/>
  <c r="D6" i="53"/>
  <c r="A6" i="53"/>
  <c r="A7" i="53"/>
  <c r="A8" i="53" s="1"/>
  <c r="A9" i="53" s="1"/>
  <c r="A10" i="53" s="1"/>
  <c r="A11" i="53" s="1"/>
  <c r="A12" i="53" s="1"/>
  <c r="A13" i="53" s="1"/>
  <c r="A14" i="53" s="1"/>
  <c r="A15" i="53" s="1"/>
  <c r="BC5" i="53"/>
  <c r="BD5" i="53"/>
  <c r="AZ5" i="53"/>
  <c r="AW5" i="53"/>
  <c r="AT5" i="53"/>
  <c r="AT8" i="53" s="1"/>
  <c r="AT13" i="53" s="1"/>
  <c r="AQ5" i="53"/>
  <c r="AN5" i="53"/>
  <c r="AK5" i="53"/>
  <c r="AH5" i="53"/>
  <c r="AE5" i="53"/>
  <c r="AE8" i="53" s="1"/>
  <c r="AB5" i="53"/>
  <c r="Y5" i="53"/>
  <c r="V5" i="53"/>
  <c r="V8" i="53" s="1"/>
  <c r="S5" i="53"/>
  <c r="P5" i="53"/>
  <c r="M5" i="53"/>
  <c r="M8" i="53"/>
  <c r="J5" i="53"/>
  <c r="J8" i="53" s="1"/>
  <c r="G5" i="53"/>
  <c r="D5" i="53"/>
  <c r="D8" i="53" s="1"/>
  <c r="AK8" i="53"/>
  <c r="P11" i="53"/>
  <c r="AY14" i="53"/>
  <c r="P8" i="53"/>
  <c r="P14" i="53" s="1"/>
  <c r="AB8" i="53"/>
  <c r="AB14" i="53" s="1"/>
  <c r="L32" i="52"/>
  <c r="L42" i="52"/>
  <c r="L43" i="52" s="1"/>
  <c r="N211" i="46"/>
  <c r="F211" i="46" s="1"/>
  <c r="H211" i="46" s="1"/>
  <c r="H212" i="46" s="1"/>
  <c r="I208" i="46" s="1"/>
  <c r="F115" i="46"/>
  <c r="E115" i="46"/>
  <c r="D115" i="46"/>
  <c r="C115" i="46"/>
  <c r="F102" i="46"/>
  <c r="E102" i="46"/>
  <c r="G102" i="46"/>
  <c r="D102" i="46"/>
  <c r="C102" i="46"/>
  <c r="F89" i="46"/>
  <c r="E89" i="46"/>
  <c r="D89" i="46"/>
  <c r="C89" i="46"/>
  <c r="G78" i="46"/>
  <c r="F78" i="46"/>
  <c r="E78" i="46"/>
  <c r="D78" i="46"/>
  <c r="C78" i="46"/>
  <c r="F64" i="46"/>
  <c r="E64" i="46"/>
  <c r="D64" i="46"/>
  <c r="C64" i="46"/>
  <c r="F53" i="46"/>
  <c r="E53" i="46"/>
  <c r="D53" i="46"/>
  <c r="C53" i="46"/>
  <c r="H39" i="46"/>
  <c r="H40" i="46" s="1"/>
  <c r="H36" i="46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20" i="52"/>
  <c r="H37" i="52"/>
  <c r="H36" i="52"/>
  <c r="H38" i="52" s="1"/>
  <c r="O112" i="52"/>
  <c r="H112" i="52"/>
  <c r="H113" i="52"/>
  <c r="I109" i="52" s="1"/>
  <c r="N113" i="16"/>
  <c r="L156" i="16" s="1"/>
  <c r="M156" i="16" s="1"/>
  <c r="G156" i="16"/>
  <c r="G157" i="16"/>
  <c r="H153" i="16" s="1"/>
  <c r="N36" i="52"/>
  <c r="L81" i="39"/>
  <c r="L80" i="39"/>
  <c r="G254" i="39"/>
  <c r="G255" i="39"/>
  <c r="I251" i="39" s="1"/>
  <c r="G242" i="39"/>
  <c r="G244" i="39" s="1"/>
  <c r="I238" i="39" s="1"/>
  <c r="G241" i="39"/>
  <c r="G232" i="39"/>
  <c r="I228" i="39" s="1"/>
  <c r="H211" i="39"/>
  <c r="H212" i="39"/>
  <c r="H213" i="39"/>
  <c r="H214" i="39"/>
  <c r="H215" i="39"/>
  <c r="H216" i="39"/>
  <c r="H217" i="39"/>
  <c r="H218" i="39"/>
  <c r="H219" i="39"/>
  <c r="H220" i="39"/>
  <c r="H221" i="39"/>
  <c r="H222" i="39"/>
  <c r="H224" i="39"/>
  <c r="H225" i="39"/>
  <c r="H210" i="39"/>
  <c r="H209" i="39"/>
  <c r="K183" i="39"/>
  <c r="G98" i="39"/>
  <c r="G99" i="39"/>
  <c r="G101" i="39"/>
  <c r="G102" i="39"/>
  <c r="G103" i="39"/>
  <c r="G104" i="39"/>
  <c r="G105" i="39"/>
  <c r="G106" i="39"/>
  <c r="G107" i="39"/>
  <c r="G156" i="39"/>
  <c r="G116" i="39" s="1"/>
  <c r="G59" i="39" s="1"/>
  <c r="G157" i="39"/>
  <c r="G117" i="39" s="1"/>
  <c r="G159" i="39"/>
  <c r="G119" i="39"/>
  <c r="G160" i="39"/>
  <c r="G120" i="39"/>
  <c r="G81" i="39" s="1"/>
  <c r="G161" i="39"/>
  <c r="G121" i="39" s="1"/>
  <c r="G82" i="39" s="1"/>
  <c r="G64" i="39"/>
  <c r="G162" i="39"/>
  <c r="G122" i="39" s="1"/>
  <c r="G83" i="39" s="1"/>
  <c r="H83" i="39" s="1"/>
  <c r="G163" i="39"/>
  <c r="G123" i="39" s="1"/>
  <c r="G164" i="39"/>
  <c r="G124" i="39" s="1"/>
  <c r="G165" i="39"/>
  <c r="G125" i="39" s="1"/>
  <c r="G68" i="39" s="1"/>
  <c r="H68" i="39" s="1"/>
  <c r="C156" i="39"/>
  <c r="D156" i="39"/>
  <c r="E156" i="39"/>
  <c r="F156" i="39"/>
  <c r="C157" i="39"/>
  <c r="D157" i="39"/>
  <c r="E157" i="39"/>
  <c r="F157" i="39"/>
  <c r="C159" i="39"/>
  <c r="D159" i="39"/>
  <c r="E159" i="39"/>
  <c r="F159" i="39"/>
  <c r="C160" i="39"/>
  <c r="D160" i="39"/>
  <c r="E160" i="39"/>
  <c r="F160" i="39"/>
  <c r="H160" i="39" s="1"/>
  <c r="C161" i="39"/>
  <c r="D161" i="39"/>
  <c r="H161" i="39" s="1"/>
  <c r="E161" i="39"/>
  <c r="F161" i="39"/>
  <c r="C162" i="39"/>
  <c r="D162" i="39"/>
  <c r="E162" i="39"/>
  <c r="F162" i="39"/>
  <c r="H162" i="39" s="1"/>
  <c r="C163" i="39"/>
  <c r="D163" i="39"/>
  <c r="H163" i="39" s="1"/>
  <c r="E163" i="39"/>
  <c r="F163" i="39"/>
  <c r="C164" i="39"/>
  <c r="D164" i="39"/>
  <c r="E164" i="39"/>
  <c r="F164" i="39"/>
  <c r="C165" i="39"/>
  <c r="D165" i="39"/>
  <c r="H165" i="39" s="1"/>
  <c r="E165" i="39"/>
  <c r="F165" i="39"/>
  <c r="C136" i="39"/>
  <c r="D136" i="39"/>
  <c r="E136" i="39"/>
  <c r="F136" i="39"/>
  <c r="G136" i="39"/>
  <c r="H136" i="39"/>
  <c r="C137" i="39"/>
  <c r="D137" i="39"/>
  <c r="E137" i="39"/>
  <c r="G137" i="39" s="1"/>
  <c r="H137" i="39" s="1"/>
  <c r="F137" i="39"/>
  <c r="C139" i="39"/>
  <c r="D139" i="39"/>
  <c r="E139" i="39"/>
  <c r="F139" i="39"/>
  <c r="G139" i="39" s="1"/>
  <c r="H139" i="39" s="1"/>
  <c r="C140" i="39"/>
  <c r="D140" i="39"/>
  <c r="E140" i="39"/>
  <c r="G140" i="39" s="1"/>
  <c r="H140" i="39" s="1"/>
  <c r="F140" i="39"/>
  <c r="C141" i="39"/>
  <c r="D141" i="39"/>
  <c r="E141" i="39"/>
  <c r="F141" i="39"/>
  <c r="C142" i="39"/>
  <c r="D142" i="39"/>
  <c r="E142" i="39"/>
  <c r="F142" i="39"/>
  <c r="G142" i="39" s="1"/>
  <c r="H142" i="39" s="1"/>
  <c r="C143" i="39"/>
  <c r="D143" i="39"/>
  <c r="H143" i="39" s="1"/>
  <c r="E143" i="39"/>
  <c r="F143" i="39"/>
  <c r="C144" i="39"/>
  <c r="D144" i="39"/>
  <c r="E144" i="39"/>
  <c r="F144" i="39"/>
  <c r="G144" i="39" s="1"/>
  <c r="H144" i="39" s="1"/>
  <c r="C145" i="39"/>
  <c r="D145" i="39"/>
  <c r="E145" i="39"/>
  <c r="F145" i="39"/>
  <c r="G145" i="39" s="1"/>
  <c r="H145" i="39" s="1"/>
  <c r="C116" i="39"/>
  <c r="D116" i="39"/>
  <c r="E116" i="39"/>
  <c r="F116" i="39"/>
  <c r="C117" i="39"/>
  <c r="D117" i="39"/>
  <c r="E117" i="39"/>
  <c r="F117" i="39"/>
  <c r="C119" i="39"/>
  <c r="D119" i="39"/>
  <c r="E119" i="39"/>
  <c r="F119" i="39"/>
  <c r="C120" i="39"/>
  <c r="D120" i="39"/>
  <c r="E120" i="39"/>
  <c r="F120" i="39"/>
  <c r="C121" i="39"/>
  <c r="D121" i="39"/>
  <c r="E121" i="39"/>
  <c r="F121" i="39"/>
  <c r="C122" i="39"/>
  <c r="D122" i="39"/>
  <c r="E122" i="39"/>
  <c r="F122" i="39"/>
  <c r="C123" i="39"/>
  <c r="D123" i="39"/>
  <c r="E123" i="39"/>
  <c r="F123" i="39"/>
  <c r="C124" i="39"/>
  <c r="D124" i="39"/>
  <c r="E124" i="39"/>
  <c r="F124" i="39"/>
  <c r="C125" i="39"/>
  <c r="D125" i="39"/>
  <c r="E125" i="39"/>
  <c r="F125" i="39"/>
  <c r="D115" i="39"/>
  <c r="H115" i="39" s="1"/>
  <c r="E115" i="39"/>
  <c r="F115" i="39"/>
  <c r="C115" i="39"/>
  <c r="C98" i="39"/>
  <c r="D98" i="39"/>
  <c r="E98" i="39"/>
  <c r="F98" i="39"/>
  <c r="C99" i="39"/>
  <c r="D99" i="39"/>
  <c r="H99" i="39" s="1"/>
  <c r="E99" i="39"/>
  <c r="F99" i="39"/>
  <c r="C101" i="39"/>
  <c r="D101" i="39"/>
  <c r="H101" i="39" s="1"/>
  <c r="E101" i="39"/>
  <c r="F101" i="39"/>
  <c r="C102" i="39"/>
  <c r="D102" i="39"/>
  <c r="E102" i="39"/>
  <c r="F102" i="39"/>
  <c r="C103" i="39"/>
  <c r="D103" i="39"/>
  <c r="E103" i="39"/>
  <c r="F103" i="39"/>
  <c r="C104" i="39"/>
  <c r="D104" i="39"/>
  <c r="E104" i="39"/>
  <c r="F104" i="39"/>
  <c r="C105" i="39"/>
  <c r="D105" i="39"/>
  <c r="E105" i="39"/>
  <c r="F105" i="39"/>
  <c r="C106" i="39"/>
  <c r="D106" i="39"/>
  <c r="E106" i="39"/>
  <c r="F106" i="39"/>
  <c r="C107" i="39"/>
  <c r="D107" i="39"/>
  <c r="H107" i="39" s="1"/>
  <c r="E107" i="39"/>
  <c r="F107" i="39"/>
  <c r="D97" i="39"/>
  <c r="E97" i="39"/>
  <c r="F97" i="39"/>
  <c r="C97" i="39"/>
  <c r="C77" i="39"/>
  <c r="D77" i="39"/>
  <c r="E77" i="39"/>
  <c r="F77" i="39"/>
  <c r="C78" i="39"/>
  <c r="D78" i="39"/>
  <c r="E78" i="39"/>
  <c r="F78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H84" i="39" s="1"/>
  <c r="E84" i="39"/>
  <c r="F84" i="39"/>
  <c r="C85" i="39"/>
  <c r="D85" i="39"/>
  <c r="E85" i="39"/>
  <c r="F85" i="39"/>
  <c r="C86" i="39"/>
  <c r="D86" i="39"/>
  <c r="E86" i="39"/>
  <c r="F86" i="39"/>
  <c r="D76" i="39"/>
  <c r="E76" i="39"/>
  <c r="F76" i="39"/>
  <c r="C76" i="39"/>
  <c r="H37" i="39"/>
  <c r="H38" i="39"/>
  <c r="H40" i="39"/>
  <c r="H41" i="39"/>
  <c r="H42" i="39"/>
  <c r="H43" i="39"/>
  <c r="H44" i="39"/>
  <c r="H45" i="39"/>
  <c r="H46" i="39"/>
  <c r="H36" i="39"/>
  <c r="H47" i="39" s="1"/>
  <c r="I29" i="39" s="1"/>
  <c r="C59" i="39"/>
  <c r="D59" i="39"/>
  <c r="E59" i="39"/>
  <c r="F59" i="39"/>
  <c r="C60" i="39"/>
  <c r="D60" i="39"/>
  <c r="E60" i="39"/>
  <c r="F60" i="39"/>
  <c r="C62" i="39"/>
  <c r="D62" i="39"/>
  <c r="E62" i="39"/>
  <c r="F62" i="39"/>
  <c r="C63" i="39"/>
  <c r="D63" i="39"/>
  <c r="E63" i="39"/>
  <c r="F63" i="39"/>
  <c r="C64" i="39"/>
  <c r="D64" i="39"/>
  <c r="E64" i="39"/>
  <c r="F64" i="39"/>
  <c r="C65" i="39"/>
  <c r="D65" i="39"/>
  <c r="E65" i="39"/>
  <c r="F65" i="39"/>
  <c r="C66" i="39"/>
  <c r="D66" i="39"/>
  <c r="E66" i="39"/>
  <c r="F66" i="39"/>
  <c r="C67" i="39"/>
  <c r="D67" i="39"/>
  <c r="E67" i="39"/>
  <c r="F67" i="39"/>
  <c r="H67" i="39" s="1"/>
  <c r="C68" i="39"/>
  <c r="D68" i="39"/>
  <c r="E68" i="39"/>
  <c r="F68" i="39"/>
  <c r="D58" i="39"/>
  <c r="E58" i="39"/>
  <c r="F58" i="39"/>
  <c r="C58" i="39"/>
  <c r="K43" i="39"/>
  <c r="C103" i="46"/>
  <c r="C101" i="46"/>
  <c r="C100" i="46"/>
  <c r="C90" i="46"/>
  <c r="C88" i="46"/>
  <c r="C87" i="46"/>
  <c r="C79" i="46"/>
  <c r="C77" i="46"/>
  <c r="C76" i="46"/>
  <c r="C65" i="46"/>
  <c r="C63" i="46"/>
  <c r="C62" i="46"/>
  <c r="C54" i="46"/>
  <c r="C52" i="46"/>
  <c r="C51" i="46"/>
  <c r="J147" i="52"/>
  <c r="J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F101" i="52"/>
  <c r="E101" i="52"/>
  <c r="D101" i="52"/>
  <c r="H101" i="52" s="1"/>
  <c r="C101" i="52"/>
  <c r="F100" i="52"/>
  <c r="E100" i="52"/>
  <c r="D100" i="52"/>
  <c r="C100" i="52"/>
  <c r="F90" i="52"/>
  <c r="E90" i="52"/>
  <c r="D90" i="52"/>
  <c r="H90" i="52" s="1"/>
  <c r="C90" i="52"/>
  <c r="F89" i="52"/>
  <c r="E89" i="52"/>
  <c r="D89" i="52"/>
  <c r="C89" i="52"/>
  <c r="E88" i="52"/>
  <c r="F79" i="52"/>
  <c r="E79" i="52"/>
  <c r="D79" i="52"/>
  <c r="C79" i="52"/>
  <c r="F78" i="52"/>
  <c r="E78" i="52"/>
  <c r="H78" i="52" s="1"/>
  <c r="D78" i="52"/>
  <c r="C78" i="52"/>
  <c r="E77" i="52"/>
  <c r="G70" i="52"/>
  <c r="F70" i="52"/>
  <c r="E70" i="52"/>
  <c r="D70" i="52"/>
  <c r="C70" i="52"/>
  <c r="G69" i="52"/>
  <c r="F69" i="52"/>
  <c r="E69" i="52"/>
  <c r="D69" i="52"/>
  <c r="H69" i="52" s="1"/>
  <c r="C69" i="52"/>
  <c r="E68" i="52"/>
  <c r="F58" i="52"/>
  <c r="E58" i="52"/>
  <c r="D58" i="52"/>
  <c r="C58" i="52"/>
  <c r="F57" i="52"/>
  <c r="E57" i="52"/>
  <c r="D57" i="52"/>
  <c r="C57" i="52"/>
  <c r="E56" i="52"/>
  <c r="E49" i="52"/>
  <c r="H49" i="52" s="1"/>
  <c r="D49" i="52"/>
  <c r="C49" i="52"/>
  <c r="E48" i="52"/>
  <c r="D48" i="52"/>
  <c r="H48" i="52" s="1"/>
  <c r="C48" i="52"/>
  <c r="E47" i="52"/>
  <c r="G155" i="39"/>
  <c r="G115" i="39" s="1"/>
  <c r="G58" i="39" s="1"/>
  <c r="C155" i="39"/>
  <c r="D155" i="39"/>
  <c r="E155" i="39"/>
  <c r="F155" i="39"/>
  <c r="G97" i="39"/>
  <c r="D100" i="16"/>
  <c r="E100" i="16"/>
  <c r="D101" i="16"/>
  <c r="E101" i="16"/>
  <c r="C101" i="16"/>
  <c r="C100" i="16"/>
  <c r="G77" i="46"/>
  <c r="G79" i="46"/>
  <c r="D113" i="46"/>
  <c r="H113" i="46" s="1"/>
  <c r="E113" i="46"/>
  <c r="F113" i="46"/>
  <c r="D114" i="46"/>
  <c r="E114" i="46"/>
  <c r="F114" i="46"/>
  <c r="D116" i="46"/>
  <c r="E116" i="46"/>
  <c r="F116" i="46"/>
  <c r="C116" i="46"/>
  <c r="C114" i="46"/>
  <c r="C113" i="46"/>
  <c r="F135" i="39"/>
  <c r="D135" i="39"/>
  <c r="E135" i="39"/>
  <c r="G135" i="39" s="1"/>
  <c r="C135" i="39"/>
  <c r="F101" i="46"/>
  <c r="E101" i="46"/>
  <c r="G101" i="46" s="1"/>
  <c r="D101" i="46"/>
  <c r="F88" i="46"/>
  <c r="E88" i="46"/>
  <c r="D88" i="46"/>
  <c r="H88" i="46" s="1"/>
  <c r="F77" i="46"/>
  <c r="E77" i="46"/>
  <c r="H77" i="46" s="1"/>
  <c r="D77" i="46"/>
  <c r="F63" i="46"/>
  <c r="E63" i="46"/>
  <c r="D63" i="46"/>
  <c r="F52" i="46"/>
  <c r="F54" i="46"/>
  <c r="F90" i="46"/>
  <c r="E52" i="46"/>
  <c r="H52" i="46" s="1"/>
  <c r="E54" i="46"/>
  <c r="D52" i="46"/>
  <c r="D54" i="46"/>
  <c r="D90" i="46" s="1"/>
  <c r="E17" i="51"/>
  <c r="J16" i="51"/>
  <c r="I16" i="51"/>
  <c r="H16" i="51"/>
  <c r="B2" i="51"/>
  <c r="H7" i="51"/>
  <c r="I7" i="51"/>
  <c r="J7" i="51"/>
  <c r="H8" i="51"/>
  <c r="F8" i="51" s="1"/>
  <c r="I8" i="51"/>
  <c r="J8" i="51"/>
  <c r="H9" i="51"/>
  <c r="I9" i="51"/>
  <c r="J9" i="51"/>
  <c r="H10" i="51"/>
  <c r="I10" i="51"/>
  <c r="J10" i="51"/>
  <c r="H11" i="51"/>
  <c r="M11" i="51" s="1"/>
  <c r="I11" i="51"/>
  <c r="J11" i="51"/>
  <c r="H12" i="51"/>
  <c r="I12" i="51"/>
  <c r="J12" i="51"/>
  <c r="H13" i="51"/>
  <c r="L13" i="51" s="1"/>
  <c r="I13" i="51"/>
  <c r="J13" i="51"/>
  <c r="H14" i="51"/>
  <c r="M14" i="51"/>
  <c r="I14" i="51"/>
  <c r="J14" i="51"/>
  <c r="H15" i="51"/>
  <c r="M15" i="51" s="1"/>
  <c r="I15" i="51"/>
  <c r="J15" i="51"/>
  <c r="G17" i="51"/>
  <c r="E18" i="51"/>
  <c r="G18" i="51"/>
  <c r="F27" i="51"/>
  <c r="H27" i="51"/>
  <c r="I27" i="51"/>
  <c r="J27" i="51"/>
  <c r="K27" i="51"/>
  <c r="L27" i="51"/>
  <c r="B28" i="51"/>
  <c r="C28" i="51"/>
  <c r="E28" i="51" s="1"/>
  <c r="E29" i="51"/>
  <c r="E30" i="51"/>
  <c r="I30" i="51" s="1"/>
  <c r="J30" i="51"/>
  <c r="B31" i="51"/>
  <c r="C31" i="51"/>
  <c r="D31" i="51"/>
  <c r="D33" i="51"/>
  <c r="B32" i="51"/>
  <c r="C32" i="51"/>
  <c r="B33" i="51"/>
  <c r="C33" i="51"/>
  <c r="E13" i="50" s="1"/>
  <c r="B34" i="51"/>
  <c r="C34" i="51"/>
  <c r="E14" i="50" s="1"/>
  <c r="H14" i="50" s="1"/>
  <c r="B35" i="51"/>
  <c r="C35" i="51"/>
  <c r="E15" i="50" s="1"/>
  <c r="B36" i="51"/>
  <c r="C36" i="51"/>
  <c r="E16" i="50" s="1"/>
  <c r="G37" i="51"/>
  <c r="D42" i="51"/>
  <c r="H30" i="50"/>
  <c r="G27" i="50"/>
  <c r="H27" i="50" s="1"/>
  <c r="B27" i="50"/>
  <c r="G26" i="50"/>
  <c r="H26" i="50"/>
  <c r="B19" i="50"/>
  <c r="B20" i="50"/>
  <c r="B21" i="50" s="1"/>
  <c r="B22" i="50" s="1"/>
  <c r="B23" i="50" s="1"/>
  <c r="G16" i="50"/>
  <c r="H16" i="50" s="1"/>
  <c r="C16" i="50"/>
  <c r="G15" i="50"/>
  <c r="C15" i="50"/>
  <c r="G14" i="50"/>
  <c r="C14" i="50"/>
  <c r="G13" i="50"/>
  <c r="C13" i="50"/>
  <c r="G12" i="50"/>
  <c r="C12" i="50"/>
  <c r="G11" i="50"/>
  <c r="C11" i="50"/>
  <c r="H10" i="50"/>
  <c r="B9" i="50"/>
  <c r="B10" i="50" s="1"/>
  <c r="B11" i="50" s="1"/>
  <c r="B12" i="50" s="1"/>
  <c r="B13" i="50" s="1"/>
  <c r="B14" i="50" s="1"/>
  <c r="B15" i="50" s="1"/>
  <c r="B16" i="50" s="1"/>
  <c r="G8" i="50"/>
  <c r="C8" i="50"/>
  <c r="A1" i="50"/>
  <c r="B1" i="49"/>
  <c r="H18" i="49"/>
  <c r="E21" i="49"/>
  <c r="F25" i="49"/>
  <c r="K25" i="49"/>
  <c r="K26" i="49" s="1"/>
  <c r="E26" i="49"/>
  <c r="I35" i="49"/>
  <c r="G9" i="48"/>
  <c r="G14" i="48" s="1"/>
  <c r="G16" i="48" s="1"/>
  <c r="E16" i="48"/>
  <c r="E23" i="48"/>
  <c r="G24" i="48"/>
  <c r="G29" i="48"/>
  <c r="E57" i="39"/>
  <c r="E75" i="39"/>
  <c r="E96" i="39"/>
  <c r="E114" i="39"/>
  <c r="E134" i="39"/>
  <c r="H175" i="39"/>
  <c r="H176" i="39" s="1"/>
  <c r="K176" i="39"/>
  <c r="H183" i="39"/>
  <c r="H184" i="39"/>
  <c r="I178" i="39" s="1"/>
  <c r="H191" i="39"/>
  <c r="H200" i="39" s="1"/>
  <c r="I188" i="39" s="1"/>
  <c r="I186" i="39" s="1"/>
  <c r="H192" i="39"/>
  <c r="H193" i="39"/>
  <c r="H194" i="39"/>
  <c r="H195" i="39"/>
  <c r="H196" i="39"/>
  <c r="H197" i="39"/>
  <c r="H198" i="39"/>
  <c r="H199" i="39"/>
  <c r="C4" i="21"/>
  <c r="C5" i="21"/>
  <c r="C6" i="21"/>
  <c r="C7" i="21"/>
  <c r="C8" i="21"/>
  <c r="B14" i="21"/>
  <c r="B15" i="21"/>
  <c r="B16" i="21"/>
  <c r="B17" i="21"/>
  <c r="E35" i="21"/>
  <c r="E88" i="21" s="1"/>
  <c r="B47" i="21"/>
  <c r="D47" i="21"/>
  <c r="B57" i="21"/>
  <c r="C57" i="21"/>
  <c r="B68" i="21"/>
  <c r="B77" i="21"/>
  <c r="C77" i="21"/>
  <c r="C78" i="21"/>
  <c r="F78" i="21" s="1"/>
  <c r="D78" i="21"/>
  <c r="E78" i="21"/>
  <c r="B88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83" i="21"/>
  <c r="F184" i="21"/>
  <c r="F186" i="21" s="1"/>
  <c r="G180" i="21" s="1"/>
  <c r="G178" i="21" s="1"/>
  <c r="G16" i="21" s="1"/>
  <c r="F185" i="21"/>
  <c r="F194" i="21"/>
  <c r="F195" i="21"/>
  <c r="F196" i="21"/>
  <c r="G36" i="16"/>
  <c r="G38" i="16" s="1"/>
  <c r="H29" i="16" s="1"/>
  <c r="G37" i="16"/>
  <c r="C48" i="16"/>
  <c r="D48" i="16"/>
  <c r="E48" i="16"/>
  <c r="C49" i="16"/>
  <c r="D49" i="16"/>
  <c r="E49" i="16"/>
  <c r="G49" i="16" s="1"/>
  <c r="C58" i="16"/>
  <c r="D58" i="16"/>
  <c r="E58" i="16"/>
  <c r="C59" i="16"/>
  <c r="D59" i="16"/>
  <c r="E59" i="16"/>
  <c r="C69" i="16"/>
  <c r="D69" i="16"/>
  <c r="E69" i="16"/>
  <c r="C70" i="16"/>
  <c r="D70" i="16"/>
  <c r="E70" i="16"/>
  <c r="G70" i="16" s="1"/>
  <c r="C78" i="16"/>
  <c r="D78" i="16"/>
  <c r="E78" i="16"/>
  <c r="C79" i="16"/>
  <c r="D79" i="16"/>
  <c r="G79" i="16" s="1"/>
  <c r="E79" i="16"/>
  <c r="C89" i="16"/>
  <c r="D89" i="16"/>
  <c r="E89" i="16"/>
  <c r="C90" i="16"/>
  <c r="D90" i="16"/>
  <c r="E90" i="16"/>
  <c r="G119" i="16"/>
  <c r="G122" i="16"/>
  <c r="G123" i="16"/>
  <c r="G125" i="16"/>
  <c r="G126" i="16"/>
  <c r="G127" i="16"/>
  <c r="G128" i="16"/>
  <c r="G129" i="16"/>
  <c r="G130" i="16"/>
  <c r="G131" i="16"/>
  <c r="G132" i="16"/>
  <c r="G133" i="16"/>
  <c r="G142" i="16"/>
  <c r="G143" i="16" s="1"/>
  <c r="H139" i="16"/>
  <c r="G147" i="16"/>
  <c r="G150" i="16" s="1"/>
  <c r="H145" i="16" s="1"/>
  <c r="H137" i="16" s="1"/>
  <c r="H19" i="16" s="1"/>
  <c r="I147" i="16"/>
  <c r="G149" i="16"/>
  <c r="C6" i="12"/>
  <c r="C7" i="12"/>
  <c r="C8" i="12"/>
  <c r="C9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B59" i="12"/>
  <c r="C59" i="12"/>
  <c r="D59" i="12"/>
  <c r="E59" i="12"/>
  <c r="E78" i="12"/>
  <c r="E99" i="12" s="1"/>
  <c r="E118" i="12" s="1"/>
  <c r="B60" i="12"/>
  <c r="C60" i="12"/>
  <c r="D60" i="12"/>
  <c r="E60" i="12"/>
  <c r="B61" i="12"/>
  <c r="C61" i="12"/>
  <c r="D61" i="12"/>
  <c r="E61" i="12"/>
  <c r="E80" i="12"/>
  <c r="E101" i="12" s="1"/>
  <c r="G101" i="12" s="1"/>
  <c r="B62" i="12"/>
  <c r="C62" i="12"/>
  <c r="D62" i="12"/>
  <c r="E62" i="12"/>
  <c r="B63" i="12"/>
  <c r="C63" i="12"/>
  <c r="D63" i="12"/>
  <c r="E63" i="12"/>
  <c r="E82" i="12" s="1"/>
  <c r="B64" i="12"/>
  <c r="C64" i="12"/>
  <c r="D64" i="12"/>
  <c r="E64" i="12"/>
  <c r="E83" i="12"/>
  <c r="E104" i="12" s="1"/>
  <c r="F64" i="12"/>
  <c r="B65" i="12"/>
  <c r="C65" i="12"/>
  <c r="D65" i="12"/>
  <c r="E65" i="12"/>
  <c r="E84" i="12" s="1"/>
  <c r="E105" i="12" s="1"/>
  <c r="E124" i="12" s="1"/>
  <c r="B66" i="12"/>
  <c r="C66" i="12"/>
  <c r="D66" i="12"/>
  <c r="E66" i="12"/>
  <c r="E85" i="12"/>
  <c r="B67" i="12"/>
  <c r="C67" i="12"/>
  <c r="D67" i="12"/>
  <c r="E67" i="12"/>
  <c r="E86" i="12" s="1"/>
  <c r="E107" i="12" s="1"/>
  <c r="E126" i="12" s="1"/>
  <c r="F67" i="12"/>
  <c r="B68" i="12"/>
  <c r="C68" i="12"/>
  <c r="D68" i="12"/>
  <c r="E68" i="12"/>
  <c r="F68" i="12"/>
  <c r="B69" i="12"/>
  <c r="C69" i="12"/>
  <c r="D69" i="12"/>
  <c r="E69" i="12"/>
  <c r="E88" i="12" s="1"/>
  <c r="E109" i="12" s="1"/>
  <c r="B70" i="12"/>
  <c r="C70" i="12"/>
  <c r="D70" i="12"/>
  <c r="E70" i="12"/>
  <c r="E89" i="12" s="1"/>
  <c r="F70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F83" i="12"/>
  <c r="B84" i="12"/>
  <c r="C84" i="12"/>
  <c r="D84" i="12"/>
  <c r="F84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B88" i="12"/>
  <c r="C88" i="12"/>
  <c r="D88" i="12"/>
  <c r="B89" i="12"/>
  <c r="C89" i="12"/>
  <c r="D89" i="12"/>
  <c r="F89" i="12"/>
  <c r="B99" i="12"/>
  <c r="C99" i="12"/>
  <c r="D99" i="12"/>
  <c r="F99" i="12"/>
  <c r="B100" i="12"/>
  <c r="C100" i="12"/>
  <c r="D100" i="12"/>
  <c r="F100" i="12"/>
  <c r="B101" i="12"/>
  <c r="C101" i="12"/>
  <c r="D101" i="12"/>
  <c r="F101" i="12"/>
  <c r="B102" i="12"/>
  <c r="C102" i="12"/>
  <c r="D102" i="12"/>
  <c r="F102" i="12"/>
  <c r="B103" i="12"/>
  <c r="C103" i="12"/>
  <c r="D103" i="12"/>
  <c r="F103" i="12"/>
  <c r="B104" i="12"/>
  <c r="C104" i="12"/>
  <c r="D104" i="12"/>
  <c r="F104" i="12"/>
  <c r="B105" i="12"/>
  <c r="C105" i="12"/>
  <c r="G105" i="12" s="1"/>
  <c r="D105" i="12"/>
  <c r="F105" i="12"/>
  <c r="B106" i="12"/>
  <c r="C106" i="12"/>
  <c r="D106" i="12"/>
  <c r="F106" i="12"/>
  <c r="B107" i="12"/>
  <c r="C107" i="12"/>
  <c r="G107" i="12" s="1"/>
  <c r="D107" i="12"/>
  <c r="F107" i="12"/>
  <c r="B108" i="12"/>
  <c r="C108" i="12"/>
  <c r="D108" i="12"/>
  <c r="F108" i="12"/>
  <c r="B109" i="12"/>
  <c r="C109" i="12"/>
  <c r="D109" i="12"/>
  <c r="F109" i="12"/>
  <c r="B110" i="12"/>
  <c r="C110" i="12"/>
  <c r="D110" i="12"/>
  <c r="F110" i="12"/>
  <c r="B118" i="12"/>
  <c r="C118" i="12"/>
  <c r="D118" i="12"/>
  <c r="F118" i="12"/>
  <c r="F78" i="12" s="1"/>
  <c r="B119" i="12"/>
  <c r="C119" i="12"/>
  <c r="D119" i="12"/>
  <c r="F119" i="12"/>
  <c r="B120" i="12"/>
  <c r="C120" i="12"/>
  <c r="D120" i="12"/>
  <c r="F120" i="12"/>
  <c r="B121" i="12"/>
  <c r="C121" i="12"/>
  <c r="D121" i="12"/>
  <c r="F121" i="12"/>
  <c r="B122" i="12"/>
  <c r="C122" i="12"/>
  <c r="D122" i="12"/>
  <c r="F122" i="12"/>
  <c r="B123" i="12"/>
  <c r="C123" i="12"/>
  <c r="D123" i="12"/>
  <c r="F123" i="12"/>
  <c r="B124" i="12"/>
  <c r="C124" i="12"/>
  <c r="D124" i="12"/>
  <c r="F124" i="12"/>
  <c r="F60" i="12" s="1"/>
  <c r="F79" i="12"/>
  <c r="B125" i="12"/>
  <c r="C125" i="12"/>
  <c r="D125" i="12"/>
  <c r="F125" i="12"/>
  <c r="B126" i="12"/>
  <c r="C126" i="12"/>
  <c r="D126" i="12"/>
  <c r="F126" i="12"/>
  <c r="B127" i="12"/>
  <c r="C127" i="12"/>
  <c r="D127" i="12"/>
  <c r="F127" i="12"/>
  <c r="B128" i="12"/>
  <c r="C128" i="12"/>
  <c r="D128" i="12"/>
  <c r="F128" i="12"/>
  <c r="F65" i="12" s="1"/>
  <c r="B129" i="12"/>
  <c r="C129" i="12"/>
  <c r="D129" i="12"/>
  <c r="F129" i="12"/>
  <c r="B139" i="12"/>
  <c r="C139" i="12"/>
  <c r="D139" i="12"/>
  <c r="E139" i="12"/>
  <c r="F139" i="12" s="1"/>
  <c r="G139" i="12" s="1"/>
  <c r="B140" i="12"/>
  <c r="C140" i="12"/>
  <c r="D140" i="12"/>
  <c r="E140" i="12"/>
  <c r="F140" i="12" s="1"/>
  <c r="G140" i="12" s="1"/>
  <c r="B141" i="12"/>
  <c r="C141" i="12"/>
  <c r="D141" i="12"/>
  <c r="E141" i="12"/>
  <c r="F141" i="12" s="1"/>
  <c r="B142" i="12"/>
  <c r="C142" i="12"/>
  <c r="D142" i="12"/>
  <c r="E142" i="12"/>
  <c r="F142" i="12"/>
  <c r="G142" i="12" s="1"/>
  <c r="B143" i="12"/>
  <c r="C143" i="12"/>
  <c r="D143" i="12"/>
  <c r="F143" i="12" s="1"/>
  <c r="E143" i="12"/>
  <c r="B144" i="12"/>
  <c r="C144" i="12"/>
  <c r="D144" i="12"/>
  <c r="F144" i="12"/>
  <c r="E144" i="12"/>
  <c r="B145" i="12"/>
  <c r="C145" i="12"/>
  <c r="D145" i="12"/>
  <c r="E145" i="12"/>
  <c r="F145" i="12" s="1"/>
  <c r="B146" i="12"/>
  <c r="C146" i="12"/>
  <c r="D146" i="12"/>
  <c r="F146" i="12" s="1"/>
  <c r="G146" i="12" s="1"/>
  <c r="E146" i="12"/>
  <c r="B147" i="12"/>
  <c r="C147" i="12"/>
  <c r="D147" i="12"/>
  <c r="E147" i="12"/>
  <c r="F147" i="12" s="1"/>
  <c r="B148" i="12"/>
  <c r="C148" i="12"/>
  <c r="D148" i="12"/>
  <c r="F148" i="12" s="1"/>
  <c r="E148" i="12"/>
  <c r="B149" i="12"/>
  <c r="C149" i="12"/>
  <c r="D149" i="12"/>
  <c r="E149" i="12"/>
  <c r="B150" i="12"/>
  <c r="C150" i="12"/>
  <c r="D150" i="12"/>
  <c r="E150" i="12"/>
  <c r="E161" i="12"/>
  <c r="G161" i="12"/>
  <c r="G164" i="12" s="1"/>
  <c r="G162" i="12"/>
  <c r="G163" i="12"/>
  <c r="E171" i="12"/>
  <c r="G171" i="12"/>
  <c r="G172" i="12"/>
  <c r="H168" i="12" s="1"/>
  <c r="H166" i="12" s="1"/>
  <c r="J171" i="12"/>
  <c r="K171" i="12" s="1"/>
  <c r="G179" i="12"/>
  <c r="G198" i="12" s="1"/>
  <c r="H176" i="12" s="1"/>
  <c r="H174" i="12" s="1"/>
  <c r="G180" i="12"/>
  <c r="G181" i="12"/>
  <c r="G182" i="12"/>
  <c r="G184" i="12"/>
  <c r="G185" i="12"/>
  <c r="G186" i="12"/>
  <c r="G187" i="12"/>
  <c r="G206" i="12"/>
  <c r="G207" i="12" s="1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5" i="12"/>
  <c r="G236" i="12" s="1"/>
  <c r="H232" i="12" s="1"/>
  <c r="G244" i="12"/>
  <c r="G245" i="12"/>
  <c r="G246" i="12"/>
  <c r="G247" i="12"/>
  <c r="G248" i="12"/>
  <c r="E50" i="46"/>
  <c r="D51" i="46"/>
  <c r="H51" i="46" s="1"/>
  <c r="E51" i="46"/>
  <c r="F51" i="46"/>
  <c r="E61" i="46"/>
  <c r="D62" i="46"/>
  <c r="E62" i="46"/>
  <c r="H62" i="46" s="1"/>
  <c r="F62" i="46"/>
  <c r="D65" i="46"/>
  <c r="E65" i="46"/>
  <c r="F65" i="46"/>
  <c r="E75" i="46"/>
  <c r="D76" i="46"/>
  <c r="E76" i="46"/>
  <c r="F76" i="46"/>
  <c r="D79" i="46"/>
  <c r="E79" i="46"/>
  <c r="F79" i="46"/>
  <c r="E86" i="46"/>
  <c r="D87" i="46"/>
  <c r="E87" i="46"/>
  <c r="F87" i="46"/>
  <c r="E90" i="46"/>
  <c r="E99" i="46"/>
  <c r="D100" i="46"/>
  <c r="E100" i="46"/>
  <c r="F100" i="46"/>
  <c r="G100" i="46" s="1"/>
  <c r="H100" i="46" s="1"/>
  <c r="D103" i="46"/>
  <c r="E103" i="46"/>
  <c r="F103" i="46"/>
  <c r="G103" i="46" s="1"/>
  <c r="H127" i="46"/>
  <c r="H132" i="46" s="1"/>
  <c r="I122" i="46" s="1"/>
  <c r="H129" i="46"/>
  <c r="H130" i="46"/>
  <c r="H131" i="46"/>
  <c r="K132" i="46"/>
  <c r="H148" i="46"/>
  <c r="H149" i="46"/>
  <c r="H150" i="46"/>
  <c r="H151" i="46"/>
  <c r="H152" i="46"/>
  <c r="H153" i="46"/>
  <c r="H154" i="46"/>
  <c r="H155" i="46"/>
  <c r="H164" i="46"/>
  <c r="J164" i="46"/>
  <c r="H165" i="46"/>
  <c r="J165" i="46"/>
  <c r="H166" i="46"/>
  <c r="J166" i="46"/>
  <c r="H167" i="46"/>
  <c r="J167" i="46"/>
  <c r="H168" i="46"/>
  <c r="J168" i="46"/>
  <c r="H169" i="46"/>
  <c r="J169" i="46"/>
  <c r="H170" i="46"/>
  <c r="J170" i="46"/>
  <c r="H171" i="46"/>
  <c r="J171" i="46"/>
  <c r="H172" i="46"/>
  <c r="J172" i="46"/>
  <c r="H173" i="46"/>
  <c r="J173" i="46"/>
  <c r="H174" i="46"/>
  <c r="J174" i="46"/>
  <c r="H175" i="46"/>
  <c r="J175" i="46"/>
  <c r="H176" i="46"/>
  <c r="J176" i="46"/>
  <c r="H177" i="46"/>
  <c r="J177" i="46"/>
  <c r="H178" i="46"/>
  <c r="J178" i="46"/>
  <c r="H179" i="46"/>
  <c r="J179" i="46"/>
  <c r="H180" i="46"/>
  <c r="J180" i="46"/>
  <c r="H181" i="46"/>
  <c r="J181" i="46"/>
  <c r="H182" i="46"/>
  <c r="J182" i="46"/>
  <c r="H183" i="46"/>
  <c r="J183" i="46"/>
  <c r="H184" i="46"/>
  <c r="J184" i="46"/>
  <c r="H185" i="46"/>
  <c r="J185" i="46"/>
  <c r="H186" i="46"/>
  <c r="J186" i="46"/>
  <c r="H187" i="46"/>
  <c r="J187" i="46"/>
  <c r="H188" i="46"/>
  <c r="J188" i="46"/>
  <c r="H189" i="46"/>
  <c r="J189" i="46"/>
  <c r="H190" i="46"/>
  <c r="J190" i="46"/>
  <c r="H191" i="46"/>
  <c r="J191" i="46"/>
  <c r="H192" i="46"/>
  <c r="J192" i="46"/>
  <c r="H203" i="46"/>
  <c r="H204" i="46"/>
  <c r="C4" i="22"/>
  <c r="C5" i="22"/>
  <c r="C6" i="22"/>
  <c r="C7" i="22"/>
  <c r="C8" i="22"/>
  <c r="B14" i="22"/>
  <c r="B15" i="22"/>
  <c r="B16" i="22"/>
  <c r="B17" i="22"/>
  <c r="G17" i="22"/>
  <c r="B18" i="22"/>
  <c r="C18" i="22"/>
  <c r="F37" i="22"/>
  <c r="F38" i="22" s="1"/>
  <c r="G32" i="22" s="1"/>
  <c r="G29" i="22" s="1"/>
  <c r="E54" i="22"/>
  <c r="E55" i="22"/>
  <c r="E97" i="22" s="1"/>
  <c r="B66" i="22"/>
  <c r="C66" i="22"/>
  <c r="D66" i="22"/>
  <c r="B67" i="22"/>
  <c r="C67" i="22"/>
  <c r="D67" i="22"/>
  <c r="B76" i="22"/>
  <c r="C76" i="22"/>
  <c r="F76" i="22"/>
  <c r="D76" i="22"/>
  <c r="B77" i="22"/>
  <c r="C77" i="22"/>
  <c r="D77" i="22"/>
  <c r="B87" i="22"/>
  <c r="C87" i="22"/>
  <c r="D87" i="22"/>
  <c r="B88" i="22"/>
  <c r="C88" i="22"/>
  <c r="D88" i="22"/>
  <c r="B96" i="22"/>
  <c r="C96" i="22"/>
  <c r="D96" i="22"/>
  <c r="B97" i="22"/>
  <c r="C97" i="22"/>
  <c r="D97" i="22"/>
  <c r="B107" i="22"/>
  <c r="C107" i="22"/>
  <c r="D107" i="22"/>
  <c r="F107" i="22" s="1"/>
  <c r="B108" i="22"/>
  <c r="C108" i="22"/>
  <c r="D108" i="22"/>
  <c r="F116" i="22"/>
  <c r="F117" i="22"/>
  <c r="F118" i="22" s="1"/>
  <c r="G113" i="22" s="1"/>
  <c r="F124" i="22"/>
  <c r="F125" i="22"/>
  <c r="F126" i="22"/>
  <c r="F127" i="22" s="1"/>
  <c r="G121" i="22" s="1"/>
  <c r="F132" i="22"/>
  <c r="F133" i="22"/>
  <c r="F154" i="22" s="1"/>
  <c r="G129" i="22" s="1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9" i="22"/>
  <c r="F160" i="22"/>
  <c r="F161" i="22"/>
  <c r="F162" i="22" s="1"/>
  <c r="G156" i="22" s="1"/>
  <c r="F172" i="22"/>
  <c r="F173" i="22"/>
  <c r="F174" i="22"/>
  <c r="C10" i="12"/>
  <c r="I29" i="51"/>
  <c r="G33" i="50"/>
  <c r="H33" i="50" s="1"/>
  <c r="G35" i="50"/>
  <c r="H35" i="50" s="1"/>
  <c r="G34" i="50"/>
  <c r="H34" i="50" s="1"/>
  <c r="F13" i="49"/>
  <c r="G13" i="49" s="1"/>
  <c r="F16" i="49"/>
  <c r="G16" i="49" s="1"/>
  <c r="G18" i="49" s="1"/>
  <c r="E66" i="22"/>
  <c r="H30" i="51"/>
  <c r="E81" i="12"/>
  <c r="E102" i="12" s="1"/>
  <c r="E121" i="12" s="1"/>
  <c r="F88" i="12"/>
  <c r="D36" i="51"/>
  <c r="E76" i="22"/>
  <c r="E107" i="22"/>
  <c r="H157" i="52"/>
  <c r="H158" i="52" s="1"/>
  <c r="I154" i="52" s="1"/>
  <c r="M8" i="51"/>
  <c r="K8" i="51" s="1"/>
  <c r="O113" i="16"/>
  <c r="G113" i="16"/>
  <c r="G114" i="16" s="1"/>
  <c r="H108" i="16" s="1"/>
  <c r="H102" i="39"/>
  <c r="G250" i="39"/>
  <c r="I246" i="39" s="1"/>
  <c r="I180" i="39"/>
  <c r="C9" i="21"/>
  <c r="C9" i="22"/>
  <c r="H164" i="39"/>
  <c r="H114" i="46"/>
  <c r="G76" i="46" s="1"/>
  <c r="Q139" i="46"/>
  <c r="H139" i="46"/>
  <c r="H141" i="46"/>
  <c r="I134" i="46" s="1"/>
  <c r="AK13" i="53"/>
  <c r="S8" i="53"/>
  <c r="S13" i="53" s="1"/>
  <c r="F12" i="51"/>
  <c r="AE11" i="53"/>
  <c r="AD12" i="53"/>
  <c r="AD14" i="53"/>
  <c r="AD13" i="53"/>
  <c r="G59" i="12"/>
  <c r="G90" i="52"/>
  <c r="F59" i="12"/>
  <c r="R14" i="53"/>
  <c r="R13" i="53"/>
  <c r="R15" i="53" s="1"/>
  <c r="D34" i="51"/>
  <c r="D35" i="51" s="1"/>
  <c r="E35" i="51" s="1"/>
  <c r="H35" i="51" s="1"/>
  <c r="E8" i="50"/>
  <c r="H8" i="50"/>
  <c r="D11" i="53"/>
  <c r="D12" i="53"/>
  <c r="E87" i="12"/>
  <c r="E108" i="12" s="1"/>
  <c r="M7" i="51"/>
  <c r="F7" i="51"/>
  <c r="L7" i="51"/>
  <c r="F14" i="53"/>
  <c r="F13" i="53"/>
  <c r="L10" i="51"/>
  <c r="M10" i="51"/>
  <c r="K10" i="51"/>
  <c r="F10" i="51"/>
  <c r="E96" i="22"/>
  <c r="F54" i="22"/>
  <c r="E87" i="22"/>
  <c r="Y8" i="53"/>
  <c r="U12" i="53"/>
  <c r="AG14" i="53"/>
  <c r="AS14" i="53"/>
  <c r="AH11" i="53"/>
  <c r="AS13" i="53"/>
  <c r="AG12" i="53"/>
  <c r="M14" i="53"/>
  <c r="AT14" i="53"/>
  <c r="E34" i="51"/>
  <c r="H34" i="51"/>
  <c r="L34" i="51" s="1"/>
  <c r="H63" i="46"/>
  <c r="H150" i="52"/>
  <c r="H151" i="52"/>
  <c r="G141" i="12"/>
  <c r="J29" i="51"/>
  <c r="H29" i="51"/>
  <c r="L29" i="51" s="1"/>
  <c r="I28" i="51"/>
  <c r="V13" i="53"/>
  <c r="V14" i="53"/>
  <c r="G102" i="12"/>
  <c r="E110" i="12"/>
  <c r="E129" i="12" s="1"/>
  <c r="E47" i="21"/>
  <c r="F47" i="21" s="1"/>
  <c r="F49" i="21" s="1"/>
  <c r="L8" i="51"/>
  <c r="AB13" i="53"/>
  <c r="AB12" i="53"/>
  <c r="AB15" i="53" s="1"/>
  <c r="AW8" i="53"/>
  <c r="AJ13" i="53"/>
  <c r="AJ14" i="53"/>
  <c r="AJ12" i="53"/>
  <c r="AJ15" i="53" s="1"/>
  <c r="E67" i="22"/>
  <c r="C14" i="53"/>
  <c r="C12" i="53"/>
  <c r="C13" i="53"/>
  <c r="AK11" i="53"/>
  <c r="AH8" i="53"/>
  <c r="AH14" i="53" s="1"/>
  <c r="K15" i="51"/>
  <c r="L14" i="51"/>
  <c r="AN11" i="53"/>
  <c r="AY12" i="53"/>
  <c r="D57" i="21"/>
  <c r="D68" i="21" s="1"/>
  <c r="AZ8" i="53"/>
  <c r="G104" i="12"/>
  <c r="E123" i="12"/>
  <c r="M29" i="51"/>
  <c r="F29" i="51"/>
  <c r="G141" i="39"/>
  <c r="G143" i="39"/>
  <c r="G76" i="39"/>
  <c r="I172" i="39"/>
  <c r="I170" i="39"/>
  <c r="H119" i="39"/>
  <c r="G65" i="39"/>
  <c r="H122" i="39"/>
  <c r="G85" i="39"/>
  <c r="H85" i="39" s="1"/>
  <c r="G67" i="39"/>
  <c r="H124" i="39"/>
  <c r="G80" i="39"/>
  <c r="H80" i="39" s="1"/>
  <c r="G62" i="39"/>
  <c r="H62" i="39"/>
  <c r="H120" i="39"/>
  <c r="H117" i="39"/>
  <c r="G134" i="16"/>
  <c r="H116" i="16" s="1"/>
  <c r="H106" i="16" s="1"/>
  <c r="H18" i="16" s="1"/>
  <c r="G48" i="16"/>
  <c r="H152" i="52"/>
  <c r="I147" i="52" s="1"/>
  <c r="I144" i="52" s="1"/>
  <c r="I19" i="52" s="1"/>
  <c r="H206" i="46"/>
  <c r="I200" i="46" s="1"/>
  <c r="I196" i="46" s="1"/>
  <c r="I19" i="46" s="1"/>
  <c r="H78" i="46"/>
  <c r="H102" i="46"/>
  <c r="I136" i="46"/>
  <c r="H89" i="46"/>
  <c r="G139" i="55"/>
  <c r="H139" i="55" s="1"/>
  <c r="G101" i="55" s="1"/>
  <c r="H101" i="55" s="1"/>
  <c r="H123" i="55"/>
  <c r="H67" i="55"/>
  <c r="H75" i="55"/>
  <c r="H57" i="55"/>
  <c r="H256" i="55"/>
  <c r="I218" i="55" s="1"/>
  <c r="I216" i="55" s="1"/>
  <c r="H116" i="55"/>
  <c r="H117" i="55"/>
  <c r="H61" i="55"/>
  <c r="G141" i="55"/>
  <c r="H64" i="55"/>
  <c r="H115" i="55"/>
  <c r="H155" i="55"/>
  <c r="H154" i="55"/>
  <c r="H77" i="55"/>
  <c r="H142" i="55"/>
  <c r="G104" i="55" s="1"/>
  <c r="H104" i="55" s="1"/>
  <c r="H160" i="55"/>
  <c r="H60" i="55"/>
  <c r="H76" i="55"/>
  <c r="H125" i="39"/>
  <c r="G86" i="39"/>
  <c r="H86" i="39"/>
  <c r="G84" i="39"/>
  <c r="G66" i="39"/>
  <c r="H66" i="39" s="1"/>
  <c r="H58" i="52"/>
  <c r="I188" i="55"/>
  <c r="I190" i="55"/>
  <c r="H119" i="55"/>
  <c r="E103" i="12" l="1"/>
  <c r="E122" i="12" s="1"/>
  <c r="I29" i="46"/>
  <c r="I31" i="46"/>
  <c r="E127" i="12"/>
  <c r="G108" i="12"/>
  <c r="H59" i="52"/>
  <c r="I52" i="52" s="1"/>
  <c r="H193" i="46"/>
  <c r="I161" i="46" s="1"/>
  <c r="I159" i="46" s="1"/>
  <c r="F66" i="12"/>
  <c r="F62" i="12"/>
  <c r="F82" i="12"/>
  <c r="G82" i="12" s="1"/>
  <c r="G66" i="12"/>
  <c r="H135" i="39"/>
  <c r="AW12" i="53"/>
  <c r="AW15" i="53" s="1"/>
  <c r="G61" i="39"/>
  <c r="H61" i="39" s="1"/>
  <c r="G79" i="39"/>
  <c r="H116" i="46"/>
  <c r="I34" i="51"/>
  <c r="J34" i="51"/>
  <c r="F67" i="22"/>
  <c r="U14" i="53"/>
  <c r="U15" i="53" s="1"/>
  <c r="F63" i="12"/>
  <c r="G63" i="12" s="1"/>
  <c r="F175" i="22"/>
  <c r="G167" i="22" s="1"/>
  <c r="G165" i="22" s="1"/>
  <c r="G16" i="22" s="1"/>
  <c r="F96" i="22"/>
  <c r="AM12" i="53"/>
  <c r="AM14" i="53"/>
  <c r="AM15" i="53" s="1"/>
  <c r="AM13" i="53"/>
  <c r="H79" i="39"/>
  <c r="H158" i="39"/>
  <c r="H166" i="39" s="1"/>
  <c r="H135" i="55"/>
  <c r="G97" i="55" s="1"/>
  <c r="H97" i="55" s="1"/>
  <c r="H213" i="55"/>
  <c r="I199" i="55" s="1"/>
  <c r="I197" i="55" s="1"/>
  <c r="G122" i="12"/>
  <c r="G68" i="12"/>
  <c r="H226" i="39"/>
  <c r="I206" i="39" s="1"/>
  <c r="I204" i="39" s="1"/>
  <c r="I168" i="39" s="1"/>
  <c r="H76" i="39"/>
  <c r="H97" i="39"/>
  <c r="H141" i="52"/>
  <c r="I117" i="52" s="1"/>
  <c r="I115" i="52" s="1"/>
  <c r="AP12" i="53"/>
  <c r="AP14" i="53"/>
  <c r="AP13" i="53"/>
  <c r="G129" i="12"/>
  <c r="G62" i="12"/>
  <c r="J14" i="53"/>
  <c r="J13" i="53"/>
  <c r="J12" i="53"/>
  <c r="J15" i="53" s="1"/>
  <c r="F15" i="53"/>
  <c r="AD15" i="53"/>
  <c r="G135" i="55"/>
  <c r="S14" i="53"/>
  <c r="F69" i="12"/>
  <c r="G60" i="39"/>
  <c r="G78" i="39"/>
  <c r="H78" i="39" s="1"/>
  <c r="AH12" i="53"/>
  <c r="AH15" i="53" s="1"/>
  <c r="AH13" i="53"/>
  <c r="S12" i="53"/>
  <c r="M12" i="53"/>
  <c r="AW13" i="53"/>
  <c r="AW14" i="53"/>
  <c r="H71" i="52"/>
  <c r="I31" i="52"/>
  <c r="I29" i="52"/>
  <c r="C15" i="53"/>
  <c r="G103" i="12"/>
  <c r="M9" i="51"/>
  <c r="K9" i="51" s="1"/>
  <c r="N9" i="51" s="1"/>
  <c r="L9" i="51"/>
  <c r="F9" i="51"/>
  <c r="H65" i="39"/>
  <c r="AT15" i="53"/>
  <c r="G127" i="12"/>
  <c r="E31" i="51"/>
  <c r="E11" i="50"/>
  <c r="H11" i="50" s="1"/>
  <c r="AY15" i="53"/>
  <c r="AK12" i="53"/>
  <c r="F81" i="12"/>
  <c r="G111" i="22"/>
  <c r="G15" i="22" s="1"/>
  <c r="H76" i="46"/>
  <c r="H80" i="46" s="1"/>
  <c r="I71" i="46" s="1"/>
  <c r="G69" i="16"/>
  <c r="G71" i="16" s="1"/>
  <c r="H57" i="52"/>
  <c r="H70" i="52"/>
  <c r="H79" i="52"/>
  <c r="H80" i="52" s="1"/>
  <c r="I73" i="52" s="1"/>
  <c r="H98" i="39"/>
  <c r="H123" i="39"/>
  <c r="H121" i="39"/>
  <c r="M157" i="52"/>
  <c r="N157" i="52" s="1"/>
  <c r="P112" i="52"/>
  <c r="H64" i="46"/>
  <c r="M13" i="53"/>
  <c r="AK14" i="53"/>
  <c r="H161" i="55"/>
  <c r="H105" i="39"/>
  <c r="V12" i="53"/>
  <c r="V15" i="53" s="1"/>
  <c r="H13" i="50"/>
  <c r="G69" i="12"/>
  <c r="N8" i="51"/>
  <c r="H65" i="46"/>
  <c r="G78" i="16"/>
  <c r="G80" i="16" s="1"/>
  <c r="H60" i="39"/>
  <c r="O12" i="53"/>
  <c r="O15" i="53" s="1"/>
  <c r="H136" i="55"/>
  <c r="G98" i="55" s="1"/>
  <c r="H98" i="55" s="1"/>
  <c r="G143" i="55"/>
  <c r="H143" i="55" s="1"/>
  <c r="G105" i="55" s="1"/>
  <c r="H105" i="55" s="1"/>
  <c r="H103" i="39"/>
  <c r="P13" i="53"/>
  <c r="AT12" i="53"/>
  <c r="H141" i="39"/>
  <c r="H146" i="39" s="1"/>
  <c r="I130" i="39" s="1"/>
  <c r="I128" i="39" s="1"/>
  <c r="AS15" i="53"/>
  <c r="G145" i="12"/>
  <c r="G87" i="12"/>
  <c r="G83" i="12"/>
  <c r="G78" i="12"/>
  <c r="G118" i="12"/>
  <c r="G59" i="16"/>
  <c r="F197" i="21"/>
  <c r="G189" i="21" s="1"/>
  <c r="F13" i="51"/>
  <c r="K29" i="51"/>
  <c r="N29" i="51" s="1"/>
  <c r="L15" i="51"/>
  <c r="N15" i="51" s="1"/>
  <c r="F66" i="22"/>
  <c r="H79" i="46"/>
  <c r="G123" i="12"/>
  <c r="G121" i="12"/>
  <c r="G110" i="12"/>
  <c r="F89" i="16"/>
  <c r="G89" i="16" s="1"/>
  <c r="H155" i="39"/>
  <c r="H157" i="39"/>
  <c r="O14" i="53"/>
  <c r="X14" i="53"/>
  <c r="H66" i="55"/>
  <c r="H79" i="55"/>
  <c r="H156" i="55"/>
  <c r="H162" i="55"/>
  <c r="AZ12" i="53"/>
  <c r="H81" i="39"/>
  <c r="H141" i="55"/>
  <c r="G103" i="55" s="1"/>
  <c r="H103" i="55" s="1"/>
  <c r="AZ14" i="53"/>
  <c r="M13" i="51"/>
  <c r="K13" i="51" s="1"/>
  <c r="N13" i="51" s="1"/>
  <c r="F97" i="22"/>
  <c r="H103" i="46"/>
  <c r="G143" i="12"/>
  <c r="G89" i="12"/>
  <c r="G67" i="12"/>
  <c r="G124" i="12"/>
  <c r="K14" i="51"/>
  <c r="H101" i="46"/>
  <c r="H104" i="46" s="1"/>
  <c r="I95" i="46" s="1"/>
  <c r="I93" i="46" s="1"/>
  <c r="G101" i="16"/>
  <c r="H100" i="52"/>
  <c r="H102" i="52" s="1"/>
  <c r="I95" i="52" s="1"/>
  <c r="I93" i="52" s="1"/>
  <c r="H106" i="39"/>
  <c r="H159" i="39"/>
  <c r="I150" i="39" s="1"/>
  <c r="I148" i="39" s="1"/>
  <c r="H156" i="39"/>
  <c r="H59" i="39"/>
  <c r="I235" i="39"/>
  <c r="H78" i="55"/>
  <c r="H153" i="55"/>
  <c r="H164" i="55" s="1"/>
  <c r="I148" i="55" s="1"/>
  <c r="I146" i="55" s="1"/>
  <c r="G50" i="16"/>
  <c r="G70" i="12"/>
  <c r="G64" i="12"/>
  <c r="X12" i="53"/>
  <c r="X15" i="53" s="1"/>
  <c r="AG15" i="53"/>
  <c r="E33" i="51"/>
  <c r="H33" i="51" s="1"/>
  <c r="F33" i="51" s="1"/>
  <c r="AZ13" i="53"/>
  <c r="F15" i="51"/>
  <c r="H87" i="46"/>
  <c r="H91" i="46" s="1"/>
  <c r="I82" i="46" s="1"/>
  <c r="G254" i="12"/>
  <c r="H241" i="12" s="1"/>
  <c r="H239" i="12" s="1"/>
  <c r="H16" i="12" s="1"/>
  <c r="F150" i="12"/>
  <c r="G150" i="12" s="1"/>
  <c r="G58" i="16"/>
  <c r="F14" i="51"/>
  <c r="G100" i="16"/>
  <c r="G89" i="52"/>
  <c r="H89" i="52" s="1"/>
  <c r="H91" i="52" s="1"/>
  <c r="I84" i="52" s="1"/>
  <c r="I82" i="52" s="1"/>
  <c r="H64" i="39"/>
  <c r="H82" i="39"/>
  <c r="H83" i="55"/>
  <c r="G133" i="55"/>
  <c r="H159" i="55"/>
  <c r="E22" i="49"/>
  <c r="H19" i="49"/>
  <c r="H20" i="49" s="1"/>
  <c r="I167" i="55"/>
  <c r="I18" i="55" s="1"/>
  <c r="D77" i="21"/>
  <c r="H86" i="55"/>
  <c r="I70" i="55" s="1"/>
  <c r="E128" i="12"/>
  <c r="G128" i="12" s="1"/>
  <c r="G109" i="12"/>
  <c r="Y14" i="53"/>
  <c r="Y13" i="53"/>
  <c r="I171" i="55"/>
  <c r="F108" i="22"/>
  <c r="F109" i="22" s="1"/>
  <c r="G102" i="22" s="1"/>
  <c r="G100" i="22" s="1"/>
  <c r="G41" i="22"/>
  <c r="G18" i="22"/>
  <c r="F90" i="16"/>
  <c r="G90" i="16"/>
  <c r="I31" i="51"/>
  <c r="L16" i="51"/>
  <c r="F16" i="51"/>
  <c r="M16" i="51"/>
  <c r="K16" i="51" s="1"/>
  <c r="N16" i="51" s="1"/>
  <c r="H85" i="55"/>
  <c r="I29" i="55"/>
  <c r="L33" i="51"/>
  <c r="J35" i="51"/>
  <c r="M35" i="51"/>
  <c r="K35" i="51" s="1"/>
  <c r="I35" i="51"/>
  <c r="L35" i="51"/>
  <c r="L30" i="51"/>
  <c r="F30" i="51"/>
  <c r="M30" i="51"/>
  <c r="K30" i="51" s="1"/>
  <c r="N30" i="51" s="1"/>
  <c r="F98" i="22"/>
  <c r="G148" i="12"/>
  <c r="G126" i="12"/>
  <c r="G49" i="12"/>
  <c r="H32" i="12" s="1"/>
  <c r="H30" i="12" s="1"/>
  <c r="F176" i="21"/>
  <c r="G95" i="21" s="1"/>
  <c r="G93" i="21" s="1"/>
  <c r="G15" i="21" s="1"/>
  <c r="I17" i="51"/>
  <c r="I18" i="51"/>
  <c r="J18" i="51"/>
  <c r="J17" i="51"/>
  <c r="H50" i="52"/>
  <c r="AE13" i="53"/>
  <c r="AE12" i="53"/>
  <c r="AE14" i="53"/>
  <c r="G137" i="55"/>
  <c r="H137" i="55" s="1"/>
  <c r="F87" i="22"/>
  <c r="H66" i="46"/>
  <c r="I57" i="46" s="1"/>
  <c r="M33" i="51"/>
  <c r="K33" i="51" s="1"/>
  <c r="F34" i="51"/>
  <c r="M34" i="51"/>
  <c r="K34" i="51" s="1"/>
  <c r="N34" i="51" s="1"/>
  <c r="S15" i="53"/>
  <c r="G230" i="12"/>
  <c r="H202" i="12" s="1"/>
  <c r="H200" i="12" s="1"/>
  <c r="G86" i="12"/>
  <c r="G84" i="12"/>
  <c r="N10" i="51"/>
  <c r="H115" i="46"/>
  <c r="H117" i="46" s="1"/>
  <c r="I108" i="46" s="1"/>
  <c r="I106" i="46" s="1"/>
  <c r="Y11" i="53"/>
  <c r="Y12" i="53" s="1"/>
  <c r="Y15" i="53" s="1"/>
  <c r="F35" i="51"/>
  <c r="E88" i="22"/>
  <c r="F88" i="22" s="1"/>
  <c r="H156" i="46"/>
  <c r="I145" i="46" s="1"/>
  <c r="I143" i="46" s="1"/>
  <c r="I120" i="46" s="1"/>
  <c r="I18" i="46" s="1"/>
  <c r="F149" i="12"/>
  <c r="G149" i="12" s="1"/>
  <c r="G144" i="12"/>
  <c r="G99" i="12"/>
  <c r="I13" i="53"/>
  <c r="I14" i="53"/>
  <c r="I12" i="53"/>
  <c r="F80" i="12"/>
  <c r="G80" i="12" s="1"/>
  <c r="F61" i="12"/>
  <c r="G61" i="12" s="1"/>
  <c r="G13" i="53"/>
  <c r="G8" i="53"/>
  <c r="G12" i="53" s="1"/>
  <c r="I107" i="52"/>
  <c r="E32" i="51"/>
  <c r="G38" i="51"/>
  <c r="E12" i="50"/>
  <c r="H12" i="50" s="1"/>
  <c r="H58" i="39"/>
  <c r="AN8" i="53"/>
  <c r="AN13" i="53" s="1"/>
  <c r="H121" i="55"/>
  <c r="I124" i="46"/>
  <c r="G77" i="39"/>
  <c r="H77" i="39" s="1"/>
  <c r="H87" i="39" s="1"/>
  <c r="I71" i="39" s="1"/>
  <c r="G88" i="12"/>
  <c r="K7" i="51"/>
  <c r="H158" i="12"/>
  <c r="H156" i="12"/>
  <c r="H154" i="12" s="1"/>
  <c r="H15" i="12" s="1"/>
  <c r="G147" i="12"/>
  <c r="G81" i="12"/>
  <c r="G65" i="12"/>
  <c r="E79" i="12"/>
  <c r="G60" i="12"/>
  <c r="H15" i="50"/>
  <c r="H28" i="51"/>
  <c r="M28" i="51" s="1"/>
  <c r="J28" i="51"/>
  <c r="H104" i="39"/>
  <c r="H65" i="55"/>
  <c r="H68" i="55" s="1"/>
  <c r="I31" i="39"/>
  <c r="H116" i="39"/>
  <c r="E36" i="51"/>
  <c r="E77" i="22"/>
  <c r="F77" i="22" s="1"/>
  <c r="F78" i="22" s="1"/>
  <c r="F55" i="22"/>
  <c r="F56" i="22" s="1"/>
  <c r="G47" i="22" s="1"/>
  <c r="E108" i="22"/>
  <c r="E106" i="12"/>
  <c r="E125" i="12" s="1"/>
  <c r="G125" i="12" s="1"/>
  <c r="G85" i="12"/>
  <c r="E120" i="12"/>
  <c r="G120" i="12" s="1"/>
  <c r="N14" i="51"/>
  <c r="M12" i="51"/>
  <c r="M18" i="51" s="1"/>
  <c r="K12" i="51"/>
  <c r="L12" i="51"/>
  <c r="H18" i="51"/>
  <c r="H17" i="51"/>
  <c r="AV13" i="53"/>
  <c r="AV14" i="53"/>
  <c r="AV12" i="53"/>
  <c r="H120" i="55"/>
  <c r="H124" i="55" s="1"/>
  <c r="I108" i="55" s="1"/>
  <c r="F35" i="21"/>
  <c r="F37" i="21" s="1"/>
  <c r="G28" i="21" s="1"/>
  <c r="H54" i="46"/>
  <c r="H55" i="46" s="1"/>
  <c r="G63" i="39"/>
  <c r="H63" i="39" s="1"/>
  <c r="D13" i="53"/>
  <c r="E68" i="21"/>
  <c r="F68" i="21" s="1"/>
  <c r="F70" i="21" s="1"/>
  <c r="L11" i="51"/>
  <c r="E57" i="21"/>
  <c r="F57" i="21" s="1"/>
  <c r="F59" i="21" s="1"/>
  <c r="G40" i="21" s="1"/>
  <c r="E9" i="50"/>
  <c r="H9" i="50" s="1"/>
  <c r="K11" i="51"/>
  <c r="N11" i="51" s="1"/>
  <c r="AQ8" i="53"/>
  <c r="AA14" i="53"/>
  <c r="P12" i="53"/>
  <c r="P15" i="53" s="1"/>
  <c r="L14" i="53"/>
  <c r="AA12" i="53"/>
  <c r="F11" i="51"/>
  <c r="E77" i="21"/>
  <c r="D14" i="53"/>
  <c r="L12" i="53"/>
  <c r="AN14" i="53" l="1"/>
  <c r="H69" i="39"/>
  <c r="I33" i="51"/>
  <c r="I69" i="46"/>
  <c r="I64" i="52"/>
  <c r="I62" i="52"/>
  <c r="F68" i="22"/>
  <c r="G59" i="22" s="1"/>
  <c r="H126" i="39"/>
  <c r="I110" i="39" s="1"/>
  <c r="G71" i="12"/>
  <c r="H54" i="12" s="1"/>
  <c r="J33" i="51"/>
  <c r="G60" i="16"/>
  <c r="AK15" i="53"/>
  <c r="G91" i="16"/>
  <c r="H84" i="16" s="1"/>
  <c r="H82" i="16" s="1"/>
  <c r="D15" i="53"/>
  <c r="AE15" i="53"/>
  <c r="N35" i="51"/>
  <c r="M15" i="53"/>
  <c r="G102" i="16"/>
  <c r="H95" i="16" s="1"/>
  <c r="H93" i="16" s="1"/>
  <c r="H133" i="55"/>
  <c r="G95" i="55"/>
  <c r="I105" i="52"/>
  <c r="I18" i="52" s="1"/>
  <c r="AZ15" i="53"/>
  <c r="H31" i="51"/>
  <c r="J31" i="51"/>
  <c r="L15" i="53"/>
  <c r="L17" i="51"/>
  <c r="H108" i="39"/>
  <c r="G151" i="12"/>
  <c r="H134" i="12" s="1"/>
  <c r="H132" i="12" s="1"/>
  <c r="H41" i="16"/>
  <c r="H62" i="16"/>
  <c r="AP15" i="53"/>
  <c r="I52" i="55"/>
  <c r="I50" i="55"/>
  <c r="I46" i="46"/>
  <c r="I44" i="46"/>
  <c r="I27" i="46" s="1"/>
  <c r="I17" i="46" s="1"/>
  <c r="I21" i="46" s="1"/>
  <c r="AQ12" i="53"/>
  <c r="AQ13" i="53"/>
  <c r="N12" i="51"/>
  <c r="E100" i="12"/>
  <c r="G79" i="12"/>
  <c r="G90" i="12" s="1"/>
  <c r="H73" i="12" s="1"/>
  <c r="H52" i="12" s="1"/>
  <c r="H32" i="51"/>
  <c r="M32" i="51" s="1"/>
  <c r="J32" i="51"/>
  <c r="J37" i="51" s="1"/>
  <c r="G20" i="50" s="1"/>
  <c r="H20" i="50" s="1"/>
  <c r="I32" i="51"/>
  <c r="E37" i="51"/>
  <c r="I90" i="39"/>
  <c r="I92" i="39"/>
  <c r="M17" i="51"/>
  <c r="G99" i="55"/>
  <c r="H99" i="55" s="1"/>
  <c r="H144" i="55"/>
  <c r="I128" i="55" s="1"/>
  <c r="I126" i="55" s="1"/>
  <c r="AV15" i="53"/>
  <c r="G14" i="53"/>
  <c r="G15" i="53" s="1"/>
  <c r="I51" i="39"/>
  <c r="I53" i="39"/>
  <c r="N7" i="51"/>
  <c r="K18" i="51"/>
  <c r="K17" i="51"/>
  <c r="P7" i="51"/>
  <c r="L18" i="51"/>
  <c r="F18" i="51"/>
  <c r="F17" i="51"/>
  <c r="AA15" i="53"/>
  <c r="AN12" i="53"/>
  <c r="AN15" i="53" s="1"/>
  <c r="D88" i="21"/>
  <c r="F88" i="21" s="1"/>
  <c r="F90" i="21" s="1"/>
  <c r="G81" i="21" s="1"/>
  <c r="F77" i="21"/>
  <c r="F79" i="21" s="1"/>
  <c r="G61" i="21" s="1"/>
  <c r="G26" i="21" s="1"/>
  <c r="G14" i="21" s="1"/>
  <c r="G18" i="21" s="1"/>
  <c r="G200" i="21" s="1"/>
  <c r="K28" i="51"/>
  <c r="F28" i="51"/>
  <c r="AQ14" i="53"/>
  <c r="F89" i="22"/>
  <c r="G80" i="22" s="1"/>
  <c r="J36" i="51"/>
  <c r="I36" i="51"/>
  <c r="H36" i="51"/>
  <c r="M36" i="51" s="1"/>
  <c r="L28" i="51"/>
  <c r="E38" i="51"/>
  <c r="I43" i="52"/>
  <c r="I41" i="52"/>
  <c r="K19" i="49"/>
  <c r="J14" i="49"/>
  <c r="H25" i="49"/>
  <c r="I10" i="49"/>
  <c r="G6" i="49" s="1"/>
  <c r="E23" i="49"/>
  <c r="I15" i="53"/>
  <c r="G106" i="12"/>
  <c r="L32" i="51" l="1"/>
  <c r="H95" i="55"/>
  <c r="J36" i="55"/>
  <c r="H27" i="16"/>
  <c r="H17" i="16" s="1"/>
  <c r="H21" i="16" s="1"/>
  <c r="H106" i="55"/>
  <c r="L36" i="51"/>
  <c r="J38" i="51"/>
  <c r="I27" i="52"/>
  <c r="I17" i="52" s="1"/>
  <c r="I21" i="52" s="1"/>
  <c r="G37" i="54" s="1"/>
  <c r="G45" i="22"/>
  <c r="F32" i="51"/>
  <c r="N33" i="51"/>
  <c r="I38" i="51"/>
  <c r="F31" i="51"/>
  <c r="M31" i="51"/>
  <c r="K31" i="51" s="1"/>
  <c r="L31" i="51"/>
  <c r="L38" i="51" s="1"/>
  <c r="J153" i="55"/>
  <c r="K32" i="51"/>
  <c r="N32" i="51" s="1"/>
  <c r="G14" i="22"/>
  <c r="G19" i="22" s="1"/>
  <c r="G180" i="22" s="1"/>
  <c r="G178" i="22"/>
  <c r="K38" i="51"/>
  <c r="E119" i="12"/>
  <c r="G119" i="12" s="1"/>
  <c r="G130" i="12" s="1"/>
  <c r="H113" i="12" s="1"/>
  <c r="G100" i="12"/>
  <c r="G111" i="12" s="1"/>
  <c r="H94" i="12" s="1"/>
  <c r="H92" i="12" s="1"/>
  <c r="H28" i="12" s="1"/>
  <c r="H14" i="12" s="1"/>
  <c r="H18" i="12" s="1"/>
  <c r="H256" i="12" s="1"/>
  <c r="F20" i="49"/>
  <c r="E15" i="48"/>
  <c r="G15" i="48" s="1"/>
  <c r="G17" i="48" s="1"/>
  <c r="G18" i="48" s="1"/>
  <c r="G19" i="48" s="1"/>
  <c r="G21" i="48" s="1"/>
  <c r="H38" i="51"/>
  <c r="I27" i="39"/>
  <c r="I17" i="39" s="1"/>
  <c r="I21" i="39" s="1"/>
  <c r="K36" i="51"/>
  <c r="N36" i="51" s="1"/>
  <c r="H37" i="51"/>
  <c r="G18" i="50" s="1"/>
  <c r="H18" i="50" s="1"/>
  <c r="I216" i="46"/>
  <c r="G34" i="54"/>
  <c r="F34" i="54" s="1"/>
  <c r="K21" i="46"/>
  <c r="I88" i="55"/>
  <c r="I27" i="55" s="1"/>
  <c r="I17" i="55" s="1"/>
  <c r="I21" i="55" s="1"/>
  <c r="I90" i="55"/>
  <c r="F36" i="51"/>
  <c r="F37" i="51" s="1"/>
  <c r="I37" i="51"/>
  <c r="G19" i="50" s="1"/>
  <c r="H19" i="50" s="1"/>
  <c r="AQ15" i="53"/>
  <c r="N28" i="51"/>
  <c r="N17" i="51"/>
  <c r="O21" i="51" s="1"/>
  <c r="N31" i="51" l="1"/>
  <c r="G38" i="54"/>
  <c r="H160" i="16"/>
  <c r="M38" i="51"/>
  <c r="L37" i="51"/>
  <c r="G22" i="50" s="1"/>
  <c r="H22" i="50" s="1"/>
  <c r="I162" i="52"/>
  <c r="N37" i="51"/>
  <c r="M37" i="51"/>
  <c r="G23" i="50" s="1"/>
  <c r="H23" i="50" s="1"/>
  <c r="K37" i="51"/>
  <c r="G21" i="50" s="1"/>
  <c r="H21" i="50" s="1"/>
  <c r="G39" i="54"/>
  <c r="I259" i="39"/>
  <c r="K22" i="39"/>
  <c r="G33" i="54"/>
  <c r="I287" i="55"/>
  <c r="F38" i="51"/>
  <c r="L25" i="48"/>
  <c r="E24" i="48"/>
  <c r="G23" i="48"/>
  <c r="G32" i="48" s="1"/>
  <c r="M6" i="48" s="1"/>
  <c r="N42" i="51" l="1"/>
  <c r="H36" i="50"/>
  <c r="F33" i="54"/>
  <c r="G36" i="54"/>
  <c r="F43" i="51"/>
  <c r="F22" i="54" l="1"/>
  <c r="G22" i="54" s="1"/>
  <c r="F24" i="54"/>
  <c r="G24" i="54" s="1"/>
  <c r="F23" i="54"/>
  <c r="G23" i="54" s="1"/>
  <c r="F25" i="54"/>
  <c r="G25" i="54" s="1"/>
  <c r="F18" i="54"/>
  <c r="F26" i="54"/>
  <c r="G26" i="54" s="1"/>
  <c r="F20" i="54"/>
  <c r="G20" i="54" s="1"/>
  <c r="F21" i="54"/>
  <c r="G21" i="54" s="1"/>
  <c r="F19" i="54"/>
  <c r="G19" i="54" s="1"/>
  <c r="G41" i="54"/>
  <c r="F38" i="54"/>
  <c r="F27" i="54"/>
  <c r="F39" i="54"/>
  <c r="G18" i="54" l="1"/>
  <c r="F29" i="54"/>
  <c r="G27" i="54"/>
  <c r="G29" i="5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G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0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5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SGE</author>
  </authors>
  <commentList>
    <comment ref="G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SGE:</t>
        </r>
        <r>
          <rPr>
            <sz val="9"/>
            <color indexed="81"/>
            <rFont val="Tahoma"/>
            <family val="2"/>
          </rPr>
          <t xml:space="preserve">
Debe ser el mismo que F19, si no es así, ajustar el valor hasta que ambos coincidan</t>
        </r>
      </text>
    </comment>
  </commentList>
</comments>
</file>

<file path=xl/sharedStrings.xml><?xml version="1.0" encoding="utf-8"?>
<sst xmlns="http://schemas.openxmlformats.org/spreadsheetml/2006/main" count="2321" uniqueCount="619">
  <si>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</si>
  <si>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</si>
  <si>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</si>
  <si>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</si>
  <si>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</si>
  <si>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</si>
  <si>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</si>
  <si>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</si>
  <si>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</si>
  <si>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</si>
  <si>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</si>
  <si>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</si>
  <si>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</si>
  <si>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</si>
  <si>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</si>
  <si>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</si>
  <si>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</si>
  <si>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</si>
  <si>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</si>
  <si>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CANT</t>
  </si>
  <si>
    <t>OTROS SERVICIOS</t>
  </si>
  <si>
    <t>65.11.51</t>
  </si>
  <si>
    <t>FTE.FTO</t>
  </si>
  <si>
    <t>CÓDIGO</t>
  </si>
  <si>
    <t>ESPECIFICA DE GASTOS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</si>
  <si>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</si>
  <si>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</si>
  <si>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</si>
  <si>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</si>
  <si>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</si>
  <si>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</si>
  <si>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</si>
  <si>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</si>
  <si>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MONTO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</si>
  <si>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</si>
  <si>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</si>
  <si>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</si>
  <si>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</si>
  <si>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</si>
  <si>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</si>
  <si>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</si>
  <si>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</si>
  <si>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</si>
  <si>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</si>
  <si>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</si>
  <si>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</si>
  <si>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</si>
  <si>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</si>
  <si>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</si>
  <si>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GASTOS DE SUPERVISION</t>
  </si>
  <si>
    <t>EQUIPOS Y MATERIAL DURADERO</t>
  </si>
  <si>
    <t>TOTAL GASTOS DE SUPERVISION</t>
  </si>
  <si>
    <t>THONER HP LASERJET 1300</t>
  </si>
  <si>
    <t>MANTENIMIENTO DE EQUIPO Y MAQUINARIA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</si>
  <si>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</si>
  <si>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</si>
  <si>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</si>
  <si>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</si>
  <si>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</si>
  <si>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</si>
  <si>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</si>
  <si>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</si>
  <si>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</si>
  <si>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</si>
  <si>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</si>
  <si>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</si>
  <si>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</si>
  <si>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</si>
  <si>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</si>
  <si>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</si>
  <si>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</si>
  <si>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</si>
  <si>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</si>
  <si>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</si>
  <si>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</si>
  <si>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</si>
  <si>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</si>
  <si>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</si>
  <si>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</si>
  <si>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</si>
  <si>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</si>
  <si>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</si>
  <si>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</si>
  <si>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</si>
  <si>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</si>
  <si>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</si>
  <si>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</si>
  <si>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</si>
  <si>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</si>
  <si>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</si>
  <si>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</si>
  <si>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</si>
  <si>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</si>
  <si>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</si>
  <si>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</si>
  <si>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</si>
  <si>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</si>
  <si>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</si>
  <si>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</si>
  <si>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</si>
  <si>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</si>
  <si>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</si>
  <si>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</si>
  <si>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</si>
  <si>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</si>
  <si>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bls</t>
  </si>
  <si>
    <t>TOTAL GASTOS DE LIQUIDACION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</si>
  <si>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</si>
  <si>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</si>
  <si>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</si>
  <si>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</si>
  <si>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</si>
  <si>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</si>
  <si>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</si>
  <si>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</si>
  <si>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</si>
  <si>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</si>
  <si>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</si>
  <si>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</si>
  <si>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</si>
  <si>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</si>
  <si>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</si>
  <si>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</si>
  <si>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</si>
  <si>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</si>
  <si>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</si>
  <si>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</si>
  <si>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</si>
  <si>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</si>
  <si>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</si>
  <si>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</si>
  <si>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</si>
  <si>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</si>
  <si>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</si>
  <si>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</si>
  <si>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</si>
  <si>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</si>
  <si>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</si>
  <si>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</si>
  <si>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</si>
  <si>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</si>
  <si>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</si>
  <si>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</si>
  <si>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</si>
  <si>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</si>
  <si>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</si>
  <si>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</si>
  <si>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</si>
  <si>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</si>
  <si>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</si>
  <si>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</si>
  <si>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</si>
  <si>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</si>
  <si>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</si>
  <si>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</si>
  <si>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</si>
  <si>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</si>
  <si>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</si>
  <si>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</si>
  <si>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</si>
  <si>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</si>
  <si>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</si>
  <si>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</si>
  <si>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</si>
  <si>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</si>
  <si>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</si>
  <si>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</si>
  <si>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</si>
  <si>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</si>
  <si>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</si>
  <si>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</si>
  <si>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</si>
  <si>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</si>
  <si>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</si>
  <si>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</si>
  <si>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</si>
  <si>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</si>
  <si>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</si>
  <si>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</si>
  <si>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</si>
  <si>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</si>
  <si>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</si>
  <si>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</si>
  <si>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</si>
  <si>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</si>
  <si>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</si>
  <si>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</si>
  <si>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</si>
  <si>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</si>
  <si>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</si>
  <si>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</si>
  <si>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</si>
  <si>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</si>
  <si>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</si>
  <si>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</si>
  <si>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</si>
  <si>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</si>
  <si>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</si>
  <si>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</si>
  <si>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</si>
  <si>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</si>
  <si>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</si>
  <si>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</si>
  <si>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</si>
  <si>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</si>
  <si>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</si>
  <si>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</si>
  <si>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</si>
  <si>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</si>
  <si>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</si>
  <si>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</si>
  <si>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</si>
  <si>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</si>
  <si>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</si>
  <si>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</si>
  <si>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LIQUIDADOR FINANCIERO</t>
  </si>
  <si>
    <t>LIQUIDADOR TECNICO</t>
  </si>
  <si>
    <t>MONTO DE LA OBRA S/.</t>
  </si>
  <si>
    <t>0 - 500,000</t>
  </si>
  <si>
    <t>TIEMPO LIQUIDACION</t>
  </si>
  <si>
    <t>15 DIAS</t>
  </si>
  <si>
    <t>500,000 - 1'000,000</t>
  </si>
  <si>
    <t>45 DIAS</t>
  </si>
  <si>
    <t>&gt; 1'000,000</t>
  </si>
  <si>
    <t>45 - 60 DIAS</t>
  </si>
  <si>
    <t>ITEM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</si>
  <si>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</si>
  <si>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</si>
  <si>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</si>
  <si>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</si>
  <si>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</si>
  <si>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</si>
  <si>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CUADERNO ESPIRALADO TAMAÑO A4 200 HJAS</t>
  </si>
  <si>
    <t>SERVICIOS DE CONSULTORIA</t>
  </si>
  <si>
    <t>2.6.8.1.3.1  ELABORACION DE EXPEDIENTE TECNICO</t>
  </si>
  <si>
    <t>G. ET</t>
  </si>
  <si>
    <t>RESIDENTE DE OBRA</t>
  </si>
  <si>
    <t>ASISTENTE TECNICO</t>
  </si>
  <si>
    <t>gbl</t>
  </si>
  <si>
    <t>IMPRESIÓNES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</si>
  <si>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</si>
  <si>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</si>
  <si>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</si>
  <si>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</si>
  <si>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</si>
  <si>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</si>
  <si>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</si>
  <si>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MEMORIA USB 16 GB</t>
  </si>
  <si>
    <t>MITIGACION AMBIENTAL</t>
  </si>
  <si>
    <t>FOTOCOPIAS</t>
  </si>
  <si>
    <t>CUMPUTADORA COREL I7</t>
  </si>
  <si>
    <t>RESUMEN  PRESUPUESTO ANALITICO - SUPERVISIÓN</t>
  </si>
  <si>
    <t>CHALECOS REFLECTIVOS</t>
  </si>
  <si>
    <t>CASACAS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</si>
  <si>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</si>
  <si>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</si>
  <si>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</si>
  <si>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</si>
  <si>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</si>
  <si>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</si>
  <si>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</si>
  <si>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</si>
  <si>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</si>
  <si>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</si>
  <si>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</si>
  <si>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</si>
  <si>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</si>
  <si>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</si>
  <si>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</si>
  <si>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</si>
  <si>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</si>
  <si>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</si>
  <si>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</si>
  <si>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</si>
  <si>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</si>
  <si>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</si>
  <si>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</si>
  <si>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</si>
  <si>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</si>
  <si>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</si>
  <si>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</si>
  <si>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</si>
  <si>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</si>
  <si>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</si>
  <si>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</si>
  <si>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</si>
  <si>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</si>
  <si>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</si>
  <si>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</si>
  <si>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</si>
  <si>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</si>
  <si>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</si>
  <si>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</si>
  <si>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</si>
  <si>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</si>
  <si>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</si>
  <si>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</si>
  <si>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</si>
  <si>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</si>
  <si>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</si>
  <si>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</si>
  <si>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</si>
  <si>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</si>
  <si>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TOTAL EXPEDIENTE TECNICO</t>
  </si>
  <si>
    <t>CANT.</t>
  </si>
  <si>
    <t>SUPERVISOR DE OBRA</t>
  </si>
  <si>
    <t>ASISTENTE DE SUPERVISOR</t>
  </si>
  <si>
    <t>GESTION DE PROYECTO</t>
  </si>
  <si>
    <t>ASISTENTE ADMINISTRATIVO</t>
  </si>
  <si>
    <t>CD</t>
  </si>
  <si>
    <t>GG</t>
  </si>
  <si>
    <t>2.6.8.1.3.1</t>
  </si>
  <si>
    <t>ELABORACION DE EXPEDIENTE TECNICO</t>
  </si>
  <si>
    <t>2.6.2.2.2.4 REMUNERACIONES</t>
  </si>
  <si>
    <t>2.6.2.2.2.5 BIENES</t>
  </si>
  <si>
    <t>2.6.2.2.2.6 SERVICIOS</t>
  </si>
  <si>
    <t>2 . 6 . 2 2 . 2.5</t>
  </si>
  <si>
    <t>2 . 6 . 22 . 2.6</t>
  </si>
  <si>
    <t>2 . 6 . 2 2 . 2.7</t>
  </si>
  <si>
    <t>2.6.8.1.3.1 REMUNERACIONES</t>
  </si>
  <si>
    <t>2.6.8.1.3.1 BIENES</t>
  </si>
  <si>
    <t>2.6.8.1.3.1 SERVICIOS</t>
  </si>
  <si>
    <t>IMPRESIÓN DE PLANOS Y ESCANEOS</t>
  </si>
  <si>
    <t>PRESUPUESTO TOTAL</t>
  </si>
  <si>
    <t xml:space="preserve">CAPACITACION </t>
  </si>
  <si>
    <t>EQUIPAMIENTO</t>
  </si>
  <si>
    <t>MOBILIARIO</t>
  </si>
  <si>
    <r>
      <t xml:space="preserve">LIQUIDACION DE OBRA                                                                </t>
    </r>
    <r>
      <rPr>
        <b/>
        <sz val="10"/>
        <rFont val="Calibri"/>
        <family val="2"/>
      </rPr>
      <t xml:space="preserve">  1.00%</t>
    </r>
  </si>
  <si>
    <t>VALOR  REFERENCIAL</t>
  </si>
  <si>
    <t>TOTAL PRESUPUESTADO</t>
  </si>
  <si>
    <t>T_P</t>
  </si>
  <si>
    <t xml:space="preserve">I.G.V. </t>
  </si>
  <si>
    <t>IGV</t>
  </si>
  <si>
    <t>S_T</t>
  </si>
  <si>
    <t xml:space="preserve">UTILIDAD </t>
  </si>
  <si>
    <t>UTI</t>
  </si>
  <si>
    <t>R e s ú m e n    d e    A n á l i s i s   d e   C o s t o s</t>
  </si>
  <si>
    <t>MONTO DEL COSTO DIRECTO DEL PRESUPUESTO BASE:</t>
  </si>
  <si>
    <t>Monto Presupuestado</t>
  </si>
  <si>
    <r>
      <rPr>
        <b/>
        <sz val="12"/>
        <rFont val="Calibri"/>
        <family val="2"/>
      </rPr>
      <t>MODALIDAD:</t>
    </r>
    <r>
      <rPr>
        <sz val="14"/>
        <rFont val="Calibri"/>
        <family val="2"/>
      </rPr>
      <t xml:space="preserve"> </t>
    </r>
    <r>
      <rPr>
        <sz val="10"/>
        <rFont val="Calibri"/>
        <family val="2"/>
      </rPr>
      <t xml:space="preserve">           CONTRATA</t>
    </r>
  </si>
  <si>
    <r>
      <rPr>
        <b/>
        <sz val="12"/>
        <rFont val="Calibri"/>
        <family val="2"/>
      </rPr>
      <t xml:space="preserve">LUGAR :  </t>
    </r>
    <r>
      <rPr>
        <sz val="10"/>
        <rFont val="Calibri"/>
        <family val="2"/>
      </rPr>
      <t xml:space="preserve">                       DEPARTAMENTO:   APURÍMAC ,       PROVINCIA:   ABANCAY,           DISTRITO:     ABANCAY</t>
    </r>
  </si>
  <si>
    <t xml:space="preserve">PROYECTO : “MEJORAMIENTO DEL SERVICIO EDUCATIVO DE LA I.E ESTHER ROBERTI GAMERO, DISTRITO DE ABANCAY- REGIÓN APURÍMAC”
</t>
  </si>
  <si>
    <t>Relación de Utilidad/Costo Indirecto</t>
  </si>
  <si>
    <t xml:space="preserve">                    Valor Utilidad</t>
  </si>
  <si>
    <t>Utilidad</t>
  </si>
  <si>
    <t>Relación de Costo Directo/Costo Indirecto</t>
  </si>
  <si>
    <t xml:space="preserve">                    Gastos Generales</t>
  </si>
  <si>
    <t xml:space="preserve">                    Costo Directo </t>
  </si>
  <si>
    <t>Relación de Costo Directo y Costo Indirecto</t>
  </si>
  <si>
    <t>Total de Gastos Generales  S/.</t>
  </si>
  <si>
    <t>Glb.</t>
  </si>
  <si>
    <t>Análisis de Gastos Generales Variables</t>
  </si>
  <si>
    <t>Gastos Generales Variables</t>
  </si>
  <si>
    <t>II</t>
  </si>
  <si>
    <t>Análisis de Gastos Generales Fijos</t>
  </si>
  <si>
    <t>Gastos Generales Fijos</t>
  </si>
  <si>
    <t>I</t>
  </si>
  <si>
    <t>Valor Total S/.</t>
  </si>
  <si>
    <t>Precio  Unitario S/.</t>
  </si>
  <si>
    <t>Cantidad</t>
  </si>
  <si>
    <t>Und.</t>
  </si>
  <si>
    <t>Descripción</t>
  </si>
  <si>
    <t>Item</t>
  </si>
  <si>
    <t>Resúmen de Análisis de Gastos Generales</t>
  </si>
  <si>
    <t>MONTO DEL COSTO DIRECTO DEL PRESUPUESTO:</t>
  </si>
  <si>
    <t>PORCENTAJE CD</t>
  </si>
  <si>
    <t>Análisis de Gastos Generales</t>
  </si>
  <si>
    <t>Cant. Descripción</t>
  </si>
  <si>
    <t>Cant. Unidad</t>
  </si>
  <si>
    <t>Mano de Obra Indirecta</t>
  </si>
  <si>
    <t>A</t>
  </si>
  <si>
    <t>Área de Producción</t>
  </si>
  <si>
    <t>Mes</t>
  </si>
  <si>
    <t>Arquitecto  y/o Ingeniero Civil</t>
  </si>
  <si>
    <t>Ing Electrico</t>
  </si>
  <si>
    <t>B</t>
  </si>
  <si>
    <t>Pago de Beneficios</t>
  </si>
  <si>
    <t>Vacaciones (10% de (P. Unit.+ Asig. Fam.))</t>
  </si>
  <si>
    <t>Gratificación (1/6 PUnit. x 2)</t>
  </si>
  <si>
    <t>D</t>
  </si>
  <si>
    <t>Elementos de Seguridad</t>
  </si>
  <si>
    <t xml:space="preserve">Elementos de proteccion </t>
  </si>
  <si>
    <t>Glb</t>
  </si>
  <si>
    <t xml:space="preserve">Elementos de Prevencion </t>
  </si>
  <si>
    <t>C</t>
  </si>
  <si>
    <t>Equipos de Oficinas</t>
  </si>
  <si>
    <t>Materiales de Oficina</t>
  </si>
  <si>
    <t>E</t>
  </si>
  <si>
    <t>Seguros</t>
  </si>
  <si>
    <t>Accidentes Personales</t>
  </si>
  <si>
    <t>Riesgo de Ingeniería</t>
  </si>
  <si>
    <t>Responsabilidad contra Terceros</t>
  </si>
  <si>
    <t>Total de Gastos Generales Variables</t>
  </si>
  <si>
    <r>
      <rPr>
        <b/>
        <sz val="10"/>
        <rFont val="Calibri"/>
        <family val="2"/>
      </rPr>
      <t xml:space="preserve">Nota: </t>
    </r>
    <r>
      <rPr>
        <sz val="10"/>
        <rFont val="Calibri"/>
        <family val="2"/>
      </rPr>
      <t>consideramos medio mes más para la liquidacion de obra, del personal requerido para tal fin</t>
    </r>
  </si>
  <si>
    <t>MENSUAL</t>
  </si>
  <si>
    <t>-</t>
  </si>
  <si>
    <t>Total a Pagar por Mes</t>
  </si>
  <si>
    <t>Gratifica.</t>
  </si>
  <si>
    <t>Movilidad</t>
  </si>
  <si>
    <t>Precio TOTAL</t>
  </si>
  <si>
    <t>Meses</t>
  </si>
  <si>
    <t>PERSONAL TÉCNICO ADMINISTRATIVO</t>
  </si>
  <si>
    <t>CÁLCULO DE REMUNERACIONES POR TRABAJADOR (TOTAL DE OBRA)</t>
  </si>
  <si>
    <t>(**) Corresponde al sueldo mensual bruto de cada trabajador, el cual incluye sus beneficios sociales.</t>
  </si>
  <si>
    <t xml:space="preserve">     y se pagan todos los meses.</t>
  </si>
  <si>
    <t>(*) Este concepto es un aporte que se descuenta del sueldo del trabajador como pago a cuenta de su jubilación. Los demás rubros considerados son aportes del empleador</t>
  </si>
  <si>
    <t>Asistente Administrativo</t>
  </si>
  <si>
    <t>Almacenero</t>
  </si>
  <si>
    <t>Maestro de Obra</t>
  </si>
  <si>
    <t xml:space="preserve">Guardián </t>
  </si>
  <si>
    <t>Secretaria</t>
  </si>
  <si>
    <t>Asistente Tecnico</t>
  </si>
  <si>
    <t>Ing  y/o Arq  Residente de Obra</t>
  </si>
  <si>
    <t>BÁSICO</t>
  </si>
  <si>
    <t>CÁLCULO DE REMUNERACIONES POR TRABAJADOR (POR MES)</t>
  </si>
  <si>
    <t>OTROS</t>
  </si>
  <si>
    <t>SUPERVISOR</t>
  </si>
  <si>
    <t xml:space="preserve">ASIGNACION FAMILIAR </t>
  </si>
  <si>
    <t>ASIGNACION FAMILIAR</t>
  </si>
  <si>
    <t>BENEFICIOS (COMPENSACION POR TIEMPO DE SERVICIOS CTS-15% PU)</t>
  </si>
  <si>
    <t>HH</t>
  </si>
  <si>
    <t>ADMINISTRADOR DE OBRA</t>
  </si>
  <si>
    <t>CASCOS DE SEGURIDAD 3M COLOR BLANCO</t>
  </si>
  <si>
    <t>CASACA POLAR CON CINTAS REFLECTIVAS</t>
  </si>
  <si>
    <t>SILLONES P/ESCRITORIO</t>
  </si>
  <si>
    <t>ESCRITORIO DE MADERA 3 CAJONES</t>
  </si>
  <si>
    <t>ESCRITORIO DE MADERA 5 CAJONES</t>
  </si>
  <si>
    <t>MUEBLE P/COMPUTADORA</t>
  </si>
  <si>
    <t>SILLA P/ESCRITORIO</t>
  </si>
  <si>
    <t>ARCHIVADOR DE MADERA 4 GAVETAS</t>
  </si>
  <si>
    <t>MESA DE REUNION C/8 SILLAS</t>
  </si>
  <si>
    <t>MEMORIA USB 32 GB</t>
  </si>
  <si>
    <t>THONER</t>
  </si>
  <si>
    <t>INGENIERO CIVIL O ARQUITECTO (COORDINADOR)</t>
  </si>
  <si>
    <t>PROFESIONAL ADMINISTRATIVO</t>
  </si>
  <si>
    <t>INGENIERO GEOLOGO</t>
  </si>
  <si>
    <t>G. EE.TT.</t>
  </si>
  <si>
    <t>IMP</t>
  </si>
  <si>
    <t>SUEL</t>
  </si>
  <si>
    <t>ESC</t>
  </si>
  <si>
    <t xml:space="preserve">OTROS </t>
  </si>
  <si>
    <t>IMPREVISTOS</t>
  </si>
  <si>
    <t>SERVICIO DE TERCEROS</t>
  </si>
  <si>
    <t>ALQUILER DE MOVILIDAD</t>
  </si>
  <si>
    <t>ALQUILER DE CAMIONETA (MAQUINA SECA)</t>
  </si>
  <si>
    <t>G. G.P.</t>
  </si>
  <si>
    <t>Analisis del tiempo gestion de proyecto</t>
  </si>
  <si>
    <t>DESCRIPCION DE ACTIVIDADES</t>
  </si>
  <si>
    <t>DURACION</t>
  </si>
  <si>
    <t>Gastos de ORPI no se consideran</t>
  </si>
  <si>
    <t>Elaboracion de TDR, bases y proceso de selección para expediente tecnico</t>
  </si>
  <si>
    <t>DIAS</t>
  </si>
  <si>
    <t>Elaboracion y aprobacion de expediente tecnico</t>
  </si>
  <si>
    <t>Elaboracion de TDR, bases y proceso de selección para ejecucion y supervision</t>
  </si>
  <si>
    <t>Ejecucion de obra, capacitacion, etc.</t>
  </si>
  <si>
    <t>Elaboracion de TDR, bases y proceso de selección para equipamiento</t>
  </si>
  <si>
    <t>Liquidacion de obra</t>
  </si>
  <si>
    <t>MOVILIDAD</t>
  </si>
  <si>
    <t>DÍAS</t>
  </si>
  <si>
    <t>gln/hora</t>
  </si>
  <si>
    <t>tiemp. Viaje</t>
  </si>
  <si>
    <t>n° de viajes</t>
  </si>
  <si>
    <t>cant. Viajes</t>
  </si>
  <si>
    <t>total</t>
  </si>
  <si>
    <t>N° de viajes</t>
  </si>
  <si>
    <t>Cant. Viajes</t>
  </si>
  <si>
    <t>meses</t>
  </si>
  <si>
    <t>Proyecto</t>
  </si>
  <si>
    <t>Especifica de Gastos</t>
  </si>
  <si>
    <t>Gastos Generales</t>
  </si>
  <si>
    <t>Gastos de Supervision</t>
  </si>
  <si>
    <t>2.6.2.3.99 3</t>
  </si>
  <si>
    <t>2.6.2.3.99 4</t>
  </si>
  <si>
    <t>2.6.2.3.99 5</t>
  </si>
  <si>
    <t>2.6.2.3.99 6</t>
  </si>
  <si>
    <t>Codigo</t>
  </si>
  <si>
    <t>Gobierno Regional de Apurímac</t>
  </si>
  <si>
    <t>Gerencia Regional de Infraestructura</t>
  </si>
  <si>
    <t>Sub gerencia de Estudios Definitivos</t>
  </si>
  <si>
    <t xml:space="preserve">Desagregado del Presupuesto Analitico  </t>
  </si>
  <si>
    <t>PERSONAL PROFESIONAL</t>
  </si>
  <si>
    <t>TECNICO ADMINISTRATIVO I / ASISTENTE SOCIAL / RESPONSABLE DE PERSONAL</t>
  </si>
  <si>
    <t>TECNICO ADMINISTRATICO II</t>
  </si>
  <si>
    <t>ASISTENTE ADMINISTRATIVO I / AUXILIAR</t>
  </si>
  <si>
    <t>AUXILIAR II / SECRETARIA</t>
  </si>
  <si>
    <t>RESIDENTE DE PROYECTOS ESPECIALES</t>
  </si>
  <si>
    <t>RESIDENTE DE PROYECTOS I</t>
  </si>
  <si>
    <t>RESIDENTE DE PROYECTOS II / EXTENCIONISTA</t>
  </si>
  <si>
    <t>PROFESIONAL / SOCIOLOGO /ANTROPOLOGO</t>
  </si>
  <si>
    <t xml:space="preserve">ASISTENTE TECNICO DE OBRA </t>
  </si>
  <si>
    <t>INSPECTOR DE PROYECTOS I / SUPERVISION DE ESTUDIOS I (10 AÑOS DE EXPERIENCIA)</t>
  </si>
  <si>
    <t>INSPECTOR DE PROYECTOS II / SUPERVISION DE ESTUDIOS II (5 AÑOS DE EXPERIENCIA)</t>
  </si>
  <si>
    <t>PROYECTISTA I / LIQUIDACION TECNICO</t>
  </si>
  <si>
    <t>PROYECTISTA II / LIQUIDACION FINANCIERO</t>
  </si>
  <si>
    <t>BRIGADISTA</t>
  </si>
  <si>
    <t>ESPECIFICA</t>
  </si>
  <si>
    <t>JORNAL BASICO</t>
  </si>
  <si>
    <t>REFRIGERIO Y MOVILIDAD</t>
  </si>
  <si>
    <t>BONIFICACION ESPECIALPOR UBI-GEO       (*)</t>
  </si>
  <si>
    <t>BENEFICIOS (VACACIONES) (1)/12</t>
  </si>
  <si>
    <t>BENEFICIOS (POR TIEMPO DE SERVICIOS) (1)/12</t>
  </si>
  <si>
    <t>AGUINALDO: POR ESCOLARIDAD</t>
  </si>
  <si>
    <t>AGUINALDO: POR FIESTAS PATRIAS Y NAVIDAD</t>
  </si>
  <si>
    <t>TOTAL REMUNERACION [(1)+(2)+(3)+(4)+(5)+(6)+(7)]</t>
  </si>
  <si>
    <t>TRASF. CORRIENTES: SNPS (9%) [(1)+(4)]*9%</t>
  </si>
  <si>
    <t>TRASF. CORRIENTES: SCRT (1.55%) [(1)+(4)]*1.55%</t>
  </si>
  <si>
    <t>TOTAL [(7)+(8)+(9)]</t>
  </si>
  <si>
    <t>ESCALA REMUNERATIVA GOBIERNO REGIONAL DE APURIMAC</t>
  </si>
  <si>
    <t>Resumen  Presupuesto Analitico - Gastos de Supervision</t>
  </si>
  <si>
    <t>2.6.2.3.99 3 REMUNERACIONES</t>
  </si>
  <si>
    <t>2.6.2.3.99 4 BIENES</t>
  </si>
  <si>
    <t>2.6.2.3.99 5 SERVICIOS</t>
  </si>
  <si>
    <t>Resumen  Presupuesto Analitico - Gastos de Liquidacion</t>
  </si>
  <si>
    <t>G. Supervision</t>
  </si>
  <si>
    <t>G. Liquidacion</t>
  </si>
  <si>
    <t>Resumen  Presupuesto Analitico - Gastos de Expediente Tecnico</t>
  </si>
  <si>
    <t>2.6.2.3.99 6 SERVICIOS</t>
  </si>
  <si>
    <t>Gastos de Liquidacion</t>
  </si>
  <si>
    <t>Gastos Expediente Tecnico</t>
  </si>
  <si>
    <t>Gastos Gestion del Proyecto</t>
  </si>
  <si>
    <t>Resumen  Presupuesto Analitico - Gasto Gestion de proyecto</t>
  </si>
  <si>
    <t>ALQUILER DE EQUIPO TOPOGRAFICO</t>
  </si>
  <si>
    <t xml:space="preserve">ALQUILER ESTACION TOTAL </t>
  </si>
  <si>
    <t>GASOLINA</t>
  </si>
  <si>
    <t>TINTA PARA PLOTER</t>
  </si>
  <si>
    <t>FOLDER MANILA INCLUIDO FASTENER</t>
  </si>
  <si>
    <t>CIRA</t>
  </si>
  <si>
    <t>ASISTENTE DEL COORDINADOR</t>
  </si>
  <si>
    <t>INGENIERO ESPECIALISTA EN ESTRUCTURAS</t>
  </si>
  <si>
    <t>ARQUITECTO</t>
  </si>
  <si>
    <t>INGENIERO ESPECIALISTA EN INSTALACIONES SANITARIAS</t>
  </si>
  <si>
    <t>INGENIERO ESPECIALISTA EN INSTALACIONES ELECTRICAS</t>
  </si>
  <si>
    <t>INGENIERO ESPECIALISTA EN INSTALACIONES ESPECIALES</t>
  </si>
  <si>
    <t>INGENIERO ESPECIALISTA EN EN COSTOS Y PRESUPUESTO</t>
  </si>
  <si>
    <t>ROLLO DE PAPEL A0</t>
  </si>
  <si>
    <t>FACT.</t>
  </si>
  <si>
    <t>ESTUDIO DE MECANICA DE SUELOS PARA CIMENTACIONES</t>
  </si>
  <si>
    <t>ESTUDIO ESTABILIDAD DE TALUDES</t>
  </si>
  <si>
    <t>Proyecto:</t>
  </si>
  <si>
    <t>Cliente</t>
  </si>
  <si>
    <t>Departamento</t>
  </si>
  <si>
    <t>Provincia</t>
  </si>
  <si>
    <t>Distrito</t>
  </si>
  <si>
    <t>Costo a :</t>
  </si>
  <si>
    <t>COSTO DIRECTO TOTAL</t>
  </si>
  <si>
    <t>GESTIÓN DE PROYECTOS</t>
  </si>
  <si>
    <t>SUPERVISIÓN</t>
  </si>
  <si>
    <t>LIQUIDACIÓN</t>
  </si>
  <si>
    <t>EXPEDIENTE TÉCNICO</t>
  </si>
  <si>
    <t>Son :</t>
  </si>
  <si>
    <t>: GOBIERNO REGIONAL DE APURÍMAC</t>
  </si>
  <si>
    <t>: APURIMAC</t>
  </si>
  <si>
    <t xml:space="preserve">RESUMEN GENERAL DEL PRESUPUESTO </t>
  </si>
  <si>
    <t>DEL EMPLEADO EVENTUAL - REMUNERACIÓN BÁSICA</t>
  </si>
  <si>
    <t>SEGURO COMPLEMENTARIO DE TRABAJO DE RIESGO (3.05%)</t>
  </si>
  <si>
    <t>BENEFICIOS - COMPENSACION POR TIEMPO DE SERVICIOS CTS</t>
  </si>
  <si>
    <t>COORDINADOR DE OBRAS (INGENIERO CIVIL O ARQUITECTO)</t>
  </si>
  <si>
    <t>Resumen  Presupuesto Analitico - Gastos Generales</t>
  </si>
  <si>
    <t>G. Generales</t>
  </si>
  <si>
    <t>2.6.2.3.99 3 Remuneraciones</t>
  </si>
  <si>
    <t>INGENIERO ESPECIALISTA EN GEOTECNIA</t>
  </si>
  <si>
    <t>INGENIERO ESPECIALISTA EN SEGURIDAD Y SALUD</t>
  </si>
  <si>
    <t>ESPECIALISTA EN MITIGACIÓN AMBIENTAL</t>
  </si>
  <si>
    <t>ASISTENTE TECNICO DE OBRA</t>
  </si>
  <si>
    <t xml:space="preserve">MAESTRO DE OBRA </t>
  </si>
  <si>
    <t>TOPOGRAFO</t>
  </si>
  <si>
    <t xml:space="preserve">ALMACENERO </t>
  </si>
  <si>
    <t>GUARDIAN</t>
  </si>
  <si>
    <t xml:space="preserve">Remuneración Minima Vital </t>
  </si>
  <si>
    <t>N° DE VECES</t>
  </si>
  <si>
    <t>CANT. UNID.</t>
  </si>
  <si>
    <t>CASCOS DE SEGURIDAD DE COLOR</t>
  </si>
  <si>
    <t>ARNES DE SEGURIDAD PECTORAL</t>
  </si>
  <si>
    <t>LINEA DE VIDA CON SHOCK ABSORBENTE 1.80m</t>
  </si>
  <si>
    <t>GUANTE DE HILO CON PALMA DE LATEX</t>
  </si>
  <si>
    <t>LENTES DE SEGURIDAD DE LUNA ESPEJADA</t>
  </si>
  <si>
    <t>OREJERAS DE PROTECCION</t>
  </si>
  <si>
    <t>PROTECCIÓN DE ACCESOS A LA OBRA</t>
  </si>
  <si>
    <t>CUADERNO DE OBRA 1X3 AUTOCOPIAS X 50 HOJAS</t>
  </si>
  <si>
    <t>CUADERNO PARA CONTROL DE ALMACEN</t>
  </si>
  <si>
    <t>CUADERNO DE ACTAS DE OBRA</t>
  </si>
  <si>
    <t>PAQUETE</t>
  </si>
  <si>
    <t>PARTES DIARIOS MAQUINARIA 1X3 AUTOCOPIAS</t>
  </si>
  <si>
    <t>BLOCK</t>
  </si>
  <si>
    <t>NOTAS ENTRADA DE ALMACEN 1X3 AUTOCOPIAS</t>
  </si>
  <si>
    <t>NOTAS DE SALIDAS DE ALMACEN 1X3 AUTOCOPIAS</t>
  </si>
  <si>
    <t>TARJETAS VISIBLES DE ALMACEN 1X3 AUTOCOPIAS</t>
  </si>
  <si>
    <t>DISEÑO DE MEZCLAS</t>
  </si>
  <si>
    <t>PRUEBAS DE RESISTENCIA DEL CONCRETO</t>
  </si>
  <si>
    <t>LEGALIZACION DE CUADERNO DE OBRAS</t>
  </si>
  <si>
    <t>LEGALIZACION DE CUADERNO DE ALMACEN</t>
  </si>
  <si>
    <t>LEGALIZACION DE CUADERNO DE ACTAS</t>
  </si>
  <si>
    <t>COSTO DIRECTO</t>
  </si>
  <si>
    <t>Abril -2020</t>
  </si>
  <si>
    <t>Codigo Unificado de Inversiones:</t>
  </si>
  <si>
    <t>"Año de la Universalización de la Salud"</t>
  </si>
  <si>
    <t xml:space="preserve">MASCARILLAS </t>
  </si>
  <si>
    <t>LALTOP</t>
  </si>
  <si>
    <t>MASCARILLAS</t>
  </si>
  <si>
    <t>Sub-Total por ADQUISICIÓN</t>
  </si>
  <si>
    <t>VALOR REFERENCIAL -IOARR</t>
  </si>
  <si>
    <t>TRES MILLONES SEISCIENTOS CUARENTAY CINCO MIL OCHENTA Y SEIS CON  23/100 SOLES</t>
  </si>
  <si>
    <t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t>
  </si>
  <si>
    <t>: ANDAHUAYLAS</t>
  </si>
  <si>
    <t>Adquisicion de ambulancia urbana</t>
  </si>
  <si>
    <t>Adquisicion de esterilizador con generador electrico de vapor</t>
  </si>
  <si>
    <t>Adquisicion de lavadora secadora automatica</t>
  </si>
  <si>
    <t>Expediente técnico</t>
  </si>
  <si>
    <t>Supervisión</t>
  </si>
  <si>
    <t>Liquidación</t>
  </si>
  <si>
    <t>Totales</t>
  </si>
  <si>
    <t xml:space="preserve">Adquisicion de aspiradora de secreciones </t>
  </si>
  <si>
    <t xml:space="preserve">Adquisicion de monitor de funciones vitales </t>
  </si>
  <si>
    <t xml:space="preserve">Adquisicion de bomba de infusion </t>
  </si>
  <si>
    <t xml:space="preserve">Adquisicion de desfibrilador </t>
  </si>
  <si>
    <t xml:space="preserve">Adquisicion de cama camilla multiproposito tipo uci </t>
  </si>
  <si>
    <t xml:space="preserve">Adquisicion de coche de paro equipado </t>
  </si>
  <si>
    <t xml:space="preserve">Adquisicion de grupo electrogeno </t>
  </si>
  <si>
    <t xml:space="preserve">Adquisicion de ventilador mecanico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</si>
</sst>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General_)"/>
    <numFmt numFmtId="167" formatCode="0.00_)"/>
    <numFmt numFmtId="168" formatCode="#,##0.00;[Red]#,##0.00"/>
    <numFmt numFmtId="169" formatCode="#,##0.0000"/>
    <numFmt numFmtId="170" formatCode="0.000%"/>
    <numFmt numFmtId="171" formatCode="&quot;S/.&quot;\ #,##0.00"/>
    <numFmt numFmtId="172" formatCode="0.0000000000"/>
    <numFmt numFmtId="173" formatCode="#,##0.000"/>
    <numFmt numFmtId="174" formatCode="0.000"/>
    <numFmt numFmtId="175" formatCode="0.0000"/>
    <numFmt numFmtId="176" formatCode="0.000000000000000"/>
    <numFmt numFmtId="177" formatCode="#,##0.00000000"/>
    <numFmt numFmtId="178" formatCode="_(* #,##0.00_);_(* \(#,##0.00\);_(* &quot;-&quot;??_);_(@_)"/>
    <numFmt numFmtId="179" formatCode="&quot;Asignación Familiar (&quot;#&quot;% de RMV)&quot;"/>
    <numFmt numFmtId="180" formatCode="&quot;ESSALUD (&quot;#0&quot;% P. Unit. - Aporta el Empleador)&quot;"/>
    <numFmt numFmtId="181" formatCode="&quot;Conafovicer (&quot;#0.0&quot;% P. Unit.+IGV - Aporta el Empleador)&quot;"/>
    <numFmt numFmtId="182" formatCode="&quot;C.T.S. (&quot;#0.0000&quot;% P. Unit.)&quot;"/>
    <numFmt numFmtId="183" formatCode="#,##0.00000000000000"/>
    <numFmt numFmtId="184" formatCode="&quot;Vaciones T.&quot;"/>
    <numFmt numFmtId="185" formatCode="&quot;CTS&quot;"/>
    <numFmt numFmtId="186" formatCode="&quot;Conafovicer&quot;"/>
    <numFmt numFmtId="187" formatCode="&quot;ESSALUD&quot;"/>
    <numFmt numFmtId="188" formatCode="&quot;Asignacion&quot;"/>
    <numFmt numFmtId="189" formatCode="&quot;SNP&quot;"/>
    <numFmt numFmtId="190" formatCode="#,##0.00000000000"/>
  </numFmts>
  <fonts count="15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name val="Century Gothic"/>
      <family val="2"/>
    </font>
    <font>
      <b/>
      <u/>
      <sz val="10"/>
      <name val="Century Gothic"/>
      <family val="2"/>
    </font>
    <font>
      <sz val="10"/>
      <name val="Tahoma"/>
      <family val="2"/>
    </font>
    <font>
      <b/>
      <sz val="10"/>
      <name val="Calibri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9"/>
      <name val="Arial"/>
      <family val="2"/>
    </font>
    <font>
      <sz val="10"/>
      <color indexed="9"/>
      <name val="Tahoma"/>
      <family val="2"/>
    </font>
    <font>
      <sz val="12"/>
      <color indexed="1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0"/>
      <color indexed="53"/>
      <name val="Tahoma"/>
      <family val="2"/>
    </font>
    <font>
      <b/>
      <sz val="12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3"/>
      <name val="Tahoma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0"/>
      <name val="AvantGarde Bk BT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sz val="10"/>
      <name val="AvantGarde Bk BT"/>
      <family val="2"/>
    </font>
    <font>
      <b/>
      <sz val="10"/>
      <name val="Arial Narrow"/>
      <family val="2"/>
    </font>
    <font>
      <b/>
      <sz val="12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16"/>
      <name val="Arial"/>
      <family val="2"/>
    </font>
    <font>
      <sz val="9"/>
      <name val="Antique Olive"/>
      <family val="2"/>
    </font>
    <font>
      <sz val="9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2"/>
      <name val="Calibri"/>
      <family val="2"/>
    </font>
    <font>
      <b/>
      <sz val="23"/>
      <name val="Arial"/>
      <family val="2"/>
    </font>
    <font>
      <b/>
      <sz val="18"/>
      <name val="Arial"/>
      <family val="2"/>
    </font>
    <font>
      <b/>
      <i/>
      <sz val="16"/>
      <name val="Times New Roman"/>
      <family val="1"/>
    </font>
    <font>
      <sz val="14"/>
      <name val="Arial"/>
      <family val="2"/>
    </font>
    <font>
      <b/>
      <u val="double"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16"/>
      <name val="Arial Narrow"/>
      <family val="2"/>
    </font>
    <font>
      <b/>
      <i/>
      <sz val="11"/>
      <name val="Times New Roman"/>
      <family val="1"/>
    </font>
    <font>
      <b/>
      <sz val="11"/>
      <name val="Arial Narrow"/>
      <family val="2"/>
    </font>
    <font>
      <sz val="9"/>
      <name val="Arial Narrow"/>
      <family val="2"/>
    </font>
    <font>
      <sz val="16"/>
      <name val="Arial Narrow"/>
      <family val="2"/>
    </font>
    <font>
      <b/>
      <i/>
      <sz val="18"/>
      <name val="Times New Roman"/>
      <family val="1"/>
    </font>
    <font>
      <sz val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Century Schoolbook"/>
      <family val="2"/>
      <scheme val="minor"/>
    </font>
    <font>
      <sz val="10"/>
      <color rgb="FFFF0000"/>
      <name val="Antique Olive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2"/>
      <color indexed="8"/>
      <name val="Century Schoolbook"/>
      <family val="2"/>
      <scheme val="minor"/>
    </font>
    <font>
      <sz val="10"/>
      <color indexed="8"/>
      <name val="Century Schoolbook"/>
      <family val="2"/>
      <scheme val="minor"/>
    </font>
    <font>
      <b/>
      <sz val="11"/>
      <color indexed="8"/>
      <name val="Century Schoolbook"/>
      <family val="2"/>
      <scheme val="minor"/>
    </font>
    <font>
      <b/>
      <sz val="11"/>
      <color indexed="9"/>
      <name val="Century Schoolbook"/>
      <family val="2"/>
      <scheme val="minor"/>
    </font>
    <font>
      <b/>
      <sz val="12"/>
      <color indexed="9"/>
      <name val="Century Schoolbook"/>
      <family val="2"/>
      <scheme val="minor"/>
    </font>
    <font>
      <b/>
      <sz val="11"/>
      <name val="Century Schoolbook"/>
      <family val="2"/>
      <scheme val="minor"/>
    </font>
    <font>
      <b/>
      <sz val="11"/>
      <color indexed="18"/>
      <name val="Century Schoolbook"/>
      <family val="2"/>
      <scheme val="minor"/>
    </font>
    <font>
      <sz val="10"/>
      <color indexed="18"/>
      <name val="Century Schoolbook"/>
      <family val="2"/>
      <scheme val="minor"/>
    </font>
    <font>
      <b/>
      <sz val="12"/>
      <name val="Century Schoolbook"/>
      <family val="2"/>
      <scheme val="minor"/>
    </font>
    <font>
      <sz val="11"/>
      <name val="Century Schoolbook"/>
      <family val="2"/>
      <scheme val="minor"/>
    </font>
    <font>
      <sz val="9"/>
      <name val="Century Schoolbook"/>
      <family val="2"/>
      <scheme val="minor"/>
    </font>
    <font>
      <b/>
      <sz val="9"/>
      <name val="Century Schoolbook"/>
      <family val="2"/>
      <scheme val="minor"/>
    </font>
    <font>
      <b/>
      <sz val="10"/>
      <color indexed="10"/>
      <name val="Century Schoolbook"/>
      <family val="2"/>
      <scheme val="minor"/>
    </font>
    <font>
      <b/>
      <sz val="10"/>
      <color rgb="FFFF0000"/>
      <name val="Arial"/>
      <family val="2"/>
    </font>
    <font>
      <b/>
      <sz val="16"/>
      <name val="Century Schoolbook"/>
      <family val="2"/>
      <scheme val="minor"/>
    </font>
    <font>
      <sz val="12"/>
      <name val="Century Schoolbook"/>
      <family val="2"/>
      <scheme val="minor"/>
    </font>
    <font>
      <b/>
      <sz val="12"/>
      <color rgb="FFFF0000"/>
      <name val="Arial"/>
      <family val="2"/>
    </font>
    <font>
      <b/>
      <sz val="9"/>
      <color theme="1"/>
      <name val="Century Schoolbook"/>
      <family val="2"/>
      <scheme val="minor"/>
    </font>
    <font>
      <b/>
      <sz val="12"/>
      <color theme="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i/>
      <sz val="10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0"/>
      <name val="Times New Roman"/>
      <family val="1"/>
    </font>
    <font>
      <b/>
      <i/>
      <sz val="16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3"/>
      <name val="Century Schoolbook"/>
      <family val="2"/>
      <scheme val="minor"/>
    </font>
    <font>
      <b/>
      <sz val="18"/>
      <color indexed="63"/>
      <name val="Century Schoolbook"/>
      <family val="2"/>
      <scheme val="minor"/>
    </font>
    <font>
      <b/>
      <i/>
      <u val="singleAccounting"/>
      <sz val="18"/>
      <color theme="1"/>
      <name val="Times New Roman"/>
      <family val="1"/>
    </font>
    <font>
      <sz val="8"/>
      <color rgb="FF333333"/>
      <name val="Helvetica"/>
      <family val="2"/>
    </font>
    <font>
      <i/>
      <sz val="7.5"/>
      <color rgb="FF333333"/>
      <name val="Helvetica"/>
      <family val="2"/>
    </font>
    <font>
      <b/>
      <sz val="8"/>
      <color rgb="FF333333"/>
      <name val="Helvetica"/>
      <family val="2"/>
    </font>
    <font>
      <sz val="8"/>
      <color rgb="FFFF0000"/>
      <name val="Helvetic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58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double">
        <color indexed="64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1" fillId="0" borderId="0"/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0" fontId="1" fillId="0" borderId="0"/>
    <xf numFmtId="0" fontId="105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13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0" xfId="0" applyNumberFormat="1" applyFont="1" applyFill="1" applyAlignment="1" applyProtection="1">
      <alignment vertical="center"/>
    </xf>
    <xf numFmtId="166" fontId="4" fillId="0" borderId="0" xfId="0" applyNumberFormat="1" applyFont="1" applyFill="1" applyAlignment="1" applyProtection="1">
      <alignment horizontal="left" vertical="center"/>
    </xf>
    <xf numFmtId="166" fontId="3" fillId="0" borderId="0" xfId="0" applyNumberFormat="1" applyFont="1" applyFill="1" applyAlignment="1" applyProtection="1">
      <alignment horizontal="left" vertical="center"/>
    </xf>
    <xf numFmtId="166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6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vertical="center"/>
    </xf>
    <xf numFmtId="166" fontId="7" fillId="0" borderId="0" xfId="0" applyNumberFormat="1" applyFont="1" applyFill="1" applyAlignment="1" applyProtection="1">
      <alignment vertical="center"/>
    </xf>
    <xf numFmtId="166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Alignment="1" applyProtection="1">
      <alignment horizontal="left" vertical="center"/>
    </xf>
    <xf numFmtId="166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6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Alignment="1" applyProtection="1">
      <alignment horizontal="right" vertical="center"/>
    </xf>
    <xf numFmtId="166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8" fontId="12" fillId="0" borderId="0" xfId="0" applyNumberFormat="1" applyFont="1" applyFill="1" applyAlignment="1">
      <alignment horizontal="right" vertical="center"/>
    </xf>
    <xf numFmtId="166" fontId="14" fillId="0" borderId="0" xfId="0" applyNumberFormat="1" applyFont="1" applyFill="1" applyAlignment="1" applyProtection="1">
      <alignment horizontal="right" vertical="center"/>
    </xf>
    <xf numFmtId="166" fontId="14" fillId="0" borderId="0" xfId="0" applyNumberFormat="1" applyFont="1" applyFill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vertical="center"/>
    </xf>
    <xf numFmtId="166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6" fontId="13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horizontal="centerContinuous" vertical="center"/>
    </xf>
    <xf numFmtId="166" fontId="11" fillId="0" borderId="0" xfId="0" applyNumberFormat="1" applyFont="1" applyFill="1" applyAlignment="1" applyProtection="1">
      <alignment vertical="center"/>
    </xf>
    <xf numFmtId="166" fontId="12" fillId="0" borderId="0" xfId="0" applyNumberFormat="1" applyFont="1" applyFill="1" applyAlignment="1" applyProtection="1">
      <alignment horizontal="center" vertical="center"/>
    </xf>
    <xf numFmtId="167" fontId="11" fillId="0" borderId="0" xfId="0" applyNumberFormat="1" applyFont="1" applyFill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horizontal="right" vertical="center"/>
    </xf>
    <xf numFmtId="166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7" applyFont="1" applyFill="1"/>
    <xf numFmtId="0" fontId="7" fillId="2" borderId="0" xfId="7" applyFont="1" applyFill="1" applyBorder="1"/>
    <xf numFmtId="4" fontId="7" fillId="2" borderId="0" xfId="7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7" applyNumberFormat="1" applyFont="1" applyFill="1" applyBorder="1" applyAlignment="1" applyProtection="1">
      <alignment vertical="center"/>
    </xf>
    <xf numFmtId="0" fontId="7" fillId="2" borderId="2" xfId="7" applyFont="1" applyFill="1" applyBorder="1"/>
    <xf numFmtId="4" fontId="7" fillId="2" borderId="10" xfId="7" applyNumberFormat="1" applyFont="1" applyFill="1" applyBorder="1" applyAlignment="1">
      <alignment vertical="center"/>
    </xf>
    <xf numFmtId="39" fontId="7" fillId="2" borderId="2" xfId="7" applyNumberFormat="1" applyFont="1" applyFill="1" applyBorder="1" applyAlignment="1" applyProtection="1">
      <alignment horizontal="left" vertical="center"/>
    </xf>
    <xf numFmtId="4" fontId="10" fillId="2" borderId="11" xfId="7" applyNumberFormat="1" applyFont="1" applyFill="1" applyBorder="1" applyAlignment="1" applyProtection="1">
      <alignment vertical="center"/>
    </xf>
    <xf numFmtId="166" fontId="7" fillId="2" borderId="12" xfId="7" applyNumberFormat="1" applyFont="1" applyFill="1" applyBorder="1" applyAlignment="1" applyProtection="1">
      <alignment horizontal="left" vertical="center"/>
    </xf>
    <xf numFmtId="39" fontId="7" fillId="2" borderId="4" xfId="7" applyNumberFormat="1" applyFont="1" applyFill="1" applyBorder="1" applyAlignment="1" applyProtection="1">
      <alignment vertical="center"/>
    </xf>
    <xf numFmtId="0" fontId="7" fillId="2" borderId="4" xfId="7" applyFont="1" applyFill="1" applyBorder="1"/>
    <xf numFmtId="4" fontId="7" fillId="2" borderId="13" xfId="7" applyNumberFormat="1" applyFont="1" applyFill="1" applyBorder="1" applyAlignment="1">
      <alignment vertical="center"/>
    </xf>
    <xf numFmtId="0" fontId="7" fillId="10" borderId="0" xfId="7" applyFont="1" applyFill="1" applyBorder="1"/>
    <xf numFmtId="166" fontId="12" fillId="0" borderId="0" xfId="7" applyNumberFormat="1" applyFont="1" applyFill="1" applyBorder="1" applyAlignment="1" applyProtection="1">
      <alignment horizontal="left"/>
    </xf>
    <xf numFmtId="4" fontId="12" fillId="0" borderId="0" xfId="7" applyNumberFormat="1" applyFont="1" applyFill="1" applyBorder="1" applyAlignment="1" applyProtection="1">
      <alignment horizontal="left"/>
    </xf>
    <xf numFmtId="4" fontId="7" fillId="0" borderId="0" xfId="7" applyNumberFormat="1" applyFont="1" applyFill="1" applyBorder="1" applyProtection="1"/>
    <xf numFmtId="4" fontId="12" fillId="0" borderId="0" xfId="7" applyNumberFormat="1" applyFont="1" applyFill="1" applyBorder="1" applyAlignment="1" applyProtection="1">
      <alignment horizontal="right"/>
    </xf>
    <xf numFmtId="4" fontId="12" fillId="0" borderId="0" xfId="7" applyNumberFormat="1" applyFont="1" applyFill="1" applyBorder="1" applyProtection="1"/>
    <xf numFmtId="2" fontId="10" fillId="11" borderId="0" xfId="0" applyNumberFormat="1" applyFont="1" applyFill="1" applyBorder="1" applyAlignment="1" applyProtection="1">
      <alignment horizontal="right" vertical="center"/>
    </xf>
    <xf numFmtId="4" fontId="10" fillId="11" borderId="0" xfId="0" applyNumberFormat="1" applyFont="1" applyFill="1" applyBorder="1" applyAlignment="1" applyProtection="1">
      <alignment horizontal="left" vertical="center"/>
    </xf>
    <xf numFmtId="4" fontId="7" fillId="11" borderId="0" xfId="0" applyNumberFormat="1" applyFont="1" applyFill="1" applyBorder="1" applyAlignment="1" applyProtection="1">
      <alignment vertical="center"/>
    </xf>
    <xf numFmtId="4" fontId="12" fillId="11" borderId="0" xfId="0" applyNumberFormat="1" applyFont="1" applyFill="1" applyBorder="1" applyAlignment="1" applyProtection="1">
      <alignment horizontal="center" vertical="center"/>
    </xf>
    <xf numFmtId="4" fontId="12" fillId="11" borderId="0" xfId="0" applyNumberFormat="1" applyFont="1" applyFill="1" applyBorder="1" applyAlignment="1" applyProtection="1">
      <alignment horizontal="right" vertical="center"/>
    </xf>
    <xf numFmtId="4" fontId="12" fillId="11" borderId="0" xfId="0" applyNumberFormat="1" applyFont="1" applyFill="1" applyBorder="1" applyAlignment="1" applyProtection="1">
      <alignment vertical="center"/>
    </xf>
    <xf numFmtId="0" fontId="7" fillId="0" borderId="0" xfId="7" applyFont="1" applyFill="1"/>
    <xf numFmtId="166" fontId="10" fillId="12" borderId="14" xfId="7" applyNumberFormat="1" applyFont="1" applyFill="1" applyBorder="1" applyAlignment="1" applyProtection="1">
      <alignment horizontal="center" vertical="center"/>
    </xf>
    <xf numFmtId="0" fontId="10" fillId="12" borderId="15" xfId="7" applyFont="1" applyFill="1" applyBorder="1" applyAlignment="1">
      <alignment horizontal="center" vertical="center"/>
    </xf>
    <xf numFmtId="4" fontId="12" fillId="0" borderId="0" xfId="7" applyNumberFormat="1" applyFont="1" applyFill="1" applyBorder="1" applyAlignment="1" applyProtection="1"/>
    <xf numFmtId="166" fontId="16" fillId="0" borderId="0" xfId="0" quotePrefix="1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7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106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13" borderId="16" xfId="7" applyNumberFormat="1" applyFont="1" applyFill="1" applyBorder="1" applyAlignment="1" applyProtection="1"/>
    <xf numFmtId="0" fontId="7" fillId="13" borderId="17" xfId="7" applyFont="1" applyFill="1" applyBorder="1"/>
    <xf numFmtId="4" fontId="7" fillId="13" borderId="17" xfId="7" applyNumberFormat="1" applyFont="1" applyFill="1" applyBorder="1" applyProtection="1"/>
    <xf numFmtId="4" fontId="12" fillId="13" borderId="17" xfId="7" applyNumberFormat="1" applyFont="1" applyFill="1" applyBorder="1" applyAlignment="1" applyProtection="1">
      <alignment horizontal="right"/>
    </xf>
    <xf numFmtId="4" fontId="12" fillId="13" borderId="18" xfId="7" applyNumberFormat="1" applyFont="1" applyFill="1" applyBorder="1" applyProtection="1"/>
    <xf numFmtId="166" fontId="12" fillId="13" borderId="16" xfId="7" applyNumberFormat="1" applyFont="1" applyFill="1" applyBorder="1" applyAlignment="1" applyProtection="1">
      <alignment horizontal="left"/>
    </xf>
    <xf numFmtId="4" fontId="12" fillId="13" borderId="17" xfId="7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6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6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left" vertical="center"/>
    </xf>
    <xf numFmtId="39" fontId="7" fillId="2" borderId="16" xfId="7" applyNumberFormat="1" applyFont="1" applyFill="1" applyBorder="1" applyAlignment="1" applyProtection="1">
      <alignment vertical="center"/>
    </xf>
    <xf numFmtId="0" fontId="7" fillId="2" borderId="18" xfId="7" applyFont="1" applyFill="1" applyBorder="1"/>
    <xf numFmtId="39" fontId="7" fillId="2" borderId="17" xfId="7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6" fontId="24" fillId="0" borderId="0" xfId="0" applyNumberFormat="1" applyFont="1" applyFill="1" applyAlignment="1" applyProtection="1">
      <alignment vertical="center"/>
    </xf>
    <xf numFmtId="166" fontId="24" fillId="0" borderId="0" xfId="0" applyNumberFormat="1" applyFont="1" applyFill="1" applyAlignment="1" applyProtection="1">
      <alignment horizontal="center" vertical="center"/>
    </xf>
    <xf numFmtId="166" fontId="25" fillId="0" borderId="0" xfId="0" applyNumberFormat="1" applyFont="1" applyFill="1" applyAlignment="1" applyProtection="1">
      <alignment horizontal="left" vertical="center"/>
    </xf>
    <xf numFmtId="166" fontId="26" fillId="0" borderId="0" xfId="0" quotePrefix="1" applyNumberFormat="1" applyFont="1" applyFill="1" applyAlignment="1" applyProtection="1">
      <alignment horizontal="left" vertical="center"/>
    </xf>
    <xf numFmtId="166" fontId="24" fillId="0" borderId="0" xfId="0" applyNumberFormat="1" applyFont="1" applyFill="1" applyAlignment="1" applyProtection="1">
      <alignment horizontal="left" vertical="center"/>
    </xf>
    <xf numFmtId="0" fontId="24" fillId="2" borderId="0" xfId="7" applyFont="1" applyFill="1" applyBorder="1"/>
    <xf numFmtId="0" fontId="24" fillId="2" borderId="0" xfId="7" applyFont="1" applyFill="1"/>
    <xf numFmtId="4" fontId="27" fillId="2" borderId="11" xfId="7" applyNumberFormat="1" applyFont="1" applyFill="1" applyBorder="1" applyAlignment="1" applyProtection="1">
      <alignment vertical="center"/>
    </xf>
    <xf numFmtId="4" fontId="24" fillId="2" borderId="0" xfId="7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0" fontId="24" fillId="10" borderId="0" xfId="7" applyFont="1" applyFill="1" applyBorder="1"/>
    <xf numFmtId="4" fontId="28" fillId="0" borderId="0" xfId="7" applyNumberFormat="1" applyFont="1" applyFill="1" applyBorder="1" applyAlignment="1" applyProtection="1"/>
    <xf numFmtId="0" fontId="24" fillId="0" borderId="0" xfId="7" applyFont="1" applyFill="1"/>
    <xf numFmtId="4" fontId="24" fillId="0" borderId="0" xfId="7" applyNumberFormat="1" applyFont="1" applyFill="1" applyBorder="1" applyProtection="1"/>
    <xf numFmtId="4" fontId="28" fillId="0" borderId="0" xfId="7" applyNumberFormat="1" applyFont="1" applyFill="1" applyBorder="1" applyAlignment="1" applyProtection="1">
      <alignment horizontal="right"/>
    </xf>
    <xf numFmtId="4" fontId="28" fillId="0" borderId="0" xfId="7" applyNumberFormat="1" applyFont="1" applyFill="1" applyBorder="1" applyProtection="1"/>
    <xf numFmtId="166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6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right" vertical="center"/>
    </xf>
    <xf numFmtId="166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6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1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6" fontId="28" fillId="0" borderId="0" xfId="7" applyNumberFormat="1" applyFont="1" applyFill="1" applyBorder="1" applyAlignment="1" applyProtection="1">
      <alignment horizontal="left"/>
    </xf>
    <xf numFmtId="4" fontId="28" fillId="0" borderId="0" xfId="7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0" fillId="0" borderId="2" xfId="0" applyNumberFormat="1" applyFont="1" applyFill="1" applyBorder="1" applyAlignment="1" applyProtection="1">
      <alignment horizontal="right" vertical="center"/>
    </xf>
    <xf numFmtId="2" fontId="29" fillId="0" borderId="0" xfId="0" applyNumberFormat="1" applyFont="1" applyFill="1" applyBorder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left" vertical="center"/>
    </xf>
    <xf numFmtId="39" fontId="29" fillId="0" borderId="0" xfId="0" applyNumberFormat="1" applyFont="1" applyFill="1" applyAlignment="1" applyProtection="1">
      <alignment horizontal="center" vertical="center"/>
    </xf>
    <xf numFmtId="39" fontId="29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29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Alignment="1" applyProtection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6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6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8" fontId="28" fillId="0" borderId="0" xfId="0" applyNumberFormat="1" applyFont="1" applyFill="1" applyAlignment="1">
      <alignment horizontal="right" vertical="center"/>
    </xf>
    <xf numFmtId="166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Alignment="1">
      <alignment vertical="center"/>
    </xf>
    <xf numFmtId="0" fontId="24" fillId="0" borderId="0" xfId="7" applyFont="1" applyFill="1" applyBorder="1"/>
    <xf numFmtId="4" fontId="24" fillId="0" borderId="4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166" fontId="34" fillId="0" borderId="0" xfId="0" quotePrefix="1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Continuous" vertical="center"/>
    </xf>
    <xf numFmtId="167" fontId="32" fillId="0" borderId="0" xfId="0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5" fillId="0" borderId="0" xfId="0" applyNumberFormat="1" applyFont="1" applyFill="1" applyBorder="1" applyAlignment="1" applyProtection="1">
      <alignment vertical="center"/>
    </xf>
    <xf numFmtId="166" fontId="33" fillId="0" borderId="0" xfId="0" applyNumberFormat="1" applyFont="1" applyFill="1" applyBorder="1" applyAlignment="1" applyProtection="1">
      <alignment vertical="center"/>
    </xf>
    <xf numFmtId="167" fontId="35" fillId="0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70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1" fillId="0" borderId="0" xfId="0" applyNumberFormat="1" applyFont="1" applyFill="1" applyAlignment="1" applyProtection="1">
      <alignment horizontal="center" vertical="center"/>
    </xf>
    <xf numFmtId="39" fontId="31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8" fontId="24" fillId="0" borderId="0" xfId="0" applyNumberFormat="1" applyFont="1" applyFill="1" applyAlignment="1">
      <alignment vertical="center"/>
    </xf>
    <xf numFmtId="2" fontId="29" fillId="0" borderId="2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Border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centerContinuous" vertical="center"/>
    </xf>
    <xf numFmtId="166" fontId="107" fillId="14" borderId="14" xfId="7" applyNumberFormat="1" applyFont="1" applyFill="1" applyBorder="1" applyAlignment="1" applyProtection="1">
      <alignment horizontal="center" vertical="center"/>
    </xf>
    <xf numFmtId="0" fontId="107" fillId="14" borderId="15" xfId="7" applyFont="1" applyFill="1" applyBorder="1" applyAlignment="1">
      <alignment horizontal="center" vertical="center"/>
    </xf>
    <xf numFmtId="4" fontId="108" fillId="14" borderId="16" xfId="7" applyNumberFormat="1" applyFont="1" applyFill="1" applyBorder="1" applyAlignment="1" applyProtection="1"/>
    <xf numFmtId="0" fontId="109" fillId="14" borderId="17" xfId="7" applyFont="1" applyFill="1" applyBorder="1"/>
    <xf numFmtId="4" fontId="109" fillId="14" borderId="17" xfId="7" applyNumberFormat="1" applyFont="1" applyFill="1" applyBorder="1" applyProtection="1"/>
    <xf numFmtId="4" fontId="108" fillId="14" borderId="17" xfId="7" applyNumberFormat="1" applyFont="1" applyFill="1" applyBorder="1" applyAlignment="1" applyProtection="1">
      <alignment horizontal="right"/>
    </xf>
    <xf numFmtId="4" fontId="108" fillId="14" borderId="18" xfId="7" applyNumberFormat="1" applyFont="1" applyFill="1" applyBorder="1" applyProtection="1"/>
    <xf numFmtId="166" fontId="108" fillId="14" borderId="16" xfId="7" applyNumberFormat="1" applyFont="1" applyFill="1" applyBorder="1" applyAlignment="1" applyProtection="1">
      <alignment horizontal="left"/>
    </xf>
    <xf numFmtId="4" fontId="108" fillId="14" borderId="17" xfId="7" applyNumberFormat="1" applyFont="1" applyFill="1" applyBorder="1" applyAlignment="1" applyProtection="1">
      <alignment horizontal="left"/>
    </xf>
    <xf numFmtId="2" fontId="27" fillId="15" borderId="0" xfId="0" applyNumberFormat="1" applyFont="1" applyFill="1" applyBorder="1" applyAlignment="1" applyProtection="1">
      <alignment horizontal="right" vertical="center"/>
    </xf>
    <xf numFmtId="4" fontId="27" fillId="15" borderId="0" xfId="0" applyNumberFormat="1" applyFont="1" applyFill="1" applyBorder="1" applyAlignment="1" applyProtection="1">
      <alignment horizontal="left" vertical="center"/>
    </xf>
    <xf numFmtId="4" fontId="24" fillId="15" borderId="0" xfId="0" applyNumberFormat="1" applyFont="1" applyFill="1" applyBorder="1" applyAlignment="1" applyProtection="1">
      <alignment vertical="center"/>
    </xf>
    <xf numFmtId="4" fontId="28" fillId="15" borderId="0" xfId="0" applyNumberFormat="1" applyFont="1" applyFill="1" applyBorder="1" applyAlignment="1" applyProtection="1">
      <alignment horizontal="center" vertical="center"/>
    </xf>
    <xf numFmtId="4" fontId="28" fillId="15" borderId="0" xfId="0" applyNumberFormat="1" applyFont="1" applyFill="1" applyBorder="1" applyAlignment="1" applyProtection="1">
      <alignment horizontal="right" vertical="center"/>
    </xf>
    <xf numFmtId="4" fontId="28" fillId="15" borderId="0" xfId="0" applyNumberFormat="1" applyFont="1" applyFill="1" applyBorder="1" applyAlignment="1" applyProtection="1">
      <alignment vertical="center"/>
    </xf>
    <xf numFmtId="2" fontId="27" fillId="15" borderId="0" xfId="0" applyNumberFormat="1" applyFont="1" applyFill="1" applyBorder="1" applyAlignment="1" applyProtection="1">
      <alignment vertical="center"/>
    </xf>
    <xf numFmtId="4" fontId="24" fillId="15" borderId="0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</xf>
    <xf numFmtId="166" fontId="24" fillId="0" borderId="6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6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6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6" fontId="27" fillId="0" borderId="22" xfId="0" applyNumberFormat="1" applyFont="1" applyFill="1" applyBorder="1" applyAlignment="1" applyProtection="1">
      <alignment horizontal="left" vertical="center"/>
    </xf>
    <xf numFmtId="4" fontId="24" fillId="2" borderId="23" xfId="7" applyNumberFormat="1" applyFont="1" applyFill="1" applyBorder="1" applyAlignment="1">
      <alignment vertical="center"/>
    </xf>
    <xf numFmtId="4" fontId="24" fillId="2" borderId="24" xfId="7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173" fontId="24" fillId="2" borderId="0" xfId="0" applyNumberFormat="1" applyFont="1" applyFill="1" applyAlignment="1">
      <alignment vertical="center"/>
    </xf>
    <xf numFmtId="0" fontId="1" fillId="0" borderId="0" xfId="14"/>
    <xf numFmtId="4" fontId="1" fillId="0" borderId="0" xfId="14" applyNumberFormat="1"/>
    <xf numFmtId="0" fontId="38" fillId="0" borderId="0" xfId="14" applyFont="1" applyBorder="1"/>
    <xf numFmtId="0" fontId="1" fillId="4" borderId="0" xfId="14" applyFill="1"/>
    <xf numFmtId="0" fontId="110" fillId="0" borderId="25" xfId="14" applyFont="1" applyBorder="1"/>
    <xf numFmtId="0" fontId="110" fillId="0" borderId="26" xfId="14" applyFont="1" applyBorder="1"/>
    <xf numFmtId="0" fontId="111" fillId="0" borderId="26" xfId="14" applyFont="1" applyBorder="1"/>
    <xf numFmtId="0" fontId="110" fillId="0" borderId="27" xfId="14" applyFont="1" applyBorder="1"/>
    <xf numFmtId="0" fontId="110" fillId="0" borderId="28" xfId="14" applyFont="1" applyBorder="1"/>
    <xf numFmtId="0" fontId="110" fillId="0" borderId="0" xfId="14" applyFont="1" applyBorder="1"/>
    <xf numFmtId="0" fontId="111" fillId="0" borderId="0" xfId="14" applyFont="1" applyBorder="1"/>
    <xf numFmtId="0" fontId="110" fillId="0" borderId="29" xfId="14" applyFont="1" applyBorder="1"/>
    <xf numFmtId="0" fontId="38" fillId="0" borderId="0" xfId="14" applyFont="1"/>
    <xf numFmtId="0" fontId="110" fillId="0" borderId="30" xfId="14" applyFont="1" applyFill="1" applyBorder="1"/>
    <xf numFmtId="0" fontId="110" fillId="0" borderId="31" xfId="14" applyFont="1" applyFill="1" applyBorder="1"/>
    <xf numFmtId="10" fontId="110" fillId="0" borderId="31" xfId="14" applyNumberFormat="1" applyFont="1" applyFill="1" applyBorder="1"/>
    <xf numFmtId="0" fontId="110" fillId="0" borderId="32" xfId="14" applyFont="1" applyFill="1" applyBorder="1"/>
    <xf numFmtId="0" fontId="110" fillId="0" borderId="30" xfId="14" applyFont="1" applyBorder="1" applyAlignment="1">
      <alignment horizontal="left"/>
    </xf>
    <xf numFmtId="0" fontId="110" fillId="0" borderId="31" xfId="14" applyFont="1" applyBorder="1"/>
    <xf numFmtId="0" fontId="110" fillId="0" borderId="32" xfId="14" applyFont="1" applyBorder="1"/>
    <xf numFmtId="0" fontId="1" fillId="0" borderId="0" xfId="14" applyFont="1"/>
    <xf numFmtId="171" fontId="112" fillId="16" borderId="28" xfId="14" applyNumberFormat="1" applyFont="1" applyFill="1" applyBorder="1" applyAlignment="1">
      <alignment horizontal="right"/>
    </xf>
    <xf numFmtId="0" fontId="112" fillId="0" borderId="0" xfId="14" applyFont="1" applyFill="1" applyBorder="1" applyAlignment="1">
      <alignment horizontal="center"/>
    </xf>
    <xf numFmtId="0" fontId="112" fillId="0" borderId="0" xfId="14" applyFont="1" applyFill="1" applyBorder="1"/>
    <xf numFmtId="0" fontId="113" fillId="0" borderId="0" xfId="14" applyFont="1" applyFill="1" applyBorder="1"/>
    <xf numFmtId="171" fontId="110" fillId="17" borderId="28" xfId="14" applyNumberFormat="1" applyFont="1" applyFill="1" applyBorder="1" applyAlignment="1">
      <alignment horizontal="right"/>
    </xf>
    <xf numFmtId="171" fontId="110" fillId="16" borderId="33" xfId="14" applyNumberFormat="1" applyFont="1" applyFill="1" applyBorder="1" applyAlignment="1">
      <alignment horizontal="right"/>
    </xf>
    <xf numFmtId="171" fontId="110" fillId="16" borderId="28" xfId="14" applyNumberFormat="1" applyFont="1" applyFill="1" applyBorder="1" applyAlignment="1">
      <alignment horizontal="right"/>
    </xf>
    <xf numFmtId="176" fontId="1" fillId="0" borderId="0" xfId="14" applyNumberFormat="1" applyFont="1"/>
    <xf numFmtId="10" fontId="110" fillId="0" borderId="0" xfId="14" applyNumberFormat="1" applyFont="1" applyBorder="1"/>
    <xf numFmtId="10" fontId="111" fillId="0" borderId="0" xfId="14" applyNumberFormat="1" applyFont="1" applyFill="1" applyBorder="1"/>
    <xf numFmtId="0" fontId="110" fillId="0" borderId="0" xfId="14" applyFont="1" applyFill="1" applyBorder="1"/>
    <xf numFmtId="0" fontId="110" fillId="0" borderId="28" xfId="14" applyFont="1" applyBorder="1" applyAlignment="1">
      <alignment horizontal="right"/>
    </xf>
    <xf numFmtId="171" fontId="114" fillId="16" borderId="28" xfId="14" applyNumberFormat="1" applyFont="1" applyFill="1" applyBorder="1" applyAlignment="1">
      <alignment horizontal="right"/>
    </xf>
    <xf numFmtId="0" fontId="114" fillId="0" borderId="0" xfId="14" applyFont="1" applyFill="1" applyBorder="1"/>
    <xf numFmtId="0" fontId="40" fillId="0" borderId="0" xfId="14" applyFont="1"/>
    <xf numFmtId="4" fontId="115" fillId="0" borderId="28" xfId="14" applyNumberFormat="1" applyFont="1" applyFill="1" applyBorder="1" applyAlignment="1">
      <alignment horizontal="right"/>
    </xf>
    <xf numFmtId="0" fontId="116" fillId="0" borderId="0" xfId="14" applyFont="1" applyFill="1" applyBorder="1" applyAlignment="1">
      <alignment horizontal="center"/>
    </xf>
    <xf numFmtId="0" fontId="115" fillId="0" borderId="0" xfId="14" applyFont="1" applyFill="1" applyBorder="1"/>
    <xf numFmtId="171" fontId="117" fillId="16" borderId="28" xfId="14" applyNumberFormat="1" applyFont="1" applyFill="1" applyBorder="1" applyAlignment="1">
      <alignment horizontal="right"/>
    </xf>
    <xf numFmtId="0" fontId="118" fillId="0" borderId="0" xfId="14" applyFont="1" applyFill="1" applyBorder="1" applyAlignment="1">
      <alignment horizontal="center"/>
    </xf>
    <xf numFmtId="10" fontId="118" fillId="0" borderId="0" xfId="14" applyNumberFormat="1" applyFont="1" applyFill="1" applyBorder="1"/>
    <xf numFmtId="0" fontId="117" fillId="0" borderId="0" xfId="14" applyFont="1" applyFill="1" applyBorder="1"/>
    <xf numFmtId="0" fontId="119" fillId="0" borderId="29" xfId="14" applyFont="1" applyBorder="1"/>
    <xf numFmtId="0" fontId="41" fillId="0" borderId="0" xfId="14" applyFont="1"/>
    <xf numFmtId="0" fontId="42" fillId="0" borderId="0" xfId="14" applyFont="1" applyBorder="1"/>
    <xf numFmtId="0" fontId="111" fillId="0" borderId="0" xfId="14" applyFont="1" applyBorder="1" applyAlignment="1">
      <alignment horizontal="center"/>
    </xf>
    <xf numFmtId="0" fontId="5" fillId="0" borderId="0" xfId="14" applyFont="1"/>
    <xf numFmtId="4" fontId="41" fillId="0" borderId="0" xfId="14" applyNumberFormat="1" applyFont="1"/>
    <xf numFmtId="171" fontId="111" fillId="16" borderId="28" xfId="14" applyNumberFormat="1" applyFont="1" applyFill="1" applyBorder="1" applyAlignment="1">
      <alignment horizontal="right"/>
    </xf>
    <xf numFmtId="0" fontId="111" fillId="0" borderId="0" xfId="14" applyFont="1" applyFill="1" applyBorder="1"/>
    <xf numFmtId="171" fontId="1" fillId="0" borderId="0" xfId="14" applyNumberFormat="1"/>
    <xf numFmtId="0" fontId="111" fillId="0" borderId="0" xfId="14" applyFont="1" applyBorder="1" applyAlignment="1">
      <alignment horizontal="left"/>
    </xf>
    <xf numFmtId="2" fontId="1" fillId="0" borderId="0" xfId="14" applyNumberFormat="1"/>
    <xf numFmtId="171" fontId="41" fillId="0" borderId="0" xfId="14" applyNumberFormat="1" applyFont="1"/>
    <xf numFmtId="0" fontId="110" fillId="0" borderId="0" xfId="14" applyFont="1" applyBorder="1" applyAlignment="1">
      <alignment horizontal="left"/>
    </xf>
    <xf numFmtId="2" fontId="43" fillId="0" borderId="0" xfId="14" applyNumberFormat="1" applyFont="1"/>
    <xf numFmtId="0" fontId="44" fillId="0" borderId="0" xfId="14" applyFont="1" applyBorder="1"/>
    <xf numFmtId="171" fontId="120" fillId="16" borderId="28" xfId="14" applyNumberFormat="1" applyFont="1" applyFill="1" applyBorder="1" applyAlignment="1">
      <alignment horizontal="right"/>
    </xf>
    <xf numFmtId="0" fontId="120" fillId="0" borderId="0" xfId="14" applyFont="1" applyBorder="1" applyAlignment="1">
      <alignment horizontal="center"/>
    </xf>
    <xf numFmtId="10" fontId="120" fillId="0" borderId="0" xfId="14" applyNumberFormat="1" applyFont="1" applyBorder="1"/>
    <xf numFmtId="0" fontId="120" fillId="0" borderId="0" xfId="14" applyFont="1" applyFill="1" applyBorder="1"/>
    <xf numFmtId="4" fontId="5" fillId="0" borderId="0" xfId="14" applyNumberFormat="1" applyFont="1"/>
    <xf numFmtId="4" fontId="110" fillId="0" borderId="28" xfId="14" applyNumberFormat="1" applyFont="1" applyBorder="1"/>
    <xf numFmtId="0" fontId="121" fillId="0" borderId="0" xfId="14" applyFont="1" applyBorder="1"/>
    <xf numFmtId="2" fontId="122" fillId="0" borderId="0" xfId="14" applyNumberFormat="1" applyFont="1" applyBorder="1" applyAlignment="1">
      <alignment horizontal="center"/>
    </xf>
    <xf numFmtId="0" fontId="45" fillId="0" borderId="0" xfId="14" applyFont="1" applyBorder="1" applyAlignment="1"/>
    <xf numFmtId="0" fontId="120" fillId="0" borderId="28" xfId="14" applyFont="1" applyBorder="1" applyAlignment="1">
      <alignment horizontal="center"/>
    </xf>
    <xf numFmtId="0" fontId="46" fillId="0" borderId="0" xfId="14" applyFont="1" applyBorder="1" applyAlignment="1"/>
    <xf numFmtId="4" fontId="47" fillId="0" borderId="0" xfId="14" applyNumberFormat="1" applyFont="1"/>
    <xf numFmtId="4" fontId="48" fillId="0" borderId="0" xfId="14" applyNumberFormat="1" applyFont="1"/>
    <xf numFmtId="171" fontId="111" fillId="18" borderId="28" xfId="14" applyNumberFormat="1" applyFont="1" applyFill="1" applyBorder="1" applyAlignment="1"/>
    <xf numFmtId="0" fontId="122" fillId="0" borderId="0" xfId="14" applyFont="1" applyBorder="1"/>
    <xf numFmtId="0" fontId="123" fillId="0" borderId="0" xfId="14" applyFont="1" applyBorder="1"/>
    <xf numFmtId="0" fontId="49" fillId="0" borderId="0" xfId="14" applyFont="1"/>
    <xf numFmtId="4" fontId="111" fillId="16" borderId="28" xfId="14" applyNumberFormat="1" applyFont="1" applyFill="1" applyBorder="1" applyAlignment="1">
      <alignment horizontal="center"/>
    </xf>
    <xf numFmtId="0" fontId="123" fillId="0" borderId="0" xfId="14" applyFont="1" applyFill="1" applyBorder="1"/>
    <xf numFmtId="0" fontId="122" fillId="0" borderId="0" xfId="14" applyFont="1" applyFill="1" applyBorder="1"/>
    <xf numFmtId="0" fontId="52" fillId="0" borderId="0" xfId="14" applyFont="1" applyFill="1" applyBorder="1"/>
    <xf numFmtId="0" fontId="5" fillId="0" borderId="2" xfId="14" applyFont="1" applyBorder="1"/>
    <xf numFmtId="0" fontId="53" fillId="0" borderId="0" xfId="14" applyFont="1" applyAlignment="1"/>
    <xf numFmtId="0" fontId="53" fillId="0" borderId="0" xfId="14" applyFont="1" applyBorder="1" applyAlignment="1"/>
    <xf numFmtId="0" fontId="38" fillId="0" borderId="34" xfId="14" applyFont="1" applyBorder="1"/>
    <xf numFmtId="0" fontId="38" fillId="0" borderId="35" xfId="14" applyFont="1" applyBorder="1"/>
    <xf numFmtId="0" fontId="38" fillId="0" borderId="36" xfId="14" applyFont="1" applyBorder="1"/>
    <xf numFmtId="0" fontId="1" fillId="0" borderId="0" xfId="14" applyBorder="1"/>
    <xf numFmtId="177" fontId="1" fillId="0" borderId="0" xfId="14" applyNumberFormat="1"/>
    <xf numFmtId="0" fontId="1" fillId="0" borderId="27" xfId="14" applyBorder="1"/>
    <xf numFmtId="0" fontId="110" fillId="0" borderId="30" xfId="14" applyFont="1" applyBorder="1"/>
    <xf numFmtId="0" fontId="110" fillId="0" borderId="37" xfId="14" applyFont="1" applyBorder="1"/>
    <xf numFmtId="10" fontId="124" fillId="16" borderId="38" xfId="14" applyNumberFormat="1" applyFont="1" applyFill="1" applyBorder="1"/>
    <xf numFmtId="0" fontId="111" fillId="0" borderId="38" xfId="14" applyFont="1" applyBorder="1" applyAlignment="1">
      <alignment horizontal="center"/>
    </xf>
    <xf numFmtId="0" fontId="111" fillId="0" borderId="39" xfId="14" applyFont="1" applyBorder="1" applyAlignment="1">
      <alignment horizontal="center"/>
    </xf>
    <xf numFmtId="0" fontId="110" fillId="0" borderId="40" xfId="14" applyFont="1" applyBorder="1"/>
    <xf numFmtId="0" fontId="1" fillId="0" borderId="29" xfId="14" applyBorder="1"/>
    <xf numFmtId="0" fontId="110" fillId="0" borderId="41" xfId="14" applyFont="1" applyBorder="1"/>
    <xf numFmtId="171" fontId="110" fillId="16" borderId="42" xfId="14" applyNumberFormat="1" applyFont="1" applyFill="1" applyBorder="1"/>
    <xf numFmtId="0" fontId="110" fillId="0" borderId="42" xfId="14" applyFont="1" applyBorder="1" applyAlignment="1">
      <alignment horizontal="center"/>
    </xf>
    <xf numFmtId="0" fontId="110" fillId="0" borderId="43" xfId="14" applyFont="1" applyBorder="1"/>
    <xf numFmtId="0" fontId="110" fillId="0" borderId="44" xfId="14" applyFont="1" applyBorder="1"/>
    <xf numFmtId="0" fontId="120" fillId="0" borderId="28" xfId="14" applyFont="1" applyBorder="1" applyAlignment="1">
      <alignment vertical="center"/>
    </xf>
    <xf numFmtId="10" fontId="111" fillId="3" borderId="45" xfId="14" applyNumberFormat="1" applyFont="1" applyFill="1" applyBorder="1" applyAlignment="1">
      <alignment horizontal="center" vertical="center"/>
    </xf>
    <xf numFmtId="0" fontId="110" fillId="0" borderId="0" xfId="14" applyFont="1" applyBorder="1" applyAlignment="1">
      <alignment horizontal="center"/>
    </xf>
    <xf numFmtId="0" fontId="110" fillId="0" borderId="37" xfId="14" applyFont="1" applyBorder="1" applyAlignment="1">
      <alignment horizontal="center"/>
    </xf>
    <xf numFmtId="0" fontId="111" fillId="0" borderId="39" xfId="14" applyFont="1" applyBorder="1" applyAlignment="1">
      <alignment horizontal="right"/>
    </xf>
    <xf numFmtId="0" fontId="110" fillId="0" borderId="46" xfId="14" applyFont="1" applyBorder="1" applyAlignment="1">
      <alignment horizontal="center"/>
    </xf>
    <xf numFmtId="171" fontId="110" fillId="16" borderId="47" xfId="14" applyNumberFormat="1" applyFont="1" applyFill="1" applyBorder="1"/>
    <xf numFmtId="0" fontId="110" fillId="0" borderId="47" xfId="14" applyFont="1" applyBorder="1" applyAlignment="1">
      <alignment horizontal="center"/>
    </xf>
    <xf numFmtId="0" fontId="110" fillId="0" borderId="48" xfId="14" applyFont="1" applyBorder="1"/>
    <xf numFmtId="175" fontId="110" fillId="0" borderId="28" xfId="14" applyNumberFormat="1" applyFont="1" applyBorder="1"/>
    <xf numFmtId="0" fontId="110" fillId="0" borderId="41" xfId="14" applyFont="1" applyBorder="1" applyAlignment="1">
      <alignment horizontal="center"/>
    </xf>
    <xf numFmtId="171" fontId="120" fillId="16" borderId="49" xfId="14" applyNumberFormat="1" applyFont="1" applyFill="1" applyBorder="1"/>
    <xf numFmtId="0" fontId="110" fillId="0" borderId="50" xfId="14" applyFont="1" applyBorder="1"/>
    <xf numFmtId="171" fontId="110" fillId="0" borderId="51" xfId="14" applyNumberFormat="1" applyFont="1" applyFill="1" applyBorder="1"/>
    <xf numFmtId="171" fontId="110" fillId="0" borderId="52" xfId="14" applyNumberFormat="1" applyFont="1" applyFill="1" applyBorder="1"/>
    <xf numFmtId="2" fontId="110" fillId="0" borderId="52" xfId="14" applyNumberFormat="1" applyFont="1" applyFill="1" applyBorder="1" applyAlignment="1">
      <alignment horizontal="center"/>
    </xf>
    <xf numFmtId="0" fontId="110" fillId="0" borderId="52" xfId="14" applyFont="1" applyFill="1" applyBorder="1" applyAlignment="1">
      <alignment horizontal="center"/>
    </xf>
    <xf numFmtId="0" fontId="110" fillId="0" borderId="52" xfId="14" applyFont="1" applyFill="1" applyBorder="1"/>
    <xf numFmtId="0" fontId="110" fillId="0" borderId="53" xfId="14" applyFont="1" applyBorder="1" applyAlignment="1">
      <alignment horizontal="center"/>
    </xf>
    <xf numFmtId="0" fontId="111" fillId="0" borderId="53" xfId="14" applyFont="1" applyBorder="1" applyAlignment="1">
      <alignment horizontal="center"/>
    </xf>
    <xf numFmtId="4" fontId="110" fillId="0" borderId="51" xfId="14" applyNumberFormat="1" applyFont="1" applyFill="1" applyBorder="1"/>
    <xf numFmtId="2" fontId="110" fillId="0" borderId="52" xfId="14" applyNumberFormat="1" applyFont="1" applyFill="1" applyBorder="1"/>
    <xf numFmtId="171" fontId="110" fillId="0" borderId="51" xfId="14" applyNumberFormat="1" applyFont="1" applyFill="1" applyBorder="1" applyAlignment="1">
      <alignment horizontal="right"/>
    </xf>
    <xf numFmtId="171" fontId="110" fillId="0" borderId="52" xfId="14" applyNumberFormat="1" applyFont="1" applyFill="1" applyBorder="1" applyAlignment="1">
      <alignment horizontal="right"/>
    </xf>
    <xf numFmtId="0" fontId="111" fillId="0" borderId="54" xfId="14" applyFont="1" applyBorder="1" applyAlignment="1">
      <alignment horizontal="center"/>
    </xf>
    <xf numFmtId="2" fontId="111" fillId="3" borderId="55" xfId="14" applyNumberFormat="1" applyFont="1" applyFill="1" applyBorder="1" applyAlignment="1">
      <alignment horizontal="center" vertical="center" wrapText="1"/>
    </xf>
    <xf numFmtId="2" fontId="111" fillId="3" borderId="56" xfId="14" applyNumberFormat="1" applyFont="1" applyFill="1" applyBorder="1" applyAlignment="1">
      <alignment horizontal="center" vertical="center" wrapText="1"/>
    </xf>
    <xf numFmtId="0" fontId="111" fillId="3" borderId="56" xfId="14" applyFont="1" applyFill="1" applyBorder="1" applyAlignment="1">
      <alignment horizontal="center" vertical="center"/>
    </xf>
    <xf numFmtId="0" fontId="111" fillId="3" borderId="57" xfId="14" applyFont="1" applyFill="1" applyBorder="1" applyAlignment="1">
      <alignment horizontal="center" vertical="center"/>
    </xf>
    <xf numFmtId="172" fontId="1" fillId="0" borderId="0" xfId="14" applyNumberFormat="1"/>
    <xf numFmtId="10" fontId="125" fillId="0" borderId="0" xfId="16" applyNumberFormat="1" applyFont="1"/>
    <xf numFmtId="0" fontId="56" fillId="0" borderId="0" xfId="14" applyFont="1"/>
    <xf numFmtId="10" fontId="57" fillId="0" borderId="2" xfId="14" applyNumberFormat="1" applyFont="1" applyFill="1" applyBorder="1" applyAlignment="1" applyProtection="1">
      <alignment horizontal="center"/>
      <protection locked="0"/>
    </xf>
    <xf numFmtId="0" fontId="120" fillId="0" borderId="0" xfId="14" applyFont="1" applyFill="1" applyBorder="1" applyAlignment="1">
      <alignment horizontal="center"/>
    </xf>
    <xf numFmtId="0" fontId="123" fillId="0" borderId="44" xfId="14" applyFont="1" applyBorder="1"/>
    <xf numFmtId="0" fontId="123" fillId="0" borderId="55" xfId="14" applyFont="1" applyFill="1" applyBorder="1" applyAlignment="1">
      <alignment horizontal="center"/>
    </xf>
    <xf numFmtId="0" fontId="110" fillId="0" borderId="58" xfId="14" applyFont="1" applyBorder="1"/>
    <xf numFmtId="4" fontId="111" fillId="0" borderId="58" xfId="14" applyNumberFormat="1" applyFont="1" applyBorder="1"/>
    <xf numFmtId="0" fontId="111" fillId="0" borderId="58" xfId="14" applyFont="1" applyBorder="1"/>
    <xf numFmtId="0" fontId="122" fillId="0" borderId="58" xfId="14" applyFont="1" applyBorder="1"/>
    <xf numFmtId="0" fontId="122" fillId="0" borderId="59" xfId="14" applyFont="1" applyBorder="1"/>
    <xf numFmtId="0" fontId="1" fillId="0" borderId="36" xfId="14" applyBorder="1"/>
    <xf numFmtId="0" fontId="126" fillId="0" borderId="0" xfId="14" applyFont="1" applyFill="1" applyBorder="1" applyAlignment="1">
      <alignment vertical="center" wrapText="1"/>
    </xf>
    <xf numFmtId="0" fontId="58" fillId="0" borderId="0" xfId="14" applyFont="1" applyProtection="1">
      <protection locked="0"/>
    </xf>
    <xf numFmtId="0" fontId="58" fillId="0" borderId="0" xfId="14" applyFont="1" applyBorder="1" applyProtection="1">
      <protection locked="0"/>
    </xf>
    <xf numFmtId="0" fontId="127" fillId="0" borderId="0" xfId="14" applyFont="1" applyFill="1" applyBorder="1" applyAlignment="1"/>
    <xf numFmtId="0" fontId="111" fillId="16" borderId="60" xfId="14" applyFont="1" applyFill="1" applyBorder="1" applyAlignment="1">
      <alignment horizontal="center" vertical="center"/>
    </xf>
    <xf numFmtId="0" fontId="111" fillId="16" borderId="61" xfId="14" applyFont="1" applyFill="1" applyBorder="1" applyAlignment="1">
      <alignment horizontal="center" vertical="center"/>
    </xf>
    <xf numFmtId="2" fontId="111" fillId="16" borderId="61" xfId="14" applyNumberFormat="1" applyFont="1" applyFill="1" applyBorder="1" applyAlignment="1">
      <alignment horizontal="center" vertical="center" wrapText="1"/>
    </xf>
    <xf numFmtId="2" fontId="111" fillId="16" borderId="62" xfId="14" applyNumberFormat="1" applyFont="1" applyFill="1" applyBorder="1" applyAlignment="1">
      <alignment horizontal="center" vertical="center" wrapText="1"/>
    </xf>
    <xf numFmtId="0" fontId="111" fillId="0" borderId="63" xfId="14" applyFont="1" applyBorder="1" applyAlignment="1">
      <alignment horizontal="center"/>
    </xf>
    <xf numFmtId="0" fontId="111" fillId="0" borderId="2" xfId="14" applyFont="1" applyBorder="1" applyAlignment="1">
      <alignment horizontal="left"/>
    </xf>
    <xf numFmtId="0" fontId="111" fillId="0" borderId="2" xfId="14" applyFont="1" applyBorder="1" applyAlignment="1"/>
    <xf numFmtId="0" fontId="111" fillId="0" borderId="10" xfId="14" applyFont="1" applyBorder="1" applyAlignment="1"/>
    <xf numFmtId="0" fontId="123" fillId="0" borderId="63" xfId="14" applyFont="1" applyBorder="1" applyAlignment="1">
      <alignment horizontal="center" vertical="center"/>
    </xf>
    <xf numFmtId="0" fontId="111" fillId="0" borderId="2" xfId="14" applyFont="1" applyBorder="1" applyAlignment="1">
      <alignment horizontal="left" vertical="center"/>
    </xf>
    <xf numFmtId="0" fontId="110" fillId="0" borderId="2" xfId="14" applyFont="1" applyBorder="1" applyAlignment="1">
      <alignment horizontal="center"/>
    </xf>
    <xf numFmtId="2" fontId="110" fillId="0" borderId="2" xfId="14" applyNumberFormat="1" applyFont="1" applyBorder="1" applyAlignment="1">
      <alignment horizontal="center"/>
    </xf>
    <xf numFmtId="4" fontId="110" fillId="0" borderId="10" xfId="14" applyNumberFormat="1" applyFont="1" applyBorder="1" applyAlignment="1">
      <alignment horizontal="center"/>
    </xf>
    <xf numFmtId="0" fontId="123" fillId="0" borderId="63" xfId="14" applyFont="1" applyBorder="1" applyAlignment="1">
      <alignment horizontal="center"/>
    </xf>
    <xf numFmtId="0" fontId="110" fillId="0" borderId="2" xfId="14" applyFont="1" applyFill="1" applyBorder="1" applyAlignment="1">
      <alignment horizontal="left"/>
    </xf>
    <xf numFmtId="0" fontId="110" fillId="0" borderId="2" xfId="14" applyFont="1" applyFill="1" applyBorder="1" applyAlignment="1">
      <alignment horizontal="center"/>
    </xf>
    <xf numFmtId="2" fontId="110" fillId="0" borderId="2" xfId="14" applyNumberFormat="1" applyFont="1" applyFill="1" applyBorder="1" applyAlignment="1">
      <alignment horizontal="center"/>
    </xf>
    <xf numFmtId="171" fontId="110" fillId="0" borderId="2" xfId="14" applyNumberFormat="1" applyFont="1" applyFill="1" applyBorder="1" applyAlignment="1">
      <alignment horizontal="right" indent="1"/>
    </xf>
    <xf numFmtId="171" fontId="110" fillId="0" borderId="10" xfId="14" applyNumberFormat="1" applyFont="1" applyFill="1" applyBorder="1" applyAlignment="1">
      <alignment horizontal="right" indent="1"/>
    </xf>
    <xf numFmtId="178" fontId="110" fillId="0" borderId="2" xfId="4" applyFont="1" applyFill="1" applyBorder="1" applyAlignment="1">
      <alignment horizontal="center"/>
    </xf>
    <xf numFmtId="178" fontId="110" fillId="0" borderId="2" xfId="4" applyFont="1" applyFill="1" applyBorder="1" applyAlignment="1">
      <alignment horizontal="right" indent="1"/>
    </xf>
    <xf numFmtId="171" fontId="125" fillId="0" borderId="0" xfId="14" applyNumberFormat="1" applyFont="1"/>
    <xf numFmtId="0" fontId="111" fillId="0" borderId="2" xfId="14" applyFont="1" applyFill="1" applyBorder="1" applyAlignment="1">
      <alignment horizontal="left"/>
    </xf>
    <xf numFmtId="0" fontId="111" fillId="0" borderId="2" xfId="14" applyFont="1" applyBorder="1" applyAlignment="1">
      <alignment horizontal="center"/>
    </xf>
    <xf numFmtId="0" fontId="111" fillId="0" borderId="10" xfId="14" applyFont="1" applyFill="1" applyBorder="1" applyAlignment="1">
      <alignment horizontal="center"/>
    </xf>
    <xf numFmtId="4" fontId="125" fillId="0" borderId="0" xfId="14" applyNumberFormat="1" applyFont="1"/>
    <xf numFmtId="179" fontId="110" fillId="0" borderId="2" xfId="14" applyNumberFormat="1" applyFont="1" applyFill="1" applyBorder="1" applyAlignment="1">
      <alignment horizontal="left"/>
    </xf>
    <xf numFmtId="180" fontId="110" fillId="0" borderId="2" xfId="14" applyNumberFormat="1" applyFont="1" applyFill="1" applyBorder="1" applyAlignment="1">
      <alignment horizontal="left"/>
    </xf>
    <xf numFmtId="181" fontId="110" fillId="0" borderId="2" xfId="14" applyNumberFormat="1" applyFont="1" applyFill="1" applyBorder="1" applyAlignment="1">
      <alignment horizontal="left"/>
    </xf>
    <xf numFmtId="182" fontId="110" fillId="0" borderId="2" xfId="14" applyNumberFormat="1" applyFont="1" applyFill="1" applyBorder="1" applyAlignment="1">
      <alignment horizontal="left"/>
    </xf>
    <xf numFmtId="0" fontId="111" fillId="0" borderId="63" xfId="14" applyFont="1" applyFill="1" applyBorder="1" applyAlignment="1">
      <alignment horizontal="center"/>
    </xf>
    <xf numFmtId="4" fontId="110" fillId="0" borderId="2" xfId="14" applyNumberFormat="1" applyFont="1" applyFill="1" applyBorder="1" applyAlignment="1">
      <alignment horizontal="center"/>
    </xf>
    <xf numFmtId="4" fontId="110" fillId="0" borderId="10" xfId="14" applyNumberFormat="1" applyFont="1" applyFill="1" applyBorder="1" applyAlignment="1">
      <alignment horizontal="center"/>
    </xf>
    <xf numFmtId="4" fontId="110" fillId="0" borderId="2" xfId="14" applyNumberFormat="1" applyFont="1" applyFill="1" applyBorder="1" applyAlignment="1">
      <alignment horizontal="right" indent="1"/>
    </xf>
    <xf numFmtId="4" fontId="110" fillId="0" borderId="10" xfId="14" applyNumberFormat="1" applyFont="1" applyFill="1" applyBorder="1" applyAlignment="1">
      <alignment horizontal="right" indent="1"/>
    </xf>
    <xf numFmtId="0" fontId="1" fillId="0" borderId="0" xfId="14" applyFill="1"/>
    <xf numFmtId="174" fontId="1" fillId="0" borderId="0" xfId="14" applyNumberFormat="1" applyFill="1"/>
    <xf numFmtId="183" fontId="1" fillId="0" borderId="0" xfId="14" applyNumberFormat="1" applyFill="1"/>
    <xf numFmtId="0" fontId="111" fillId="0" borderId="2" xfId="14" applyFont="1" applyFill="1" applyBorder="1" applyAlignment="1"/>
    <xf numFmtId="0" fontId="111" fillId="0" borderId="10" xfId="14" applyFont="1" applyFill="1" applyBorder="1" applyAlignment="1"/>
    <xf numFmtId="171" fontId="111" fillId="0" borderId="11" xfId="14" applyNumberFormat="1" applyFont="1" applyFill="1" applyBorder="1"/>
    <xf numFmtId="0" fontId="52" fillId="0" borderId="0" xfId="14" applyFont="1" applyBorder="1"/>
    <xf numFmtId="0" fontId="1" fillId="5" borderId="0" xfId="14" applyFill="1"/>
    <xf numFmtId="0" fontId="1" fillId="6" borderId="0" xfId="14" applyFill="1"/>
    <xf numFmtId="0" fontId="1" fillId="7" borderId="0" xfId="14" applyFill="1"/>
    <xf numFmtId="171" fontId="128" fillId="0" borderId="0" xfId="14" applyNumberFormat="1" applyFont="1"/>
    <xf numFmtId="171" fontId="48" fillId="0" borderId="11" xfId="14" applyNumberFormat="1" applyFont="1" applyFill="1" applyBorder="1" applyAlignment="1">
      <alignment vertical="center"/>
    </xf>
    <xf numFmtId="171" fontId="48" fillId="0" borderId="64" xfId="14" applyNumberFormat="1" applyFont="1" applyFill="1" applyBorder="1" applyAlignment="1">
      <alignment vertical="center"/>
    </xf>
    <xf numFmtId="171" fontId="60" fillId="0" borderId="64" xfId="14" applyNumberFormat="1" applyFont="1" applyFill="1" applyBorder="1" applyAlignment="1">
      <alignment vertical="center"/>
    </xf>
    <xf numFmtId="0" fontId="59" fillId="0" borderId="65" xfId="14" applyFont="1" applyBorder="1" applyAlignment="1">
      <alignment horizontal="center" vertical="center"/>
    </xf>
    <xf numFmtId="0" fontId="48" fillId="0" borderId="0" xfId="14" applyFont="1"/>
    <xf numFmtId="171" fontId="48" fillId="0" borderId="13" xfId="14" applyNumberFormat="1" applyFont="1" applyFill="1" applyBorder="1" applyAlignment="1">
      <alignment vertical="center"/>
    </xf>
    <xf numFmtId="171" fontId="48" fillId="0" borderId="4" xfId="14" applyNumberFormat="1" applyFont="1" applyFill="1" applyBorder="1" applyAlignment="1">
      <alignment vertical="center"/>
    </xf>
    <xf numFmtId="0" fontId="59" fillId="0" borderId="12" xfId="14" applyFont="1" applyBorder="1" applyAlignment="1">
      <alignment horizontal="center" vertical="center"/>
    </xf>
    <xf numFmtId="171" fontId="48" fillId="0" borderId="66" xfId="14" applyNumberFormat="1" applyFont="1" applyFill="1" applyBorder="1" applyAlignment="1">
      <alignment vertical="center"/>
    </xf>
    <xf numFmtId="4" fontId="48" fillId="0" borderId="64" xfId="14" applyNumberFormat="1" applyFont="1" applyFill="1" applyBorder="1" applyAlignment="1">
      <alignment horizontal="center" vertical="center"/>
    </xf>
    <xf numFmtId="0" fontId="48" fillId="0" borderId="67" xfId="14" applyFont="1" applyFill="1" applyBorder="1" applyAlignment="1">
      <alignment horizontal="center"/>
    </xf>
    <xf numFmtId="0" fontId="48" fillId="0" borderId="65" xfId="14" applyFont="1" applyFill="1" applyBorder="1" applyAlignment="1"/>
    <xf numFmtId="2" fontId="61" fillId="0" borderId="0" xfId="14" applyNumberFormat="1" applyFont="1" applyBorder="1" applyAlignment="1">
      <alignment horizontal="center"/>
    </xf>
    <xf numFmtId="171" fontId="48" fillId="0" borderId="3" xfId="14" applyNumberFormat="1" applyFont="1" applyFill="1" applyBorder="1" applyAlignment="1">
      <alignment vertical="center"/>
    </xf>
    <xf numFmtId="171" fontId="48" fillId="0" borderId="2" xfId="14" applyNumberFormat="1" applyFont="1" applyFill="1" applyBorder="1" applyAlignment="1">
      <alignment vertical="center"/>
    </xf>
    <xf numFmtId="171" fontId="60" fillId="0" borderId="3" xfId="14" applyNumberFormat="1" applyFont="1" applyFill="1" applyBorder="1" applyAlignment="1">
      <alignment vertical="center"/>
    </xf>
    <xf numFmtId="4" fontId="48" fillId="0" borderId="3" xfId="14" applyNumberFormat="1" applyFont="1" applyFill="1" applyBorder="1" applyAlignment="1">
      <alignment horizontal="center" vertical="center"/>
    </xf>
    <xf numFmtId="0" fontId="48" fillId="0" borderId="18" xfId="14" applyFont="1" applyFill="1" applyBorder="1" applyAlignment="1">
      <alignment horizontal="center"/>
    </xf>
    <xf numFmtId="0" fontId="48" fillId="0" borderId="63" xfId="14" applyFont="1" applyFill="1" applyBorder="1" applyAlignment="1"/>
    <xf numFmtId="2" fontId="61" fillId="0" borderId="5" xfId="14" applyNumberFormat="1" applyFont="1" applyBorder="1" applyAlignment="1">
      <alignment horizontal="center"/>
    </xf>
    <xf numFmtId="4" fontId="48" fillId="0" borderId="2" xfId="14" applyNumberFormat="1" applyFont="1" applyFill="1" applyBorder="1" applyAlignment="1">
      <alignment horizontal="center" vertical="center"/>
    </xf>
    <xf numFmtId="171" fontId="48" fillId="0" borderId="2" xfId="14" applyNumberFormat="1" applyFont="1" applyFill="1" applyBorder="1" applyAlignment="1">
      <alignment horizontal="center" vertical="center"/>
    </xf>
    <xf numFmtId="171" fontId="60" fillId="0" borderId="2" xfId="14" applyNumberFormat="1" applyFont="1" applyFill="1" applyBorder="1" applyAlignment="1">
      <alignment vertical="center"/>
    </xf>
    <xf numFmtId="171" fontId="60" fillId="0" borderId="4" xfId="14" applyNumberFormat="1" applyFont="1" applyFill="1" applyBorder="1" applyAlignment="1">
      <alignment vertical="center"/>
    </xf>
    <xf numFmtId="4" fontId="48" fillId="0" borderId="4" xfId="14" applyNumberFormat="1" applyFont="1" applyFill="1" applyBorder="1" applyAlignment="1">
      <alignment horizontal="center" vertical="center"/>
    </xf>
    <xf numFmtId="0" fontId="110" fillId="0" borderId="63" xfId="14" applyFont="1" applyFill="1" applyBorder="1" applyAlignment="1">
      <alignment horizontal="left"/>
    </xf>
    <xf numFmtId="0" fontId="48" fillId="0" borderId="9" xfId="14" applyFont="1" applyFill="1" applyBorder="1" applyAlignment="1">
      <alignment horizontal="center"/>
    </xf>
    <xf numFmtId="0" fontId="5" fillId="0" borderId="0" xfId="14" applyFont="1" applyBorder="1"/>
    <xf numFmtId="0" fontId="59" fillId="16" borderId="15" xfId="14" applyFont="1" applyFill="1" applyBorder="1" applyAlignment="1">
      <alignment horizontal="center" wrapText="1"/>
    </xf>
    <xf numFmtId="0" fontId="59" fillId="16" borderId="68" xfId="14" applyFont="1" applyFill="1" applyBorder="1" applyAlignment="1">
      <alignment horizontal="center" vertical="center"/>
    </xf>
    <xf numFmtId="184" fontId="59" fillId="16" borderId="68" xfId="14" applyNumberFormat="1" applyFont="1" applyFill="1" applyBorder="1" applyAlignment="1">
      <alignment horizontal="center" vertical="center"/>
    </xf>
    <xf numFmtId="185" fontId="59" fillId="16" borderId="68" xfId="14" applyNumberFormat="1" applyFont="1" applyFill="1" applyBorder="1" applyAlignment="1">
      <alignment horizontal="center" vertical="center"/>
    </xf>
    <xf numFmtId="186" fontId="59" fillId="16" borderId="68" xfId="14" applyNumberFormat="1" applyFont="1" applyFill="1" applyBorder="1" applyAlignment="1" applyProtection="1">
      <alignment horizontal="center" vertical="center"/>
    </xf>
    <xf numFmtId="187" fontId="59" fillId="16" borderId="68" xfId="14" applyNumberFormat="1" applyFont="1" applyFill="1" applyBorder="1" applyAlignment="1">
      <alignment horizontal="center" vertical="center"/>
    </xf>
    <xf numFmtId="188" fontId="59" fillId="16" borderId="68" xfId="14" applyNumberFormat="1" applyFont="1" applyFill="1" applyBorder="1" applyAlignment="1">
      <alignment horizontal="center" vertical="center"/>
    </xf>
    <xf numFmtId="188" fontId="62" fillId="16" borderId="68" xfId="14" applyNumberFormat="1" applyFont="1" applyFill="1" applyBorder="1" applyAlignment="1">
      <alignment horizontal="center" vertical="center"/>
    </xf>
    <xf numFmtId="189" fontId="63" fillId="16" borderId="68" xfId="14" applyNumberFormat="1" applyFont="1" applyFill="1" applyBorder="1" applyAlignment="1">
      <alignment horizontal="center" vertical="center"/>
    </xf>
    <xf numFmtId="0" fontId="59" fillId="16" borderId="69" xfId="14" applyFont="1" applyFill="1" applyBorder="1" applyAlignment="1">
      <alignment horizontal="center" vertical="center" wrapText="1"/>
    </xf>
    <xf numFmtId="2" fontId="57" fillId="16" borderId="68" xfId="14" applyNumberFormat="1" applyFont="1" applyFill="1" applyBorder="1" applyAlignment="1">
      <alignment horizontal="center" vertical="center" wrapText="1"/>
    </xf>
    <xf numFmtId="0" fontId="59" fillId="16" borderId="14" xfId="14" applyFont="1" applyFill="1" applyBorder="1" applyAlignment="1">
      <alignment horizontal="center" vertical="center" wrapText="1"/>
    </xf>
    <xf numFmtId="0" fontId="65" fillId="0" borderId="0" xfId="14" applyFont="1"/>
    <xf numFmtId="0" fontId="59" fillId="0" borderId="65" xfId="14" applyFont="1" applyFill="1" applyBorder="1" applyAlignment="1">
      <alignment horizontal="center" vertical="center"/>
    </xf>
    <xf numFmtId="0" fontId="48" fillId="0" borderId="0" xfId="14" applyFont="1" applyFill="1"/>
    <xf numFmtId="0" fontId="59" fillId="0" borderId="12" xfId="14" applyFont="1" applyFill="1" applyBorder="1" applyAlignment="1">
      <alignment horizontal="center" vertical="center"/>
    </xf>
    <xf numFmtId="4" fontId="48" fillId="0" borderId="67" xfId="14" applyNumberFormat="1" applyFont="1" applyFill="1" applyBorder="1" applyAlignment="1">
      <alignment horizontal="center" vertical="center"/>
    </xf>
    <xf numFmtId="0" fontId="48" fillId="0" borderId="70" xfId="14" applyFont="1" applyFill="1" applyBorder="1" applyAlignment="1">
      <alignment horizontal="center"/>
    </xf>
    <xf numFmtId="0" fontId="48" fillId="0" borderId="71" xfId="14" applyFont="1" applyFill="1" applyBorder="1" applyAlignment="1">
      <alignment horizontal="left"/>
    </xf>
    <xf numFmtId="171" fontId="48" fillId="0" borderId="10" xfId="14" applyNumberFormat="1" applyFont="1" applyFill="1" applyBorder="1" applyAlignment="1">
      <alignment vertical="center"/>
    </xf>
    <xf numFmtId="4" fontId="48" fillId="0" borderId="18" xfId="14" applyNumberFormat="1" applyFont="1" applyFill="1" applyBorder="1" applyAlignment="1">
      <alignment horizontal="center" vertical="center"/>
    </xf>
    <xf numFmtId="0" fontId="48" fillId="0" borderId="72" xfId="14" applyFont="1" applyFill="1" applyBorder="1" applyAlignment="1">
      <alignment horizontal="center"/>
    </xf>
    <xf numFmtId="0" fontId="48" fillId="0" borderId="73" xfId="14" applyFont="1" applyFill="1" applyBorder="1" applyAlignment="1">
      <alignment horizontal="left"/>
    </xf>
    <xf numFmtId="178" fontId="48" fillId="0" borderId="10" xfId="4" applyFont="1" applyFill="1" applyBorder="1" applyAlignment="1">
      <alignment horizontal="center" vertical="center"/>
    </xf>
    <xf numFmtId="178" fontId="48" fillId="0" borderId="2" xfId="4" applyFont="1" applyFill="1" applyBorder="1" applyAlignment="1">
      <alignment horizontal="center" vertical="center"/>
    </xf>
    <xf numFmtId="178" fontId="60" fillId="0" borderId="2" xfId="4" applyFont="1" applyFill="1" applyBorder="1" applyAlignment="1">
      <alignment horizontal="center" vertical="center"/>
    </xf>
    <xf numFmtId="178" fontId="48" fillId="0" borderId="18" xfId="4" applyFont="1" applyFill="1" applyBorder="1" applyAlignment="1">
      <alignment horizontal="center" vertical="center"/>
    </xf>
    <xf numFmtId="178" fontId="48" fillId="0" borderId="72" xfId="4" applyFont="1" applyFill="1" applyBorder="1" applyAlignment="1">
      <alignment horizontal="center" vertical="center"/>
    </xf>
    <xf numFmtId="0" fontId="58" fillId="0" borderId="0" xfId="14" applyFont="1"/>
    <xf numFmtId="0" fontId="48" fillId="0" borderId="73" xfId="14" applyFont="1" applyFill="1" applyBorder="1" applyAlignment="1"/>
    <xf numFmtId="4" fontId="58" fillId="0" borderId="0" xfId="14" applyNumberFormat="1" applyFont="1"/>
    <xf numFmtId="190" fontId="58" fillId="0" borderId="0" xfId="14" applyNumberFormat="1" applyFont="1"/>
    <xf numFmtId="4" fontId="48" fillId="0" borderId="9" xfId="14" applyNumberFormat="1" applyFont="1" applyFill="1" applyBorder="1" applyAlignment="1">
      <alignment horizontal="center" vertical="center"/>
    </xf>
    <xf numFmtId="0" fontId="48" fillId="0" borderId="74" xfId="14" applyFont="1" applyFill="1" applyBorder="1" applyAlignment="1">
      <alignment horizontal="center"/>
    </xf>
    <xf numFmtId="0" fontId="48" fillId="0" borderId="22" xfId="14" applyFont="1" applyFill="1" applyBorder="1" applyAlignment="1"/>
    <xf numFmtId="0" fontId="66" fillId="0" borderId="0" xfId="14" applyFont="1"/>
    <xf numFmtId="0" fontId="62" fillId="16" borderId="15" xfId="14" applyFont="1" applyFill="1" applyBorder="1" applyAlignment="1">
      <alignment horizontal="center" vertical="center" wrapText="1"/>
    </xf>
    <xf numFmtId="0" fontId="62" fillId="16" borderId="68" xfId="14" applyFont="1" applyFill="1" applyBorder="1" applyAlignment="1">
      <alignment horizontal="center" vertical="center"/>
    </xf>
    <xf numFmtId="184" fontId="62" fillId="16" borderId="68" xfId="14" applyNumberFormat="1" applyFont="1" applyFill="1" applyBorder="1" applyAlignment="1">
      <alignment horizontal="center" vertical="center"/>
    </xf>
    <xf numFmtId="185" fontId="62" fillId="16" borderId="68" xfId="14" applyNumberFormat="1" applyFont="1" applyFill="1" applyBorder="1" applyAlignment="1">
      <alignment horizontal="center" vertical="center"/>
    </xf>
    <xf numFmtId="186" fontId="62" fillId="16" borderId="68" xfId="14" applyNumberFormat="1" applyFont="1" applyFill="1" applyBorder="1" applyAlignment="1" applyProtection="1">
      <alignment horizontal="center" vertical="center"/>
      <protection locked="0"/>
    </xf>
    <xf numFmtId="187" fontId="62" fillId="16" borderId="68" xfId="14" applyNumberFormat="1" applyFont="1" applyFill="1" applyBorder="1" applyAlignment="1">
      <alignment horizontal="center" vertical="center"/>
    </xf>
    <xf numFmtId="189" fontId="67" fillId="16" borderId="68" xfId="14" applyNumberFormat="1" applyFont="1" applyFill="1" applyBorder="1" applyAlignment="1" applyProtection="1">
      <alignment horizontal="center" vertical="center"/>
      <protection locked="0"/>
    </xf>
    <xf numFmtId="0" fontId="62" fillId="16" borderId="69" xfId="14" applyFont="1" applyFill="1" applyBorder="1" applyAlignment="1">
      <alignment horizontal="center" vertical="center" wrapText="1"/>
    </xf>
    <xf numFmtId="0" fontId="62" fillId="16" borderId="75" xfId="14" applyFont="1" applyFill="1" applyBorder="1" applyAlignment="1">
      <alignment horizontal="center" vertical="center"/>
    </xf>
    <xf numFmtId="2" fontId="57" fillId="16" borderId="76" xfId="14" applyNumberFormat="1" applyFont="1" applyFill="1" applyBorder="1" applyAlignment="1">
      <alignment horizontal="center" vertical="center" wrapText="1"/>
    </xf>
    <xf numFmtId="0" fontId="62" fillId="16" borderId="77" xfId="14" applyFont="1" applyFill="1" applyBorder="1" applyAlignment="1">
      <alignment horizontal="center" vertical="center" wrapText="1"/>
    </xf>
    <xf numFmtId="0" fontId="68" fillId="0" borderId="0" xfId="14" applyFont="1" applyFill="1"/>
    <xf numFmtId="0" fontId="70" fillId="2" borderId="0" xfId="9" applyFont="1" applyFill="1"/>
    <xf numFmtId="0" fontId="129" fillId="19" borderId="2" xfId="0" applyFont="1" applyFill="1" applyBorder="1" applyAlignment="1">
      <alignment horizontal="center" vertical="center"/>
    </xf>
    <xf numFmtId="0" fontId="71" fillId="0" borderId="2" xfId="0" applyFont="1" applyBorder="1" applyAlignment="1">
      <alignment horizontal="left" vertical="center"/>
    </xf>
    <xf numFmtId="0" fontId="129" fillId="0" borderId="2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1" fontId="129" fillId="0" borderId="2" xfId="0" applyNumberFormat="1" applyFont="1" applyBorder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52" fillId="0" borderId="0" xfId="0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0" xfId="0" applyFont="1" applyFill="1" applyAlignment="1">
      <alignment horizontal="center" vertical="center"/>
    </xf>
    <xf numFmtId="166" fontId="52" fillId="0" borderId="0" xfId="0" applyNumberFormat="1" applyFont="1" applyFill="1" applyBorder="1" applyAlignment="1" applyProtection="1">
      <alignment vertical="center"/>
    </xf>
    <xf numFmtId="166" fontId="52" fillId="0" borderId="0" xfId="0" applyNumberFormat="1" applyFont="1" applyFill="1" applyAlignment="1" applyProtection="1">
      <alignment vertical="center"/>
    </xf>
    <xf numFmtId="166" fontId="52" fillId="0" borderId="0" xfId="0" applyNumberFormat="1" applyFont="1" applyFill="1" applyAlignment="1" applyProtection="1">
      <alignment horizontal="center" vertical="center"/>
    </xf>
    <xf numFmtId="166" fontId="72" fillId="0" borderId="0" xfId="0" applyNumberFormat="1" applyFont="1" applyFill="1" applyAlignment="1" applyProtection="1">
      <alignment horizontal="left" vertical="center"/>
    </xf>
    <xf numFmtId="166" fontId="52" fillId="0" borderId="0" xfId="0" applyNumberFormat="1" applyFont="1" applyFill="1" applyAlignment="1" applyProtection="1">
      <alignment horizontal="left" vertical="center"/>
    </xf>
    <xf numFmtId="0" fontId="52" fillId="2" borderId="0" xfId="7" applyFont="1" applyFill="1" applyBorder="1"/>
    <xf numFmtId="166" fontId="39" fillId="0" borderId="12" xfId="0" applyNumberFormat="1" applyFont="1" applyFill="1" applyBorder="1" applyAlignment="1" applyProtection="1">
      <alignment horizontal="left" vertical="center"/>
    </xf>
    <xf numFmtId="4" fontId="52" fillId="2" borderId="13" xfId="7" applyNumberFormat="1" applyFont="1" applyFill="1" applyBorder="1" applyAlignment="1">
      <alignment vertical="center"/>
    </xf>
    <xf numFmtId="4" fontId="52" fillId="2" borderId="10" xfId="7" applyNumberFormat="1" applyFont="1" applyFill="1" applyBorder="1" applyAlignment="1">
      <alignment vertical="center"/>
    </xf>
    <xf numFmtId="4" fontId="39" fillId="2" borderId="11" xfId="7" applyNumberFormat="1" applyFont="1" applyFill="1" applyBorder="1" applyAlignment="1" applyProtection="1">
      <alignment vertical="center"/>
    </xf>
    <xf numFmtId="166" fontId="73" fillId="0" borderId="0" xfId="0" applyNumberFormat="1" applyFont="1" applyFill="1" applyAlignment="1" applyProtection="1">
      <alignment horizontal="left" vertical="center"/>
    </xf>
    <xf numFmtId="166" fontId="73" fillId="0" borderId="0" xfId="0" applyNumberFormat="1" applyFont="1" applyFill="1" applyAlignment="1" applyProtection="1">
      <alignment horizontal="center" vertical="center"/>
    </xf>
    <xf numFmtId="39" fontId="50" fillId="0" borderId="0" xfId="0" applyNumberFormat="1" applyFont="1" applyFill="1" applyBorder="1" applyAlignment="1" applyProtection="1">
      <alignment horizontal="center" vertical="center"/>
    </xf>
    <xf numFmtId="4" fontId="72" fillId="0" borderId="0" xfId="0" applyNumberFormat="1" applyFont="1" applyFill="1" applyBorder="1" applyAlignment="1" applyProtection="1">
      <alignment vertical="center"/>
    </xf>
    <xf numFmtId="4" fontId="52" fillId="0" borderId="0" xfId="0" applyNumberFormat="1" applyFont="1" applyFill="1" applyBorder="1" applyAlignment="1">
      <alignment vertical="center"/>
    </xf>
    <xf numFmtId="4" fontId="52" fillId="0" borderId="0" xfId="0" applyNumberFormat="1" applyFont="1" applyFill="1" applyAlignment="1">
      <alignment vertical="center"/>
    </xf>
    <xf numFmtId="166" fontId="74" fillId="0" borderId="0" xfId="0" quotePrefix="1" applyNumberFormat="1" applyFont="1" applyFill="1" applyBorder="1" applyAlignment="1" applyProtection="1">
      <alignment horizontal="centerContinuous" vertical="center"/>
    </xf>
    <xf numFmtId="166" fontId="75" fillId="0" borderId="0" xfId="0" applyNumberFormat="1" applyFont="1" applyFill="1" applyBorder="1" applyAlignment="1" applyProtection="1">
      <alignment horizontal="centerContinuous" vertical="center"/>
    </xf>
    <xf numFmtId="167" fontId="75" fillId="0" borderId="0" xfId="0" applyNumberFormat="1" applyFont="1" applyFill="1" applyBorder="1" applyAlignment="1" applyProtection="1">
      <alignment horizontal="centerContinuous" vertical="center"/>
    </xf>
    <xf numFmtId="166" fontId="75" fillId="0" borderId="0" xfId="0" applyNumberFormat="1" applyFont="1" applyFill="1" applyBorder="1" applyAlignment="1" applyProtection="1">
      <alignment horizontal="center" vertical="center"/>
    </xf>
    <xf numFmtId="167" fontId="52" fillId="0" borderId="0" xfId="0" applyNumberFormat="1" applyFont="1" applyFill="1" applyBorder="1" applyAlignment="1" applyProtection="1">
      <alignment vertical="center"/>
    </xf>
    <xf numFmtId="166" fontId="52" fillId="0" borderId="0" xfId="0" applyNumberFormat="1" applyFont="1" applyFill="1" applyBorder="1" applyAlignment="1" applyProtection="1">
      <alignment horizontal="center" vertical="center"/>
    </xf>
    <xf numFmtId="4" fontId="130" fillId="14" borderId="16" xfId="7" applyNumberFormat="1" applyFont="1" applyFill="1" applyBorder="1" applyAlignment="1" applyProtection="1"/>
    <xf numFmtId="0" fontId="131" fillId="14" borderId="17" xfId="7" applyFont="1" applyFill="1" applyBorder="1"/>
    <xf numFmtId="4" fontId="131" fillId="14" borderId="17" xfId="7" applyNumberFormat="1" applyFont="1" applyFill="1" applyBorder="1" applyProtection="1"/>
    <xf numFmtId="4" fontId="130" fillId="14" borderId="17" xfId="7" applyNumberFormat="1" applyFont="1" applyFill="1" applyBorder="1" applyAlignment="1" applyProtection="1">
      <alignment horizontal="right"/>
    </xf>
    <xf numFmtId="4" fontId="130" fillId="14" borderId="18" xfId="7" applyNumberFormat="1" applyFont="1" applyFill="1" applyBorder="1" applyProtection="1"/>
    <xf numFmtId="4" fontId="50" fillId="0" borderId="0" xfId="7" applyNumberFormat="1" applyFont="1" applyFill="1" applyBorder="1" applyAlignment="1" applyProtection="1"/>
    <xf numFmtId="0" fontId="52" fillId="0" borderId="0" xfId="7" applyFont="1" applyFill="1"/>
    <xf numFmtId="4" fontId="52" fillId="0" borderId="0" xfId="7" applyNumberFormat="1" applyFont="1" applyFill="1" applyBorder="1" applyProtection="1"/>
    <xf numFmtId="4" fontId="50" fillId="0" borderId="0" xfId="7" applyNumberFormat="1" applyFont="1" applyFill="1" applyBorder="1" applyAlignment="1" applyProtection="1">
      <alignment horizontal="right"/>
    </xf>
    <xf numFmtId="4" fontId="50" fillId="0" borderId="0" xfId="7" applyNumberFormat="1" applyFont="1" applyFill="1" applyBorder="1" applyProtection="1"/>
    <xf numFmtId="166" fontId="39" fillId="13" borderId="0" xfId="0" applyNumberFormat="1" applyFont="1" applyFill="1" applyBorder="1" applyAlignment="1" applyProtection="1">
      <alignment horizontal="right" vertical="center"/>
    </xf>
    <xf numFmtId="4" fontId="39" fillId="13" borderId="0" xfId="0" applyNumberFormat="1" applyFont="1" applyFill="1" applyBorder="1" applyAlignment="1" applyProtection="1">
      <alignment horizontal="left" vertical="center"/>
    </xf>
    <xf numFmtId="4" fontId="52" fillId="13" borderId="0" xfId="0" applyNumberFormat="1" applyFont="1" applyFill="1" applyBorder="1" applyAlignment="1" applyProtection="1">
      <alignment vertical="center"/>
    </xf>
    <xf numFmtId="4" fontId="52" fillId="13" borderId="0" xfId="0" applyNumberFormat="1" applyFont="1" applyFill="1" applyBorder="1" applyAlignment="1" applyProtection="1">
      <alignment horizontal="center" vertical="center"/>
    </xf>
    <xf numFmtId="4" fontId="50" fillId="13" borderId="0" xfId="0" applyNumberFormat="1" applyFont="1" applyFill="1" applyBorder="1" applyAlignment="1" applyProtection="1">
      <alignment horizontal="center" vertical="center"/>
    </xf>
    <xf numFmtId="4" fontId="50" fillId="13" borderId="0" xfId="0" applyNumberFormat="1" applyFont="1" applyFill="1" applyBorder="1" applyAlignment="1" applyProtection="1">
      <alignment horizontal="right" vertical="center"/>
    </xf>
    <xf numFmtId="4" fontId="50" fillId="13" borderId="0" xfId="0" applyNumberFormat="1" applyFont="1" applyFill="1" applyBorder="1" applyAlignment="1" applyProtection="1">
      <alignment vertical="center"/>
    </xf>
    <xf numFmtId="166" fontId="39" fillId="0" borderId="0" xfId="0" applyNumberFormat="1" applyFont="1" applyFill="1" applyBorder="1" applyAlignment="1" applyProtection="1">
      <alignment vertical="center"/>
    </xf>
    <xf numFmtId="4" fontId="39" fillId="0" borderId="0" xfId="0" applyNumberFormat="1" applyFont="1" applyFill="1" applyBorder="1" applyAlignment="1" applyProtection="1">
      <alignment vertical="center"/>
    </xf>
    <xf numFmtId="4" fontId="52" fillId="0" borderId="0" xfId="0" applyNumberFormat="1" applyFont="1" applyFill="1" applyBorder="1" applyAlignment="1" applyProtection="1">
      <alignment vertical="center"/>
    </xf>
    <xf numFmtId="4" fontId="52" fillId="0" borderId="0" xfId="0" applyNumberFormat="1" applyFont="1" applyFill="1" applyBorder="1" applyAlignment="1" applyProtection="1">
      <alignment horizontal="center" vertical="center"/>
    </xf>
    <xf numFmtId="2" fontId="39" fillId="0" borderId="0" xfId="0" applyNumberFormat="1" applyFont="1" applyFill="1" applyBorder="1" applyAlignment="1" applyProtection="1">
      <alignment horizontal="right" vertical="center"/>
    </xf>
    <xf numFmtId="4" fontId="39" fillId="0" borderId="0" xfId="0" applyNumberFormat="1" applyFont="1" applyFill="1" applyBorder="1" applyAlignment="1" applyProtection="1">
      <alignment horizontal="left" vertical="center"/>
    </xf>
    <xf numFmtId="4" fontId="50" fillId="0" borderId="0" xfId="0" applyNumberFormat="1" applyFont="1" applyFill="1" applyBorder="1" applyAlignment="1" applyProtection="1">
      <alignment horizontal="right" vertical="center"/>
    </xf>
    <xf numFmtId="4" fontId="50" fillId="0" borderId="0" xfId="0" applyNumberFormat="1" applyFont="1" applyFill="1" applyBorder="1" applyAlignment="1" applyProtection="1">
      <alignment vertical="center"/>
    </xf>
    <xf numFmtId="166" fontId="52" fillId="0" borderId="0" xfId="0" applyNumberFormat="1" applyFont="1" applyFill="1" applyBorder="1" applyAlignment="1" applyProtection="1">
      <alignment horizontal="right" vertical="center"/>
    </xf>
    <xf numFmtId="4" fontId="52" fillId="0" borderId="0" xfId="0" applyNumberFormat="1" applyFont="1" applyFill="1" applyBorder="1" applyAlignment="1">
      <alignment horizontal="center" vertical="center"/>
    </xf>
    <xf numFmtId="166" fontId="39" fillId="0" borderId="0" xfId="0" applyNumberFormat="1" applyFont="1" applyFill="1" applyBorder="1" applyAlignment="1" applyProtection="1">
      <alignment horizontal="center" vertical="center"/>
    </xf>
    <xf numFmtId="4" fontId="39" fillId="0" borderId="16" xfId="0" applyNumberFormat="1" applyFont="1" applyFill="1" applyBorder="1" applyAlignment="1" applyProtection="1">
      <alignment horizontal="center" vertical="center"/>
    </xf>
    <xf numFmtId="4" fontId="39" fillId="0" borderId="2" xfId="0" applyNumberFormat="1" applyFont="1" applyFill="1" applyBorder="1" applyAlignment="1" applyProtection="1">
      <alignment horizontal="center" vertical="center"/>
    </xf>
    <xf numFmtId="166" fontId="76" fillId="0" borderId="0" xfId="0" applyNumberFormat="1" applyFont="1" applyFill="1" applyBorder="1" applyAlignment="1" applyProtection="1">
      <alignment horizontal="center" vertical="center" wrapText="1"/>
    </xf>
    <xf numFmtId="4" fontId="39" fillId="0" borderId="2" xfId="0" applyNumberFormat="1" applyFont="1" applyFill="1" applyBorder="1" applyAlignment="1" applyProtection="1">
      <alignment vertical="center"/>
    </xf>
    <xf numFmtId="166" fontId="130" fillId="14" borderId="16" xfId="7" applyNumberFormat="1" applyFont="1" applyFill="1" applyBorder="1" applyAlignment="1" applyProtection="1">
      <alignment horizontal="left"/>
    </xf>
    <xf numFmtId="4" fontId="130" fillId="14" borderId="17" xfId="7" applyNumberFormat="1" applyFont="1" applyFill="1" applyBorder="1" applyAlignment="1" applyProtection="1">
      <alignment horizontal="left"/>
    </xf>
    <xf numFmtId="166" fontId="50" fillId="0" borderId="0" xfId="7" applyNumberFormat="1" applyFont="1" applyFill="1" applyBorder="1" applyAlignment="1" applyProtection="1">
      <alignment horizontal="left"/>
    </xf>
    <xf numFmtId="4" fontId="50" fillId="0" borderId="0" xfId="7" applyNumberFormat="1" applyFont="1" applyFill="1" applyBorder="1" applyAlignment="1" applyProtection="1">
      <alignment horizontal="left"/>
    </xf>
    <xf numFmtId="4" fontId="39" fillId="0" borderId="0" xfId="0" applyNumberFormat="1" applyFont="1" applyFill="1" applyBorder="1" applyAlignment="1" applyProtection="1">
      <alignment horizontal="center" vertical="center"/>
    </xf>
    <xf numFmtId="4" fontId="52" fillId="0" borderId="0" xfId="0" applyNumberFormat="1" applyFont="1" applyFill="1" applyBorder="1" applyAlignment="1" applyProtection="1">
      <alignment horizontal="right" vertical="center"/>
    </xf>
    <xf numFmtId="4" fontId="50" fillId="0" borderId="0" xfId="0" applyNumberFormat="1" applyFont="1" applyFill="1" applyBorder="1" applyAlignment="1" applyProtection="1">
      <alignment horizontal="center" vertical="center"/>
    </xf>
    <xf numFmtId="4" fontId="39" fillId="0" borderId="2" xfId="0" applyNumberFormat="1" applyFont="1" applyFill="1" applyBorder="1" applyAlignment="1" applyProtection="1">
      <alignment horizontal="centerContinuous" vertical="center"/>
    </xf>
    <xf numFmtId="4" fontId="52" fillId="0" borderId="2" xfId="0" applyNumberFormat="1" applyFont="1" applyFill="1" applyBorder="1" applyAlignment="1" applyProtection="1">
      <alignment vertical="center"/>
    </xf>
    <xf numFmtId="4" fontId="52" fillId="0" borderId="2" xfId="0" applyNumberFormat="1" applyFont="1" applyFill="1" applyBorder="1" applyAlignment="1" applyProtection="1">
      <alignment horizontal="center" vertical="center"/>
    </xf>
    <xf numFmtId="4" fontId="52" fillId="0" borderId="1" xfId="0" applyNumberFormat="1" applyFont="1" applyFill="1" applyBorder="1" applyAlignment="1" applyProtection="1">
      <alignment vertical="center"/>
    </xf>
    <xf numFmtId="0" fontId="52" fillId="0" borderId="5" xfId="0" applyFont="1" applyFill="1" applyBorder="1" applyAlignment="1">
      <alignment vertical="center"/>
    </xf>
    <xf numFmtId="166" fontId="39" fillId="0" borderId="0" xfId="0" applyNumberFormat="1" applyFont="1" applyFill="1" applyBorder="1" applyAlignment="1" applyProtection="1">
      <alignment horizontal="right" vertical="center"/>
    </xf>
    <xf numFmtId="4" fontId="52" fillId="0" borderId="0" xfId="0" applyNumberFormat="1" applyFont="1" applyFill="1" applyBorder="1" applyAlignment="1" applyProtection="1">
      <alignment horizontal="centerContinuous" vertical="center"/>
    </xf>
    <xf numFmtId="166" fontId="50" fillId="0" borderId="0" xfId="0" applyNumberFormat="1" applyFont="1" applyFill="1" applyBorder="1" applyAlignment="1" applyProtection="1">
      <alignment horizontal="right" vertical="center"/>
    </xf>
    <xf numFmtId="4" fontId="50" fillId="0" borderId="0" xfId="0" applyNumberFormat="1" applyFont="1" applyFill="1" applyBorder="1" applyAlignment="1" applyProtection="1">
      <alignment horizontal="left" vertical="center"/>
    </xf>
    <xf numFmtId="4" fontId="39" fillId="0" borderId="0" xfId="0" quotePrefix="1" applyNumberFormat="1" applyFont="1" applyFill="1" applyBorder="1" applyAlignment="1" applyProtection="1">
      <alignment horizontal="left" vertical="center"/>
    </xf>
    <xf numFmtId="171" fontId="52" fillId="0" borderId="0" xfId="0" applyNumberFormat="1" applyFont="1" applyFill="1" applyBorder="1" applyAlignment="1" applyProtection="1">
      <alignment vertical="center"/>
    </xf>
    <xf numFmtId="4" fontId="72" fillId="2" borderId="0" xfId="0" applyNumberFormat="1" applyFont="1" applyFill="1" applyAlignment="1">
      <alignment vertical="center"/>
    </xf>
    <xf numFmtId="166" fontId="39" fillId="0" borderId="2" xfId="0" applyNumberFormat="1" applyFont="1" applyFill="1" applyBorder="1" applyAlignment="1" applyProtection="1">
      <alignment horizontal="center" vertical="center"/>
    </xf>
    <xf numFmtId="166" fontId="52" fillId="0" borderId="3" xfId="0" applyNumberFormat="1" applyFont="1" applyFill="1" applyBorder="1" applyAlignment="1" applyProtection="1">
      <alignment horizontal="center" vertical="center"/>
    </xf>
    <xf numFmtId="3" fontId="52" fillId="0" borderId="1" xfId="0" applyNumberFormat="1" applyFont="1" applyFill="1" applyBorder="1" applyAlignment="1">
      <alignment horizontal="center" vertical="center"/>
    </xf>
    <xf numFmtId="4" fontId="52" fillId="0" borderId="3" xfId="0" applyNumberFormat="1" applyFont="1" applyFill="1" applyBorder="1" applyAlignment="1" applyProtection="1">
      <alignment vertical="center"/>
    </xf>
    <xf numFmtId="166" fontId="52" fillId="0" borderId="1" xfId="0" applyNumberFormat="1" applyFont="1" applyFill="1" applyBorder="1" applyAlignment="1" applyProtection="1">
      <alignment horizontal="center" vertical="center"/>
    </xf>
    <xf numFmtId="4" fontId="77" fillId="0" borderId="2" xfId="0" applyNumberFormat="1" applyFont="1" applyFill="1" applyBorder="1" applyAlignment="1" applyProtection="1">
      <alignment horizontal="right" vertical="center"/>
    </xf>
    <xf numFmtId="2" fontId="39" fillId="15" borderId="0" xfId="0" applyNumberFormat="1" applyFont="1" applyFill="1" applyBorder="1" applyAlignment="1" applyProtection="1">
      <alignment horizontal="right" vertical="center"/>
    </xf>
    <xf numFmtId="4" fontId="52" fillId="0" borderId="2" xfId="0" applyNumberFormat="1" applyFont="1" applyFill="1" applyBorder="1" applyAlignment="1" applyProtection="1">
      <alignment horizontal="left" vertical="center"/>
    </xf>
    <xf numFmtId="3" fontId="52" fillId="0" borderId="2" xfId="0" applyNumberFormat="1" applyFont="1" applyFill="1" applyBorder="1" applyAlignment="1">
      <alignment horizontal="center" vertical="center"/>
    </xf>
    <xf numFmtId="4" fontId="52" fillId="0" borderId="3" xfId="0" applyNumberFormat="1" applyFont="1" applyFill="1" applyBorder="1" applyAlignment="1">
      <alignment horizontal="center" vertical="center"/>
    </xf>
    <xf numFmtId="2" fontId="39" fillId="13" borderId="0" xfId="0" applyNumberFormat="1" applyFont="1" applyFill="1" applyBorder="1" applyAlignment="1" applyProtection="1">
      <alignment horizontal="right" vertical="center"/>
    </xf>
    <xf numFmtId="166" fontId="77" fillId="0" borderId="0" xfId="0" applyNumberFormat="1" applyFont="1" applyFill="1" applyAlignment="1" applyProtection="1">
      <alignment horizontal="right" vertical="center"/>
    </xf>
    <xf numFmtId="166" fontId="77" fillId="0" borderId="0" xfId="0" applyNumberFormat="1" applyFont="1" applyFill="1" applyAlignment="1" applyProtection="1">
      <alignment horizontal="left" vertical="center"/>
    </xf>
    <xf numFmtId="39" fontId="78" fillId="0" borderId="0" xfId="0" applyNumberFormat="1" applyFont="1" applyFill="1" applyAlignment="1" applyProtection="1">
      <alignment horizontal="center" vertical="center"/>
    </xf>
    <xf numFmtId="39" fontId="78" fillId="0" borderId="0" xfId="0" applyNumberFormat="1" applyFont="1" applyFill="1" applyAlignment="1" applyProtection="1">
      <alignment vertical="center"/>
    </xf>
    <xf numFmtId="166" fontId="39" fillId="0" borderId="3" xfId="0" applyNumberFormat="1" applyFont="1" applyFill="1" applyBorder="1" applyAlignment="1" applyProtection="1">
      <alignment horizontal="center" vertical="center"/>
    </xf>
    <xf numFmtId="166" fontId="39" fillId="0" borderId="20" xfId="0" applyNumberFormat="1" applyFont="1" applyFill="1" applyBorder="1" applyAlignment="1" applyProtection="1">
      <alignment horizontal="center" vertical="center"/>
    </xf>
    <xf numFmtId="166" fontId="39" fillId="0" borderId="21" xfId="0" applyNumberFormat="1" applyFont="1" applyFill="1" applyBorder="1" applyAlignment="1" applyProtection="1">
      <alignment horizontal="center" vertical="center"/>
    </xf>
    <xf numFmtId="4" fontId="52" fillId="0" borderId="21" xfId="0" applyNumberFormat="1" applyFont="1" applyFill="1" applyBorder="1" applyAlignment="1">
      <alignment horizontal="center" vertical="center"/>
    </xf>
    <xf numFmtId="4" fontId="52" fillId="0" borderId="20" xfId="0" applyNumberFormat="1" applyFont="1" applyFill="1" applyBorder="1" applyAlignment="1">
      <alignment horizontal="center" vertical="center"/>
    </xf>
    <xf numFmtId="4" fontId="52" fillId="0" borderId="2" xfId="0" applyNumberFormat="1" applyFont="1" applyFill="1" applyBorder="1" applyAlignment="1">
      <alignment horizontal="left" vertical="center"/>
    </xf>
    <xf numFmtId="4" fontId="52" fillId="0" borderId="2" xfId="0" applyNumberFormat="1" applyFont="1" applyFill="1" applyBorder="1" applyAlignment="1">
      <alignment horizontal="center" vertical="center"/>
    </xf>
    <xf numFmtId="4" fontId="52" fillId="0" borderId="7" xfId="0" applyNumberFormat="1" applyFont="1" applyFill="1" applyBorder="1" applyAlignment="1">
      <alignment horizontal="left" vertical="center"/>
    </xf>
    <xf numFmtId="4" fontId="52" fillId="0" borderId="9" xfId="0" applyNumberFormat="1" applyFont="1" applyFill="1" applyBorder="1" applyAlignment="1">
      <alignment horizontal="left" vertical="center"/>
    </xf>
    <xf numFmtId="4" fontId="52" fillId="0" borderId="9" xfId="0" applyNumberFormat="1" applyFont="1" applyFill="1" applyBorder="1" applyAlignment="1">
      <alignment horizontal="center" vertical="center"/>
    </xf>
    <xf numFmtId="4" fontId="52" fillId="0" borderId="8" xfId="0" applyNumberFormat="1" applyFont="1" applyFill="1" applyBorder="1" applyAlignment="1">
      <alignment horizontal="center" vertical="center"/>
    </xf>
    <xf numFmtId="4" fontId="52" fillId="0" borderId="4" xfId="0" applyNumberFormat="1" applyFont="1" applyFill="1" applyBorder="1" applyAlignment="1">
      <alignment horizontal="center" vertical="center"/>
    </xf>
    <xf numFmtId="166" fontId="78" fillId="0" borderId="0" xfId="0" applyNumberFormat="1" applyFont="1" applyFill="1" applyAlignment="1" applyProtection="1">
      <alignment vertical="center"/>
    </xf>
    <xf numFmtId="2" fontId="77" fillId="0" borderId="2" xfId="0" applyNumberFormat="1" applyFont="1" applyFill="1" applyBorder="1" applyAlignment="1" applyProtection="1">
      <alignment horizontal="right" vertical="center"/>
    </xf>
    <xf numFmtId="0" fontId="39" fillId="0" borderId="2" xfId="0" applyFont="1" applyFill="1" applyBorder="1" applyAlignment="1">
      <alignment horizontal="center" vertical="center"/>
    </xf>
    <xf numFmtId="4" fontId="52" fillId="0" borderId="4" xfId="0" applyNumberFormat="1" applyFont="1" applyFill="1" applyBorder="1" applyAlignment="1" applyProtection="1">
      <alignment horizontal="right" vertical="center"/>
    </xf>
    <xf numFmtId="4" fontId="52" fillId="0" borderId="4" xfId="0" applyNumberFormat="1" applyFont="1" applyFill="1" applyBorder="1" applyAlignment="1">
      <alignment vertical="center"/>
    </xf>
    <xf numFmtId="4" fontId="39" fillId="0" borderId="3" xfId="0" applyNumberFormat="1" applyFont="1" applyFill="1" applyBorder="1" applyAlignment="1" applyProtection="1">
      <alignment horizontal="center" vertical="center"/>
    </xf>
    <xf numFmtId="4" fontId="39" fillId="0" borderId="4" xfId="0" applyNumberFormat="1" applyFont="1" applyFill="1" applyBorder="1" applyAlignment="1" applyProtection="1">
      <alignment vertical="center"/>
    </xf>
    <xf numFmtId="4" fontId="52" fillId="0" borderId="3" xfId="0" applyNumberFormat="1" applyFont="1" applyFill="1" applyBorder="1" applyAlignment="1" applyProtection="1">
      <alignment horizontal="center" vertical="center"/>
    </xf>
    <xf numFmtId="166" fontId="52" fillId="0" borderId="2" xfId="0" applyNumberFormat="1" applyFont="1" applyFill="1" applyBorder="1" applyAlignment="1" applyProtection="1">
      <alignment horizontal="center" vertical="center"/>
    </xf>
    <xf numFmtId="4" fontId="52" fillId="0" borderId="21" xfId="0" applyNumberFormat="1" applyFont="1" applyFill="1" applyBorder="1" applyAlignment="1" applyProtection="1">
      <alignment horizontal="right" vertical="center"/>
    </xf>
    <xf numFmtId="4" fontId="52" fillId="0" borderId="2" xfId="0" applyNumberFormat="1" applyFont="1" applyFill="1" applyBorder="1" applyAlignment="1" applyProtection="1">
      <alignment horizontal="right" vertical="center"/>
    </xf>
    <xf numFmtId="43" fontId="52" fillId="0" borderId="3" xfId="2" applyFont="1" applyFill="1" applyBorder="1" applyAlignment="1" applyProtection="1">
      <alignment vertical="center"/>
    </xf>
    <xf numFmtId="43" fontId="52" fillId="0" borderId="1" xfId="2" applyFont="1" applyFill="1" applyBorder="1" applyAlignment="1" applyProtection="1">
      <alignment vertical="center"/>
    </xf>
    <xf numFmtId="4" fontId="52" fillId="0" borderId="2" xfId="0" applyNumberFormat="1" applyFont="1" applyFill="1" applyBorder="1" applyAlignment="1">
      <alignment vertical="center"/>
    </xf>
    <xf numFmtId="166" fontId="132" fillId="14" borderId="60" xfId="7" applyNumberFormat="1" applyFont="1" applyFill="1" applyBorder="1" applyAlignment="1" applyProtection="1">
      <alignment horizontal="center" vertical="center"/>
    </xf>
    <xf numFmtId="0" fontId="132" fillId="14" borderId="62" xfId="7" applyFont="1" applyFill="1" applyBorder="1" applyAlignment="1">
      <alignment horizontal="center" vertical="center"/>
    </xf>
    <xf numFmtId="166" fontId="39" fillId="0" borderId="63" xfId="0" applyNumberFormat="1" applyFont="1" applyFill="1" applyBorder="1" applyAlignment="1" applyProtection="1">
      <alignment horizontal="left" vertical="center"/>
    </xf>
    <xf numFmtId="166" fontId="39" fillId="0" borderId="78" xfId="0" applyNumberFormat="1" applyFont="1" applyFill="1" applyBorder="1" applyAlignment="1" applyProtection="1">
      <alignment horizontal="left" vertical="center"/>
    </xf>
    <xf numFmtId="4" fontId="52" fillId="2" borderId="79" xfId="7" applyNumberFormat="1" applyFont="1" applyFill="1" applyBorder="1" applyAlignment="1">
      <alignment vertical="center"/>
    </xf>
    <xf numFmtId="4" fontId="39" fillId="2" borderId="15" xfId="7" applyNumberFormat="1" applyFont="1" applyFill="1" applyBorder="1" applyAlignment="1" applyProtection="1">
      <alignment vertical="center"/>
    </xf>
    <xf numFmtId="166" fontId="78" fillId="0" borderId="0" xfId="0" applyNumberFormat="1" applyFont="1" applyFill="1" applyBorder="1" applyAlignment="1" applyProtection="1">
      <alignment vertical="center"/>
    </xf>
    <xf numFmtId="166" fontId="77" fillId="0" borderId="0" xfId="0" applyNumberFormat="1" applyFont="1" applyFill="1" applyBorder="1" applyAlignment="1" applyProtection="1">
      <alignment vertical="center"/>
    </xf>
    <xf numFmtId="167" fontId="78" fillId="0" borderId="0" xfId="0" applyNumberFormat="1" applyFont="1" applyFill="1" applyBorder="1" applyAlignment="1" applyProtection="1">
      <alignment vertical="center"/>
    </xf>
    <xf numFmtId="166" fontId="78" fillId="0" borderId="0" xfId="0" applyNumberFormat="1" applyFont="1" applyFill="1" applyBorder="1" applyAlignment="1" applyProtection="1">
      <alignment horizontal="center" vertical="center"/>
    </xf>
    <xf numFmtId="4" fontId="39" fillId="15" borderId="0" xfId="0" applyNumberFormat="1" applyFont="1" applyFill="1" applyBorder="1" applyAlignment="1" applyProtection="1">
      <alignment horizontal="left" vertical="center"/>
    </xf>
    <xf numFmtId="4" fontId="52" fillId="15" borderId="0" xfId="0" applyNumberFormat="1" applyFont="1" applyFill="1" applyBorder="1" applyAlignment="1" applyProtection="1">
      <alignment vertical="center"/>
    </xf>
    <xf numFmtId="4" fontId="50" fillId="15" borderId="0" xfId="0" applyNumberFormat="1" applyFont="1" applyFill="1" applyBorder="1" applyAlignment="1" applyProtection="1">
      <alignment horizontal="center" vertical="center"/>
    </xf>
    <xf numFmtId="4" fontId="50" fillId="15" borderId="0" xfId="0" applyNumberFormat="1" applyFont="1" applyFill="1" applyBorder="1" applyAlignment="1" applyProtection="1">
      <alignment horizontal="right" vertical="center"/>
    </xf>
    <xf numFmtId="4" fontId="50" fillId="15" borderId="0" xfId="0" applyNumberFormat="1" applyFont="1" applyFill="1" applyBorder="1" applyAlignment="1" applyProtection="1">
      <alignment vertical="center"/>
    </xf>
    <xf numFmtId="166" fontId="39" fillId="0" borderId="0" xfId="0" quotePrefix="1" applyNumberFormat="1" applyFont="1" applyFill="1" applyBorder="1" applyAlignment="1" applyProtection="1">
      <alignment horizontal="right" vertical="center"/>
    </xf>
    <xf numFmtId="4" fontId="39" fillId="0" borderId="0" xfId="0" applyNumberFormat="1" applyFont="1" applyFill="1" applyBorder="1" applyAlignment="1">
      <alignment horizontal="center" vertical="center"/>
    </xf>
    <xf numFmtId="4" fontId="52" fillId="0" borderId="19" xfId="0" applyNumberFormat="1" applyFont="1" applyFill="1" applyBorder="1" applyAlignment="1" applyProtection="1">
      <alignment vertical="center"/>
    </xf>
    <xf numFmtId="4" fontId="78" fillId="0" borderId="20" xfId="0" applyNumberFormat="1" applyFont="1" applyFill="1" applyBorder="1" applyAlignment="1" applyProtection="1">
      <alignment horizontal="center" vertical="center"/>
    </xf>
    <xf numFmtId="166" fontId="78" fillId="0" borderId="0" xfId="0" applyNumberFormat="1" applyFont="1" applyFill="1" applyBorder="1" applyAlignment="1" applyProtection="1">
      <alignment horizontal="left" vertical="center"/>
    </xf>
    <xf numFmtId="166" fontId="78" fillId="0" borderId="0" xfId="0" applyNumberFormat="1" applyFont="1" applyFill="1" applyBorder="1" applyAlignment="1" applyProtection="1">
      <alignment horizontal="centerContinuous" vertical="center"/>
    </xf>
    <xf numFmtId="166" fontId="50" fillId="0" borderId="0" xfId="0" applyNumberFormat="1" applyFont="1" applyFill="1" applyAlignment="1" applyProtection="1">
      <alignment horizontal="right" vertical="center"/>
    </xf>
    <xf numFmtId="166" fontId="79" fillId="0" borderId="0" xfId="0" applyNumberFormat="1" applyFont="1" applyFill="1" applyAlignment="1" applyProtection="1">
      <alignment vertical="center"/>
    </xf>
    <xf numFmtId="166" fontId="50" fillId="0" borderId="0" xfId="0" applyNumberFormat="1" applyFont="1" applyFill="1" applyAlignment="1" applyProtection="1">
      <alignment horizontal="center" vertical="center"/>
    </xf>
    <xf numFmtId="4" fontId="50" fillId="0" borderId="0" xfId="0" applyNumberFormat="1" applyFont="1" applyFill="1" applyAlignment="1">
      <alignment horizontal="right" vertical="center"/>
    </xf>
    <xf numFmtId="168" fontId="50" fillId="0" borderId="0" xfId="0" applyNumberFormat="1" applyFont="1" applyFill="1" applyAlignment="1">
      <alignment horizontal="right" vertical="center"/>
    </xf>
    <xf numFmtId="166" fontId="50" fillId="0" borderId="0" xfId="0" quotePrefix="1" applyNumberFormat="1" applyFont="1" applyFill="1" applyAlignment="1" applyProtection="1">
      <alignment horizontal="left" vertical="center"/>
    </xf>
    <xf numFmtId="167" fontId="79" fillId="0" borderId="0" xfId="0" applyNumberFormat="1" applyFont="1" applyFill="1" applyAlignment="1" applyProtection="1">
      <alignment vertical="center"/>
    </xf>
    <xf numFmtId="166" fontId="50" fillId="0" borderId="0" xfId="0" applyNumberFormat="1" applyFont="1" applyFill="1" applyAlignment="1" applyProtection="1">
      <alignment horizontal="left" vertical="center"/>
    </xf>
    <xf numFmtId="166" fontId="77" fillId="0" borderId="0" xfId="0" quotePrefix="1" applyNumberFormat="1" applyFont="1" applyFill="1" applyAlignment="1" applyProtection="1">
      <alignment horizontal="left" vertical="center"/>
    </xf>
    <xf numFmtId="167" fontId="78" fillId="0" borderId="0" xfId="0" applyNumberFormat="1" applyFont="1" applyFill="1" applyAlignment="1" applyProtection="1">
      <alignment vertical="center"/>
    </xf>
    <xf numFmtId="167" fontId="78" fillId="0" borderId="0" xfId="0" applyNumberFormat="1" applyFont="1" applyFill="1" applyAlignment="1" applyProtection="1">
      <alignment horizontal="center" vertical="center"/>
    </xf>
    <xf numFmtId="166" fontId="39" fillId="0" borderId="2" xfId="0" applyNumberFormat="1" applyFont="1" applyFill="1" applyBorder="1" applyAlignment="1" applyProtection="1">
      <alignment horizontal="centerContinuous" vertical="center"/>
    </xf>
    <xf numFmtId="39" fontId="39" fillId="0" borderId="2" xfId="0" applyNumberFormat="1" applyFont="1" applyFill="1" applyBorder="1" applyAlignment="1" applyProtection="1">
      <alignment horizontal="center" vertical="center"/>
    </xf>
    <xf numFmtId="169" fontId="39" fillId="0" borderId="2" xfId="0" applyNumberFormat="1" applyFont="1" applyFill="1" applyBorder="1" applyAlignment="1" applyProtection="1">
      <alignment horizontal="center" vertical="center"/>
    </xf>
    <xf numFmtId="4" fontId="52" fillId="0" borderId="80" xfId="0" applyNumberFormat="1" applyFont="1" applyFill="1" applyBorder="1" applyAlignment="1" applyProtection="1">
      <alignment horizontal="left" vertical="center"/>
    </xf>
    <xf numFmtId="4" fontId="52" fillId="0" borderId="80" xfId="0" applyNumberFormat="1" applyFont="1" applyFill="1" applyBorder="1" applyAlignment="1" applyProtection="1">
      <alignment horizontal="center" vertical="center"/>
    </xf>
    <xf numFmtId="4" fontId="52" fillId="0" borderId="80" xfId="0" applyNumberFormat="1" applyFont="1" applyFill="1" applyBorder="1" applyAlignment="1" applyProtection="1">
      <alignment horizontal="right" vertical="center"/>
    </xf>
    <xf numFmtId="169" fontId="52" fillId="0" borderId="0" xfId="0" applyNumberFormat="1" applyFont="1" applyFill="1" applyBorder="1" applyAlignment="1" applyProtection="1">
      <alignment horizontal="right" vertical="center"/>
    </xf>
    <xf numFmtId="4" fontId="50" fillId="0" borderId="0" xfId="0" applyNumberFormat="1" applyFont="1" applyFill="1" applyAlignment="1">
      <alignment vertical="center"/>
    </xf>
    <xf numFmtId="0" fontId="39" fillId="0" borderId="2" xfId="0" applyFont="1" applyFill="1" applyBorder="1" applyAlignment="1">
      <alignment horizontal="left" vertical="center"/>
    </xf>
    <xf numFmtId="0" fontId="52" fillId="0" borderId="2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vertical="center"/>
    </xf>
    <xf numFmtId="166" fontId="39" fillId="15" borderId="0" xfId="0" applyNumberFormat="1" applyFont="1" applyFill="1" applyBorder="1" applyAlignment="1" applyProtection="1">
      <alignment horizontal="right" vertical="center"/>
    </xf>
    <xf numFmtId="4" fontId="52" fillId="15" borderId="0" xfId="0" applyNumberFormat="1" applyFont="1" applyFill="1" applyBorder="1" applyAlignment="1" applyProtection="1">
      <alignment horizontal="center" vertical="center"/>
    </xf>
    <xf numFmtId="0" fontId="52" fillId="15" borderId="0" xfId="0" applyFont="1" applyFill="1" applyAlignment="1">
      <alignment vertical="center"/>
    </xf>
    <xf numFmtId="4" fontId="52" fillId="0" borderId="16" xfId="0" applyNumberFormat="1" applyFont="1" applyFill="1" applyBorder="1" applyAlignment="1" applyProtection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4" fontId="24" fillId="2" borderId="2" xfId="0" applyNumberFormat="1" applyFont="1" applyFill="1" applyBorder="1" applyAlignment="1">
      <alignment horizontal="center" vertical="center"/>
    </xf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6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Alignment="1" applyProtection="1">
      <alignment vertical="center"/>
    </xf>
    <xf numFmtId="166" fontId="68" fillId="0" borderId="0" xfId="0" applyNumberFormat="1" applyFont="1" applyFill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/>
    </xf>
    <xf numFmtId="4" fontId="68" fillId="2" borderId="10" xfId="7" applyNumberFormat="1" applyFont="1" applyFill="1" applyBorder="1" applyAlignment="1">
      <alignment vertical="center"/>
    </xf>
    <xf numFmtId="4" fontId="62" fillId="2" borderId="11" xfId="7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horizontal="center" vertical="center"/>
    </xf>
    <xf numFmtId="166" fontId="68" fillId="0" borderId="3" xfId="0" applyNumberFormat="1" applyFont="1" applyFill="1" applyBorder="1" applyAlignment="1" applyProtection="1">
      <alignment horizontal="center" vertical="center"/>
    </xf>
    <xf numFmtId="4" fontId="68" fillId="0" borderId="3" xfId="0" applyNumberFormat="1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166" fontId="133" fillId="14" borderId="14" xfId="7" applyNumberFormat="1" applyFont="1" applyFill="1" applyBorder="1" applyAlignment="1" applyProtection="1">
      <alignment horizontal="center" vertical="center"/>
    </xf>
    <xf numFmtId="0" fontId="133" fillId="14" borderId="15" xfId="7" applyFont="1" applyFill="1" applyBorder="1" applyAlignment="1">
      <alignment horizontal="center" vertical="center"/>
    </xf>
    <xf numFmtId="166" fontId="134" fillId="17" borderId="0" xfId="0" applyNumberFormat="1" applyFont="1" applyFill="1" applyAlignment="1" applyProtection="1">
      <alignment horizontal="left" vertical="center"/>
    </xf>
    <xf numFmtId="4" fontId="83" fillId="0" borderId="0" xfId="0" applyNumberFormat="1" applyFont="1" applyAlignment="1">
      <alignment vertical="center"/>
    </xf>
    <xf numFmtId="4" fontId="85" fillId="0" borderId="0" xfId="0" applyNumberFormat="1" applyFont="1" applyAlignment="1">
      <alignment horizontal="center" vertical="center"/>
    </xf>
    <xf numFmtId="4" fontId="88" fillId="0" borderId="0" xfId="0" applyNumberFormat="1" applyFont="1" applyBorder="1" applyAlignment="1">
      <alignment horizontal="center" vertical="center" wrapText="1"/>
    </xf>
    <xf numFmtId="4" fontId="88" fillId="0" borderId="0" xfId="0" applyNumberFormat="1" applyFont="1" applyAlignment="1">
      <alignment horizontal="center" vertical="center" wrapText="1"/>
    </xf>
    <xf numFmtId="4" fontId="86" fillId="8" borderId="0" xfId="0" applyNumberFormat="1" applyFont="1" applyFill="1" applyBorder="1" applyAlignment="1">
      <alignment horizontal="center" vertical="center" wrapText="1"/>
    </xf>
    <xf numFmtId="4" fontId="71" fillId="0" borderId="0" xfId="0" applyNumberFormat="1" applyFont="1" applyAlignment="1">
      <alignment vertical="center" wrapText="1"/>
    </xf>
    <xf numFmtId="4" fontId="89" fillId="9" borderId="64" xfId="0" applyNumberFormat="1" applyFont="1" applyFill="1" applyBorder="1" applyAlignment="1">
      <alignment horizontal="center" vertical="center"/>
    </xf>
    <xf numFmtId="4" fontId="89" fillId="9" borderId="11" xfId="0" applyNumberFormat="1" applyFont="1" applyFill="1" applyBorder="1" applyAlignment="1">
      <alignment horizontal="center" vertical="center"/>
    </xf>
    <xf numFmtId="4" fontId="88" fillId="0" borderId="0" xfId="0" applyNumberFormat="1" applyFont="1" applyBorder="1" applyAlignment="1">
      <alignment horizontal="center" vertical="center"/>
    </xf>
    <xf numFmtId="4" fontId="88" fillId="0" borderId="0" xfId="0" applyNumberFormat="1" applyFont="1" applyAlignment="1">
      <alignment horizontal="center" vertical="center"/>
    </xf>
    <xf numFmtId="4" fontId="87" fillId="9" borderId="0" xfId="0" applyNumberFormat="1" applyFont="1" applyFill="1" applyBorder="1" applyAlignment="1">
      <alignment horizontal="center" vertical="center"/>
    </xf>
    <xf numFmtId="4" fontId="89" fillId="9" borderId="0" xfId="0" applyNumberFormat="1" applyFont="1" applyFill="1" applyBorder="1" applyAlignment="1">
      <alignment horizontal="center" vertical="center"/>
    </xf>
    <xf numFmtId="4" fontId="71" fillId="0" borderId="0" xfId="0" applyNumberFormat="1" applyFont="1" applyAlignment="1">
      <alignment vertical="center"/>
    </xf>
    <xf numFmtId="0" fontId="90" fillId="0" borderId="81" xfId="0" applyFont="1" applyBorder="1" applyAlignment="1">
      <alignment horizontal="center" vertical="center"/>
    </xf>
    <xf numFmtId="4" fontId="89" fillId="0" borderId="12" xfId="0" applyNumberFormat="1" applyFont="1" applyBorder="1" applyAlignment="1">
      <alignment vertical="center"/>
    </xf>
    <xf numFmtId="4" fontId="91" fillId="20" borderId="4" xfId="9" applyNumberFormat="1" applyFont="1" applyFill="1" applyBorder="1" applyAlignment="1">
      <alignment horizontal="center" vertical="center"/>
    </xf>
    <xf numFmtId="4" fontId="91" fillId="0" borderId="4" xfId="9" applyNumberFormat="1" applyFont="1" applyBorder="1" applyAlignment="1">
      <alignment horizontal="center" vertical="center"/>
    </xf>
    <xf numFmtId="4" fontId="91" fillId="0" borderId="13" xfId="9" applyNumberFormat="1" applyFont="1" applyBorder="1" applyAlignment="1">
      <alignment horizontal="center" vertical="center"/>
    </xf>
    <xf numFmtId="4" fontId="90" fillId="0" borderId="0" xfId="0" applyNumberFormat="1" applyFont="1" applyBorder="1" applyAlignment="1">
      <alignment vertical="center"/>
    </xf>
    <xf numFmtId="4" fontId="90" fillId="0" borderId="0" xfId="0" applyNumberFormat="1" applyFont="1" applyAlignment="1">
      <alignment horizontal="center" vertical="center"/>
    </xf>
    <xf numFmtId="4" fontId="89" fillId="0" borderId="0" xfId="0" applyNumberFormat="1" applyFont="1" applyFill="1" applyBorder="1" applyAlignment="1">
      <alignment vertical="center"/>
    </xf>
    <xf numFmtId="4" fontId="91" fillId="0" borderId="0" xfId="0" applyNumberFormat="1" applyFont="1" applyFill="1" applyBorder="1" applyAlignment="1">
      <alignment vertical="center"/>
    </xf>
    <xf numFmtId="4" fontId="91" fillId="0" borderId="0" xfId="0" applyNumberFormat="1" applyFont="1" applyFill="1" applyBorder="1" applyAlignment="1">
      <alignment horizontal="center" vertical="center"/>
    </xf>
    <xf numFmtId="0" fontId="90" fillId="0" borderId="82" xfId="0" applyFont="1" applyBorder="1" applyAlignment="1">
      <alignment horizontal="center" vertical="center"/>
    </xf>
    <xf numFmtId="4" fontId="91" fillId="0" borderId="63" xfId="0" applyNumberFormat="1" applyFont="1" applyBorder="1" applyAlignment="1">
      <alignment vertical="center"/>
    </xf>
    <xf numFmtId="4" fontId="91" fillId="0" borderId="2" xfId="9" applyNumberFormat="1" applyFont="1" applyBorder="1" applyAlignment="1">
      <alignment horizontal="center" vertical="center"/>
    </xf>
    <xf numFmtId="4" fontId="91" fillId="0" borderId="10" xfId="9" applyNumberFormat="1" applyFont="1" applyBorder="1" applyAlignment="1">
      <alignment horizontal="center" vertical="center"/>
    </xf>
    <xf numFmtId="3" fontId="90" fillId="0" borderId="82" xfId="0" applyNumberFormat="1" applyFont="1" applyFill="1" applyBorder="1" applyAlignment="1">
      <alignment horizontal="center" vertical="center"/>
    </xf>
    <xf numFmtId="4" fontId="91" fillId="0" borderId="63" xfId="0" applyNumberFormat="1" applyFont="1" applyFill="1" applyBorder="1" applyAlignment="1">
      <alignment vertical="center"/>
    </xf>
    <xf numFmtId="4" fontId="91" fillId="0" borderId="2" xfId="9" applyNumberFormat="1" applyFont="1" applyFill="1" applyBorder="1" applyAlignment="1">
      <alignment horizontal="center" vertical="center"/>
    </xf>
    <xf numFmtId="4" fontId="91" fillId="0" borderId="10" xfId="9" applyNumberFormat="1" applyFont="1" applyFill="1" applyBorder="1" applyAlignment="1">
      <alignment horizontal="center" vertical="center"/>
    </xf>
    <xf numFmtId="4" fontId="90" fillId="0" borderId="0" xfId="0" applyNumberFormat="1" applyFont="1" applyFill="1" applyBorder="1" applyAlignment="1">
      <alignment vertical="center"/>
    </xf>
    <xf numFmtId="4" fontId="90" fillId="0" borderId="0" xfId="0" applyNumberFormat="1" applyFont="1" applyFill="1" applyAlignment="1">
      <alignment horizontal="center" vertical="center"/>
    </xf>
    <xf numFmtId="4" fontId="71" fillId="0" borderId="0" xfId="0" applyNumberFormat="1" applyFont="1" applyFill="1" applyAlignment="1">
      <alignment vertical="center"/>
    </xf>
    <xf numFmtId="4" fontId="91" fillId="0" borderId="63" xfId="0" applyNumberFormat="1" applyFont="1" applyBorder="1" applyAlignment="1">
      <alignment horizontal="left" vertical="center"/>
    </xf>
    <xf numFmtId="4" fontId="91" fillId="0" borderId="0" xfId="0" applyNumberFormat="1" applyFont="1" applyFill="1" applyBorder="1" applyAlignment="1">
      <alignment horizontal="left" vertical="center"/>
    </xf>
    <xf numFmtId="0" fontId="90" fillId="0" borderId="83" xfId="0" applyFont="1" applyBorder="1" applyAlignment="1">
      <alignment horizontal="center" vertical="center"/>
    </xf>
    <xf numFmtId="0" fontId="90" fillId="0" borderId="84" xfId="0" applyFont="1" applyBorder="1" applyAlignment="1">
      <alignment horizontal="center" vertical="center"/>
    </xf>
    <xf numFmtId="4" fontId="92" fillId="0" borderId="2" xfId="9" applyNumberFormat="1" applyFont="1" applyBorder="1" applyAlignment="1" applyProtection="1">
      <alignment vertical="center"/>
      <protection locked="0"/>
    </xf>
    <xf numFmtId="4" fontId="92" fillId="0" borderId="0" xfId="0" applyNumberFormat="1" applyFont="1" applyFill="1" applyBorder="1" applyAlignment="1" applyProtection="1">
      <alignment vertical="center"/>
      <protection locked="0"/>
    </xf>
    <xf numFmtId="0" fontId="91" fillId="0" borderId="85" xfId="0" applyFont="1" applyBorder="1" applyAlignment="1">
      <alignment horizontal="left" vertical="center"/>
    </xf>
    <xf numFmtId="0" fontId="88" fillId="8" borderId="86" xfId="0" applyFont="1" applyFill="1" applyBorder="1" applyAlignment="1">
      <alignment horizontal="center" vertical="center"/>
    </xf>
    <xf numFmtId="4" fontId="89" fillId="8" borderId="65" xfId="0" applyNumberFormat="1" applyFont="1" applyFill="1" applyBorder="1" applyAlignment="1">
      <alignment horizontal="left" vertical="center"/>
    </xf>
    <xf numFmtId="4" fontId="93" fillId="8" borderId="64" xfId="9" applyNumberFormat="1" applyFont="1" applyFill="1" applyBorder="1" applyAlignment="1">
      <alignment vertical="center"/>
    </xf>
    <xf numFmtId="4" fontId="93" fillId="8" borderId="64" xfId="9" applyNumberFormat="1" applyFont="1" applyFill="1" applyBorder="1" applyAlignment="1">
      <alignment horizontal="center" vertical="center"/>
    </xf>
    <xf numFmtId="4" fontId="66" fillId="8" borderId="64" xfId="9" applyNumberFormat="1" applyFont="1" applyFill="1" applyBorder="1" applyAlignment="1" applyProtection="1">
      <alignment vertical="center"/>
      <protection locked="0"/>
    </xf>
    <xf numFmtId="4" fontId="94" fillId="8" borderId="64" xfId="9" applyNumberFormat="1" applyFont="1" applyFill="1" applyBorder="1" applyAlignment="1">
      <alignment vertical="center"/>
    </xf>
    <xf numFmtId="4" fontId="94" fillId="8" borderId="11" xfId="9" applyNumberFormat="1" applyFont="1" applyFill="1" applyBorder="1" applyAlignment="1">
      <alignment vertical="center"/>
    </xf>
    <xf numFmtId="4" fontId="89" fillId="8" borderId="0" xfId="0" applyNumberFormat="1" applyFont="1" applyFill="1" applyBorder="1" applyAlignment="1">
      <alignment horizontal="left" vertical="center"/>
    </xf>
    <xf numFmtId="4" fontId="89" fillId="8" borderId="0" xfId="0" applyNumberFormat="1" applyFont="1" applyFill="1" applyBorder="1" applyAlignment="1">
      <alignment vertical="center"/>
    </xf>
    <xf numFmtId="4" fontId="89" fillId="8" borderId="0" xfId="0" applyNumberFormat="1" applyFont="1" applyFill="1" applyBorder="1" applyAlignment="1">
      <alignment horizontal="center" vertical="center"/>
    </xf>
    <xf numFmtId="4" fontId="95" fillId="8" borderId="0" xfId="0" applyNumberFormat="1" applyFont="1" applyFill="1" applyBorder="1" applyAlignment="1" applyProtection="1">
      <alignment vertical="center"/>
      <protection locked="0"/>
    </xf>
    <xf numFmtId="4" fontId="71" fillId="0" borderId="0" xfId="0" applyNumberFormat="1" applyFont="1" applyBorder="1" applyAlignment="1">
      <alignment vertical="center"/>
    </xf>
    <xf numFmtId="4" fontId="89" fillId="0" borderId="0" xfId="0" applyNumberFormat="1" applyFont="1" applyBorder="1" applyAlignment="1">
      <alignment horizontal="left" vertical="center"/>
    </xf>
    <xf numFmtId="4" fontId="91" fillId="0" borderId="0" xfId="0" applyNumberFormat="1" applyFont="1" applyBorder="1" applyAlignment="1">
      <alignment vertical="center"/>
    </xf>
    <xf numFmtId="4" fontId="89" fillId="0" borderId="0" xfId="0" applyNumberFormat="1" applyFont="1" applyBorder="1" applyAlignment="1">
      <alignment horizontal="center" vertical="center"/>
    </xf>
    <xf numFmtId="4" fontId="92" fillId="0" borderId="0" xfId="0" applyNumberFormat="1" applyFont="1" applyBorder="1" applyAlignment="1" applyProtection="1">
      <alignment vertical="center"/>
      <protection locked="0"/>
    </xf>
    <xf numFmtId="0" fontId="135" fillId="14" borderId="62" xfId="7" applyFont="1" applyFill="1" applyBorder="1" applyAlignment="1">
      <alignment horizontal="center" vertical="center"/>
    </xf>
    <xf numFmtId="166" fontId="62" fillId="0" borderId="63" xfId="0" applyNumberFormat="1" applyFont="1" applyFill="1" applyBorder="1" applyAlignment="1" applyProtection="1">
      <alignment horizontal="left" vertical="center"/>
    </xf>
    <xf numFmtId="166" fontId="136" fillId="21" borderId="0" xfId="0" applyNumberFormat="1" applyFont="1" applyFill="1" applyBorder="1" applyAlignment="1" applyProtection="1">
      <alignment vertical="center"/>
    </xf>
    <xf numFmtId="166" fontId="137" fillId="21" borderId="0" xfId="0" applyNumberFormat="1" applyFont="1" applyFill="1" applyBorder="1" applyAlignment="1" applyProtection="1">
      <alignment vertical="center"/>
    </xf>
    <xf numFmtId="0" fontId="52" fillId="0" borderId="110" xfId="0" applyFont="1" applyFill="1" applyBorder="1" applyAlignment="1">
      <alignment vertical="center"/>
    </xf>
    <xf numFmtId="4" fontId="130" fillId="14" borderId="17" xfId="7" applyNumberFormat="1" applyFont="1" applyFill="1" applyBorder="1" applyAlignment="1" applyProtection="1">
      <alignment horizontal="center"/>
    </xf>
    <xf numFmtId="4" fontId="50" fillId="0" borderId="0" xfId="7" applyNumberFormat="1" applyFont="1" applyFill="1" applyBorder="1" applyAlignment="1" applyProtection="1">
      <alignment horizontal="center"/>
    </xf>
    <xf numFmtId="43" fontId="52" fillId="0" borderId="2" xfId="2" applyFont="1" applyFill="1" applyBorder="1" applyAlignment="1" applyProtection="1">
      <alignment horizontal="center" vertical="center"/>
    </xf>
    <xf numFmtId="164" fontId="138" fillId="0" borderId="87" xfId="0" applyNumberFormat="1" applyFont="1" applyBorder="1" applyAlignment="1">
      <alignment vertical="center"/>
    </xf>
    <xf numFmtId="164" fontId="139" fillId="0" borderId="87" xfId="0" applyNumberFormat="1" applyFont="1" applyBorder="1" applyAlignment="1">
      <alignment vertical="center"/>
    </xf>
    <xf numFmtId="164" fontId="139" fillId="0" borderId="0" xfId="0" applyNumberFormat="1" applyFont="1" applyAlignment="1">
      <alignment vertical="center"/>
    </xf>
    <xf numFmtId="164" fontId="139" fillId="0" borderId="0" xfId="0" applyNumberFormat="1" applyFont="1" applyAlignment="1">
      <alignment horizontal="center" vertical="center"/>
    </xf>
    <xf numFmtId="164" fontId="139" fillId="17" borderId="0" xfId="0" applyNumberFormat="1" applyFont="1" applyFill="1" applyBorder="1" applyAlignment="1">
      <alignment vertical="center"/>
    </xf>
    <xf numFmtId="10" fontId="139" fillId="17" borderId="0" xfId="16" applyNumberFormat="1" applyFont="1" applyFill="1" applyBorder="1" applyAlignment="1">
      <alignment vertical="center"/>
    </xf>
    <xf numFmtId="164" fontId="139" fillId="17" borderId="88" xfId="0" applyNumberFormat="1" applyFont="1" applyFill="1" applyBorder="1" applyAlignment="1">
      <alignment vertical="center"/>
    </xf>
    <xf numFmtId="164" fontId="139" fillId="17" borderId="59" xfId="0" applyNumberFormat="1" applyFont="1" applyFill="1" applyBorder="1" applyAlignment="1">
      <alignment vertical="center"/>
    </xf>
    <xf numFmtId="164" fontId="139" fillId="17" borderId="58" xfId="0" applyNumberFormat="1" applyFont="1" applyFill="1" applyBorder="1" applyAlignment="1">
      <alignment vertical="center"/>
    </xf>
    <xf numFmtId="164" fontId="139" fillId="17" borderId="89" xfId="0" applyNumberFormat="1" applyFont="1" applyFill="1" applyBorder="1" applyAlignment="1">
      <alignment vertical="center"/>
    </xf>
    <xf numFmtId="164" fontId="139" fillId="17" borderId="44" xfId="0" applyNumberFormat="1" applyFont="1" applyFill="1" applyBorder="1" applyAlignment="1">
      <alignment vertical="center"/>
    </xf>
    <xf numFmtId="164" fontId="138" fillId="17" borderId="44" xfId="0" applyNumberFormat="1" applyFont="1" applyFill="1" applyBorder="1" applyAlignment="1">
      <alignment vertical="center"/>
    </xf>
    <xf numFmtId="164" fontId="138" fillId="17" borderId="0" xfId="0" applyNumberFormat="1" applyFont="1" applyFill="1" applyBorder="1" applyAlignment="1">
      <alignment horizontal="right" vertical="center"/>
    </xf>
    <xf numFmtId="49" fontId="138" fillId="17" borderId="88" xfId="0" applyNumberFormat="1" applyFont="1" applyFill="1" applyBorder="1" applyAlignment="1">
      <alignment horizontal="center" vertical="center"/>
    </xf>
    <xf numFmtId="164" fontId="139" fillId="17" borderId="40" xfId="0" applyNumberFormat="1" applyFont="1" applyFill="1" applyBorder="1" applyAlignment="1">
      <alignment vertical="center"/>
    </xf>
    <xf numFmtId="164" fontId="139" fillId="17" borderId="31" xfId="0" applyNumberFormat="1" applyFont="1" applyFill="1" applyBorder="1" applyAlignment="1">
      <alignment vertical="center"/>
    </xf>
    <xf numFmtId="164" fontId="139" fillId="17" borderId="90" xfId="0" applyNumberFormat="1" applyFont="1" applyFill="1" applyBorder="1" applyAlignment="1">
      <alignment vertical="center"/>
    </xf>
    <xf numFmtId="164" fontId="139" fillId="17" borderId="1" xfId="0" applyNumberFormat="1" applyFont="1" applyFill="1" applyBorder="1" applyAlignment="1">
      <alignment vertical="center"/>
    </xf>
    <xf numFmtId="164" fontId="139" fillId="17" borderId="91" xfId="0" applyNumberFormat="1" applyFont="1" applyFill="1" applyBorder="1" applyAlignment="1">
      <alignment vertical="center"/>
    </xf>
    <xf numFmtId="164" fontId="140" fillId="17" borderId="2" xfId="0" applyNumberFormat="1" applyFont="1" applyFill="1" applyBorder="1" applyAlignment="1">
      <alignment vertical="center"/>
    </xf>
    <xf numFmtId="164" fontId="140" fillId="17" borderId="10" xfId="0" applyNumberFormat="1" applyFont="1" applyFill="1" applyBorder="1" applyAlignment="1">
      <alignment vertical="center"/>
    </xf>
    <xf numFmtId="164" fontId="139" fillId="17" borderId="88" xfId="0" applyNumberFormat="1" applyFont="1" applyFill="1" applyBorder="1" applyAlignment="1">
      <alignment horizontal="center" vertical="center"/>
    </xf>
    <xf numFmtId="164" fontId="139" fillId="17" borderId="92" xfId="0" applyNumberFormat="1" applyFont="1" applyFill="1" applyBorder="1" applyAlignment="1">
      <alignment horizontal="center" vertical="center"/>
    </xf>
    <xf numFmtId="164" fontId="140" fillId="17" borderId="0" xfId="0" applyNumberFormat="1" applyFont="1" applyFill="1" applyBorder="1" applyAlignment="1">
      <alignment vertical="center"/>
    </xf>
    <xf numFmtId="164" fontId="140" fillId="17" borderId="88" xfId="0" applyNumberFormat="1" applyFont="1" applyFill="1" applyBorder="1" applyAlignment="1">
      <alignment vertical="center"/>
    </xf>
    <xf numFmtId="164" fontId="138" fillId="17" borderId="40" xfId="0" applyNumberFormat="1" applyFont="1" applyFill="1" applyBorder="1" applyAlignment="1">
      <alignment horizontal="right" vertical="center"/>
    </xf>
    <xf numFmtId="164" fontId="138" fillId="17" borderId="31" xfId="0" applyNumberFormat="1" applyFont="1" applyFill="1" applyBorder="1" applyAlignment="1">
      <alignment vertical="center"/>
    </xf>
    <xf numFmtId="164" fontId="138" fillId="15" borderId="64" xfId="0" applyNumberFormat="1" applyFont="1" applyFill="1" applyBorder="1" applyAlignment="1">
      <alignment horizontal="center" vertical="center" wrapText="1"/>
    </xf>
    <xf numFmtId="164" fontId="138" fillId="15" borderId="64" xfId="0" applyNumberFormat="1" applyFont="1" applyFill="1" applyBorder="1" applyAlignment="1">
      <alignment horizontal="center" vertical="center"/>
    </xf>
    <xf numFmtId="164" fontId="138" fillId="15" borderId="11" xfId="0" applyNumberFormat="1" applyFont="1" applyFill="1" applyBorder="1" applyAlignment="1">
      <alignment horizontal="center" vertical="center" wrapText="1"/>
    </xf>
    <xf numFmtId="164" fontId="140" fillId="17" borderId="88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62" fillId="0" borderId="0" xfId="0" applyNumberFormat="1" applyFont="1" applyFill="1" applyBorder="1" applyAlignment="1" applyProtection="1">
      <alignment horizontal="left" vertical="center"/>
    </xf>
    <xf numFmtId="0" fontId="68" fillId="0" borderId="0" xfId="0" applyFont="1" applyFill="1" applyBorder="1" applyAlignment="1">
      <alignment vertical="center"/>
    </xf>
    <xf numFmtId="0" fontId="71" fillId="0" borderId="0" xfId="0" applyFont="1" applyAlignment="1">
      <alignment horizontal="center" vertical="center"/>
    </xf>
    <xf numFmtId="0" fontId="71" fillId="0" borderId="110" xfId="0" applyFont="1" applyBorder="1" applyAlignment="1">
      <alignment horizontal="center" vertical="center"/>
    </xf>
    <xf numFmtId="166" fontId="68" fillId="0" borderId="0" xfId="0" applyNumberFormat="1" applyFont="1" applyAlignment="1">
      <alignment vertical="center"/>
    </xf>
    <xf numFmtId="166" fontId="96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6" fontId="97" fillId="0" borderId="0" xfId="0" applyNumberFormat="1" applyFont="1" applyFill="1" applyAlignment="1" applyProtection="1">
      <alignment horizontal="left" vertical="center"/>
    </xf>
    <xf numFmtId="166" fontId="134" fillId="2" borderId="0" xfId="0" applyNumberFormat="1" applyFont="1" applyFill="1" applyAlignment="1" applyProtection="1">
      <alignment horizontal="left" vertical="center"/>
    </xf>
    <xf numFmtId="0" fontId="68" fillId="0" borderId="0" xfId="0" applyFont="1" applyFill="1" applyBorder="1" applyAlignment="1">
      <alignment vertical="top"/>
    </xf>
    <xf numFmtId="166" fontId="98" fillId="0" borderId="0" xfId="0" applyNumberFormat="1" applyFont="1" applyFill="1" applyAlignment="1" applyProtection="1">
      <alignment horizontal="left" vertical="top"/>
    </xf>
    <xf numFmtId="0" fontId="68" fillId="2" borderId="0" xfId="0" applyFont="1" applyFill="1" applyAlignment="1">
      <alignment vertical="top"/>
    </xf>
    <xf numFmtId="0" fontId="68" fillId="2" borderId="0" xfId="9" applyFont="1" applyFill="1" applyBorder="1"/>
    <xf numFmtId="166" fontId="133" fillId="14" borderId="14" xfId="9" applyNumberFormat="1" applyFont="1" applyFill="1" applyBorder="1" applyAlignment="1" applyProtection="1">
      <alignment horizontal="center" vertical="center"/>
    </xf>
    <xf numFmtId="0" fontId="133" fillId="14" borderId="15" xfId="9" applyFont="1" applyFill="1" applyBorder="1" applyAlignment="1">
      <alignment horizontal="center" vertical="center"/>
    </xf>
    <xf numFmtId="0" fontId="68" fillId="2" borderId="0" xfId="9" applyFont="1" applyFill="1"/>
    <xf numFmtId="166" fontId="62" fillId="0" borderId="12" xfId="0" applyNumberFormat="1" applyFont="1" applyFill="1" applyBorder="1" applyAlignment="1" applyProtection="1">
      <alignment horizontal="left" vertical="center"/>
    </xf>
    <xf numFmtId="39" fontId="68" fillId="2" borderId="93" xfId="9" applyNumberFormat="1" applyFont="1" applyFill="1" applyBorder="1" applyAlignment="1" applyProtection="1">
      <alignment vertical="center"/>
    </xf>
    <xf numFmtId="39" fontId="68" fillId="2" borderId="94" xfId="9" applyNumberFormat="1" applyFont="1" applyFill="1" applyBorder="1" applyAlignment="1" applyProtection="1">
      <alignment vertical="center"/>
    </xf>
    <xf numFmtId="39" fontId="68" fillId="2" borderId="95" xfId="9" applyNumberFormat="1" applyFont="1" applyFill="1" applyBorder="1" applyAlignment="1" applyProtection="1">
      <alignment vertical="center"/>
    </xf>
    <xf numFmtId="4" fontId="68" fillId="2" borderId="13" xfId="9" applyNumberFormat="1" applyFont="1" applyFill="1" applyBorder="1" applyAlignment="1">
      <alignment vertical="center"/>
    </xf>
    <xf numFmtId="39" fontId="68" fillId="2" borderId="16" xfId="9" applyNumberFormat="1" applyFont="1" applyFill="1" applyBorder="1" applyAlignment="1" applyProtection="1">
      <alignment vertical="center"/>
    </xf>
    <xf numFmtId="39" fontId="68" fillId="2" borderId="17" xfId="9" applyNumberFormat="1" applyFont="1" applyFill="1" applyBorder="1" applyAlignment="1" applyProtection="1">
      <alignment vertical="center"/>
    </xf>
    <xf numFmtId="39" fontId="68" fillId="2" borderId="18" xfId="9" applyNumberFormat="1" applyFont="1" applyFill="1" applyBorder="1" applyAlignment="1" applyProtection="1">
      <alignment vertical="center"/>
    </xf>
    <xf numFmtId="4" fontId="68" fillId="2" borderId="10" xfId="9" applyNumberFormat="1" applyFont="1" applyFill="1" applyBorder="1" applyAlignment="1">
      <alignment vertical="center"/>
    </xf>
    <xf numFmtId="4" fontId="62" fillId="2" borderId="11" xfId="9" applyNumberFormat="1" applyFont="1" applyFill="1" applyBorder="1" applyAlignment="1" applyProtection="1">
      <alignment vertical="center"/>
    </xf>
    <xf numFmtId="4" fontId="68" fillId="2" borderId="0" xfId="9" applyNumberFormat="1" applyFont="1" applyFill="1"/>
    <xf numFmtId="4" fontId="68" fillId="2" borderId="0" xfId="0" applyNumberFormat="1" applyFont="1" applyFill="1" applyAlignment="1">
      <alignment vertical="center"/>
    </xf>
    <xf numFmtId="166" fontId="98" fillId="0" borderId="0" xfId="0" applyNumberFormat="1" applyFont="1" applyFill="1" applyAlignment="1" applyProtection="1">
      <alignment horizontal="left" vertical="center"/>
    </xf>
    <xf numFmtId="166" fontId="99" fillId="0" borderId="0" xfId="0" applyNumberFormat="1" applyFont="1" applyFill="1" applyAlignment="1" applyProtection="1">
      <alignment horizontal="left" vertical="center"/>
    </xf>
    <xf numFmtId="166" fontId="99" fillId="0" borderId="0" xfId="0" applyNumberFormat="1" applyFont="1" applyFill="1" applyAlignment="1" applyProtection="1">
      <alignment horizontal="center" vertical="center"/>
    </xf>
    <xf numFmtId="166" fontId="96" fillId="0" borderId="0" xfId="0" quotePrefix="1" applyNumberFormat="1" applyFont="1" applyFill="1" applyBorder="1" applyAlignment="1" applyProtection="1">
      <alignment horizontal="centerContinuous" vertical="center"/>
    </xf>
    <xf numFmtId="166" fontId="100" fillId="0" borderId="0" xfId="0" applyNumberFormat="1" applyFont="1" applyFill="1" applyBorder="1" applyAlignment="1" applyProtection="1">
      <alignment horizontal="centerContinuous" vertical="center"/>
    </xf>
    <xf numFmtId="167" fontId="100" fillId="0" borderId="0" xfId="0" applyNumberFormat="1" applyFont="1" applyFill="1" applyBorder="1" applyAlignment="1" applyProtection="1">
      <alignment horizontal="centerContinuous" vertical="center"/>
    </xf>
    <xf numFmtId="166" fontId="100" fillId="0" borderId="0" xfId="0" applyNumberFormat="1" applyFont="1" applyFill="1" applyBorder="1" applyAlignment="1" applyProtection="1">
      <alignment horizontal="center" vertical="center"/>
    </xf>
    <xf numFmtId="167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center" vertical="center"/>
    </xf>
    <xf numFmtId="4" fontId="141" fillId="14" borderId="16" xfId="9" applyNumberFormat="1" applyFont="1" applyFill="1" applyBorder="1" applyAlignment="1" applyProtection="1"/>
    <xf numFmtId="0" fontId="142" fillId="14" borderId="17" xfId="9" applyFont="1" applyFill="1" applyBorder="1"/>
    <xf numFmtId="4" fontId="142" fillId="14" borderId="17" xfId="9" applyNumberFormat="1" applyFont="1" applyFill="1" applyBorder="1" applyProtection="1"/>
    <xf numFmtId="4" fontId="143" fillId="14" borderId="17" xfId="9" applyNumberFormat="1" applyFont="1" applyFill="1" applyBorder="1" applyAlignment="1" applyProtection="1">
      <alignment horizontal="right"/>
    </xf>
    <xf numFmtId="4" fontId="143" fillId="14" borderId="18" xfId="9" applyNumberFormat="1" applyFont="1" applyFill="1" applyBorder="1" applyProtection="1"/>
    <xf numFmtId="0" fontId="68" fillId="10" borderId="0" xfId="9" applyFont="1" applyFill="1" applyBorder="1"/>
    <xf numFmtId="4" fontId="59" fillId="0" borderId="0" xfId="9" applyNumberFormat="1" applyFont="1" applyFill="1" applyBorder="1" applyAlignment="1" applyProtection="1"/>
    <xf numFmtId="0" fontId="68" fillId="0" borderId="0" xfId="9" applyFont="1" applyFill="1"/>
    <xf numFmtId="4" fontId="68" fillId="0" borderId="0" xfId="9" applyNumberFormat="1" applyFont="1" applyFill="1" applyBorder="1" applyProtection="1"/>
    <xf numFmtId="4" fontId="59" fillId="0" borderId="0" xfId="9" applyNumberFormat="1" applyFont="1" applyFill="1" applyBorder="1" applyAlignment="1" applyProtection="1">
      <alignment horizontal="right"/>
    </xf>
    <xf numFmtId="4" fontId="59" fillId="0" borderId="0" xfId="9" applyNumberFormat="1" applyFont="1" applyFill="1" applyBorder="1" applyProtection="1"/>
    <xf numFmtId="0" fontId="68" fillId="0" borderId="0" xfId="9" applyFont="1" applyFill="1" applyBorder="1"/>
    <xf numFmtId="166" fontId="62" fillId="13" borderId="0" xfId="0" applyNumberFormat="1" applyFont="1" applyFill="1" applyBorder="1" applyAlignment="1" applyProtection="1">
      <alignment horizontal="right" vertical="center"/>
    </xf>
    <xf numFmtId="4" fontId="62" fillId="13" borderId="0" xfId="0" applyNumberFormat="1" applyFont="1" applyFill="1" applyBorder="1" applyAlignment="1" applyProtection="1">
      <alignment horizontal="left" vertical="center"/>
    </xf>
    <xf numFmtId="4" fontId="68" fillId="13" borderId="0" xfId="0" applyNumberFormat="1" applyFont="1" applyFill="1" applyBorder="1" applyAlignment="1" applyProtection="1">
      <alignment vertical="center"/>
    </xf>
    <xf numFmtId="4" fontId="68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right" vertical="center"/>
    </xf>
    <xf numFmtId="4" fontId="59" fillId="13" borderId="0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Fill="1" applyBorder="1" applyAlignment="1">
      <alignment horizontal="center" vertical="center"/>
    </xf>
    <xf numFmtId="166" fontId="62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Continuous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102" fillId="0" borderId="0" xfId="0" applyNumberFormat="1" applyFont="1" applyFill="1" applyBorder="1" applyAlignment="1" applyProtection="1">
      <alignment horizontal="center" vertical="center" wrapText="1"/>
    </xf>
    <xf numFmtId="4" fontId="68" fillId="0" borderId="2" xfId="0" applyNumberFormat="1" applyFont="1" applyFill="1" applyBorder="1" applyAlignment="1" applyProtection="1">
      <alignment vertical="center"/>
    </xf>
    <xf numFmtId="43" fontId="68" fillId="2" borderId="0" xfId="2" applyFont="1" applyFill="1" applyAlignment="1">
      <alignment vertical="center"/>
    </xf>
    <xf numFmtId="0" fontId="68" fillId="0" borderId="5" xfId="0" applyFont="1" applyFill="1" applyBorder="1" applyAlignment="1">
      <alignment vertical="center"/>
    </xf>
    <xf numFmtId="4" fontId="62" fillId="0" borderId="2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2" fillId="0" borderId="0" xfId="0" quotePrefix="1" applyNumberFormat="1" applyFont="1" applyFill="1" applyBorder="1" applyAlignment="1" applyProtection="1">
      <alignment horizontal="left" vertical="center"/>
    </xf>
    <xf numFmtId="171" fontId="68" fillId="0" borderId="0" xfId="0" applyNumberFormat="1" applyFont="1" applyFill="1" applyBorder="1" applyAlignment="1" applyProtection="1">
      <alignment vertical="center"/>
    </xf>
    <xf numFmtId="4" fontId="62" fillId="0" borderId="3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vertical="center"/>
    </xf>
    <xf numFmtId="166" fontId="143" fillId="14" borderId="16" xfId="9" applyNumberFormat="1" applyFont="1" applyFill="1" applyBorder="1" applyAlignment="1" applyProtection="1">
      <alignment horizontal="left"/>
    </xf>
    <xf numFmtId="4" fontId="143" fillId="14" borderId="17" xfId="9" applyNumberFormat="1" applyFont="1" applyFill="1" applyBorder="1" applyAlignment="1" applyProtection="1">
      <alignment horizontal="left"/>
    </xf>
    <xf numFmtId="166" fontId="59" fillId="0" borderId="0" xfId="9" applyNumberFormat="1" applyFont="1" applyFill="1" applyBorder="1" applyAlignment="1" applyProtection="1">
      <alignment horizontal="left"/>
    </xf>
    <xf numFmtId="4" fontId="59" fillId="0" borderId="0" xfId="9" applyNumberFormat="1" applyFont="1" applyFill="1" applyBorder="1" applyAlignment="1" applyProtection="1">
      <alignment horizontal="left"/>
    </xf>
    <xf numFmtId="4" fontId="98" fillId="2" borderId="0" xfId="0" applyNumberFormat="1" applyFont="1" applyFill="1" applyAlignment="1">
      <alignment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166" fontId="68" fillId="0" borderId="2" xfId="0" applyNumberFormat="1" applyFont="1" applyFill="1" applyBorder="1" applyAlignment="1" applyProtection="1">
      <alignment horizontal="center" vertical="center"/>
    </xf>
    <xf numFmtId="3" fontId="68" fillId="0" borderId="2" xfId="0" applyNumberFormat="1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43" fontId="68" fillId="0" borderId="2" xfId="2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right" vertical="center"/>
    </xf>
    <xf numFmtId="43" fontId="68" fillId="0" borderId="2" xfId="2" applyFont="1" applyFill="1" applyBorder="1" applyAlignment="1">
      <alignment horizontal="center" vertical="center"/>
    </xf>
    <xf numFmtId="4" fontId="103" fillId="0" borderId="4" xfId="0" applyNumberFormat="1" applyFont="1" applyFill="1" applyBorder="1" applyAlignment="1" applyProtection="1">
      <alignment horizontal="right" vertical="center"/>
    </xf>
    <xf numFmtId="2" fontId="62" fillId="15" borderId="0" xfId="0" applyNumberFormat="1" applyFont="1" applyFill="1" applyBorder="1" applyAlignment="1" applyProtection="1">
      <alignment horizontal="right" vertical="center"/>
    </xf>
    <xf numFmtId="0" fontId="62" fillId="2" borderId="2" xfId="0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 applyProtection="1">
      <alignment vertical="center"/>
    </xf>
    <xf numFmtId="4" fontId="68" fillId="2" borderId="2" xfId="0" applyNumberFormat="1" applyFont="1" applyFill="1" applyBorder="1" applyAlignment="1">
      <alignment horizontal="center" vertical="center"/>
    </xf>
    <xf numFmtId="4" fontId="103" fillId="0" borderId="2" xfId="0" applyNumberFormat="1" applyFont="1" applyFill="1" applyBorder="1" applyAlignment="1" applyProtection="1">
      <alignment horizontal="right" vertical="center"/>
    </xf>
    <xf numFmtId="2" fontId="62" fillId="13" borderId="0" xfId="0" applyNumberFormat="1" applyFont="1" applyFill="1" applyBorder="1" applyAlignment="1" applyProtection="1">
      <alignment horizontal="right" vertical="center"/>
    </xf>
    <xf numFmtId="4" fontId="98" fillId="0" borderId="0" xfId="0" applyNumberFormat="1" applyFont="1" applyFill="1" applyBorder="1" applyAlignment="1" applyProtection="1">
      <alignment vertical="center"/>
    </xf>
    <xf numFmtId="166" fontId="103" fillId="0" borderId="0" xfId="0" applyNumberFormat="1" applyFont="1" applyFill="1" applyAlignment="1" applyProtection="1">
      <alignment horizontal="right" vertical="center"/>
    </xf>
    <xf numFmtId="166" fontId="103" fillId="0" borderId="0" xfId="0" applyNumberFormat="1" applyFont="1" applyFill="1" applyAlignment="1" applyProtection="1">
      <alignment horizontal="left" vertical="center"/>
    </xf>
    <xf numFmtId="39" fontId="104" fillId="0" borderId="0" xfId="0" applyNumberFormat="1" applyFont="1" applyFill="1" applyAlignment="1" applyProtection="1">
      <alignment horizontal="center" vertical="center"/>
    </xf>
    <xf numFmtId="39" fontId="104" fillId="0" borderId="0" xfId="0" applyNumberFormat="1" applyFont="1" applyFill="1" applyAlignment="1" applyProtection="1">
      <alignment vertical="center"/>
    </xf>
    <xf numFmtId="166" fontId="62" fillId="0" borderId="21" xfId="0" applyNumberFormat="1" applyFont="1" applyFill="1" applyBorder="1" applyAlignment="1" applyProtection="1">
      <alignment horizontal="center" vertical="center"/>
    </xf>
    <xf numFmtId="4" fontId="68" fillId="0" borderId="19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horizontal="center" vertical="center"/>
    </xf>
    <xf numFmtId="4" fontId="68" fillId="0" borderId="20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vertical="center"/>
    </xf>
    <xf numFmtId="4" fontId="68" fillId="0" borderId="18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horizontal="center" vertical="center"/>
    </xf>
    <xf numFmtId="4" fontId="68" fillId="0" borderId="8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166" fontId="104" fillId="0" borderId="0" xfId="0" applyNumberFormat="1" applyFont="1" applyFill="1" applyAlignment="1" applyProtection="1">
      <alignment vertical="center"/>
    </xf>
    <xf numFmtId="2" fontId="103" fillId="0" borderId="2" xfId="0" applyNumberFormat="1" applyFont="1" applyFill="1" applyBorder="1" applyAlignment="1" applyProtection="1">
      <alignment horizontal="right" vertical="center"/>
    </xf>
    <xf numFmtId="0" fontId="62" fillId="0" borderId="2" xfId="0" applyFont="1" applyFill="1" applyBorder="1" applyAlignment="1">
      <alignment horizontal="center" vertical="center"/>
    </xf>
    <xf numFmtId="165" fontId="68" fillId="0" borderId="2" xfId="5" applyFont="1" applyFill="1" applyBorder="1" applyAlignment="1">
      <alignment horizontal="center" vertical="center"/>
    </xf>
    <xf numFmtId="174" fontId="68" fillId="2" borderId="0" xfId="0" applyNumberFormat="1" applyFont="1" applyFill="1" applyAlignment="1">
      <alignment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4" xfId="0" applyNumberFormat="1" applyFont="1" applyFill="1" applyBorder="1" applyAlignment="1" applyProtection="1">
      <alignment horizontal="center" vertical="center"/>
    </xf>
    <xf numFmtId="4" fontId="68" fillId="0" borderId="7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right" vertical="center"/>
    </xf>
    <xf numFmtId="4" fontId="68" fillId="0" borderId="4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center" vertical="center"/>
    </xf>
    <xf numFmtId="4" fontId="68" fillId="0" borderId="4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Alignment="1">
      <alignment vertical="center"/>
    </xf>
    <xf numFmtId="0" fontId="48" fillId="2" borderId="0" xfId="0" applyFont="1" applyFill="1" applyAlignment="1">
      <alignment vertical="center"/>
    </xf>
    <xf numFmtId="0" fontId="147" fillId="23" borderId="112" xfId="0" applyFont="1" applyFill="1" applyBorder="1" applyAlignment="1">
      <alignment vertical="top" wrapText="1"/>
    </xf>
    <xf numFmtId="4" fontId="147" fillId="23" borderId="112" xfId="0" applyNumberFormat="1" applyFont="1" applyFill="1" applyBorder="1" applyAlignment="1">
      <alignment horizontal="right" vertical="top" wrapText="1"/>
    </xf>
    <xf numFmtId="0" fontId="149" fillId="23" borderId="112" xfId="0" applyFont="1" applyFill="1" applyBorder="1" applyAlignment="1">
      <alignment vertical="top" wrapText="1"/>
    </xf>
    <xf numFmtId="0" fontId="147" fillId="23" borderId="2" xfId="0" applyFont="1" applyFill="1" applyBorder="1" applyAlignment="1">
      <alignment vertical="top" wrapText="1"/>
    </xf>
    <xf numFmtId="0" fontId="147" fillId="23" borderId="2" xfId="0" applyFont="1" applyFill="1" applyBorder="1" applyAlignment="1">
      <alignment horizontal="right" vertical="top" wrapText="1"/>
    </xf>
    <xf numFmtId="4" fontId="147" fillId="23" borderId="2" xfId="0" applyNumberFormat="1" applyFont="1" applyFill="1" applyBorder="1" applyAlignment="1">
      <alignment horizontal="right" vertical="top" wrapText="1"/>
    </xf>
    <xf numFmtId="0" fontId="147" fillId="24" borderId="2" xfId="0" applyFont="1" applyFill="1" applyBorder="1" applyAlignment="1">
      <alignment vertical="top" wrapText="1"/>
    </xf>
    <xf numFmtId="0" fontId="147" fillId="24" borderId="2" xfId="0" applyFont="1" applyFill="1" applyBorder="1" applyAlignment="1">
      <alignment horizontal="right" vertical="top" wrapText="1"/>
    </xf>
    <xf numFmtId="4" fontId="147" fillId="24" borderId="2" xfId="0" applyNumberFormat="1" applyFont="1" applyFill="1" applyBorder="1" applyAlignment="1">
      <alignment horizontal="right" vertical="top" wrapText="1"/>
    </xf>
    <xf numFmtId="0" fontId="148" fillId="24" borderId="2" xfId="0" applyFont="1" applyFill="1" applyBorder="1" applyAlignment="1">
      <alignment vertical="top" wrapText="1"/>
    </xf>
    <xf numFmtId="0" fontId="148" fillId="23" borderId="2" xfId="0" applyFont="1" applyFill="1" applyBorder="1" applyAlignment="1">
      <alignment vertical="top" wrapText="1"/>
    </xf>
    <xf numFmtId="164" fontId="138" fillId="17" borderId="19" xfId="0" applyNumberFormat="1" applyFont="1" applyFill="1" applyBorder="1" applyAlignment="1">
      <alignment horizontal="center" vertical="center"/>
    </xf>
    <xf numFmtId="164" fontId="138" fillId="17" borderId="5" xfId="0" applyNumberFormat="1" applyFont="1" applyFill="1" applyBorder="1" applyAlignment="1">
      <alignment horizontal="center" vertical="center"/>
    </xf>
    <xf numFmtId="164" fontId="139" fillId="17" borderId="5" xfId="0" applyNumberFormat="1" applyFont="1" applyFill="1" applyBorder="1" applyAlignment="1">
      <alignment horizontal="center" vertical="center"/>
    </xf>
    <xf numFmtId="164" fontId="139" fillId="17" borderId="7" xfId="0" applyNumberFormat="1" applyFont="1" applyFill="1" applyBorder="1" applyAlignment="1">
      <alignment horizontal="center" vertical="center"/>
    </xf>
    <xf numFmtId="164" fontId="138" fillId="15" borderId="3" xfId="0" applyNumberFormat="1" applyFont="1" applyFill="1" applyBorder="1" applyAlignment="1">
      <alignment horizontal="center" vertical="center" wrapText="1"/>
    </xf>
    <xf numFmtId="164" fontId="140" fillId="17" borderId="21" xfId="0" applyNumberFormat="1" applyFont="1" applyFill="1" applyBorder="1" applyAlignment="1">
      <alignment horizontal="center" vertical="center"/>
    </xf>
    <xf numFmtId="164" fontId="140" fillId="17" borderId="3" xfId="0" applyNumberFormat="1" applyFont="1" applyFill="1" applyBorder="1" applyAlignment="1">
      <alignment horizontal="left" vertical="center" wrapText="1"/>
    </xf>
    <xf numFmtId="164" fontId="140" fillId="17" borderId="1" xfId="0" applyNumberFormat="1" applyFont="1" applyFill="1" applyBorder="1" applyAlignment="1">
      <alignment horizontal="center" vertical="center"/>
    </xf>
    <xf numFmtId="164" fontId="140" fillId="17" borderId="6" xfId="0" applyNumberFormat="1" applyFont="1" applyFill="1" applyBorder="1" applyAlignment="1">
      <alignment horizontal="center" vertical="center"/>
    </xf>
    <xf numFmtId="164" fontId="140" fillId="17" borderId="1" xfId="0" applyNumberFormat="1" applyFont="1" applyFill="1" applyBorder="1" applyAlignment="1">
      <alignment horizontal="left" vertical="center" wrapText="1"/>
    </xf>
    <xf numFmtId="164" fontId="140" fillId="17" borderId="9" xfId="0" applyNumberFormat="1" applyFont="1" applyFill="1" applyBorder="1" applyAlignment="1">
      <alignment horizontal="center" vertical="center"/>
    </xf>
    <xf numFmtId="164" fontId="140" fillId="17" borderId="4" xfId="0" applyNumberFormat="1" applyFont="1" applyFill="1" applyBorder="1" applyAlignment="1">
      <alignment horizontal="left" vertical="center" wrapText="1"/>
    </xf>
    <xf numFmtId="0" fontId="150" fillId="24" borderId="113" xfId="0" applyFont="1" applyFill="1" applyBorder="1" applyAlignment="1">
      <alignment vertical="top" wrapText="1"/>
    </xf>
    <xf numFmtId="4" fontId="150" fillId="24" borderId="113" xfId="0" applyNumberFormat="1" applyFont="1" applyFill="1" applyBorder="1" applyAlignment="1">
      <alignment horizontal="right" vertical="top" wrapText="1"/>
    </xf>
    <xf numFmtId="0" fontId="150" fillId="24" borderId="113" xfId="0" applyFont="1" applyFill="1" applyBorder="1" applyAlignment="1">
      <alignment horizontal="right" vertical="top" wrapText="1"/>
    </xf>
    <xf numFmtId="0" fontId="150" fillId="23" borderId="112" xfId="0" applyFont="1" applyFill="1" applyBorder="1" applyAlignment="1">
      <alignment vertical="top" wrapText="1"/>
    </xf>
    <xf numFmtId="0" fontId="150" fillId="23" borderId="112" xfId="0" applyFont="1" applyFill="1" applyBorder="1" applyAlignment="1">
      <alignment horizontal="right" vertical="top" wrapText="1"/>
    </xf>
    <xf numFmtId="4" fontId="150" fillId="23" borderId="112" xfId="0" applyNumberFormat="1" applyFont="1" applyFill="1" applyBorder="1" applyAlignment="1">
      <alignment horizontal="right" vertical="top" wrapText="1"/>
    </xf>
    <xf numFmtId="0" fontId="150" fillId="24" borderId="112" xfId="0" applyFont="1" applyFill="1" applyBorder="1" applyAlignment="1">
      <alignment vertical="top" wrapText="1"/>
    </xf>
    <xf numFmtId="0" fontId="150" fillId="24" borderId="112" xfId="0" applyFont="1" applyFill="1" applyBorder="1" applyAlignment="1">
      <alignment horizontal="right" vertical="top" wrapText="1"/>
    </xf>
    <xf numFmtId="4" fontId="150" fillId="24" borderId="112" xfId="0" applyNumberFormat="1" applyFont="1" applyFill="1" applyBorder="1" applyAlignment="1">
      <alignment horizontal="right" vertical="top" wrapText="1"/>
    </xf>
    <xf numFmtId="0" fontId="4" fillId="22" borderId="59" xfId="14" applyFont="1" applyFill="1" applyBorder="1" applyAlignment="1">
      <alignment horizontal="center" vertical="center" wrapText="1"/>
    </xf>
    <xf numFmtId="0" fontId="4" fillId="22" borderId="58" xfId="14" applyFont="1" applyFill="1" applyBorder="1" applyAlignment="1">
      <alignment horizontal="center" vertical="center" wrapText="1"/>
    </xf>
    <xf numFmtId="0" fontId="4" fillId="22" borderId="89" xfId="14" applyFont="1" applyFill="1" applyBorder="1" applyAlignment="1">
      <alignment horizontal="center" vertical="center" wrapText="1"/>
    </xf>
    <xf numFmtId="0" fontId="4" fillId="22" borderId="40" xfId="14" applyFont="1" applyFill="1" applyBorder="1" applyAlignment="1">
      <alignment horizontal="center" vertical="center" wrapText="1"/>
    </xf>
    <xf numFmtId="0" fontId="4" fillId="22" borderId="31" xfId="14" applyFont="1" applyFill="1" applyBorder="1" applyAlignment="1">
      <alignment horizontal="center" vertical="center" wrapText="1"/>
    </xf>
    <xf numFmtId="0" fontId="4" fillId="22" borderId="90" xfId="14" applyFont="1" applyFill="1" applyBorder="1" applyAlignment="1">
      <alignment horizontal="center" vertical="center" wrapText="1"/>
    </xf>
    <xf numFmtId="0" fontId="144" fillId="0" borderId="0" xfId="14" applyFont="1" applyFill="1" applyBorder="1" applyAlignment="1">
      <alignment horizontal="center"/>
    </xf>
    <xf numFmtId="0" fontId="111" fillId="0" borderId="71" xfId="14" applyFont="1" applyFill="1" applyBorder="1" applyAlignment="1">
      <alignment horizontal="right"/>
    </xf>
    <xf numFmtId="0" fontId="111" fillId="0" borderId="96" xfId="14" applyFont="1" applyFill="1" applyBorder="1" applyAlignment="1">
      <alignment horizontal="right"/>
    </xf>
    <xf numFmtId="0" fontId="111" fillId="0" borderId="67" xfId="14" applyFont="1" applyFill="1" applyBorder="1" applyAlignment="1">
      <alignment horizontal="right"/>
    </xf>
    <xf numFmtId="0" fontId="145" fillId="0" borderId="0" xfId="14" applyFont="1" applyFill="1" applyBorder="1" applyAlignment="1">
      <alignment horizontal="center"/>
    </xf>
    <xf numFmtId="0" fontId="145" fillId="0" borderId="28" xfId="14" applyFont="1" applyFill="1" applyBorder="1" applyAlignment="1">
      <alignment horizontal="center"/>
    </xf>
    <xf numFmtId="0" fontId="4" fillId="22" borderId="97" xfId="14" applyFont="1" applyFill="1" applyBorder="1" applyAlignment="1">
      <alignment horizontal="center" vertical="center" wrapText="1"/>
    </xf>
    <xf numFmtId="0" fontId="54" fillId="22" borderId="69" xfId="14" applyFont="1" applyFill="1" applyBorder="1" applyAlignment="1">
      <alignment horizontal="center" vertical="center"/>
    </xf>
    <xf numFmtId="0" fontId="54" fillId="22" borderId="98" xfId="14" applyFont="1" applyFill="1" applyBorder="1" applyAlignment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7" fillId="0" borderId="0" xfId="0" applyNumberFormat="1" applyFont="1" applyFill="1" applyAlignment="1" applyProtection="1">
      <alignment horizontal="left" vertical="center" wrapText="1"/>
    </xf>
    <xf numFmtId="166" fontId="10" fillId="12" borderId="68" xfId="7" applyNumberFormat="1" applyFont="1" applyFill="1" applyBorder="1" applyAlignment="1" applyProtection="1">
      <alignment horizontal="center" vertical="center"/>
    </xf>
    <xf numFmtId="39" fontId="10" fillId="2" borderId="65" xfId="7" applyNumberFormat="1" applyFont="1" applyFill="1" applyBorder="1" applyAlignment="1" applyProtection="1">
      <alignment horizontal="center" vertical="center"/>
    </xf>
    <xf numFmtId="39" fontId="10" fillId="2" borderId="64" xfId="7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166" fontId="16" fillId="0" borderId="0" xfId="0" quotePrefix="1" applyNumberFormat="1" applyFont="1" applyFill="1" applyBorder="1" applyAlignment="1" applyProtection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4" fontId="146" fillId="17" borderId="44" xfId="0" applyNumberFormat="1" applyFont="1" applyFill="1" applyBorder="1" applyAlignment="1">
      <alignment horizontal="center" vertical="center"/>
    </xf>
    <xf numFmtId="164" fontId="146" fillId="17" borderId="0" xfId="0" applyNumberFormat="1" applyFont="1" applyFill="1" applyBorder="1" applyAlignment="1">
      <alignment horizontal="center" vertical="center"/>
    </xf>
    <xf numFmtId="164" fontId="146" fillId="17" borderId="88" xfId="0" applyNumberFormat="1" applyFont="1" applyFill="1" applyBorder="1" applyAlignment="1">
      <alignment horizontal="center" vertical="center"/>
    </xf>
    <xf numFmtId="49" fontId="140" fillId="17" borderId="0" xfId="0" applyNumberFormat="1" applyFont="1" applyFill="1" applyBorder="1" applyAlignment="1">
      <alignment horizontal="left" vertical="center" wrapText="1"/>
    </xf>
    <xf numFmtId="49" fontId="140" fillId="17" borderId="88" xfId="0" applyNumberFormat="1" applyFont="1" applyFill="1" applyBorder="1" applyAlignment="1">
      <alignment horizontal="left" vertical="center" wrapText="1"/>
    </xf>
    <xf numFmtId="164" fontId="138" fillId="15" borderId="114" xfId="0" applyNumberFormat="1" applyFont="1" applyFill="1" applyBorder="1" applyAlignment="1">
      <alignment horizontal="center" vertical="center"/>
    </xf>
    <xf numFmtId="164" fontId="138" fillId="15" borderId="21" xfId="0" applyNumberFormat="1" applyFont="1" applyFill="1" applyBorder="1" applyAlignment="1">
      <alignment horizontal="center"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17" xfId="0" applyNumberFormat="1" applyFont="1" applyFill="1" applyBorder="1" applyAlignment="1" applyProtection="1">
      <alignment horizontal="center" vertical="center"/>
    </xf>
    <xf numFmtId="4" fontId="62" fillId="0" borderId="18" xfId="0" applyNumberFormat="1" applyFont="1" applyFill="1" applyBorder="1" applyAlignment="1" applyProtection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1" fillId="0" borderId="111" xfId="0" applyFont="1" applyBorder="1" applyAlignment="1">
      <alignment horizontal="center" vertical="center"/>
    </xf>
    <xf numFmtId="166" fontId="137" fillId="21" borderId="0" xfId="0" applyNumberFormat="1" applyFont="1" applyFill="1" applyBorder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 wrapText="1"/>
    </xf>
    <xf numFmtId="166" fontId="133" fillId="14" borderId="68" xfId="9" applyNumberFormat="1" applyFont="1" applyFill="1" applyBorder="1" applyAlignment="1" applyProtection="1">
      <alignment horizontal="center" vertical="center"/>
    </xf>
    <xf numFmtId="39" fontId="62" fillId="2" borderId="65" xfId="9" applyNumberFormat="1" applyFont="1" applyFill="1" applyBorder="1" applyAlignment="1" applyProtection="1">
      <alignment horizontal="center" vertical="center"/>
    </xf>
    <xf numFmtId="39" fontId="62" fillId="2" borderId="64" xfId="9" applyNumberFormat="1" applyFont="1" applyFill="1" applyBorder="1" applyAlignment="1" applyProtection="1">
      <alignment horizontal="center" vertical="center"/>
    </xf>
    <xf numFmtId="166" fontId="136" fillId="21" borderId="0" xfId="0" applyNumberFormat="1" applyFont="1" applyFill="1" applyBorder="1" applyAlignment="1" applyProtection="1">
      <alignment horizontal="center" vertical="center"/>
    </xf>
    <xf numFmtId="166" fontId="101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2" fillId="0" borderId="4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4" fontId="62" fillId="0" borderId="9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68" fillId="0" borderId="19" xfId="0" applyNumberFormat="1" applyFont="1" applyFill="1" applyBorder="1" applyAlignment="1">
      <alignment horizontal="left" vertical="center"/>
    </xf>
    <xf numFmtId="4" fontId="68" fillId="0" borderId="21" xfId="0" applyNumberFormat="1" applyFont="1" applyFill="1" applyBorder="1" applyAlignment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39" fillId="0" borderId="2" xfId="0" applyNumberFormat="1" applyFont="1" applyFill="1" applyBorder="1" applyAlignment="1">
      <alignment horizontal="center" vertical="center"/>
    </xf>
    <xf numFmtId="4" fontId="52" fillId="0" borderId="2" xfId="0" applyNumberFormat="1" applyFont="1" applyFill="1" applyBorder="1" applyAlignment="1" applyProtection="1">
      <alignment horizontal="left" vertical="center"/>
    </xf>
    <xf numFmtId="166" fontId="39" fillId="0" borderId="16" xfId="0" applyNumberFormat="1" applyFont="1" applyFill="1" applyBorder="1" applyAlignment="1" applyProtection="1">
      <alignment horizontal="center" vertical="center"/>
    </xf>
    <xf numFmtId="166" fontId="39" fillId="0" borderId="18" xfId="0" applyNumberFormat="1" applyFont="1" applyFill="1" applyBorder="1" applyAlignment="1" applyProtection="1">
      <alignment horizontal="center" vertical="center"/>
    </xf>
    <xf numFmtId="4" fontId="39" fillId="0" borderId="2" xfId="0" applyNumberFormat="1" applyFont="1" applyFill="1" applyBorder="1" applyAlignment="1" applyProtection="1">
      <alignment horizontal="center" vertical="center"/>
    </xf>
    <xf numFmtId="166" fontId="39" fillId="0" borderId="2" xfId="0" applyNumberFormat="1" applyFont="1" applyFill="1" applyBorder="1" applyAlignment="1" applyProtection="1">
      <alignment horizontal="center" vertical="center"/>
    </xf>
    <xf numFmtId="4" fontId="52" fillId="0" borderId="2" xfId="0" applyNumberFormat="1" applyFont="1" applyFill="1" applyBorder="1" applyAlignment="1">
      <alignment horizontal="left" vertical="center"/>
    </xf>
    <xf numFmtId="4" fontId="39" fillId="0" borderId="7" xfId="0" applyNumberFormat="1" applyFont="1" applyFill="1" applyBorder="1" applyAlignment="1" applyProtection="1">
      <alignment horizontal="center" vertical="center"/>
    </xf>
    <xf numFmtId="4" fontId="39" fillId="0" borderId="8" xfId="0" applyNumberFormat="1" applyFont="1" applyFill="1" applyBorder="1" applyAlignment="1" applyProtection="1">
      <alignment horizontal="center" vertical="center"/>
    </xf>
    <xf numFmtId="4" fontId="39" fillId="0" borderId="9" xfId="0" applyNumberFormat="1" applyFont="1" applyFill="1" applyBorder="1" applyAlignment="1" applyProtection="1">
      <alignment horizontal="center" vertical="center"/>
    </xf>
    <xf numFmtId="4" fontId="39" fillId="0" borderId="16" xfId="0" applyNumberFormat="1" applyFont="1" applyFill="1" applyBorder="1" applyAlignment="1" applyProtection="1">
      <alignment horizontal="center" vertical="center"/>
    </xf>
    <xf numFmtId="4" fontId="39" fillId="0" borderId="17" xfId="0" applyNumberFormat="1" applyFont="1" applyFill="1" applyBorder="1" applyAlignment="1" applyProtection="1">
      <alignment horizontal="center" vertical="center"/>
    </xf>
    <xf numFmtId="4" fontId="39" fillId="0" borderId="18" xfId="0" applyNumberFormat="1" applyFont="1" applyFill="1" applyBorder="1" applyAlignment="1" applyProtection="1">
      <alignment horizontal="center" vertical="center"/>
    </xf>
    <xf numFmtId="166" fontId="133" fillId="14" borderId="68" xfId="7" applyNumberFormat="1" applyFont="1" applyFill="1" applyBorder="1" applyAlignment="1" applyProtection="1">
      <alignment horizontal="center" vertical="center"/>
    </xf>
    <xf numFmtId="39" fontId="39" fillId="2" borderId="14" xfId="7" applyNumberFormat="1" applyFont="1" applyFill="1" applyBorder="1" applyAlignment="1" applyProtection="1">
      <alignment horizontal="center" vertical="center"/>
    </xf>
    <xf numFmtId="39" fontId="39" fillId="2" borderId="68" xfId="7" applyNumberFormat="1" applyFont="1" applyFill="1" applyBorder="1" applyAlignment="1" applyProtection="1">
      <alignment horizontal="center" vertical="center"/>
    </xf>
    <xf numFmtId="166" fontId="82" fillId="0" borderId="0" xfId="0" applyNumberFormat="1" applyFont="1" applyFill="1" applyBorder="1" applyAlignment="1" applyProtection="1">
      <alignment horizontal="center" vertical="center"/>
    </xf>
    <xf numFmtId="39" fontId="52" fillId="2" borderId="4" xfId="7" applyNumberFormat="1" applyFont="1" applyFill="1" applyBorder="1" applyAlignment="1" applyProtection="1">
      <alignment horizontal="left" vertical="center"/>
    </xf>
    <xf numFmtId="39" fontId="52" fillId="2" borderId="2" xfId="7" applyNumberFormat="1" applyFont="1" applyFill="1" applyBorder="1" applyAlignment="1" applyProtection="1">
      <alignment horizontal="left" vertical="center"/>
    </xf>
    <xf numFmtId="39" fontId="52" fillId="2" borderId="3" xfId="7" applyNumberFormat="1" applyFont="1" applyFill="1" applyBorder="1" applyAlignment="1" applyProtection="1">
      <alignment horizontal="left" vertical="center"/>
    </xf>
    <xf numFmtId="4" fontId="50" fillId="0" borderId="0" xfId="0" applyNumberFormat="1" applyFont="1" applyFill="1" applyBorder="1" applyAlignment="1" applyProtection="1">
      <alignment horizontal="center" vertical="center"/>
    </xf>
    <xf numFmtId="4" fontId="52" fillId="0" borderId="7" xfId="0" applyNumberFormat="1" applyFont="1" applyFill="1" applyBorder="1" applyAlignment="1">
      <alignment horizontal="left" vertical="center"/>
    </xf>
    <xf numFmtId="4" fontId="52" fillId="0" borderId="9" xfId="0" applyNumberFormat="1" applyFont="1" applyFill="1" applyBorder="1" applyAlignment="1">
      <alignment horizontal="left" vertical="center"/>
    </xf>
    <xf numFmtId="4" fontId="52" fillId="0" borderId="19" xfId="0" applyNumberFormat="1" applyFont="1" applyFill="1" applyBorder="1" applyAlignment="1">
      <alignment horizontal="left" vertical="center"/>
    </xf>
    <xf numFmtId="4" fontId="52" fillId="0" borderId="21" xfId="0" applyNumberFormat="1" applyFont="1" applyFill="1" applyBorder="1" applyAlignment="1">
      <alignment horizontal="left" vertical="center"/>
    </xf>
    <xf numFmtId="4" fontId="37" fillId="0" borderId="5" xfId="0" applyNumberFormat="1" applyFont="1" applyFill="1" applyBorder="1" applyAlignment="1" applyProtection="1">
      <alignment horizontal="left" vertical="center"/>
    </xf>
    <xf numFmtId="4" fontId="37" fillId="0" borderId="6" xfId="0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0" fontId="28" fillId="0" borderId="0" xfId="0" applyFont="1" applyFill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166" fontId="36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 applyProtection="1">
      <alignment horizontal="left" vertical="center" wrapText="1"/>
    </xf>
    <xf numFmtId="166" fontId="107" fillId="14" borderId="61" xfId="7" applyNumberFormat="1" applyFont="1" applyFill="1" applyBorder="1" applyAlignment="1" applyProtection="1">
      <alignment horizontal="center" vertical="center"/>
    </xf>
    <xf numFmtId="39" fontId="27" fillId="2" borderId="65" xfId="7" applyNumberFormat="1" applyFont="1" applyFill="1" applyBorder="1" applyAlignment="1" applyProtection="1">
      <alignment horizontal="center" vertical="center"/>
    </xf>
    <xf numFmtId="39" fontId="27" fillId="2" borderId="99" xfId="7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166" fontId="27" fillId="0" borderId="3" xfId="0" applyNumberFormat="1" applyFont="1" applyFill="1" applyBorder="1" applyAlignment="1" applyProtection="1">
      <alignment horizontal="center" vertical="center"/>
    </xf>
    <xf numFmtId="39" fontId="24" fillId="2" borderId="2" xfId="7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166" fontId="27" fillId="0" borderId="19" xfId="0" applyNumberFormat="1" applyFont="1" applyFill="1" applyBorder="1" applyAlignment="1" applyProtection="1">
      <alignment horizontal="center"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166" fontId="132" fillId="14" borderId="61" xfId="7" applyNumberFormat="1" applyFont="1" applyFill="1" applyBorder="1" applyAlignment="1" applyProtection="1">
      <alignment horizontal="center" vertical="center"/>
    </xf>
    <xf numFmtId="39" fontId="62" fillId="2" borderId="65" xfId="7" applyNumberFormat="1" applyFont="1" applyFill="1" applyBorder="1" applyAlignment="1" applyProtection="1">
      <alignment horizontal="center" vertical="center"/>
    </xf>
    <xf numFmtId="39" fontId="62" fillId="2" borderId="64" xfId="7" applyNumberFormat="1" applyFont="1" applyFill="1" applyBorder="1" applyAlignment="1" applyProtection="1">
      <alignment horizontal="center" vertical="center"/>
    </xf>
    <xf numFmtId="0" fontId="71" fillId="0" borderId="2" xfId="0" applyFont="1" applyBorder="1" applyAlignment="1">
      <alignment horizontal="left" vertical="center" wrapText="1"/>
    </xf>
    <xf numFmtId="0" fontId="71" fillId="0" borderId="2" xfId="0" applyFont="1" applyBorder="1" applyAlignment="1">
      <alignment horizontal="center" vertical="center"/>
    </xf>
    <xf numFmtId="0" fontId="129" fillId="0" borderId="2" xfId="0" applyFont="1" applyBorder="1" applyAlignment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166" fontId="135" fillId="14" borderId="93" xfId="7" applyNumberFormat="1" applyFont="1" applyFill="1" applyBorder="1" applyAlignment="1" applyProtection="1">
      <alignment horizontal="center" vertical="center"/>
    </xf>
    <xf numFmtId="166" fontId="135" fillId="14" borderId="94" xfId="7" applyNumberFormat="1" applyFont="1" applyFill="1" applyBorder="1" applyAlignment="1" applyProtection="1">
      <alignment horizontal="center" vertical="center"/>
    </xf>
    <xf numFmtId="166" fontId="135" fillId="14" borderId="95" xfId="7" applyNumberFormat="1" applyFont="1" applyFill="1" applyBorder="1" applyAlignment="1" applyProtection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 wrapText="1"/>
    </xf>
    <xf numFmtId="0" fontId="50" fillId="0" borderId="0" xfId="0" applyFont="1" applyFill="1" applyAlignment="1">
      <alignment horizontal="center" vertical="center"/>
    </xf>
    <xf numFmtId="4" fontId="52" fillId="0" borderId="2" xfId="0" applyNumberFormat="1" applyFont="1" applyFill="1" applyBorder="1" applyAlignment="1" applyProtection="1">
      <alignment horizontal="center" vertical="center"/>
    </xf>
    <xf numFmtId="166" fontId="52" fillId="0" borderId="0" xfId="0" applyNumberFormat="1" applyFont="1" applyFill="1" applyAlignment="1" applyProtection="1">
      <alignment horizontal="left" vertical="center" wrapText="1"/>
    </xf>
    <xf numFmtId="39" fontId="39" fillId="2" borderId="65" xfId="7" applyNumberFormat="1" applyFont="1" applyFill="1" applyBorder="1" applyAlignment="1" applyProtection="1">
      <alignment horizontal="center" vertical="center"/>
    </xf>
    <xf numFmtId="39" fontId="39" fillId="2" borderId="64" xfId="7" applyNumberFormat="1" applyFont="1" applyFill="1" applyBorder="1" applyAlignment="1" applyProtection="1">
      <alignment horizontal="center" vertical="center"/>
    </xf>
    <xf numFmtId="4" fontId="50" fillId="0" borderId="2" xfId="0" applyNumberFormat="1" applyFont="1" applyFill="1" applyBorder="1" applyAlignment="1" applyProtection="1">
      <alignment horizontal="center" vertical="center"/>
    </xf>
    <xf numFmtId="166" fontId="39" fillId="0" borderId="3" xfId="0" applyNumberFormat="1" applyFont="1" applyFill="1" applyBorder="1" applyAlignment="1" applyProtection="1">
      <alignment horizontal="center" vertical="center"/>
    </xf>
    <xf numFmtId="4" fontId="39" fillId="0" borderId="4" xfId="0" applyNumberFormat="1" applyFont="1" applyFill="1" applyBorder="1" applyAlignment="1" applyProtection="1">
      <alignment horizontal="center" vertical="center"/>
    </xf>
    <xf numFmtId="4" fontId="52" fillId="0" borderId="5" xfId="0" applyNumberFormat="1" applyFont="1" applyFill="1" applyBorder="1" applyAlignment="1" applyProtection="1">
      <alignment horizontal="left" vertical="center"/>
    </xf>
    <xf numFmtId="4" fontId="52" fillId="0" borderId="6" xfId="0" applyNumberFormat="1" applyFont="1" applyFill="1" applyBorder="1" applyAlignment="1" applyProtection="1">
      <alignment horizontal="left" vertical="center"/>
    </xf>
    <xf numFmtId="4" fontId="84" fillId="0" borderId="0" xfId="0" applyNumberFormat="1" applyFont="1" applyAlignment="1">
      <alignment horizontal="center" vertical="center"/>
    </xf>
    <xf numFmtId="4" fontId="85" fillId="0" borderId="0" xfId="0" applyNumberFormat="1" applyFont="1" applyAlignment="1">
      <alignment horizontal="center" vertical="center"/>
    </xf>
    <xf numFmtId="4" fontId="87" fillId="9" borderId="56" xfId="0" applyNumberFormat="1" applyFont="1" applyFill="1" applyBorder="1" applyAlignment="1">
      <alignment horizontal="center" vertical="center" wrapText="1"/>
    </xf>
    <xf numFmtId="4" fontId="87" fillId="9" borderId="45" xfId="0" applyNumberFormat="1" applyFont="1" applyFill="1" applyBorder="1" applyAlignment="1">
      <alignment horizontal="center" vertical="center" wrapText="1"/>
    </xf>
    <xf numFmtId="4" fontId="87" fillId="9" borderId="0" xfId="0" applyNumberFormat="1" applyFont="1" applyFill="1" applyBorder="1" applyAlignment="1">
      <alignment horizontal="center" vertical="center" wrapText="1"/>
    </xf>
    <xf numFmtId="4" fontId="86" fillId="8" borderId="100" xfId="0" applyNumberFormat="1" applyFont="1" applyFill="1" applyBorder="1" applyAlignment="1">
      <alignment horizontal="center" vertical="center" textRotation="255" wrapText="1"/>
    </xf>
    <xf numFmtId="4" fontId="86" fillId="8" borderId="101" xfId="0" applyNumberFormat="1" applyFont="1" applyFill="1" applyBorder="1" applyAlignment="1">
      <alignment horizontal="center" vertical="center" textRotation="255" wrapText="1"/>
    </xf>
    <xf numFmtId="4" fontId="86" fillId="8" borderId="60" xfId="0" applyNumberFormat="1" applyFont="1" applyFill="1" applyBorder="1" applyAlignment="1">
      <alignment horizontal="center" vertical="center" wrapText="1"/>
    </xf>
    <xf numFmtId="4" fontId="86" fillId="8" borderId="102" xfId="0" applyNumberFormat="1" applyFont="1" applyFill="1" applyBorder="1" applyAlignment="1">
      <alignment horizontal="center" vertical="center" wrapText="1"/>
    </xf>
    <xf numFmtId="0" fontId="4" fillId="22" borderId="103" xfId="14" applyFont="1" applyFill="1" applyBorder="1" applyAlignment="1">
      <alignment horizontal="center" vertical="center" wrapText="1"/>
    </xf>
    <xf numFmtId="0" fontId="4" fillId="22" borderId="35" xfId="14" applyFont="1" applyFill="1" applyBorder="1" applyAlignment="1">
      <alignment horizontal="center" vertical="center" wrapText="1"/>
    </xf>
    <xf numFmtId="0" fontId="4" fillId="22" borderId="34" xfId="14" applyFont="1" applyFill="1" applyBorder="1" applyAlignment="1">
      <alignment horizontal="center" vertical="center" wrapText="1"/>
    </xf>
    <xf numFmtId="0" fontId="4" fillId="22" borderId="44" xfId="14" applyFont="1" applyFill="1" applyBorder="1" applyAlignment="1">
      <alignment horizontal="center" vertical="center" wrapText="1"/>
    </xf>
    <xf numFmtId="0" fontId="4" fillId="22" borderId="0" xfId="14" applyFont="1" applyFill="1" applyBorder="1" applyAlignment="1">
      <alignment horizontal="center" vertical="center" wrapText="1"/>
    </xf>
    <xf numFmtId="0" fontId="4" fillId="22" borderId="28" xfId="14" applyFont="1" applyFill="1" applyBorder="1" applyAlignment="1">
      <alignment horizontal="center" vertical="center" wrapText="1"/>
    </xf>
    <xf numFmtId="0" fontId="4" fillId="22" borderId="30" xfId="14" applyFont="1" applyFill="1" applyBorder="1" applyAlignment="1">
      <alignment horizontal="center" vertical="center" wrapText="1"/>
    </xf>
    <xf numFmtId="0" fontId="111" fillId="0" borderId="71" xfId="14" applyFont="1" applyBorder="1" applyAlignment="1">
      <alignment horizontal="right"/>
    </xf>
    <xf numFmtId="0" fontId="111" fillId="0" borderId="96" xfId="14" applyFont="1" applyBorder="1" applyAlignment="1">
      <alignment horizontal="right"/>
    </xf>
    <xf numFmtId="0" fontId="111" fillId="0" borderId="67" xfId="14" applyFont="1" applyBorder="1" applyAlignment="1">
      <alignment horizontal="right"/>
    </xf>
    <xf numFmtId="0" fontId="117" fillId="3" borderId="57" xfId="14" applyFont="1" applyFill="1" applyBorder="1" applyAlignment="1">
      <alignment horizontal="center" vertical="center"/>
    </xf>
    <xf numFmtId="0" fontId="117" fillId="3" borderId="56" xfId="14" applyFont="1" applyFill="1" applyBorder="1" applyAlignment="1">
      <alignment horizontal="center" vertical="center"/>
    </xf>
    <xf numFmtId="0" fontId="120" fillId="0" borderId="44" xfId="14" applyFont="1" applyBorder="1" applyAlignment="1">
      <alignment horizontal="center"/>
    </xf>
    <xf numFmtId="0" fontId="120" fillId="0" borderId="0" xfId="14" applyFont="1" applyBorder="1" applyAlignment="1">
      <alignment horizontal="center"/>
    </xf>
    <xf numFmtId="0" fontId="120" fillId="0" borderId="28" xfId="14" applyFont="1" applyBorder="1" applyAlignment="1">
      <alignment horizontal="center"/>
    </xf>
    <xf numFmtId="0" fontId="111" fillId="0" borderId="104" xfId="14" applyFont="1" applyBorder="1" applyAlignment="1">
      <alignment horizontal="left"/>
    </xf>
    <xf numFmtId="0" fontId="111" fillId="0" borderId="105" xfId="14" applyFont="1" applyBorder="1" applyAlignment="1">
      <alignment horizontal="left"/>
    </xf>
    <xf numFmtId="0" fontId="111" fillId="0" borderId="52" xfId="14" applyFont="1" applyFill="1" applyBorder="1" applyAlignment="1">
      <alignment horizontal="left"/>
    </xf>
    <xf numFmtId="0" fontId="111" fillId="0" borderId="51" xfId="14" applyFont="1" applyFill="1" applyBorder="1" applyAlignment="1">
      <alignment horizontal="left"/>
    </xf>
    <xf numFmtId="0" fontId="110" fillId="0" borderId="106" xfId="14" applyFont="1" applyBorder="1" applyAlignment="1">
      <alignment horizontal="center"/>
    </xf>
    <xf numFmtId="0" fontId="110" fillId="0" borderId="107" xfId="14" applyFont="1" applyBorder="1" applyAlignment="1">
      <alignment horizontal="center"/>
    </xf>
    <xf numFmtId="0" fontId="69" fillId="22" borderId="77" xfId="14" applyFont="1" applyFill="1" applyBorder="1" applyAlignment="1">
      <alignment horizontal="center" vertical="center" wrapText="1"/>
    </xf>
    <xf numFmtId="0" fontId="69" fillId="22" borderId="69" xfId="14" applyFont="1" applyFill="1" applyBorder="1" applyAlignment="1">
      <alignment horizontal="center" vertical="center" wrapText="1"/>
    </xf>
    <xf numFmtId="0" fontId="69" fillId="22" borderId="108" xfId="14" applyFont="1" applyFill="1" applyBorder="1" applyAlignment="1">
      <alignment horizontal="center" vertical="center" wrapText="1"/>
    </xf>
    <xf numFmtId="0" fontId="69" fillId="0" borderId="0" xfId="14" applyFont="1" applyFill="1" applyAlignment="1">
      <alignment horizontal="center"/>
    </xf>
    <xf numFmtId="0" fontId="64" fillId="0" borderId="0" xfId="14" applyFont="1" applyFill="1" applyAlignment="1">
      <alignment horizontal="center"/>
    </xf>
    <xf numFmtId="171" fontId="59" fillId="0" borderId="91" xfId="14" applyNumberFormat="1" applyFont="1" applyFill="1" applyBorder="1" applyAlignment="1">
      <alignment vertical="center"/>
    </xf>
    <xf numFmtId="171" fontId="59" fillId="0" borderId="66" xfId="14" applyNumberFormat="1" applyFont="1" applyFill="1" applyBorder="1" applyAlignment="1">
      <alignment vertical="center"/>
    </xf>
    <xf numFmtId="171" fontId="59" fillId="0" borderId="109" xfId="14" applyNumberFormat="1" applyFont="1" applyFill="1" applyBorder="1" applyAlignment="1">
      <alignment vertical="center"/>
    </xf>
    <xf numFmtId="171" fontId="59" fillId="0" borderId="101" xfId="14" applyNumberFormat="1" applyFont="1" applyFill="1" applyBorder="1" applyAlignment="1">
      <alignment vertical="center"/>
    </xf>
  </cellXfs>
  <cellStyles count="18">
    <cellStyle name="Cancel" xfId="1" xr:uid="{00000000-0005-0000-0000-000000000000}"/>
    <cellStyle name="Millares" xfId="2" builtinId="3"/>
    <cellStyle name="Millares 2" xfId="3" xr:uid="{00000000-0005-0000-0000-000002000000}"/>
    <cellStyle name="Millares 3" xfId="4" xr:uid="{00000000-0005-0000-0000-000003000000}"/>
    <cellStyle name="Moneda" xfId="5" builtinId="4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orcentaje" xfId="16" builtinId="5"/>
    <cellStyle name="Porcentaje 2" xfId="17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1905000</xdr:colOff>
      <xdr:row>26</xdr:row>
      <xdr:rowOff>114300</xdr:rowOff>
    </xdr:from>
    <xdr:to>
      <xdr:col>4</xdr:col>
      <xdr:colOff>581025</xdr:colOff>
      <xdr:row>31</xdr:row>
      <xdr:rowOff>114300</xdr:rowOff>
    </xdr:to>
    <xdr:pic>
      <xdr:nvPicPr>
        <xdr:cNvPr id="49503" name="Picture 32" descr="BS00561_">
          <a:extLst>
            <a:ext uri="{FF2B5EF4-FFF2-40B4-BE49-F238E27FC236}">
              <a16:creationId xmlns:a16="http://schemas.microsoft.com/office/drawing/2014/main" id="{E0DBE878-74EB-41FE-A0E2-7755C6799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77"/>
        <a:stretch>
          <a:fillRect/>
        </a:stretch>
      </xdr:blipFill>
      <xdr:spPr bwMode="auto">
        <a:xfrm>
          <a:off x="3162300" y="5572125"/>
          <a:ext cx="8667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2</xdr:col>
      <xdr:colOff>1285875</xdr:colOff>
      <xdr:row>5</xdr:row>
      <xdr:rowOff>47625</xdr:rowOff>
    </xdr:to>
    <xdr:pic>
      <xdr:nvPicPr>
        <xdr:cNvPr id="58413" name="Imagen 17">
          <a:extLst>
            <a:ext uri="{FF2B5EF4-FFF2-40B4-BE49-F238E27FC236}">
              <a16:creationId xmlns:a16="http://schemas.microsoft.com/office/drawing/2014/main" id="{176D66D6-637F-4DF8-832D-90711480B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9650" y="352425"/>
          <a:ext cx="8572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114300</xdr:rowOff>
    </xdr:to>
    <xdr:pic>
      <xdr:nvPicPr>
        <xdr:cNvPr id="58414" name="Imagen 18">
          <a:extLst>
            <a:ext uri="{FF2B5EF4-FFF2-40B4-BE49-F238E27FC236}">
              <a16:creationId xmlns:a16="http://schemas.microsoft.com/office/drawing/2014/main" id="{561854AD-13EB-44A9-AFDF-227319BFA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96325" y="247650"/>
          <a:ext cx="8382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2</xdr:col>
      <xdr:colOff>1000125</xdr:colOff>
      <xdr:row>5</xdr:row>
      <xdr:rowOff>0</xdr:rowOff>
    </xdr:to>
    <xdr:pic>
      <xdr:nvPicPr>
        <xdr:cNvPr id="42405" name="Imagen 17">
          <a:extLst>
            <a:ext uri="{FF2B5EF4-FFF2-40B4-BE49-F238E27FC236}">
              <a16:creationId xmlns:a16="http://schemas.microsoft.com/office/drawing/2014/main" id="{61ADC080-AD64-4CA2-A7D0-5D949E5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23850"/>
          <a:ext cx="8953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42406" name="Imagen 18">
          <a:extLst>
            <a:ext uri="{FF2B5EF4-FFF2-40B4-BE49-F238E27FC236}">
              <a16:creationId xmlns:a16="http://schemas.microsoft.com/office/drawing/2014/main" id="{034FFCEB-C5DD-4822-A563-F56E028C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591550" y="257175"/>
          <a:ext cx="11144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52641" name="Imagen 18">
          <a:extLst>
            <a:ext uri="{FF2B5EF4-FFF2-40B4-BE49-F238E27FC236}">
              <a16:creationId xmlns:a16="http://schemas.microsoft.com/office/drawing/2014/main" id="{8634C811-9889-48AF-827F-D2E1A1499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48700" y="257175"/>
          <a:ext cx="83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52642" name="Imagen 17">
          <a:extLst>
            <a:ext uri="{FF2B5EF4-FFF2-40B4-BE49-F238E27FC236}">
              <a16:creationId xmlns:a16="http://schemas.microsoft.com/office/drawing/2014/main" id="{80C2649A-2D9B-489D-B324-5B406699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143000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</xdr:row>
      <xdr:rowOff>38100</xdr:rowOff>
    </xdr:from>
    <xdr:to>
      <xdr:col>1</xdr:col>
      <xdr:colOff>1800225</xdr:colOff>
      <xdr:row>5</xdr:row>
      <xdr:rowOff>66675</xdr:rowOff>
    </xdr:to>
    <xdr:pic>
      <xdr:nvPicPr>
        <xdr:cNvPr id="7799" name="Imagen 17">
          <a:extLst>
            <a:ext uri="{FF2B5EF4-FFF2-40B4-BE49-F238E27FC236}">
              <a16:creationId xmlns:a16="http://schemas.microsoft.com/office/drawing/2014/main" id="{713ABE62-91E3-4476-9D4F-791EF29D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81000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1971675</xdr:colOff>
      <xdr:row>1</xdr:row>
      <xdr:rowOff>85725</xdr:rowOff>
    </xdr:from>
    <xdr:to>
      <xdr:col>7</xdr:col>
      <xdr:colOff>771525</xdr:colOff>
      <xdr:row>5</xdr:row>
      <xdr:rowOff>123825</xdr:rowOff>
    </xdr:to>
    <xdr:pic>
      <xdr:nvPicPr>
        <xdr:cNvPr id="7800" name="Imagen 18">
          <a:extLst>
            <a:ext uri="{FF2B5EF4-FFF2-40B4-BE49-F238E27FC236}">
              <a16:creationId xmlns:a16="http://schemas.microsoft.com/office/drawing/2014/main" id="{B410981B-E60E-4F0C-B2CB-F2F5C1370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829675" y="257175"/>
          <a:ext cx="7715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1</xdr:row>
      <xdr:rowOff>104775</xdr:rowOff>
    </xdr:from>
    <xdr:to>
      <xdr:col>2</xdr:col>
      <xdr:colOff>923925</xdr:colOff>
      <xdr:row>4</xdr:row>
      <xdr:rowOff>209550</xdr:rowOff>
    </xdr:to>
    <xdr:pic>
      <xdr:nvPicPr>
        <xdr:cNvPr id="7801" name="Imagen 17">
          <a:extLst>
            <a:ext uri="{FF2B5EF4-FFF2-40B4-BE49-F238E27FC236}">
              <a16:creationId xmlns:a16="http://schemas.microsoft.com/office/drawing/2014/main" id="{BA381B78-1634-47BA-9874-6893D7C4F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66750" y="2762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23971" name="Imagen 18">
          <a:extLst>
            <a:ext uri="{FF2B5EF4-FFF2-40B4-BE49-F238E27FC236}">
              <a16:creationId xmlns:a16="http://schemas.microsoft.com/office/drawing/2014/main" id="{DABD8111-5FB0-47BC-8FAD-DF66A0E56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7505700" y="257175"/>
          <a:ext cx="819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23972" name="Imagen 17">
          <a:extLst>
            <a:ext uri="{FF2B5EF4-FFF2-40B4-BE49-F238E27FC236}">
              <a16:creationId xmlns:a16="http://schemas.microsoft.com/office/drawing/2014/main" id="{135EC3A4-6A88-4840-88F7-9827A7BF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0125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Pres.%20y%20Crono.%20IOARR%20HOSP.%20ANDAHUAYLAS/PRESUPUESTO%20analitico%20G.G.%20ccorichi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Microsoft/Excel/GASTOS%20GENERALES%20ESTHER%20ROBERTI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GG%20Supervisi+&#166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DESAGREGADO%20DE%20LIQ.%20Y%20GESTION%20DE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Pie presupuesto"/>
      <sheetName val="Resumen"/>
      <sheetName val="Exp.Téc. "/>
      <sheetName val="Costo Directo"/>
      <sheetName val="G.General"/>
      <sheetName val="Supervision"/>
      <sheetName val="Capacitacion Social"/>
      <sheetName val="CONSOLIDADO"/>
      <sheetName val="Remuneraciones"/>
    </sheetNames>
    <sheetDataSet>
      <sheetData sheetId="0"/>
      <sheetData sheetId="1"/>
      <sheetData sheetId="2"/>
      <sheetData sheetId="3">
        <row r="19">
          <cell r="B19" t="str">
            <v>2.6.2.3.99 3</v>
          </cell>
        </row>
        <row r="20">
          <cell r="B20" t="str">
            <v>2.6.2.3.99 4</v>
          </cell>
        </row>
        <row r="21">
          <cell r="B21" t="str">
            <v>2.6.2.3.99 5</v>
          </cell>
        </row>
        <row r="22">
          <cell r="B22" t="str">
            <v>2.6.2.3.99 6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OS"/>
      <sheetName val="VARIABLES"/>
      <sheetName val="financiera"/>
      <sheetName val="Seguros "/>
      <sheetName val="Elementos de Seguridad"/>
      <sheetName val="Hoja1"/>
    </sheetNames>
    <sheetDataSet>
      <sheetData sheetId="0">
        <row r="36">
          <cell r="H36">
            <v>27789.706700000002</v>
          </cell>
        </row>
      </sheetData>
      <sheetData sheetId="1">
        <row r="36">
          <cell r="H36">
            <v>265453.23678199999</v>
          </cell>
        </row>
      </sheetData>
      <sheetData sheetId="2"/>
      <sheetData sheetId="3">
        <row r="10">
          <cell r="Q10">
            <v>22864.705201799999</v>
          </cell>
        </row>
        <row r="14">
          <cell r="Q14">
            <v>30794.215759999999</v>
          </cell>
        </row>
        <row r="18">
          <cell r="Q18">
            <v>4927.0745215999996</v>
          </cell>
        </row>
      </sheetData>
      <sheetData sheetId="4">
        <row r="18">
          <cell r="G18">
            <v>3890</v>
          </cell>
        </row>
        <row r="29">
          <cell r="G29">
            <v>2280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IJOS"/>
      <sheetName val="VARIABLES"/>
      <sheetName val="Remuneraciones"/>
      <sheetName val="financiera"/>
      <sheetName val="Seguros "/>
      <sheetName val="Hoja1"/>
    </sheetNames>
    <sheetDataSet>
      <sheetData sheetId="0">
        <row r="22">
          <cell r="E22">
            <v>5.0713941609795268E-2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Téc. "/>
      <sheetName val="Liquidacion"/>
      <sheetName val="Capacitacion Social"/>
      <sheetName val="Gestión"/>
    </sheetNames>
    <sheetDataSet>
      <sheetData sheetId="0"/>
      <sheetData sheetId="1">
        <row r="19">
          <cell r="G19">
            <v>31632.5</v>
          </cell>
        </row>
      </sheetData>
      <sheetData sheetId="2"/>
      <sheetData sheetId="3">
        <row r="19">
          <cell r="G19">
            <v>50593.53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view="pageBreakPreview" zoomScaleSheetLayoutView="100" workbookViewId="0">
      <selection activeCell="C35" sqref="C35"/>
    </sheetView>
  </sheetViews>
  <sheetFormatPr baseColWidth="10" defaultColWidth="11.5546875" defaultRowHeight="13.2"/>
  <cols>
    <col min="1" max="1" width="2.5546875" style="304" customWidth="1"/>
    <col min="2" max="2" width="6.88671875" style="304" customWidth="1"/>
    <col min="3" max="3" width="55.88671875" style="304" customWidth="1"/>
    <col min="4" max="4" width="7.44140625" style="304" customWidth="1"/>
    <col min="5" max="5" width="11" style="304" customWidth="1"/>
    <col min="6" max="6" width="11.5546875" style="304" customWidth="1"/>
    <col min="7" max="7" width="13.88671875" style="304" customWidth="1"/>
    <col min="8" max="8" width="17" style="304" customWidth="1"/>
    <col min="9" max="9" width="3" style="304" customWidth="1"/>
    <col min="10" max="10" width="19.33203125" style="304" bestFit="1" customWidth="1"/>
    <col min="11" max="11" width="15.5546875" style="304" customWidth="1"/>
    <col min="12" max="12" width="11.6640625" style="304" bestFit="1" customWidth="1"/>
    <col min="13" max="13" width="11.5546875" style="304"/>
    <col min="14" max="14" width="11.5546875" style="304" bestFit="1" customWidth="1"/>
    <col min="15" max="16384" width="11.5546875" style="304"/>
  </cols>
  <sheetData>
    <row r="1" spans="1:12" s="447" customFormat="1" ht="13.5" customHeight="1">
      <c r="A1" s="1033" t="str">
        <f>RESÚMEN!B4</f>
        <v xml:space="preserve">PROYECTO : “MEJORAMIENTO DEL SERVICIO EDUCATIVO DE LA I.E ESTHER ROBERTI GAMERO, DISTRITO DE ABANCAY- REGIÓN APURÍMAC”
</v>
      </c>
      <c r="B1" s="1034"/>
      <c r="C1" s="1034"/>
      <c r="D1" s="1034"/>
      <c r="E1" s="1034"/>
      <c r="F1" s="1034"/>
      <c r="G1" s="1034"/>
      <c r="H1" s="1035"/>
      <c r="I1" s="446"/>
    </row>
    <row r="2" spans="1:12" s="447" customFormat="1" ht="75.75" customHeight="1" thickBot="1">
      <c r="A2" s="1036"/>
      <c r="B2" s="1037"/>
      <c r="C2" s="1037"/>
      <c r="D2" s="1037"/>
      <c r="E2" s="1037"/>
      <c r="F2" s="1037"/>
      <c r="G2" s="1037"/>
      <c r="H2" s="1038"/>
      <c r="I2" s="446"/>
      <c r="J2" s="448"/>
    </row>
    <row r="3" spans="1:12" ht="14.25" customHeight="1">
      <c r="A3" s="313"/>
      <c r="B3" s="1039" t="s">
        <v>366</v>
      </c>
      <c r="C3" s="1039"/>
      <c r="D3" s="1039"/>
      <c r="E3" s="1039"/>
      <c r="F3" s="1039"/>
      <c r="G3" s="1039"/>
      <c r="H3" s="1039"/>
      <c r="I3" s="449"/>
    </row>
    <row r="4" spans="1:12" ht="16.5" customHeight="1" thickBot="1">
      <c r="A4" s="313"/>
      <c r="B4" s="1039" t="s">
        <v>352</v>
      </c>
      <c r="C4" s="1039"/>
      <c r="D4" s="1039"/>
      <c r="E4" s="1039"/>
      <c r="F4" s="1039"/>
      <c r="G4" s="1039"/>
      <c r="H4" s="1039"/>
      <c r="I4" s="449"/>
    </row>
    <row r="5" spans="1:12" ht="37.5" customHeight="1">
      <c r="A5" s="313"/>
      <c r="B5" s="450" t="s">
        <v>362</v>
      </c>
      <c r="C5" s="451" t="s">
        <v>361</v>
      </c>
      <c r="D5" s="451" t="s">
        <v>360</v>
      </c>
      <c r="E5" s="452" t="s">
        <v>367</v>
      </c>
      <c r="F5" s="452" t="s">
        <v>368</v>
      </c>
      <c r="G5" s="452" t="s">
        <v>358</v>
      </c>
      <c r="H5" s="453" t="s">
        <v>357</v>
      </c>
      <c r="I5" s="313"/>
    </row>
    <row r="6" spans="1:12" ht="14.25" customHeight="1">
      <c r="A6" s="313"/>
      <c r="B6" s="454" t="s">
        <v>356</v>
      </c>
      <c r="C6" s="455" t="s">
        <v>369</v>
      </c>
      <c r="D6" s="456"/>
      <c r="E6" s="456"/>
      <c r="F6" s="456"/>
      <c r="G6" s="456"/>
      <c r="H6" s="457"/>
      <c r="I6" s="313"/>
      <c r="K6" s="305"/>
      <c r="L6" s="305"/>
    </row>
    <row r="7" spans="1:12" ht="18" customHeight="1">
      <c r="A7" s="313"/>
      <c r="B7" s="458" t="s">
        <v>370</v>
      </c>
      <c r="C7" s="459" t="s">
        <v>371</v>
      </c>
      <c r="D7" s="460"/>
      <c r="E7" s="461"/>
      <c r="F7" s="461"/>
      <c r="G7" s="461"/>
      <c r="H7" s="462"/>
      <c r="I7" s="313"/>
      <c r="J7" s="355"/>
    </row>
    <row r="8" spans="1:12" ht="11.25" customHeight="1">
      <c r="A8" s="313"/>
      <c r="B8" s="463">
        <v>1</v>
      </c>
      <c r="C8" s="464" t="str">
        <f>+Remuneraciones!B7</f>
        <v>Ing  y/o Arq  Residente de Obra</v>
      </c>
      <c r="D8" s="465" t="s">
        <v>372</v>
      </c>
      <c r="E8" s="466">
        <f>+Remuneraciones!C28</f>
        <v>1</v>
      </c>
      <c r="F8" s="466">
        <v>9.5</v>
      </c>
      <c r="G8" s="467">
        <f>+Remuneraciones!E7</f>
        <v>2681.65</v>
      </c>
      <c r="H8" s="468">
        <f t="shared" ref="H8:H16" si="0">E8*F8*G8</f>
        <v>25475.674999999999</v>
      </c>
      <c r="I8" s="313"/>
      <c r="K8" s="305"/>
    </row>
    <row r="9" spans="1:12" ht="11.25" customHeight="1">
      <c r="A9" s="313"/>
      <c r="B9" s="463">
        <f>+B8+1</f>
        <v>2</v>
      </c>
      <c r="C9" s="464" t="s">
        <v>373</v>
      </c>
      <c r="D9" s="465" t="s">
        <v>372</v>
      </c>
      <c r="E9" s="466">
        <f>+Remuneraciones!C31</f>
        <v>1</v>
      </c>
      <c r="F9" s="466">
        <v>3</v>
      </c>
      <c r="G9" s="467">
        <v>4500</v>
      </c>
      <c r="H9" s="468">
        <f t="shared" si="0"/>
        <v>13500</v>
      </c>
      <c r="I9" s="313"/>
      <c r="K9" s="305"/>
    </row>
    <row r="10" spans="1:12" ht="11.25" customHeight="1">
      <c r="A10" s="313"/>
      <c r="B10" s="463">
        <f t="shared" ref="B10:B16" si="1">+B9+1</f>
        <v>3</v>
      </c>
      <c r="C10" s="464" t="s">
        <v>374</v>
      </c>
      <c r="D10" s="465" t="s">
        <v>372</v>
      </c>
      <c r="E10" s="466">
        <v>1</v>
      </c>
      <c r="F10" s="466">
        <v>1</v>
      </c>
      <c r="G10" s="467">
        <v>4500</v>
      </c>
      <c r="H10" s="468">
        <f t="shared" si="0"/>
        <v>4500</v>
      </c>
      <c r="I10" s="313"/>
      <c r="K10" s="305"/>
    </row>
    <row r="11" spans="1:12" ht="11.25" customHeight="1">
      <c r="A11" s="313"/>
      <c r="B11" s="463">
        <f t="shared" si="1"/>
        <v>4</v>
      </c>
      <c r="C11" s="464" t="str">
        <f>+Remuneraciones!B10</f>
        <v>Asistente Tecnico</v>
      </c>
      <c r="D11" s="465" t="s">
        <v>372</v>
      </c>
      <c r="E11" s="466">
        <f>+Remuneraciones!C31</f>
        <v>1</v>
      </c>
      <c r="F11" s="466">
        <v>9</v>
      </c>
      <c r="G11" s="467">
        <f>+Remuneraciones!E10</f>
        <v>1547.885</v>
      </c>
      <c r="H11" s="468">
        <f t="shared" si="0"/>
        <v>13930.965</v>
      </c>
      <c r="I11" s="313"/>
    </row>
    <row r="12" spans="1:12" ht="11.25" customHeight="1">
      <c r="A12" s="313"/>
      <c r="B12" s="463">
        <f t="shared" si="1"/>
        <v>5</v>
      </c>
      <c r="C12" s="464" t="str">
        <f>+Remuneraciones!B11</f>
        <v>Secretaria</v>
      </c>
      <c r="D12" s="465" t="s">
        <v>372</v>
      </c>
      <c r="E12" s="469">
        <f>+Remuneraciones!C32</f>
        <v>0</v>
      </c>
      <c r="F12" s="469">
        <v>0</v>
      </c>
      <c r="G12" s="470">
        <f>+Remuneraciones!E11</f>
        <v>0</v>
      </c>
      <c r="H12" s="470">
        <f t="shared" si="0"/>
        <v>0</v>
      </c>
      <c r="I12" s="313"/>
    </row>
    <row r="13" spans="1:12" ht="12" customHeight="1">
      <c r="A13" s="313"/>
      <c r="B13" s="463">
        <f t="shared" si="1"/>
        <v>6</v>
      </c>
      <c r="C13" s="464" t="str">
        <f>+Remuneraciones!B12</f>
        <v xml:space="preserve">Guardián </v>
      </c>
      <c r="D13" s="465" t="s">
        <v>372</v>
      </c>
      <c r="E13" s="466">
        <f>+Remuneraciones!C33</f>
        <v>1</v>
      </c>
      <c r="F13" s="466">
        <v>9</v>
      </c>
      <c r="G13" s="467">
        <f>+Remuneraciones!E12</f>
        <v>1389.28</v>
      </c>
      <c r="H13" s="468">
        <f t="shared" si="0"/>
        <v>12503.52</v>
      </c>
      <c r="I13" s="313"/>
    </row>
    <row r="14" spans="1:12" ht="12" customHeight="1">
      <c r="A14" s="313"/>
      <c r="B14" s="463">
        <f t="shared" si="1"/>
        <v>7</v>
      </c>
      <c r="C14" s="464" t="str">
        <f>+Remuneraciones!B13</f>
        <v>Maestro de Obra</v>
      </c>
      <c r="D14" s="465" t="s">
        <v>372</v>
      </c>
      <c r="E14" s="466">
        <f>+Remuneraciones!C34</f>
        <v>1</v>
      </c>
      <c r="F14" s="466">
        <v>9</v>
      </c>
      <c r="G14" s="467">
        <f>+Remuneraciones!E13</f>
        <v>2083.92</v>
      </c>
      <c r="H14" s="468">
        <f t="shared" si="0"/>
        <v>18755.28</v>
      </c>
      <c r="I14" s="313"/>
    </row>
    <row r="15" spans="1:12" ht="12" customHeight="1">
      <c r="A15" s="313"/>
      <c r="B15" s="463">
        <f t="shared" si="1"/>
        <v>8</v>
      </c>
      <c r="C15" s="464" t="str">
        <f>+Remuneraciones!B14</f>
        <v>Almacenero</v>
      </c>
      <c r="D15" s="465" t="s">
        <v>372</v>
      </c>
      <c r="E15" s="466">
        <f>+Remuneraciones!C35</f>
        <v>1</v>
      </c>
      <c r="F15" s="466">
        <v>9</v>
      </c>
      <c r="G15" s="467">
        <f>+Remuneraciones!E14</f>
        <v>1910.26</v>
      </c>
      <c r="H15" s="468">
        <f t="shared" si="0"/>
        <v>17192.34</v>
      </c>
      <c r="I15" s="313"/>
      <c r="J15" s="351"/>
      <c r="K15" s="351"/>
    </row>
    <row r="16" spans="1:12" ht="12" customHeight="1">
      <c r="A16" s="313"/>
      <c r="B16" s="463">
        <f t="shared" si="1"/>
        <v>9</v>
      </c>
      <c r="C16" s="464" t="str">
        <f>+Remuneraciones!B15</f>
        <v>Asistente Administrativo</v>
      </c>
      <c r="D16" s="465" t="s">
        <v>372</v>
      </c>
      <c r="E16" s="466">
        <f>+Remuneraciones!C36</f>
        <v>1</v>
      </c>
      <c r="F16" s="466">
        <v>9</v>
      </c>
      <c r="G16" s="467">
        <f>+Remuneraciones!E15</f>
        <v>1736.6</v>
      </c>
      <c r="H16" s="468">
        <f t="shared" si="0"/>
        <v>15629.4</v>
      </c>
      <c r="I16" s="313"/>
      <c r="J16" s="471"/>
      <c r="K16" s="351"/>
    </row>
    <row r="17" spans="1:14" ht="12" customHeight="1">
      <c r="A17" s="313"/>
      <c r="B17" s="454" t="s">
        <v>375</v>
      </c>
      <c r="C17" s="472" t="s">
        <v>376</v>
      </c>
      <c r="D17" s="473"/>
      <c r="E17" s="473"/>
      <c r="F17" s="473"/>
      <c r="G17" s="473"/>
      <c r="H17" s="474"/>
      <c r="I17" s="313"/>
      <c r="J17" s="475"/>
      <c r="K17" s="351"/>
    </row>
    <row r="18" spans="1:14" ht="12" customHeight="1">
      <c r="A18" s="313"/>
      <c r="B18" s="454">
        <v>1</v>
      </c>
      <c r="C18" s="476">
        <v>10</v>
      </c>
      <c r="D18" s="465" t="s">
        <v>350</v>
      </c>
      <c r="E18" s="461">
        <v>1</v>
      </c>
      <c r="F18" s="461">
        <v>1</v>
      </c>
      <c r="G18" s="467">
        <f>+Remuneraciones!H37</f>
        <v>11421.378000000001</v>
      </c>
      <c r="H18" s="468">
        <f t="shared" ref="H18:H23" si="2">E18*F18*G18</f>
        <v>11421.378000000001</v>
      </c>
      <c r="I18" s="313"/>
      <c r="J18" s="475"/>
      <c r="K18" s="366"/>
    </row>
    <row r="19" spans="1:14" ht="12" customHeight="1">
      <c r="A19" s="313"/>
      <c r="B19" s="463">
        <f>+B18+1</f>
        <v>2</v>
      </c>
      <c r="C19" s="477">
        <v>9</v>
      </c>
      <c r="D19" s="465" t="s">
        <v>350</v>
      </c>
      <c r="E19" s="461">
        <v>1</v>
      </c>
      <c r="F19" s="461">
        <v>1</v>
      </c>
      <c r="G19" s="467">
        <f>+Remuneraciones!I37</f>
        <v>10279.2402</v>
      </c>
      <c r="H19" s="468">
        <f t="shared" si="2"/>
        <v>10279.2402</v>
      </c>
      <c r="I19" s="313"/>
      <c r="J19" s="475"/>
      <c r="K19" s="351"/>
    </row>
    <row r="20" spans="1:14" ht="12" customHeight="1">
      <c r="A20" s="313"/>
      <c r="B20" s="463">
        <f>+B19+1</f>
        <v>3</v>
      </c>
      <c r="C20" s="478">
        <v>2</v>
      </c>
      <c r="D20" s="465" t="s">
        <v>350</v>
      </c>
      <c r="E20" s="461">
        <v>1</v>
      </c>
      <c r="F20" s="461">
        <v>1</v>
      </c>
      <c r="G20" s="467">
        <f>+Remuneraciones!J37</f>
        <v>1153.1371319999998</v>
      </c>
      <c r="H20" s="468">
        <f t="shared" si="2"/>
        <v>1153.1371319999998</v>
      </c>
      <c r="I20" s="313"/>
      <c r="J20" s="475"/>
      <c r="K20" s="351"/>
    </row>
    <row r="21" spans="1:14" ht="12" customHeight="1">
      <c r="A21" s="313"/>
      <c r="B21" s="463">
        <f>+B20+1</f>
        <v>4</v>
      </c>
      <c r="C21" s="479">
        <v>15</v>
      </c>
      <c r="D21" s="465" t="s">
        <v>350</v>
      </c>
      <c r="E21" s="461">
        <v>1</v>
      </c>
      <c r="F21" s="461">
        <v>1</v>
      </c>
      <c r="G21" s="467">
        <f>+Remuneraciones!K37</f>
        <v>21986.152650000004</v>
      </c>
      <c r="H21" s="468">
        <f t="shared" si="2"/>
        <v>21986.152650000004</v>
      </c>
      <c r="I21" s="313"/>
      <c r="J21" s="475"/>
      <c r="K21" s="351"/>
    </row>
    <row r="22" spans="1:14" ht="12" customHeight="1">
      <c r="A22" s="313"/>
      <c r="B22" s="463">
        <f>+B21+1</f>
        <v>5</v>
      </c>
      <c r="C22" s="464" t="s">
        <v>377</v>
      </c>
      <c r="D22" s="465" t="s">
        <v>350</v>
      </c>
      <c r="E22" s="461">
        <v>1</v>
      </c>
      <c r="F22" s="461">
        <v>1</v>
      </c>
      <c r="G22" s="467">
        <f>+Remuneraciones!L37</f>
        <v>12563.515800000001</v>
      </c>
      <c r="H22" s="468">
        <f t="shared" si="2"/>
        <v>12563.515800000001</v>
      </c>
      <c r="I22" s="313"/>
      <c r="J22" s="475"/>
      <c r="K22" s="351"/>
    </row>
    <row r="23" spans="1:14" ht="12" customHeight="1">
      <c r="A23" s="313"/>
      <c r="B23" s="463">
        <f>+B22+1</f>
        <v>6</v>
      </c>
      <c r="C23" s="464" t="s">
        <v>378</v>
      </c>
      <c r="D23" s="465" t="s">
        <v>350</v>
      </c>
      <c r="E23" s="461">
        <v>1</v>
      </c>
      <c r="F23" s="461">
        <v>1</v>
      </c>
      <c r="G23" s="467">
        <f>+Remuneraciones!M37</f>
        <v>20939.192999999999</v>
      </c>
      <c r="H23" s="468">
        <f t="shared" si="2"/>
        <v>20939.192999999999</v>
      </c>
      <c r="I23" s="313"/>
      <c r="J23" s="355"/>
      <c r="K23" s="351"/>
    </row>
    <row r="24" spans="1:14" ht="12" customHeight="1">
      <c r="A24" s="313"/>
      <c r="B24" s="454"/>
      <c r="C24" s="464"/>
      <c r="D24" s="465"/>
      <c r="E24" s="461"/>
      <c r="F24" s="461"/>
      <c r="G24" s="467"/>
      <c r="H24" s="468"/>
      <c r="I24" s="313"/>
      <c r="J24" s="475"/>
      <c r="K24" s="351"/>
    </row>
    <row r="25" spans="1:14" ht="12" customHeight="1">
      <c r="A25" s="313"/>
      <c r="B25" s="480" t="s">
        <v>379</v>
      </c>
      <c r="C25" s="472" t="s">
        <v>380</v>
      </c>
      <c r="D25" s="465"/>
      <c r="E25" s="466"/>
      <c r="F25" s="466"/>
      <c r="G25" s="481"/>
      <c r="H25" s="482"/>
      <c r="I25" s="313"/>
      <c r="J25" s="366"/>
      <c r="K25" s="351"/>
    </row>
    <row r="26" spans="1:14" s="485" customFormat="1" ht="12" customHeight="1">
      <c r="A26" s="335"/>
      <c r="B26" s="480">
        <v>1</v>
      </c>
      <c r="C26" s="464" t="s">
        <v>381</v>
      </c>
      <c r="D26" s="460" t="s">
        <v>382</v>
      </c>
      <c r="E26" s="466">
        <v>1</v>
      </c>
      <c r="F26" s="466">
        <v>1</v>
      </c>
      <c r="G26" s="483">
        <f>+'[2]Elementos de Seguridad'!G18</f>
        <v>3890</v>
      </c>
      <c r="H26" s="484">
        <f>ROUND(E26*F26*G26,2)</f>
        <v>3890</v>
      </c>
      <c r="I26" s="335"/>
    </row>
    <row r="27" spans="1:14" s="485" customFormat="1" ht="12" customHeight="1">
      <c r="A27" s="335"/>
      <c r="B27" s="480">
        <f>B26+1</f>
        <v>2</v>
      </c>
      <c r="C27" s="464" t="s">
        <v>383</v>
      </c>
      <c r="D27" s="460" t="s">
        <v>382</v>
      </c>
      <c r="E27" s="466">
        <v>1</v>
      </c>
      <c r="F27" s="466">
        <v>1</v>
      </c>
      <c r="G27" s="483">
        <f>+'[2]Elementos de Seguridad'!G29</f>
        <v>2280</v>
      </c>
      <c r="H27" s="484">
        <f>ROUND(E27*F27*G27,2)</f>
        <v>2280</v>
      </c>
      <c r="I27" s="335"/>
      <c r="N27" s="486"/>
    </row>
    <row r="28" spans="1:14" s="485" customFormat="1" ht="12" customHeight="1">
      <c r="A28" s="335"/>
      <c r="B28" s="463"/>
      <c r="C28" s="464"/>
      <c r="D28" s="460"/>
      <c r="E28" s="466"/>
      <c r="F28" s="461"/>
      <c r="G28" s="461"/>
      <c r="H28" s="482"/>
      <c r="I28" s="335"/>
      <c r="J28" s="487"/>
    </row>
    <row r="29" spans="1:14" ht="12" customHeight="1">
      <c r="A29" s="313"/>
      <c r="B29" s="480" t="s">
        <v>384</v>
      </c>
      <c r="C29" s="472" t="s">
        <v>385</v>
      </c>
      <c r="D29" s="488"/>
      <c r="E29" s="488"/>
      <c r="F29" s="488"/>
      <c r="G29" s="488"/>
      <c r="H29" s="489"/>
      <c r="I29" s="313"/>
      <c r="K29" s="305"/>
    </row>
    <row r="30" spans="1:14" ht="12" customHeight="1">
      <c r="A30" s="313"/>
      <c r="B30" s="480">
        <v>1</v>
      </c>
      <c r="C30" s="464" t="s">
        <v>386</v>
      </c>
      <c r="D30" s="465" t="s">
        <v>372</v>
      </c>
      <c r="E30" s="466">
        <v>1</v>
      </c>
      <c r="F30" s="466">
        <v>9.5</v>
      </c>
      <c r="G30" s="467">
        <v>440.5</v>
      </c>
      <c r="H30" s="468">
        <f>+E30*F30*G30</f>
        <v>4184.75</v>
      </c>
      <c r="I30" s="313"/>
      <c r="K30" s="305"/>
    </row>
    <row r="31" spans="1:14" ht="12" customHeight="1">
      <c r="A31" s="313"/>
      <c r="B31" s="480"/>
      <c r="C31" s="464"/>
      <c r="D31" s="465"/>
      <c r="E31" s="466"/>
      <c r="F31" s="466"/>
      <c r="G31" s="481"/>
      <c r="H31" s="482"/>
      <c r="I31" s="313"/>
      <c r="K31" s="305"/>
    </row>
    <row r="32" spans="1:14" ht="12" customHeight="1">
      <c r="A32" s="313"/>
      <c r="B32" s="454" t="s">
        <v>387</v>
      </c>
      <c r="C32" s="472" t="s">
        <v>388</v>
      </c>
      <c r="D32" s="460"/>
      <c r="E32" s="461"/>
      <c r="F32" s="461"/>
      <c r="G32" s="481"/>
      <c r="H32" s="482"/>
      <c r="I32" s="313"/>
      <c r="J32" s="471"/>
      <c r="K32" s="305"/>
    </row>
    <row r="33" spans="1:12" ht="18" customHeight="1">
      <c r="A33" s="313"/>
      <c r="B33" s="454">
        <v>1</v>
      </c>
      <c r="C33" s="464" t="s">
        <v>389</v>
      </c>
      <c r="D33" s="460" t="s">
        <v>382</v>
      </c>
      <c r="E33" s="461">
        <v>1</v>
      </c>
      <c r="F33" s="461">
        <v>1</v>
      </c>
      <c r="G33" s="467">
        <f>+'[2]Seguros '!Q10*1.03</f>
        <v>23550.646357853999</v>
      </c>
      <c r="H33" s="468">
        <f>+ROUND(G33*E33,2)</f>
        <v>23550.65</v>
      </c>
      <c r="I33" s="313"/>
      <c r="K33" s="305"/>
      <c r="L33" s="305"/>
    </row>
    <row r="34" spans="1:12">
      <c r="A34" s="313"/>
      <c r="B34" s="454">
        <v>2</v>
      </c>
      <c r="C34" s="464" t="s">
        <v>390</v>
      </c>
      <c r="D34" s="460" t="s">
        <v>382</v>
      </c>
      <c r="E34" s="461">
        <v>1</v>
      </c>
      <c r="F34" s="461">
        <v>1</v>
      </c>
      <c r="G34" s="467">
        <f>+'[2]Seguros '!Q14*1.03</f>
        <v>31718.042232799999</v>
      </c>
      <c r="H34" s="468">
        <f>+ROUND(G34*E34,2)</f>
        <v>31718.04</v>
      </c>
      <c r="I34" s="313"/>
    </row>
    <row r="35" spans="1:12">
      <c r="B35" s="454">
        <v>3</v>
      </c>
      <c r="C35" s="464" t="s">
        <v>391</v>
      </c>
      <c r="D35" s="460" t="s">
        <v>382</v>
      </c>
      <c r="E35" s="461">
        <v>1</v>
      </c>
      <c r="F35" s="461">
        <v>1</v>
      </c>
      <c r="G35" s="467">
        <f>+'[2]Seguros '!Q18*1.03</f>
        <v>5074.8867572479994</v>
      </c>
      <c r="H35" s="468">
        <f>+ROUND(G35*E35,2)</f>
        <v>5074.8900000000003</v>
      </c>
    </row>
    <row r="36" spans="1:12" ht="13.8" thickBot="1">
      <c r="B36" s="1040" t="s">
        <v>392</v>
      </c>
      <c r="C36" s="1041"/>
      <c r="D36" s="1041"/>
      <c r="E36" s="1041"/>
      <c r="F36" s="1041"/>
      <c r="G36" s="1042"/>
      <c r="H36" s="490">
        <f>+H8+H9+H10+H11+H13+H14+H15+H16+H18+H19+H20+H21+H22+H23+H26+H27+H30+H33+H34</f>
        <v>265453.23678199999</v>
      </c>
      <c r="J36" s="355"/>
    </row>
    <row r="37" spans="1:12" ht="13.8">
      <c r="B37" s="491" t="s">
        <v>393</v>
      </c>
      <c r="C37" s="313"/>
      <c r="D37" s="313"/>
      <c r="E37" s="313"/>
      <c r="F37" s="313"/>
      <c r="G37" s="313"/>
      <c r="H37" s="313"/>
    </row>
    <row r="39" spans="1:12">
      <c r="H39" s="357"/>
    </row>
    <row r="41" spans="1:12">
      <c r="B41" s="307"/>
    </row>
    <row r="42" spans="1:12">
      <c r="B42" s="492"/>
    </row>
    <row r="43" spans="1:12">
      <c r="B43" s="493"/>
    </row>
    <row r="44" spans="1:12">
      <c r="B44" s="494"/>
    </row>
  </sheetData>
  <mergeCells count="4">
    <mergeCell ref="A1:H2"/>
    <mergeCell ref="B3:H3"/>
    <mergeCell ref="B4:H4"/>
    <mergeCell ref="B36:G36"/>
  </mergeCells>
  <printOptions horizontalCentered="1"/>
  <pageMargins left="0.4" right="0.31" top="0.93" bottom="0.54" header="0.32" footer="0.51181102362204722"/>
  <pageSetup paperSize="9" scale="75" fitToHeight="2"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indexed="43"/>
    <pageSetUpPr fitToPage="1"/>
  </sheetPr>
  <dimension ref="B2:P169"/>
  <sheetViews>
    <sheetView showGridLines="0" view="pageBreakPreview" zoomScale="70" zoomScaleNormal="100" zoomScaleSheetLayoutView="70" workbookViewId="0">
      <selection activeCell="D11" sqref="D11:D13"/>
    </sheetView>
  </sheetViews>
  <sheetFormatPr baseColWidth="10" defaultColWidth="11.44140625" defaultRowHeight="13.8"/>
  <cols>
    <col min="1" max="1" width="2.109375" style="161" customWidth="1"/>
    <col min="2" max="2" width="7.5546875" style="580" customWidth="1"/>
    <col min="3" max="3" width="40.6640625" style="580" customWidth="1"/>
    <col min="4" max="4" width="20.88671875" style="580" customWidth="1"/>
    <col min="5" max="5" width="18.88671875" style="580" customWidth="1"/>
    <col min="6" max="6" width="18.88671875" style="581" customWidth="1"/>
    <col min="7" max="7" width="23.44140625" style="580" customWidth="1"/>
    <col min="8" max="8" width="18.33203125" style="580" customWidth="1"/>
    <col min="9" max="16384" width="11.44140625" style="161"/>
  </cols>
  <sheetData>
    <row r="2" spans="2:9">
      <c r="B2" s="746"/>
      <c r="C2" s="746"/>
      <c r="D2" s="746"/>
      <c r="E2" s="747"/>
      <c r="F2" s="747"/>
      <c r="G2" s="746"/>
      <c r="H2" s="746"/>
    </row>
    <row r="3" spans="2:9" ht="28.8">
      <c r="B3" s="1073" t="s">
        <v>476</v>
      </c>
      <c r="C3" s="1073"/>
      <c r="D3" s="1073"/>
      <c r="E3" s="1073"/>
      <c r="F3" s="1073"/>
      <c r="G3" s="1073"/>
      <c r="H3" s="1073"/>
    </row>
    <row r="4" spans="2:9" ht="22.8">
      <c r="B4" s="1074" t="s">
        <v>477</v>
      </c>
      <c r="C4" s="1074"/>
      <c r="D4" s="1074"/>
      <c r="E4" s="1074"/>
      <c r="F4" s="1074"/>
      <c r="G4" s="1074"/>
      <c r="H4" s="1074"/>
    </row>
    <row r="5" spans="2:9" ht="21">
      <c r="B5" s="1075" t="s">
        <v>478</v>
      </c>
      <c r="C5" s="1075"/>
      <c r="D5" s="1075"/>
      <c r="E5" s="1075"/>
      <c r="F5" s="1075"/>
      <c r="G5" s="1075"/>
      <c r="H5" s="1075"/>
    </row>
    <row r="6" spans="2:9" thickBot="1">
      <c r="B6" s="1076" t="str">
        <f>+G.General!C6</f>
        <v>"Año de la Universalización de la Salud"</v>
      </c>
      <c r="C6" s="1076"/>
      <c r="D6" s="1076"/>
      <c r="E6" s="1076"/>
      <c r="F6" s="1076"/>
      <c r="G6" s="1076"/>
      <c r="H6" s="1076"/>
    </row>
    <row r="8" spans="2:9" ht="27" customHeight="1">
      <c r="B8" s="1077" t="s">
        <v>512</v>
      </c>
      <c r="C8" s="1077"/>
      <c r="D8" s="1077"/>
      <c r="E8" s="1077"/>
      <c r="F8" s="1077"/>
      <c r="G8" s="1077"/>
      <c r="H8" s="1077"/>
      <c r="I8" s="822"/>
    </row>
    <row r="9" spans="2:9" ht="12.6" customHeight="1">
      <c r="B9" s="583"/>
      <c r="C9" s="583"/>
      <c r="D9" s="583"/>
      <c r="E9" s="583"/>
      <c r="F9" s="584"/>
      <c r="G9" s="583"/>
      <c r="H9" s="583"/>
    </row>
    <row r="10" spans="2:9" ht="18" customHeight="1">
      <c r="C10" s="866" t="s">
        <v>594</v>
      </c>
      <c r="D10" s="752">
        <f>+'RESUMEN TOTAL'!D9</f>
        <v>0</v>
      </c>
      <c r="E10" s="750"/>
      <c r="F10" s="751"/>
      <c r="G10" s="750"/>
      <c r="H10" s="750"/>
    </row>
    <row r="11" spans="2:9" ht="18" customHeight="1">
      <c r="C11" s="866" t="str">
        <f>+'RESUMEN TOTAL'!B11</f>
        <v>Departamento</v>
      </c>
      <c r="D11" s="752" t="str">
        <f>+'RESUMEN TOTAL'!D11</f>
        <v>: APURIMAC</v>
      </c>
      <c r="E11" s="746"/>
      <c r="F11" s="747"/>
      <c r="G11" s="746"/>
      <c r="H11" s="752" t="s">
        <v>1</v>
      </c>
    </row>
    <row r="12" spans="2:9" ht="18" customHeight="1">
      <c r="C12" s="866" t="str">
        <f>+'RESUMEN TOTAL'!B12</f>
        <v>Provincia</v>
      </c>
      <c r="D12" s="752" t="str">
        <f>+'RESUMEN TOTAL'!D12</f>
        <v>: ANDAHUAYLAS</v>
      </c>
      <c r="E12" s="746"/>
      <c r="F12" s="747"/>
      <c r="G12" s="746"/>
      <c r="H12" s="752"/>
    </row>
    <row r="13" spans="2:9" ht="18" customHeight="1">
      <c r="C13" s="866" t="str">
        <f>+'RESUMEN TOTAL'!B13</f>
        <v>Distrito</v>
      </c>
      <c r="D13" s="752" t="str">
        <f>+'RESUMEN TOTAL'!D13</f>
        <v>: ANDAHUAYLAS</v>
      </c>
      <c r="E13" s="746"/>
      <c r="F13" s="747"/>
      <c r="G13" s="746"/>
      <c r="H13" s="752"/>
    </row>
    <row r="14" spans="2:9" ht="33" customHeight="1">
      <c r="C14" s="761" t="s">
        <v>467</v>
      </c>
      <c r="D14" s="1078" t="str">
        <f>'G. Exp. Tecnico'!D14:I15</f>
        <v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v>
      </c>
      <c r="E14" s="1078"/>
      <c r="F14" s="1078"/>
      <c r="G14" s="1078"/>
      <c r="H14" s="1078"/>
    </row>
    <row r="15" spans="2:9" ht="33" customHeight="1" thickBot="1">
      <c r="C15" s="585"/>
      <c r="D15" s="1078"/>
      <c r="E15" s="1078"/>
      <c r="F15" s="1078"/>
      <c r="G15" s="1078"/>
      <c r="H15" s="1078"/>
    </row>
    <row r="16" spans="2:9" s="168" customFormat="1" ht="20.25" customHeight="1" thickBot="1">
      <c r="B16" s="587"/>
      <c r="C16" s="759" t="s">
        <v>475</v>
      </c>
      <c r="D16" s="1160" t="s">
        <v>468</v>
      </c>
      <c r="E16" s="1161"/>
      <c r="F16" s="1161"/>
      <c r="G16" s="1162"/>
      <c r="H16" s="819" t="s">
        <v>514</v>
      </c>
    </row>
    <row r="17" spans="2:11" s="168" customFormat="1" ht="16.2" customHeight="1">
      <c r="B17" s="587"/>
      <c r="C17" s="820" t="s">
        <v>471</v>
      </c>
      <c r="D17" s="1163" t="s">
        <v>99</v>
      </c>
      <c r="E17" s="1163"/>
      <c r="F17" s="1163"/>
      <c r="G17" s="1163"/>
      <c r="H17" s="753">
        <f>+H27</f>
        <v>6675.38</v>
      </c>
    </row>
    <row r="18" spans="2:11" s="168" customFormat="1" ht="16.2" customHeight="1">
      <c r="B18" s="587"/>
      <c r="C18" s="820" t="s">
        <v>472</v>
      </c>
      <c r="D18" s="1163" t="s">
        <v>100</v>
      </c>
      <c r="E18" s="1163"/>
      <c r="F18" s="1163"/>
      <c r="G18" s="1163"/>
      <c r="H18" s="753">
        <f>+H106</f>
        <v>1488</v>
      </c>
    </row>
    <row r="19" spans="2:11" s="168" customFormat="1" ht="16.2" customHeight="1">
      <c r="B19" s="587"/>
      <c r="C19" s="820" t="s">
        <v>473</v>
      </c>
      <c r="D19" s="1163" t="s">
        <v>101</v>
      </c>
      <c r="E19" s="1163"/>
      <c r="F19" s="1163"/>
      <c r="G19" s="1163"/>
      <c r="H19" s="753">
        <f>+H137</f>
        <v>1050</v>
      </c>
    </row>
    <row r="20" spans="2:11" s="168" customFormat="1" ht="16.2" customHeight="1">
      <c r="B20" s="587"/>
      <c r="C20" s="820" t="s">
        <v>474</v>
      </c>
      <c r="D20" s="1163" t="s">
        <v>102</v>
      </c>
      <c r="E20" s="1163"/>
      <c r="F20" s="1163"/>
      <c r="G20" s="1163"/>
      <c r="H20" s="753">
        <v>0</v>
      </c>
    </row>
    <row r="21" spans="2:11" s="168" customFormat="1" ht="20.25" customHeight="1" thickBot="1">
      <c r="B21" s="587"/>
      <c r="C21" s="1154" t="s">
        <v>106</v>
      </c>
      <c r="D21" s="1155"/>
      <c r="E21" s="1155"/>
      <c r="F21" s="1155"/>
      <c r="G21" s="1155"/>
      <c r="H21" s="754">
        <f>ROUND(SUM(H17:H20),2)</f>
        <v>9213.3799999999992</v>
      </c>
      <c r="I21" s="170"/>
      <c r="J21" s="171"/>
      <c r="K21" s="170"/>
    </row>
    <row r="22" spans="2:11" ht="18" customHeight="1">
      <c r="C22" s="594"/>
      <c r="D22" s="594"/>
      <c r="E22" s="594"/>
      <c r="F22" s="594"/>
      <c r="G22" s="628"/>
      <c r="H22" s="583"/>
    </row>
    <row r="23" spans="2:11" ht="27" customHeight="1">
      <c r="B23" s="1082" t="s">
        <v>479</v>
      </c>
      <c r="C23" s="1082"/>
      <c r="D23" s="1082"/>
      <c r="E23" s="1082"/>
      <c r="F23" s="1082"/>
      <c r="G23" s="1082"/>
      <c r="H23" s="1082"/>
      <c r="I23" s="821"/>
    </row>
    <row r="24" spans="2:11" ht="12" customHeight="1">
      <c r="B24" s="598"/>
      <c r="C24" s="599"/>
      <c r="D24" s="600"/>
      <c r="E24" s="599"/>
      <c r="F24" s="601"/>
      <c r="G24" s="599"/>
      <c r="H24" s="599"/>
    </row>
    <row r="25" spans="2:11" ht="21.6" customHeight="1">
      <c r="B25" s="1111" t="s">
        <v>517</v>
      </c>
      <c r="C25" s="1111"/>
      <c r="D25" s="1111"/>
      <c r="E25" s="1111"/>
      <c r="F25" s="1111"/>
      <c r="G25" s="1111"/>
      <c r="H25" s="1111"/>
    </row>
    <row r="26" spans="2:11" ht="12.75" customHeight="1">
      <c r="B26" s="702"/>
      <c r="C26" s="702"/>
      <c r="D26" s="703"/>
      <c r="E26" s="704"/>
      <c r="F26" s="705"/>
      <c r="G26" s="702"/>
      <c r="H26" s="702"/>
    </row>
    <row r="27" spans="2:11" s="168" customFormat="1" ht="15.6">
      <c r="B27" s="604" t="s">
        <v>509</v>
      </c>
      <c r="C27" s="605"/>
      <c r="D27" s="606"/>
      <c r="E27" s="606"/>
      <c r="F27" s="607"/>
      <c r="G27" s="607" t="s">
        <v>0</v>
      </c>
      <c r="H27" s="608">
        <f>ROUND((H29+H41+H62+H82+H93),2)</f>
        <v>6675.38</v>
      </c>
      <c r="I27" s="177"/>
    </row>
    <row r="28" spans="2:11" s="168" customFormat="1" ht="15.6">
      <c r="B28" s="609"/>
      <c r="C28" s="610"/>
      <c r="D28" s="611"/>
      <c r="E28" s="611"/>
      <c r="F28" s="612"/>
      <c r="G28" s="612"/>
      <c r="H28" s="613"/>
      <c r="I28" s="177"/>
    </row>
    <row r="29" spans="2:11" ht="18" customHeight="1">
      <c r="B29" s="661">
        <v>1</v>
      </c>
      <c r="C29" s="706" t="s">
        <v>10</v>
      </c>
      <c r="D29" s="707"/>
      <c r="E29" s="707"/>
      <c r="F29" s="708"/>
      <c r="G29" s="709" t="s">
        <v>0</v>
      </c>
      <c r="H29" s="710">
        <f>+G38</f>
        <v>5150</v>
      </c>
    </row>
    <row r="30" spans="2:11" ht="12.75" customHeight="1">
      <c r="B30" s="621"/>
      <c r="C30" s="622"/>
      <c r="D30" s="623"/>
      <c r="E30" s="623"/>
      <c r="F30" s="624"/>
      <c r="G30" s="623"/>
      <c r="H30" s="623"/>
    </row>
    <row r="31" spans="2:11" ht="12.75" customHeight="1">
      <c r="B31" s="648">
        <v>1.01</v>
      </c>
      <c r="C31" s="626" t="s">
        <v>12</v>
      </c>
      <c r="D31" s="623"/>
      <c r="E31" s="623"/>
      <c r="F31" s="624"/>
      <c r="G31" s="623"/>
      <c r="H31" s="623"/>
    </row>
    <row r="32" spans="2:11" ht="12.75" customHeight="1">
      <c r="B32" s="629"/>
      <c r="C32" s="596"/>
      <c r="D32" s="623"/>
      <c r="E32" s="623"/>
      <c r="F32" s="624"/>
      <c r="G32" s="623"/>
      <c r="H32" s="623"/>
    </row>
    <row r="33" spans="2:8" ht="12.75" customHeight="1">
      <c r="B33" s="582"/>
      <c r="C33" s="626" t="s">
        <v>29</v>
      </c>
      <c r="D33" s="596"/>
      <c r="E33" s="596"/>
      <c r="F33" s="630"/>
      <c r="G33" s="596"/>
      <c r="H33" s="623"/>
    </row>
    <row r="34" spans="2:8" ht="12.75" customHeight="1">
      <c r="B34" s="582"/>
      <c r="C34" s="626"/>
      <c r="D34" s="596"/>
      <c r="E34" s="596"/>
      <c r="F34" s="630"/>
      <c r="G34" s="596"/>
      <c r="H34" s="623"/>
    </row>
    <row r="35" spans="2:8" ht="12.75" customHeight="1">
      <c r="B35" s="629"/>
      <c r="C35" s="643" t="s">
        <v>30</v>
      </c>
      <c r="D35" s="633" t="s">
        <v>31</v>
      </c>
      <c r="E35" s="633" t="s">
        <v>32</v>
      </c>
      <c r="F35" s="633" t="s">
        <v>13</v>
      </c>
      <c r="G35" s="633" t="s">
        <v>4</v>
      </c>
      <c r="H35" s="623"/>
    </row>
    <row r="36" spans="2:8" ht="12.75" customHeight="1">
      <c r="B36" s="629"/>
      <c r="C36" s="644" t="s">
        <v>216</v>
      </c>
      <c r="D36" s="645">
        <v>1</v>
      </c>
      <c r="E36" s="645">
        <v>0.5</v>
      </c>
      <c r="F36" s="645">
        <v>5300</v>
      </c>
      <c r="G36" s="692">
        <f>+D36*E36*F36</f>
        <v>2650</v>
      </c>
      <c r="H36" s="623"/>
    </row>
    <row r="37" spans="2:8" ht="12.75" customHeight="1">
      <c r="B37" s="582"/>
      <c r="C37" s="644" t="s">
        <v>215</v>
      </c>
      <c r="D37" s="645">
        <v>1</v>
      </c>
      <c r="E37" s="645">
        <v>0.5</v>
      </c>
      <c r="F37" s="645">
        <v>5000</v>
      </c>
      <c r="G37" s="692">
        <f>+D37*E37*F37</f>
        <v>2500</v>
      </c>
      <c r="H37" s="623"/>
    </row>
    <row r="38" spans="2:8" ht="12.75" customHeight="1">
      <c r="B38" s="579"/>
      <c r="C38" s="1095" t="s">
        <v>3</v>
      </c>
      <c r="D38" s="1095"/>
      <c r="E38" s="1095"/>
      <c r="F38" s="1095"/>
      <c r="G38" s="635">
        <f>SUM(G36:G37)</f>
        <v>5150</v>
      </c>
      <c r="H38" s="596"/>
    </row>
    <row r="39" spans="2:8" ht="12.75" customHeight="1">
      <c r="B39" s="582"/>
      <c r="C39" s="623"/>
      <c r="D39" s="623"/>
      <c r="E39" s="623"/>
      <c r="F39" s="624"/>
      <c r="G39" s="623"/>
      <c r="H39" s="623"/>
    </row>
    <row r="40" spans="2:8" ht="15.75" customHeight="1">
      <c r="B40" s="582"/>
      <c r="C40" s="623"/>
      <c r="D40" s="623"/>
      <c r="E40" s="623"/>
      <c r="F40" s="624"/>
      <c r="G40" s="623"/>
      <c r="H40" s="623"/>
    </row>
    <row r="41" spans="2:8" ht="18" customHeight="1">
      <c r="B41" s="661">
        <v>2</v>
      </c>
      <c r="C41" s="706" t="s">
        <v>15</v>
      </c>
      <c r="D41" s="707"/>
      <c r="E41" s="707"/>
      <c r="F41" s="708"/>
      <c r="G41" s="709" t="s">
        <v>0</v>
      </c>
      <c r="H41" s="710">
        <f>+G50+G60</f>
        <v>620.57500000000005</v>
      </c>
    </row>
    <row r="42" spans="2:8" ht="12.75" customHeight="1">
      <c r="B42" s="621"/>
      <c r="C42" s="622"/>
      <c r="D42" s="623"/>
      <c r="E42" s="623"/>
      <c r="F42" s="624"/>
      <c r="G42" s="623"/>
      <c r="H42" s="623"/>
    </row>
    <row r="43" spans="2:8" ht="12.75" customHeight="1">
      <c r="B43" s="648">
        <v>2.0099999999999998</v>
      </c>
      <c r="C43" s="626" t="s">
        <v>95</v>
      </c>
      <c r="D43" s="623"/>
      <c r="E43" s="623"/>
      <c r="F43" s="624"/>
      <c r="G43" s="623"/>
      <c r="H43" s="623"/>
    </row>
    <row r="44" spans="2:8" ht="12.75" customHeight="1">
      <c r="B44" s="648"/>
      <c r="C44" s="626"/>
      <c r="D44" s="623"/>
      <c r="E44" s="623"/>
      <c r="F44" s="624"/>
      <c r="G44" s="623"/>
      <c r="H44" s="623"/>
    </row>
    <row r="45" spans="2:8" ht="12.75" customHeight="1">
      <c r="B45" s="629"/>
      <c r="C45" s="626" t="s">
        <v>29</v>
      </c>
      <c r="D45" s="596"/>
      <c r="E45" s="596"/>
      <c r="F45" s="630"/>
      <c r="G45" s="623"/>
      <c r="H45" s="623"/>
    </row>
    <row r="46" spans="2:8" ht="12.75" customHeight="1">
      <c r="B46" s="629"/>
      <c r="C46" s="626"/>
      <c r="D46" s="596"/>
      <c r="E46" s="596"/>
      <c r="F46" s="630"/>
      <c r="G46" s="623"/>
      <c r="H46" s="623"/>
    </row>
    <row r="47" spans="2:8" ht="12.75" customHeight="1">
      <c r="B47" s="582"/>
      <c r="C47" s="643" t="s">
        <v>30</v>
      </c>
      <c r="D47" s="633" t="s">
        <v>31</v>
      </c>
      <c r="E47" s="633" t="s">
        <v>32</v>
      </c>
      <c r="F47" s="633" t="s">
        <v>13</v>
      </c>
      <c r="G47" s="633" t="s">
        <v>4</v>
      </c>
      <c r="H47" s="623"/>
    </row>
    <row r="48" spans="2:8" ht="12.75" customHeight="1">
      <c r="B48" s="582"/>
      <c r="C48" s="644" t="str">
        <f t="shared" ref="C48:E49" si="0">+C36</f>
        <v>LIQUIDADOR TECNICO</v>
      </c>
      <c r="D48" s="645">
        <f t="shared" si="0"/>
        <v>1</v>
      </c>
      <c r="E48" s="645">
        <f t="shared" si="0"/>
        <v>0.5</v>
      </c>
      <c r="F48" s="858">
        <f>+F36*0.09</f>
        <v>477</v>
      </c>
      <c r="G48" s="692">
        <f>+D48*E48*F48</f>
        <v>238.5</v>
      </c>
      <c r="H48" s="623"/>
    </row>
    <row r="49" spans="2:8" ht="12.75" customHeight="1">
      <c r="B49" s="582"/>
      <c r="C49" s="644" t="str">
        <f t="shared" si="0"/>
        <v>LIQUIDADOR FINANCIERO</v>
      </c>
      <c r="D49" s="645">
        <f t="shared" si="0"/>
        <v>1</v>
      </c>
      <c r="E49" s="645">
        <f t="shared" si="0"/>
        <v>0.5</v>
      </c>
      <c r="F49" s="858">
        <f>+F37*0.09</f>
        <v>450</v>
      </c>
      <c r="G49" s="692">
        <f>+D49*E49*F49</f>
        <v>225</v>
      </c>
      <c r="H49" s="623"/>
    </row>
    <row r="50" spans="2:8" ht="12.75" customHeight="1">
      <c r="B50" s="582"/>
      <c r="C50" s="1165" t="s">
        <v>3</v>
      </c>
      <c r="D50" s="1165"/>
      <c r="E50" s="1165"/>
      <c r="F50" s="1165"/>
      <c r="G50" s="635">
        <f>SUM(G48:G49)</f>
        <v>463.5</v>
      </c>
      <c r="H50" s="623"/>
    </row>
    <row r="51" spans="2:8" ht="13.5" customHeight="1">
      <c r="B51" s="582"/>
      <c r="C51" s="649"/>
      <c r="D51" s="649"/>
      <c r="E51" s="649"/>
      <c r="F51" s="624"/>
      <c r="G51" s="623"/>
      <c r="H51" s="623"/>
    </row>
    <row r="52" spans="2:8" ht="13.5" customHeight="1">
      <c r="B52" s="582"/>
      <c r="C52" s="649"/>
      <c r="D52" s="623"/>
      <c r="E52" s="649"/>
      <c r="F52" s="624"/>
      <c r="G52" s="623"/>
      <c r="H52" s="623"/>
    </row>
    <row r="53" spans="2:8" ht="12.75" customHeight="1">
      <c r="B53" s="711">
        <v>2.02</v>
      </c>
      <c r="C53" s="859" t="s">
        <v>554</v>
      </c>
      <c r="D53" s="623"/>
      <c r="E53" s="623"/>
      <c r="F53" s="624"/>
      <c r="G53" s="623"/>
      <c r="H53" s="623"/>
    </row>
    <row r="54" spans="2:8" ht="12.75" customHeight="1">
      <c r="B54" s="648"/>
      <c r="C54" s="626"/>
      <c r="D54" s="623"/>
      <c r="E54" s="623"/>
      <c r="F54" s="624"/>
      <c r="G54" s="623"/>
      <c r="H54" s="623"/>
    </row>
    <row r="55" spans="2:8" ht="12.75" customHeight="1">
      <c r="B55" s="582"/>
      <c r="C55" s="626" t="s">
        <v>29</v>
      </c>
      <c r="D55" s="596"/>
      <c r="E55" s="596"/>
      <c r="F55" s="630"/>
      <c r="G55" s="623"/>
      <c r="H55" s="623"/>
    </row>
    <row r="56" spans="2:8" ht="12.75" customHeight="1">
      <c r="B56" s="582"/>
      <c r="C56" s="626"/>
      <c r="D56" s="596"/>
      <c r="E56" s="596"/>
      <c r="F56" s="630"/>
      <c r="G56" s="623"/>
      <c r="H56" s="623"/>
    </row>
    <row r="57" spans="2:8" ht="12.75" customHeight="1">
      <c r="B57" s="582"/>
      <c r="C57" s="643" t="s">
        <v>30</v>
      </c>
      <c r="D57" s="633" t="s">
        <v>31</v>
      </c>
      <c r="E57" s="633" t="s">
        <v>32</v>
      </c>
      <c r="F57" s="633" t="s">
        <v>13</v>
      </c>
      <c r="G57" s="633" t="s">
        <v>4</v>
      </c>
      <c r="H57" s="623"/>
    </row>
    <row r="58" spans="2:8" ht="12.75" customHeight="1">
      <c r="B58" s="582"/>
      <c r="C58" s="644" t="str">
        <f t="shared" ref="C58:E59" si="1">+C36</f>
        <v>LIQUIDADOR TECNICO</v>
      </c>
      <c r="D58" s="645">
        <f t="shared" si="1"/>
        <v>1</v>
      </c>
      <c r="E58" s="645">
        <f t="shared" si="1"/>
        <v>0.5</v>
      </c>
      <c r="F58" s="645">
        <f>+F36*0.0305</f>
        <v>161.65</v>
      </c>
      <c r="G58" s="692">
        <f>+D58*E58*F58</f>
        <v>80.825000000000003</v>
      </c>
      <c r="H58" s="623"/>
    </row>
    <row r="59" spans="2:8" ht="12.75" customHeight="1">
      <c r="B59" s="582"/>
      <c r="C59" s="644" t="str">
        <f t="shared" si="1"/>
        <v>LIQUIDADOR FINANCIERO</v>
      </c>
      <c r="D59" s="645">
        <f t="shared" si="1"/>
        <v>1</v>
      </c>
      <c r="E59" s="645">
        <f t="shared" si="1"/>
        <v>0.5</v>
      </c>
      <c r="F59" s="645">
        <f>+F37*0.0305</f>
        <v>152.5</v>
      </c>
      <c r="G59" s="692">
        <f>+D59*E59*F59</f>
        <v>76.25</v>
      </c>
      <c r="H59" s="623"/>
    </row>
    <row r="60" spans="2:8" ht="12.75" customHeight="1">
      <c r="B60" s="582"/>
      <c r="C60" s="1099" t="s">
        <v>3</v>
      </c>
      <c r="D60" s="1099"/>
      <c r="E60" s="1099"/>
      <c r="F60" s="1099"/>
      <c r="G60" s="635">
        <f>SUM(G58:G59)</f>
        <v>157.07499999999999</v>
      </c>
      <c r="H60" s="623"/>
    </row>
    <row r="61" spans="2:8" ht="12.75" customHeight="1">
      <c r="B61" s="582"/>
      <c r="C61" s="649"/>
      <c r="D61" s="623"/>
      <c r="E61" s="649"/>
      <c r="F61" s="624"/>
      <c r="G61" s="623"/>
      <c r="H61" s="623"/>
    </row>
    <row r="62" spans="2:8" ht="18" customHeight="1">
      <c r="B62" s="661">
        <v>3</v>
      </c>
      <c r="C62" s="706" t="s">
        <v>16</v>
      </c>
      <c r="D62" s="707"/>
      <c r="E62" s="707"/>
      <c r="F62" s="708"/>
      <c r="G62" s="709" t="s">
        <v>0</v>
      </c>
      <c r="H62" s="710">
        <f>+G71+G80</f>
        <v>786.80555555555554</v>
      </c>
    </row>
    <row r="63" spans="2:8" ht="12.75" customHeight="1">
      <c r="B63" s="648"/>
      <c r="C63" s="626"/>
      <c r="D63" s="623"/>
      <c r="E63" s="623"/>
      <c r="F63" s="624"/>
      <c r="G63" s="623"/>
      <c r="H63" s="623"/>
    </row>
    <row r="64" spans="2:8" ht="12.75" customHeight="1">
      <c r="B64" s="711">
        <v>3.01</v>
      </c>
      <c r="C64" s="859" t="s">
        <v>555</v>
      </c>
      <c r="D64" s="623"/>
      <c r="E64" s="623"/>
      <c r="F64" s="624"/>
      <c r="G64" s="623"/>
      <c r="H64" s="623"/>
    </row>
    <row r="65" spans="2:8" ht="12.75" customHeight="1">
      <c r="B65" s="629"/>
      <c r="C65" s="641"/>
      <c r="D65" s="623"/>
      <c r="E65" s="623"/>
      <c r="F65" s="624"/>
      <c r="G65" s="623"/>
      <c r="H65" s="623"/>
    </row>
    <row r="66" spans="2:8" ht="12.75" customHeight="1">
      <c r="B66" s="582"/>
      <c r="C66" s="626" t="s">
        <v>29</v>
      </c>
      <c r="D66" s="596"/>
      <c r="E66" s="596"/>
      <c r="F66" s="630"/>
      <c r="G66" s="596"/>
      <c r="H66" s="623"/>
    </row>
    <row r="67" spans="2:8" ht="12.75" customHeight="1">
      <c r="B67" s="582"/>
      <c r="C67" s="626"/>
      <c r="D67" s="596"/>
      <c r="E67" s="596"/>
      <c r="F67" s="630"/>
      <c r="G67" s="596"/>
      <c r="H67" s="623"/>
    </row>
    <row r="68" spans="2:8" ht="12.75" customHeight="1">
      <c r="B68" s="582"/>
      <c r="C68" s="643" t="s">
        <v>30</v>
      </c>
      <c r="D68" s="633" t="s">
        <v>31</v>
      </c>
      <c r="E68" s="633" t="s">
        <v>32</v>
      </c>
      <c r="F68" s="633" t="s">
        <v>13</v>
      </c>
      <c r="G68" s="633" t="s">
        <v>4</v>
      </c>
      <c r="H68" s="623"/>
    </row>
    <row r="69" spans="2:8" ht="12.75" customHeight="1">
      <c r="B69" s="582"/>
      <c r="C69" s="644" t="str">
        <f t="shared" ref="C69:E70" si="2">+C36</f>
        <v>LIQUIDADOR TECNICO</v>
      </c>
      <c r="D69" s="645">
        <f t="shared" si="2"/>
        <v>1</v>
      </c>
      <c r="E69" s="645">
        <f t="shared" si="2"/>
        <v>0.5</v>
      </c>
      <c r="F69" s="645">
        <f>+F36*0.15</f>
        <v>795</v>
      </c>
      <c r="G69" s="692">
        <f>+D69*E69*F69</f>
        <v>397.5</v>
      </c>
      <c r="H69" s="623"/>
    </row>
    <row r="70" spans="2:8" ht="12.75" customHeight="1">
      <c r="B70" s="579"/>
      <c r="C70" s="644" t="str">
        <f t="shared" si="2"/>
        <v>LIQUIDADOR FINANCIERO</v>
      </c>
      <c r="D70" s="645">
        <f t="shared" si="2"/>
        <v>1</v>
      </c>
      <c r="E70" s="645">
        <f t="shared" si="2"/>
        <v>0.5</v>
      </c>
      <c r="F70" s="645">
        <f>+F37*0.15</f>
        <v>750</v>
      </c>
      <c r="G70" s="692">
        <f>+D70*E70*F70</f>
        <v>375</v>
      </c>
      <c r="H70" s="623"/>
    </row>
    <row r="71" spans="2:8" ht="12.75" customHeight="1">
      <c r="B71" s="582"/>
      <c r="C71" s="1095" t="s">
        <v>3</v>
      </c>
      <c r="D71" s="1095"/>
      <c r="E71" s="1095"/>
      <c r="F71" s="1095"/>
      <c r="G71" s="635">
        <f>SUM(G69:G70)</f>
        <v>772.5</v>
      </c>
      <c r="H71" s="623"/>
    </row>
    <row r="72" spans="2:8" ht="12.75" customHeight="1">
      <c r="B72" s="648"/>
      <c r="C72" s="626"/>
      <c r="D72" s="623"/>
      <c r="E72" s="623"/>
      <c r="F72" s="624"/>
      <c r="G72" s="623"/>
      <c r="H72" s="623"/>
    </row>
    <row r="73" spans="2:8" ht="12.75" customHeight="1">
      <c r="B73" s="711">
        <v>3.02</v>
      </c>
      <c r="C73" s="626" t="s">
        <v>97</v>
      </c>
      <c r="D73" s="623"/>
      <c r="E73" s="623"/>
      <c r="F73" s="624"/>
      <c r="G73" s="623"/>
      <c r="H73" s="623"/>
    </row>
    <row r="74" spans="2:8" ht="12.75" customHeight="1">
      <c r="B74" s="629"/>
      <c r="C74" s="641"/>
      <c r="D74" s="623"/>
      <c r="E74" s="623"/>
      <c r="F74" s="624"/>
      <c r="G74" s="623"/>
      <c r="H74" s="623"/>
    </row>
    <row r="75" spans="2:8" ht="12.75" customHeight="1">
      <c r="B75" s="582"/>
      <c r="C75" s="626" t="s">
        <v>29</v>
      </c>
      <c r="D75" s="596"/>
      <c r="E75" s="596"/>
      <c r="F75" s="630"/>
      <c r="G75" s="596"/>
      <c r="H75" s="623"/>
    </row>
    <row r="76" spans="2:8" ht="12.75" customHeight="1">
      <c r="B76" s="582"/>
      <c r="C76" s="626"/>
      <c r="D76" s="596"/>
      <c r="E76" s="596"/>
      <c r="F76" s="630"/>
      <c r="G76" s="596"/>
      <c r="H76" s="623"/>
    </row>
    <row r="77" spans="2:8" ht="12.75" customHeight="1">
      <c r="B77" s="582"/>
      <c r="C77" s="643" t="s">
        <v>30</v>
      </c>
      <c r="D77" s="633" t="s">
        <v>31</v>
      </c>
      <c r="E77" s="633" t="s">
        <v>32</v>
      </c>
      <c r="F77" s="633" t="s">
        <v>13</v>
      </c>
      <c r="G77" s="633" t="s">
        <v>4</v>
      </c>
      <c r="H77" s="623"/>
    </row>
    <row r="78" spans="2:8" ht="12.75" customHeight="1">
      <c r="B78" s="582"/>
      <c r="C78" s="644" t="str">
        <f t="shared" ref="C78:E79" si="3">+C36</f>
        <v>LIQUIDADOR TECNICO</v>
      </c>
      <c r="D78" s="645">
        <f t="shared" si="3"/>
        <v>1</v>
      </c>
      <c r="E78" s="645">
        <f t="shared" si="3"/>
        <v>0.5</v>
      </c>
      <c r="F78" s="858">
        <f>+F36/360</f>
        <v>14.722222222222221</v>
      </c>
      <c r="G78" s="692">
        <f>+D78*E78*F78</f>
        <v>7.3611111111111107</v>
      </c>
      <c r="H78" s="623"/>
    </row>
    <row r="79" spans="2:8" ht="12.75" customHeight="1">
      <c r="B79" s="579"/>
      <c r="C79" s="644" t="str">
        <f t="shared" si="3"/>
        <v>LIQUIDADOR FINANCIERO</v>
      </c>
      <c r="D79" s="645">
        <f t="shared" si="3"/>
        <v>1</v>
      </c>
      <c r="E79" s="645">
        <f t="shared" si="3"/>
        <v>0.5</v>
      </c>
      <c r="F79" s="858">
        <f>+F37/360</f>
        <v>13.888888888888889</v>
      </c>
      <c r="G79" s="692">
        <f>+D79*E79*F79</f>
        <v>6.9444444444444446</v>
      </c>
      <c r="H79" s="623"/>
    </row>
    <row r="80" spans="2:8" ht="12.75" customHeight="1">
      <c r="B80" s="582"/>
      <c r="C80" s="1095" t="s">
        <v>3</v>
      </c>
      <c r="D80" s="1095"/>
      <c r="E80" s="1095"/>
      <c r="F80" s="1095"/>
      <c r="G80" s="635">
        <f>SUM(G78:G79)</f>
        <v>14.305555555555555</v>
      </c>
      <c r="H80" s="623"/>
    </row>
    <row r="81" spans="2:9" ht="12.75" customHeight="1">
      <c r="B81" s="648"/>
      <c r="C81" s="626"/>
      <c r="D81" s="623"/>
      <c r="E81" s="623"/>
      <c r="F81" s="624"/>
      <c r="G81" s="623"/>
      <c r="H81" s="623"/>
    </row>
    <row r="82" spans="2:9" ht="18" customHeight="1">
      <c r="B82" s="661">
        <v>4</v>
      </c>
      <c r="C82" s="706" t="s">
        <v>75</v>
      </c>
      <c r="D82" s="707"/>
      <c r="E82" s="707"/>
      <c r="F82" s="708"/>
      <c r="G82" s="709" t="s">
        <v>0</v>
      </c>
      <c r="H82" s="710">
        <f>H84</f>
        <v>25</v>
      </c>
    </row>
    <row r="83" spans="2:9" ht="12.75" customHeight="1">
      <c r="B83" s="648"/>
      <c r="C83" s="626"/>
      <c r="D83" s="623"/>
      <c r="E83" s="623"/>
      <c r="F83" s="624"/>
      <c r="G83" s="623"/>
      <c r="H83" s="623"/>
    </row>
    <row r="84" spans="2:9" ht="14.25" customHeight="1">
      <c r="B84" s="648">
        <v>4.01</v>
      </c>
      <c r="C84" s="626" t="s">
        <v>96</v>
      </c>
      <c r="D84" s="653">
        <v>300</v>
      </c>
      <c r="E84" s="596"/>
      <c r="F84" s="630"/>
      <c r="G84" s="627" t="s">
        <v>0</v>
      </c>
      <c r="H84" s="628">
        <f>G91</f>
        <v>25</v>
      </c>
    </row>
    <row r="85" spans="2:9" ht="12.75" customHeight="1">
      <c r="B85" s="711"/>
      <c r="C85" s="626"/>
      <c r="D85" s="596"/>
      <c r="E85" s="596"/>
      <c r="F85" s="630"/>
      <c r="G85" s="596"/>
      <c r="H85" s="623"/>
    </row>
    <row r="86" spans="2:9" ht="12.75" customHeight="1">
      <c r="B86" s="711"/>
      <c r="C86" s="626" t="s">
        <v>29</v>
      </c>
      <c r="D86" s="596"/>
      <c r="E86" s="596"/>
      <c r="F86" s="630"/>
      <c r="G86" s="596"/>
      <c r="H86" s="623"/>
    </row>
    <row r="87" spans="2:9" ht="14.25" customHeight="1">
      <c r="B87" s="582"/>
      <c r="C87" s="626"/>
      <c r="D87" s="596"/>
      <c r="E87" s="596"/>
      <c r="F87" s="630"/>
      <c r="G87" s="596"/>
      <c r="H87" s="623"/>
    </row>
    <row r="88" spans="2:9" ht="14.25" customHeight="1">
      <c r="B88" s="582"/>
      <c r="C88" s="643" t="s">
        <v>30</v>
      </c>
      <c r="D88" s="633" t="s">
        <v>31</v>
      </c>
      <c r="E88" s="633" t="s">
        <v>32</v>
      </c>
      <c r="F88" s="633" t="s">
        <v>13</v>
      </c>
      <c r="G88" s="633" t="s">
        <v>4</v>
      </c>
      <c r="H88" s="623"/>
    </row>
    <row r="89" spans="2:9" ht="14.25" customHeight="1">
      <c r="B89" s="582"/>
      <c r="C89" s="644" t="str">
        <f t="shared" ref="C89:E90" si="4">+C36</f>
        <v>LIQUIDADOR TECNICO</v>
      </c>
      <c r="D89" s="645">
        <f t="shared" si="4"/>
        <v>1</v>
      </c>
      <c r="E89" s="645">
        <f t="shared" si="4"/>
        <v>0.5</v>
      </c>
      <c r="F89" s="645">
        <f>($D$84*2)/12*(E89*D89)</f>
        <v>25</v>
      </c>
      <c r="G89" s="644">
        <f>+D89*E89*F89</f>
        <v>12.5</v>
      </c>
      <c r="H89" s="623"/>
    </row>
    <row r="90" spans="2:9" ht="14.25" customHeight="1">
      <c r="B90" s="582"/>
      <c r="C90" s="644" t="str">
        <f t="shared" si="4"/>
        <v>LIQUIDADOR FINANCIERO</v>
      </c>
      <c r="D90" s="645">
        <f t="shared" si="4"/>
        <v>1</v>
      </c>
      <c r="E90" s="645">
        <f t="shared" si="4"/>
        <v>0.5</v>
      </c>
      <c r="F90" s="645">
        <f>($D$84*2)/12*(E90*D90)</f>
        <v>25</v>
      </c>
      <c r="G90" s="644">
        <f>+D90*E90*F90</f>
        <v>12.5</v>
      </c>
      <c r="H90" s="623"/>
    </row>
    <row r="91" spans="2:9" ht="14.25" customHeight="1">
      <c r="B91" s="579"/>
      <c r="C91" s="1095" t="s">
        <v>3</v>
      </c>
      <c r="D91" s="1095"/>
      <c r="E91" s="1095"/>
      <c r="F91" s="1095"/>
      <c r="G91" s="635">
        <f>SUM(G89:G90)</f>
        <v>25</v>
      </c>
      <c r="H91" s="623"/>
    </row>
    <row r="92" spans="2:9" ht="14.25" customHeight="1">
      <c r="B92" s="579"/>
      <c r="C92" s="712"/>
      <c r="D92" s="712"/>
      <c r="E92" s="712"/>
      <c r="F92" s="712"/>
      <c r="G92" s="622"/>
      <c r="H92" s="623"/>
    </row>
    <row r="93" spans="2:9" ht="14.25" customHeight="1">
      <c r="B93" s="614">
        <v>5</v>
      </c>
      <c r="C93" s="615" t="s">
        <v>417</v>
      </c>
      <c r="D93" s="616"/>
      <c r="E93" s="616"/>
      <c r="F93" s="617"/>
      <c r="G93" s="709" t="s">
        <v>0</v>
      </c>
      <c r="H93" s="710">
        <f>+H95</f>
        <v>93</v>
      </c>
    </row>
    <row r="94" spans="2:9" ht="14.25" customHeight="1">
      <c r="B94" s="650"/>
      <c r="C94" s="651"/>
      <c r="D94" s="623"/>
      <c r="E94" s="623"/>
      <c r="F94" s="596"/>
      <c r="G94" s="623"/>
      <c r="H94" s="628"/>
    </row>
    <row r="95" spans="2:9" ht="14.25" customHeight="1">
      <c r="B95" s="625">
        <v>4.01</v>
      </c>
      <c r="C95" s="626" t="s">
        <v>418</v>
      </c>
      <c r="D95" s="653"/>
      <c r="E95" s="653"/>
      <c r="F95" s="624"/>
      <c r="G95" s="627" t="s">
        <v>0</v>
      </c>
      <c r="H95" s="628">
        <f>G102</f>
        <v>93</v>
      </c>
    </row>
    <row r="96" spans="2:9" ht="14.25" customHeight="1">
      <c r="B96" s="648"/>
      <c r="C96" s="626"/>
      <c r="D96" s="623"/>
      <c r="E96" s="623"/>
      <c r="F96" s="624"/>
      <c r="G96" s="624"/>
      <c r="H96" s="623"/>
      <c r="I96" s="185"/>
    </row>
    <row r="97" spans="2:15" ht="14.25" customHeight="1">
      <c r="B97" s="582"/>
      <c r="C97" s="652" t="s">
        <v>29</v>
      </c>
      <c r="D97" s="596"/>
      <c r="E97" s="596"/>
      <c r="F97" s="630"/>
      <c r="G97" s="630"/>
      <c r="H97" s="596"/>
      <c r="I97" s="186"/>
    </row>
    <row r="98" spans="2:15" ht="14.25" customHeight="1">
      <c r="B98" s="582"/>
      <c r="C98" s="652"/>
      <c r="D98" s="596"/>
      <c r="E98" s="596"/>
      <c r="F98" s="630"/>
      <c r="G98" s="630"/>
      <c r="H98" s="596"/>
      <c r="I98" s="186"/>
    </row>
    <row r="99" spans="2:15" ht="14.25" customHeight="1">
      <c r="B99" s="579"/>
      <c r="C99" s="643" t="s">
        <v>30</v>
      </c>
      <c r="D99" s="633" t="s">
        <v>31</v>
      </c>
      <c r="E99" s="633" t="s">
        <v>32</v>
      </c>
      <c r="F99" s="633" t="s">
        <v>13</v>
      </c>
      <c r="G99" s="633" t="s">
        <v>4</v>
      </c>
      <c r="H99" s="623"/>
    </row>
    <row r="100" spans="2:15" ht="14.25" customHeight="1">
      <c r="B100" s="579"/>
      <c r="C100" s="644" t="str">
        <f t="shared" ref="C100:E101" si="5">C36</f>
        <v>LIQUIDADOR TECNICO</v>
      </c>
      <c r="D100" s="645">
        <f t="shared" si="5"/>
        <v>1</v>
      </c>
      <c r="E100" s="645">
        <f t="shared" si="5"/>
        <v>0.5</v>
      </c>
      <c r="F100" s="645">
        <f>930/10</f>
        <v>93</v>
      </c>
      <c r="G100" s="644">
        <f>+D100*E100*F100</f>
        <v>46.5</v>
      </c>
      <c r="H100" s="623"/>
    </row>
    <row r="101" spans="2:15" ht="14.25" customHeight="1">
      <c r="B101" s="579"/>
      <c r="C101" s="644" t="str">
        <f t="shared" si="5"/>
        <v>LIQUIDADOR FINANCIERO</v>
      </c>
      <c r="D101" s="645">
        <f t="shared" si="5"/>
        <v>1</v>
      </c>
      <c r="E101" s="645">
        <f t="shared" si="5"/>
        <v>0.5</v>
      </c>
      <c r="F101" s="645">
        <f>930/10</f>
        <v>93</v>
      </c>
      <c r="G101" s="644">
        <f>+D101*E101*F101</f>
        <v>46.5</v>
      </c>
      <c r="H101" s="623"/>
    </row>
    <row r="102" spans="2:15" ht="14.25" customHeight="1">
      <c r="B102" s="579"/>
      <c r="C102" s="1095" t="s">
        <v>3</v>
      </c>
      <c r="D102" s="1095"/>
      <c r="E102" s="1095"/>
      <c r="F102" s="1095"/>
      <c r="G102" s="635">
        <f>SUM(G100:G101)</f>
        <v>93</v>
      </c>
      <c r="H102" s="623"/>
    </row>
    <row r="103" spans="2:15" ht="14.25" customHeight="1">
      <c r="B103" s="579"/>
      <c r="C103" s="712"/>
      <c r="D103" s="712"/>
      <c r="E103" s="712"/>
      <c r="F103" s="712"/>
      <c r="G103" s="622"/>
      <c r="H103" s="623"/>
    </row>
    <row r="104" spans="2:15" ht="14.25" customHeight="1">
      <c r="B104" s="579"/>
      <c r="C104" s="712"/>
      <c r="D104" s="712"/>
      <c r="E104" s="712"/>
      <c r="F104" s="712"/>
      <c r="G104" s="622"/>
      <c r="H104" s="623"/>
    </row>
    <row r="105" spans="2:15" ht="14.25" customHeight="1">
      <c r="B105" s="582"/>
      <c r="C105" s="623"/>
      <c r="D105" s="623"/>
      <c r="E105" s="623"/>
      <c r="F105" s="624"/>
      <c r="G105" s="623"/>
      <c r="H105" s="623"/>
    </row>
    <row r="106" spans="2:15" s="168" customFormat="1" ht="15.6">
      <c r="B106" s="636" t="s">
        <v>510</v>
      </c>
      <c r="C106" s="637"/>
      <c r="D106" s="606"/>
      <c r="E106" s="606"/>
      <c r="F106" s="607"/>
      <c r="G106" s="607" t="s">
        <v>0</v>
      </c>
      <c r="H106" s="608">
        <f>+H108+H116</f>
        <v>1488</v>
      </c>
      <c r="I106" s="177"/>
    </row>
    <row r="107" spans="2:15" ht="12.75" customHeight="1">
      <c r="B107" s="648"/>
      <c r="C107" s="626"/>
      <c r="D107" s="623"/>
      <c r="E107" s="623"/>
      <c r="F107" s="624"/>
      <c r="G107" s="623"/>
      <c r="H107" s="623"/>
    </row>
    <row r="108" spans="2:15" ht="12.75" hidden="1" customHeight="1">
      <c r="B108" s="661">
        <v>1</v>
      </c>
      <c r="C108" s="706" t="s">
        <v>270</v>
      </c>
      <c r="D108" s="707"/>
      <c r="E108" s="707"/>
      <c r="F108" s="708"/>
      <c r="G108" s="709" t="s">
        <v>0</v>
      </c>
      <c r="H108" s="710">
        <f>G114</f>
        <v>0</v>
      </c>
    </row>
    <row r="109" spans="2:15" ht="15" hidden="1" customHeight="1">
      <c r="B109" s="648"/>
      <c r="C109" s="626"/>
      <c r="D109" s="623"/>
      <c r="E109" s="623"/>
      <c r="F109" s="624"/>
      <c r="G109" s="623"/>
      <c r="H109" s="623"/>
    </row>
    <row r="110" spans="2:15" ht="15" hidden="1" customHeight="1">
      <c r="B110" s="648">
        <v>1.01</v>
      </c>
      <c r="C110" s="626" t="s">
        <v>271</v>
      </c>
      <c r="D110" s="596"/>
      <c r="E110" s="596"/>
      <c r="F110" s="630"/>
      <c r="G110" s="627"/>
      <c r="H110" s="628"/>
    </row>
    <row r="111" spans="2:15" ht="12.75" hidden="1" customHeight="1">
      <c r="B111" s="666"/>
      <c r="C111" s="667"/>
      <c r="D111" s="668"/>
      <c r="E111" s="669"/>
      <c r="F111" s="668"/>
      <c r="G111" s="669"/>
    </row>
    <row r="112" spans="2:15" ht="13.5" hidden="1" customHeight="1">
      <c r="B112" s="666"/>
      <c r="C112" s="655" t="s">
        <v>17</v>
      </c>
      <c r="D112" s="655" t="s">
        <v>2</v>
      </c>
      <c r="E112" s="655" t="s">
        <v>304</v>
      </c>
      <c r="F112" s="655" t="s">
        <v>5</v>
      </c>
      <c r="G112" s="655" t="s">
        <v>4</v>
      </c>
      <c r="J112" s="744" t="s">
        <v>459</v>
      </c>
      <c r="K112" s="744" t="s">
        <v>460</v>
      </c>
      <c r="L112" s="744" t="s">
        <v>461</v>
      </c>
      <c r="M112" s="744" t="s">
        <v>462</v>
      </c>
      <c r="N112" s="744" t="s">
        <v>466</v>
      </c>
      <c r="O112" s="744" t="s">
        <v>463</v>
      </c>
    </row>
    <row r="113" spans="2:15" ht="13.5" hidden="1" customHeight="1">
      <c r="B113" s="666"/>
      <c r="C113" s="713" t="s">
        <v>108</v>
      </c>
      <c r="D113" s="689" t="s">
        <v>6</v>
      </c>
      <c r="E113" s="714">
        <v>0</v>
      </c>
      <c r="F113" s="689">
        <v>13.5</v>
      </c>
      <c r="G113" s="691">
        <f>+E113*F113</f>
        <v>0</v>
      </c>
      <c r="J113" s="743">
        <v>1.5</v>
      </c>
      <c r="K113" s="743">
        <v>3.5</v>
      </c>
      <c r="L113" s="743">
        <v>2</v>
      </c>
      <c r="M113" s="743">
        <v>2</v>
      </c>
      <c r="N113" s="745">
        <f>+E36</f>
        <v>0.5</v>
      </c>
      <c r="O113" s="743">
        <f>PRODUCT(J113:N113)</f>
        <v>10.5</v>
      </c>
    </row>
    <row r="114" spans="2:15" ht="13.5" hidden="1" customHeight="1">
      <c r="B114" s="682"/>
      <c r="C114" s="1099" t="s">
        <v>3</v>
      </c>
      <c r="D114" s="1099"/>
      <c r="E114" s="1099"/>
      <c r="F114" s="1099"/>
      <c r="G114" s="683">
        <f>SUM(G113:G113)</f>
        <v>0</v>
      </c>
    </row>
    <row r="115" spans="2:15" ht="12.75" customHeight="1">
      <c r="B115" s="682"/>
      <c r="C115" s="715"/>
      <c r="D115" s="705"/>
      <c r="E115" s="716"/>
      <c r="F115" s="705"/>
      <c r="G115" s="716"/>
    </row>
    <row r="116" spans="2:15" ht="18" customHeight="1">
      <c r="B116" s="661">
        <v>1</v>
      </c>
      <c r="C116" s="706" t="s">
        <v>36</v>
      </c>
      <c r="D116" s="707"/>
      <c r="E116" s="707"/>
      <c r="F116" s="708"/>
      <c r="G116" s="709" t="s">
        <v>0</v>
      </c>
      <c r="H116" s="710">
        <f>+G134</f>
        <v>1488</v>
      </c>
    </row>
    <row r="117" spans="2:15" ht="12.75" customHeight="1">
      <c r="B117" s="648"/>
      <c r="C117" s="626"/>
      <c r="D117" s="623"/>
      <c r="E117" s="623"/>
      <c r="F117" s="624"/>
      <c r="G117" s="623"/>
      <c r="H117" s="596"/>
    </row>
    <row r="118" spans="2:15" ht="12.75" customHeight="1">
      <c r="B118" s="582"/>
      <c r="C118" s="643" t="s">
        <v>34</v>
      </c>
      <c r="D118" s="633" t="s">
        <v>44</v>
      </c>
      <c r="E118" s="633" t="s">
        <v>304</v>
      </c>
      <c r="F118" s="633" t="s">
        <v>5</v>
      </c>
      <c r="G118" s="633" t="s">
        <v>4</v>
      </c>
      <c r="H118" s="596"/>
    </row>
    <row r="119" spans="2:15">
      <c r="B119" s="582"/>
      <c r="C119" s="695" t="s">
        <v>71</v>
      </c>
      <c r="D119" s="676" t="s">
        <v>2</v>
      </c>
      <c r="E119" s="676">
        <v>0</v>
      </c>
      <c r="F119" s="676">
        <v>1.5</v>
      </c>
      <c r="G119" s="695">
        <f t="shared" ref="G119:G133" si="6">+E119*F119</f>
        <v>0</v>
      </c>
      <c r="H119" s="596"/>
    </row>
    <row r="120" spans="2:15">
      <c r="B120" s="582"/>
      <c r="C120" s="644" t="s">
        <v>163</v>
      </c>
      <c r="D120" s="676" t="s">
        <v>2</v>
      </c>
      <c r="E120" s="676">
        <v>1</v>
      </c>
      <c r="F120" s="676">
        <v>300</v>
      </c>
      <c r="G120" s="695">
        <f t="shared" si="6"/>
        <v>300</v>
      </c>
      <c r="H120" s="596"/>
    </row>
    <row r="121" spans="2:15">
      <c r="B121" s="582"/>
      <c r="C121" s="644" t="s">
        <v>524</v>
      </c>
      <c r="D121" s="676" t="s">
        <v>2</v>
      </c>
      <c r="E121" s="676">
        <v>1</v>
      </c>
      <c r="F121" s="676">
        <v>700</v>
      </c>
      <c r="G121" s="695">
        <f t="shared" si="6"/>
        <v>700</v>
      </c>
      <c r="H121" s="596"/>
    </row>
    <row r="122" spans="2:15" ht="12.75" customHeight="1">
      <c r="B122" s="582"/>
      <c r="C122" s="695" t="s">
        <v>40</v>
      </c>
      <c r="D122" s="676" t="s">
        <v>2</v>
      </c>
      <c r="E122" s="676">
        <v>15</v>
      </c>
      <c r="F122" s="676">
        <v>7</v>
      </c>
      <c r="G122" s="695">
        <f t="shared" si="6"/>
        <v>105</v>
      </c>
      <c r="H122" s="596"/>
    </row>
    <row r="123" spans="2:15">
      <c r="B123" s="582"/>
      <c r="C123" s="695" t="s">
        <v>38</v>
      </c>
      <c r="D123" s="676" t="s">
        <v>2</v>
      </c>
      <c r="E123" s="676">
        <v>0</v>
      </c>
      <c r="F123" s="676">
        <v>4</v>
      </c>
      <c r="G123" s="695">
        <f t="shared" si="6"/>
        <v>0</v>
      </c>
      <c r="H123" s="596"/>
    </row>
    <row r="124" spans="2:15">
      <c r="B124" s="582"/>
      <c r="C124" s="695" t="s">
        <v>525</v>
      </c>
      <c r="D124" s="676" t="s">
        <v>2</v>
      </c>
      <c r="E124" s="676">
        <v>20</v>
      </c>
      <c r="F124" s="676">
        <v>0.7</v>
      </c>
      <c r="G124" s="695">
        <f t="shared" si="6"/>
        <v>14</v>
      </c>
      <c r="H124" s="596"/>
    </row>
    <row r="125" spans="2:15">
      <c r="B125" s="582"/>
      <c r="C125" s="695" t="s">
        <v>67</v>
      </c>
      <c r="D125" s="676" t="s">
        <v>2</v>
      </c>
      <c r="E125" s="676">
        <v>1</v>
      </c>
      <c r="F125" s="676">
        <v>4</v>
      </c>
      <c r="G125" s="695">
        <f t="shared" si="6"/>
        <v>4</v>
      </c>
      <c r="H125" s="596"/>
    </row>
    <row r="126" spans="2:15" ht="13.5" customHeight="1">
      <c r="B126" s="582"/>
      <c r="C126" s="695" t="s">
        <v>57</v>
      </c>
      <c r="D126" s="676" t="s">
        <v>2</v>
      </c>
      <c r="E126" s="676">
        <v>0</v>
      </c>
      <c r="F126" s="676">
        <v>1</v>
      </c>
      <c r="G126" s="695">
        <f t="shared" si="6"/>
        <v>0</v>
      </c>
      <c r="H126" s="596"/>
    </row>
    <row r="127" spans="2:15" ht="13.5" customHeight="1">
      <c r="B127" s="582"/>
      <c r="C127" s="695" t="s">
        <v>85</v>
      </c>
      <c r="D127" s="676" t="s">
        <v>240</v>
      </c>
      <c r="E127" s="676">
        <v>1</v>
      </c>
      <c r="F127" s="676">
        <v>50</v>
      </c>
      <c r="G127" s="695">
        <f t="shared" si="6"/>
        <v>50</v>
      </c>
      <c r="H127" s="596"/>
    </row>
    <row r="128" spans="2:15" ht="12" customHeight="1">
      <c r="B128" s="582"/>
      <c r="C128" s="695" t="s">
        <v>43</v>
      </c>
      <c r="D128" s="676" t="s">
        <v>37</v>
      </c>
      <c r="E128" s="676">
        <v>5</v>
      </c>
      <c r="F128" s="676">
        <v>30</v>
      </c>
      <c r="G128" s="695">
        <f t="shared" si="6"/>
        <v>150</v>
      </c>
      <c r="H128" s="596"/>
    </row>
    <row r="129" spans="2:9">
      <c r="B129" s="582"/>
      <c r="C129" s="695" t="s">
        <v>65</v>
      </c>
      <c r="D129" s="676" t="s">
        <v>2</v>
      </c>
      <c r="E129" s="676">
        <v>1</v>
      </c>
      <c r="F129" s="676">
        <v>5</v>
      </c>
      <c r="G129" s="695">
        <f t="shared" si="6"/>
        <v>5</v>
      </c>
      <c r="H129" s="596"/>
    </row>
    <row r="130" spans="2:9">
      <c r="B130" s="582"/>
      <c r="C130" s="695" t="s">
        <v>247</v>
      </c>
      <c r="D130" s="676" t="s">
        <v>2</v>
      </c>
      <c r="E130" s="676">
        <v>2</v>
      </c>
      <c r="F130" s="676">
        <v>60</v>
      </c>
      <c r="G130" s="695">
        <f t="shared" si="6"/>
        <v>120</v>
      </c>
      <c r="H130" s="596"/>
    </row>
    <row r="131" spans="2:9">
      <c r="B131" s="582"/>
      <c r="C131" s="695" t="s">
        <v>62</v>
      </c>
      <c r="D131" s="676" t="s">
        <v>2</v>
      </c>
      <c r="E131" s="676">
        <v>2</v>
      </c>
      <c r="F131" s="676">
        <v>15</v>
      </c>
      <c r="G131" s="695">
        <f t="shared" si="6"/>
        <v>30</v>
      </c>
      <c r="H131" s="596"/>
    </row>
    <row r="132" spans="2:9">
      <c r="B132" s="582"/>
      <c r="C132" s="695" t="s">
        <v>73</v>
      </c>
      <c r="D132" s="676" t="s">
        <v>54</v>
      </c>
      <c r="E132" s="676">
        <v>2</v>
      </c>
      <c r="F132" s="676">
        <v>5</v>
      </c>
      <c r="G132" s="695">
        <f t="shared" si="6"/>
        <v>10</v>
      </c>
      <c r="H132" s="596"/>
    </row>
    <row r="133" spans="2:9">
      <c r="B133" s="582"/>
      <c r="C133" s="695" t="s">
        <v>63</v>
      </c>
      <c r="D133" s="676" t="s">
        <v>2</v>
      </c>
      <c r="E133" s="676">
        <v>0</v>
      </c>
      <c r="F133" s="676">
        <v>5</v>
      </c>
      <c r="G133" s="695">
        <f t="shared" si="6"/>
        <v>0</v>
      </c>
      <c r="H133" s="596"/>
    </row>
    <row r="134" spans="2:9" ht="12.75" customHeight="1">
      <c r="B134" s="629"/>
      <c r="C134" s="1099" t="s">
        <v>3</v>
      </c>
      <c r="D134" s="1099"/>
      <c r="E134" s="1099"/>
      <c r="F134" s="1099"/>
      <c r="G134" s="635">
        <f>SUM(G119:G133)</f>
        <v>1488</v>
      </c>
      <c r="H134" s="596"/>
    </row>
    <row r="135" spans="2:9" ht="15.75" customHeight="1">
      <c r="B135" s="717"/>
      <c r="C135" s="648"/>
      <c r="D135" s="626"/>
      <c r="E135" s="718"/>
      <c r="F135" s="719"/>
      <c r="G135" s="720"/>
      <c r="H135" s="721"/>
    </row>
    <row r="136" spans="2:9" ht="12.75" customHeight="1">
      <c r="B136" s="582"/>
      <c r="C136" s="640"/>
      <c r="D136" s="640"/>
      <c r="E136" s="640"/>
      <c r="F136" s="640"/>
      <c r="G136" s="623"/>
      <c r="H136" s="596"/>
    </row>
    <row r="137" spans="2:9" s="168" customFormat="1" ht="15.6">
      <c r="B137" s="636" t="s">
        <v>516</v>
      </c>
      <c r="C137" s="637"/>
      <c r="D137" s="606"/>
      <c r="E137" s="606"/>
      <c r="F137" s="607"/>
      <c r="G137" s="607" t="s">
        <v>0</v>
      </c>
      <c r="H137" s="608">
        <f>+H145+H153</f>
        <v>1050</v>
      </c>
      <c r="I137" s="177"/>
    </row>
    <row r="138" spans="2:9" ht="16.5" customHeight="1">
      <c r="B138" s="717"/>
      <c r="C138" s="722"/>
      <c r="D138" s="723"/>
      <c r="E138" s="723"/>
      <c r="F138" s="719"/>
      <c r="G138" s="720"/>
      <c r="H138" s="721"/>
    </row>
    <row r="139" spans="2:9" ht="13.5" hidden="1" customHeight="1">
      <c r="B139" s="717" t="s">
        <v>21</v>
      </c>
      <c r="C139" s="724" t="s">
        <v>50</v>
      </c>
      <c r="D139" s="723"/>
      <c r="E139" s="723"/>
      <c r="F139" s="719"/>
      <c r="G139" s="720" t="s">
        <v>0</v>
      </c>
      <c r="H139" s="721">
        <f>+G143</f>
        <v>0</v>
      </c>
    </row>
    <row r="140" spans="2:9" ht="13.5" hidden="1" customHeight="1">
      <c r="B140" s="666"/>
      <c r="C140" s="725"/>
      <c r="D140" s="726"/>
      <c r="E140" s="726"/>
      <c r="F140" s="727"/>
      <c r="G140" s="726"/>
    </row>
    <row r="141" spans="2:9" ht="12.75" hidden="1" customHeight="1">
      <c r="B141" s="682"/>
      <c r="C141" s="728" t="s">
        <v>17</v>
      </c>
      <c r="D141" s="729" t="s">
        <v>19</v>
      </c>
      <c r="E141" s="730" t="s">
        <v>19</v>
      </c>
      <c r="F141" s="730" t="s">
        <v>33</v>
      </c>
      <c r="G141" s="730" t="s">
        <v>4</v>
      </c>
    </row>
    <row r="142" spans="2:9" hidden="1">
      <c r="B142" s="582"/>
      <c r="C142" s="731"/>
      <c r="D142" s="732"/>
      <c r="E142" s="733">
        <v>0</v>
      </c>
      <c r="F142" s="732">
        <v>0</v>
      </c>
      <c r="G142" s="733">
        <f>+E142*F142</f>
        <v>0</v>
      </c>
      <c r="H142" s="596"/>
    </row>
    <row r="143" spans="2:9" ht="13.5" hidden="1" customHeight="1">
      <c r="B143" s="682"/>
      <c r="C143" s="1099" t="s">
        <v>3</v>
      </c>
      <c r="D143" s="1099"/>
      <c r="E143" s="1099"/>
      <c r="F143" s="1099"/>
      <c r="G143" s="644">
        <f>SUM(G142:G142)</f>
        <v>0</v>
      </c>
    </row>
    <row r="144" spans="2:9" ht="12" hidden="1" customHeight="1">
      <c r="B144" s="682"/>
      <c r="C144" s="603"/>
      <c r="D144" s="603"/>
      <c r="E144" s="603"/>
      <c r="F144" s="603"/>
      <c r="G144" s="734"/>
    </row>
    <row r="145" spans="2:16" ht="13.5" customHeight="1">
      <c r="B145" s="711" t="s">
        <v>11</v>
      </c>
      <c r="C145" s="626" t="s">
        <v>20</v>
      </c>
      <c r="D145" s="723"/>
      <c r="E145" s="723"/>
      <c r="F145" s="719"/>
      <c r="G145" s="720" t="s">
        <v>0</v>
      </c>
      <c r="H145" s="721">
        <f>G150</f>
        <v>1050</v>
      </c>
    </row>
    <row r="146" spans="2:16" ht="13.5" customHeight="1">
      <c r="B146" s="717"/>
      <c r="C146" s="643" t="s">
        <v>34</v>
      </c>
      <c r="D146" s="633" t="s">
        <v>44</v>
      </c>
      <c r="E146" s="633" t="s">
        <v>304</v>
      </c>
      <c r="F146" s="633" t="s">
        <v>5</v>
      </c>
      <c r="G146" s="633" t="s">
        <v>4</v>
      </c>
      <c r="H146" s="721"/>
    </row>
    <row r="147" spans="2:16" ht="13.5" customHeight="1">
      <c r="B147" s="717"/>
      <c r="C147" s="662" t="s">
        <v>94</v>
      </c>
      <c r="D147" s="645" t="s">
        <v>241</v>
      </c>
      <c r="E147" s="645">
        <v>1</v>
      </c>
      <c r="F147" s="645">
        <v>150</v>
      </c>
      <c r="G147" s="692">
        <f>+E147*F147</f>
        <v>150</v>
      </c>
      <c r="H147" s="721"/>
      <c r="I147" s="161">
        <f>100*5</f>
        <v>500</v>
      </c>
    </row>
    <row r="148" spans="2:16" ht="13.5" customHeight="1">
      <c r="B148" s="717"/>
      <c r="C148" s="662" t="s">
        <v>249</v>
      </c>
      <c r="D148" s="645" t="s">
        <v>241</v>
      </c>
      <c r="E148" s="645">
        <v>1</v>
      </c>
      <c r="F148" s="645">
        <v>150</v>
      </c>
      <c r="G148" s="692">
        <v>500</v>
      </c>
      <c r="H148" s="721"/>
    </row>
    <row r="149" spans="2:16" ht="13.5" customHeight="1">
      <c r="B149" s="717"/>
      <c r="C149" s="662" t="s">
        <v>239</v>
      </c>
      <c r="D149" s="645" t="s">
        <v>241</v>
      </c>
      <c r="E149" s="645">
        <v>1</v>
      </c>
      <c r="F149" s="645">
        <v>400</v>
      </c>
      <c r="G149" s="692">
        <f>+E149*F149</f>
        <v>400</v>
      </c>
      <c r="H149" s="721"/>
    </row>
    <row r="150" spans="2:16" ht="13.5" customHeight="1">
      <c r="B150" s="717"/>
      <c r="C150" s="1105" t="s">
        <v>3</v>
      </c>
      <c r="D150" s="1106"/>
      <c r="E150" s="1106"/>
      <c r="F150" s="1107"/>
      <c r="G150" s="635">
        <f>SUM(G147:G149)</f>
        <v>1050</v>
      </c>
      <c r="H150" s="721"/>
    </row>
    <row r="151" spans="2:16" ht="13.5" customHeight="1">
      <c r="B151" s="682"/>
      <c r="C151" s="603"/>
      <c r="D151" s="603"/>
      <c r="E151" s="603"/>
      <c r="F151" s="603"/>
      <c r="G151" s="734"/>
    </row>
    <row r="152" spans="2:16" ht="13.5" customHeight="1">
      <c r="B152" s="648"/>
      <c r="C152" s="626"/>
      <c r="D152" s="623"/>
      <c r="E152" s="623"/>
      <c r="F152" s="624"/>
      <c r="G152" s="623"/>
      <c r="H152" s="596"/>
      <c r="J152" s="626"/>
      <c r="K152" s="623"/>
      <c r="L152" s="623"/>
      <c r="M152" s="624"/>
      <c r="N152" s="624"/>
      <c r="O152" s="627"/>
      <c r="P152" s="628"/>
    </row>
    <row r="153" spans="2:16" ht="13.5" hidden="1" customHeight="1">
      <c r="B153" s="711" t="s">
        <v>14</v>
      </c>
      <c r="C153" s="626" t="s">
        <v>457</v>
      </c>
      <c r="D153" s="623"/>
      <c r="E153" s="623"/>
      <c r="F153" s="624"/>
      <c r="G153" s="720" t="s">
        <v>0</v>
      </c>
      <c r="H153" s="721">
        <f>+G157</f>
        <v>0</v>
      </c>
      <c r="P153" s="628"/>
    </row>
    <row r="154" spans="2:16" ht="13.5" hidden="1" customHeight="1">
      <c r="B154" s="648"/>
      <c r="C154" s="626"/>
      <c r="D154" s="623"/>
      <c r="E154" s="623"/>
      <c r="F154" s="624"/>
      <c r="G154" s="623"/>
      <c r="H154" s="596"/>
      <c r="P154" s="628"/>
    </row>
    <row r="155" spans="2:16" ht="13.5" hidden="1" customHeight="1">
      <c r="B155" s="648"/>
      <c r="C155" s="643" t="s">
        <v>34</v>
      </c>
      <c r="D155" s="633" t="s">
        <v>44</v>
      </c>
      <c r="E155" s="633" t="s">
        <v>458</v>
      </c>
      <c r="F155" s="633" t="s">
        <v>5</v>
      </c>
      <c r="G155" s="633" t="s">
        <v>4</v>
      </c>
      <c r="H155" s="596"/>
      <c r="J155" s="744" t="s">
        <v>464</v>
      </c>
      <c r="K155" s="744" t="s">
        <v>465</v>
      </c>
      <c r="L155" s="744" t="s">
        <v>466</v>
      </c>
      <c r="M155" s="744" t="s">
        <v>463</v>
      </c>
      <c r="P155" s="628"/>
    </row>
    <row r="156" spans="2:16" ht="13.5" hidden="1" customHeight="1">
      <c r="B156" s="648"/>
      <c r="C156" s="686" t="s">
        <v>109</v>
      </c>
      <c r="D156" s="681" t="s">
        <v>122</v>
      </c>
      <c r="E156" s="681">
        <v>0</v>
      </c>
      <c r="F156" s="681">
        <v>280</v>
      </c>
      <c r="G156" s="685">
        <f>PRODUCT(E156:F156)</f>
        <v>0</v>
      </c>
      <c r="H156" s="596"/>
      <c r="J156" s="743">
        <v>2</v>
      </c>
      <c r="K156" s="743">
        <v>2</v>
      </c>
      <c r="L156" s="745">
        <f>+N113</f>
        <v>0.5</v>
      </c>
      <c r="M156" s="743">
        <f>PRODUCT(J156:L156)</f>
        <v>2</v>
      </c>
    </row>
    <row r="157" spans="2:16" ht="13.5" hidden="1" customHeight="1">
      <c r="B157" s="648"/>
      <c r="C157" s="1105" t="s">
        <v>3</v>
      </c>
      <c r="D157" s="1106"/>
      <c r="E157" s="1106"/>
      <c r="F157" s="1107"/>
      <c r="G157" s="644">
        <f>SUM(G156:G156)</f>
        <v>0</v>
      </c>
      <c r="H157" s="596"/>
    </row>
    <row r="158" spans="2:16" ht="13.5" customHeight="1">
      <c r="B158" s="629"/>
      <c r="C158" s="640"/>
      <c r="D158" s="640"/>
      <c r="E158" s="640"/>
      <c r="F158" s="640"/>
      <c r="G158" s="623"/>
      <c r="H158" s="596"/>
    </row>
    <row r="159" spans="2:16" ht="13.5" customHeight="1">
      <c r="B159" s="629"/>
      <c r="C159" s="640"/>
      <c r="D159" s="640"/>
      <c r="E159" s="640"/>
      <c r="F159" s="640"/>
      <c r="G159" s="623"/>
      <c r="H159" s="596"/>
    </row>
    <row r="160" spans="2:16" ht="13.5" customHeight="1">
      <c r="B160" s="1164" t="s">
        <v>106</v>
      </c>
      <c r="C160" s="1164"/>
      <c r="D160" s="1164"/>
      <c r="E160" s="1164"/>
      <c r="F160" s="1164"/>
      <c r="G160" s="627" t="s">
        <v>0</v>
      </c>
      <c r="H160" s="735">
        <f>+H21</f>
        <v>9213.3799999999992</v>
      </c>
    </row>
    <row r="163" spans="2:8" ht="15.6">
      <c r="H163" s="735"/>
    </row>
    <row r="164" spans="2:8" ht="15.6">
      <c r="H164" s="735"/>
    </row>
    <row r="165" spans="2:8" ht="15.6">
      <c r="B165" s="684" t="s">
        <v>225</v>
      </c>
      <c r="C165" s="684" t="s">
        <v>217</v>
      </c>
      <c r="D165" s="736" t="s">
        <v>219</v>
      </c>
      <c r="H165" s="735"/>
    </row>
    <row r="166" spans="2:8" ht="15.6">
      <c r="B166" s="737">
        <v>1</v>
      </c>
      <c r="C166" s="738" t="s">
        <v>218</v>
      </c>
      <c r="D166" s="738" t="s">
        <v>220</v>
      </c>
      <c r="H166" s="735"/>
    </row>
    <row r="167" spans="2:8" ht="15.6">
      <c r="B167" s="737">
        <v>2</v>
      </c>
      <c r="C167" s="738" t="s">
        <v>221</v>
      </c>
      <c r="D167" s="738" t="s">
        <v>222</v>
      </c>
      <c r="H167" s="735"/>
    </row>
    <row r="168" spans="2:8" ht="15.6">
      <c r="B168" s="737">
        <v>3</v>
      </c>
      <c r="C168" s="738" t="s">
        <v>223</v>
      </c>
      <c r="D168" s="738" t="s">
        <v>224</v>
      </c>
      <c r="G168" s="597"/>
      <c r="H168" s="735"/>
    </row>
    <row r="169" spans="2:8">
      <c r="B169" s="581"/>
    </row>
  </sheetData>
  <mergeCells count="27">
    <mergeCell ref="B160:F160"/>
    <mergeCell ref="C60:F60"/>
    <mergeCell ref="C50:F50"/>
    <mergeCell ref="C38:F38"/>
    <mergeCell ref="C114:F114"/>
    <mergeCell ref="C134:F134"/>
    <mergeCell ref="C91:F91"/>
    <mergeCell ref="C71:F71"/>
    <mergeCell ref="C157:F157"/>
    <mergeCell ref="C150:F150"/>
    <mergeCell ref="C102:F102"/>
    <mergeCell ref="C80:F80"/>
    <mergeCell ref="C143:F143"/>
    <mergeCell ref="D14:H15"/>
    <mergeCell ref="B25:H25"/>
    <mergeCell ref="B3:H3"/>
    <mergeCell ref="B4:H4"/>
    <mergeCell ref="B5:H5"/>
    <mergeCell ref="B6:H6"/>
    <mergeCell ref="B8:H8"/>
    <mergeCell ref="D16:G16"/>
    <mergeCell ref="C21:G21"/>
    <mergeCell ref="D18:G18"/>
    <mergeCell ref="B23:H23"/>
    <mergeCell ref="D17:G17"/>
    <mergeCell ref="D19:G19"/>
    <mergeCell ref="D20:G20"/>
  </mergeCells>
  <phoneticPr fontId="0" type="noConversion"/>
  <printOptions horizontalCentered="1"/>
  <pageMargins left="0.78740157480314965" right="0.59055118110236227" top="0.72" bottom="0.98425196850393704" header="0" footer="0"/>
  <pageSetup paperSize="9" scale="60" fitToHeight="3" orientation="portrait" horizontalDpi="4294967293" verticalDpi="180" r:id="rId1"/>
  <headerFooter alignWithMargins="0">
    <oddFooter>&amp;C&amp;G</oddFooter>
  </headerFooter>
  <rowBreaks count="3" manualBreakCount="3">
    <brk id="72" min="1" max="7" man="1"/>
    <brk id="115" min="1" max="7" man="1"/>
    <brk id="161" min="1" max="7" man="1"/>
  </rowBreaks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indexed="43"/>
    <pageSetUpPr fitToPage="1"/>
  </sheetPr>
  <dimension ref="B2:L288"/>
  <sheetViews>
    <sheetView showGridLines="0" view="pageBreakPreview" zoomScale="85" zoomScaleNormal="85" zoomScaleSheetLayoutView="85" zoomScalePageLayoutView="75" workbookViewId="0">
      <selection activeCell="E12" sqref="E12"/>
    </sheetView>
  </sheetViews>
  <sheetFormatPr baseColWidth="10" defaultColWidth="11.44140625" defaultRowHeight="13.8"/>
  <cols>
    <col min="1" max="1" width="2.33203125" style="161" customWidth="1"/>
    <col min="2" max="2" width="6.109375" style="579" customWidth="1"/>
    <col min="3" max="3" width="38.33203125" style="580" customWidth="1"/>
    <col min="4" max="4" width="16.6640625" style="580" customWidth="1"/>
    <col min="5" max="5" width="14.33203125" style="580" customWidth="1"/>
    <col min="6" max="6" width="10.33203125" style="581" customWidth="1"/>
    <col min="7" max="7" width="12.5546875" style="581" customWidth="1"/>
    <col min="8" max="8" width="13.109375" style="580" customWidth="1"/>
    <col min="9" max="9" width="20" style="580" customWidth="1"/>
    <col min="10" max="10" width="5.109375" style="161" customWidth="1"/>
    <col min="11" max="11" width="11.6640625" style="161" bestFit="1" customWidth="1"/>
    <col min="12" max="12" width="18.109375" style="161" bestFit="1" customWidth="1"/>
    <col min="13" max="16384" width="11.44140625" style="161"/>
  </cols>
  <sheetData>
    <row r="2" spans="2:9">
      <c r="B2" s="161"/>
      <c r="C2" s="746"/>
      <c r="D2" s="746"/>
      <c r="E2" s="746"/>
      <c r="F2" s="747"/>
      <c r="G2" s="747"/>
      <c r="H2" s="746"/>
      <c r="I2" s="746"/>
    </row>
    <row r="3" spans="2:9" ht="28.8">
      <c r="B3" s="161"/>
      <c r="C3" s="1073" t="s">
        <v>476</v>
      </c>
      <c r="D3" s="1073"/>
      <c r="E3" s="1073"/>
      <c r="F3" s="1073"/>
      <c r="G3" s="1073"/>
      <c r="H3" s="1073"/>
      <c r="I3" s="1073"/>
    </row>
    <row r="4" spans="2:9" ht="22.8">
      <c r="B4" s="161"/>
      <c r="C4" s="1074" t="s">
        <v>477</v>
      </c>
      <c r="D4" s="1074"/>
      <c r="E4" s="1074"/>
      <c r="F4" s="1074"/>
      <c r="G4" s="1074"/>
      <c r="H4" s="1074"/>
      <c r="I4" s="1074"/>
    </row>
    <row r="5" spans="2:9" ht="21">
      <c r="B5" s="161"/>
      <c r="C5" s="1075" t="s">
        <v>478</v>
      </c>
      <c r="D5" s="1075"/>
      <c r="E5" s="1075"/>
      <c r="F5" s="1075"/>
      <c r="G5" s="1075"/>
      <c r="H5" s="1075"/>
      <c r="I5" s="1075"/>
    </row>
    <row r="6" spans="2:9" thickBot="1">
      <c r="B6" s="161"/>
      <c r="C6" s="1076" t="str">
        <f>+G.General!C6</f>
        <v>"Año de la Universalización de la Salud"</v>
      </c>
      <c r="D6" s="1076"/>
      <c r="E6" s="1076"/>
      <c r="F6" s="1076"/>
      <c r="G6" s="1076"/>
      <c r="H6" s="1076"/>
      <c r="I6" s="1076"/>
    </row>
    <row r="7" spans="2:9">
      <c r="B7" s="161"/>
      <c r="F7" s="580"/>
    </row>
    <row r="8" spans="2:9" ht="27" customHeight="1">
      <c r="B8" s="1077" t="s">
        <v>515</v>
      </c>
      <c r="C8" s="1077"/>
      <c r="D8" s="1077"/>
      <c r="E8" s="1077"/>
      <c r="F8" s="1077"/>
      <c r="G8" s="1077"/>
      <c r="H8" s="1077"/>
      <c r="I8" s="1077"/>
    </row>
    <row r="9" spans="2:9" ht="18" customHeight="1">
      <c r="B9" s="582"/>
      <c r="C9" s="583"/>
      <c r="D9" s="583"/>
      <c r="E9" s="583"/>
      <c r="F9" s="584"/>
      <c r="G9" s="584"/>
      <c r="H9" s="583"/>
      <c r="I9" s="583"/>
    </row>
    <row r="10" spans="2:9" ht="18" customHeight="1">
      <c r="C10" s="866" t="s">
        <v>594</v>
      </c>
      <c r="D10" s="752">
        <f>+'RESUMEN TOTAL'!D9</f>
        <v>0</v>
      </c>
      <c r="E10" s="586"/>
      <c r="F10" s="583"/>
      <c r="G10" s="583"/>
      <c r="H10" s="583"/>
      <c r="I10" s="583"/>
    </row>
    <row r="11" spans="2:9" ht="18" customHeight="1">
      <c r="C11" s="866" t="str">
        <f>+'RESUMEN TOTAL'!B11</f>
        <v>Departamento</v>
      </c>
      <c r="D11" s="752" t="str">
        <f>+'RESUMEN TOTAL'!D11</f>
        <v>: APURIMAC</v>
      </c>
      <c r="E11" s="586"/>
      <c r="F11" s="580"/>
      <c r="G11" s="580"/>
      <c r="I11" s="586" t="s">
        <v>1</v>
      </c>
    </row>
    <row r="12" spans="2:9" ht="18" customHeight="1">
      <c r="C12" s="866" t="str">
        <f>+'RESUMEN TOTAL'!B12</f>
        <v>Provincia</v>
      </c>
      <c r="D12" s="752" t="str">
        <f>+'RESUMEN TOTAL'!D12</f>
        <v>: ANDAHUAYLAS</v>
      </c>
      <c r="E12" s="586"/>
      <c r="F12" s="580"/>
      <c r="G12" s="580"/>
      <c r="I12" s="586"/>
    </row>
    <row r="13" spans="2:9" ht="18" customHeight="1">
      <c r="C13" s="866" t="str">
        <f>+'RESUMEN TOTAL'!B13</f>
        <v>Distrito</v>
      </c>
      <c r="D13" s="752" t="str">
        <f>+'RESUMEN TOTAL'!D13</f>
        <v>: ANDAHUAYLAS</v>
      </c>
      <c r="E13" s="586"/>
      <c r="F13" s="580"/>
      <c r="G13" s="580"/>
      <c r="I13" s="586"/>
    </row>
    <row r="14" spans="2:9" ht="35.25" customHeight="1">
      <c r="C14" s="761" t="s">
        <v>467</v>
      </c>
      <c r="D14" s="1166" t="str">
        <f>'G. Supervision'!D14:I15</f>
        <v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v>
      </c>
      <c r="E14" s="1166"/>
      <c r="F14" s="1166"/>
      <c r="G14" s="1166"/>
      <c r="H14" s="1166"/>
      <c r="I14" s="1166"/>
    </row>
    <row r="15" spans="2:9" ht="18" customHeight="1" thickBot="1">
      <c r="C15" s="585"/>
      <c r="D15" s="1166"/>
      <c r="E15" s="1166"/>
      <c r="F15" s="1166"/>
      <c r="G15" s="1166"/>
      <c r="H15" s="1166"/>
      <c r="I15" s="1166"/>
    </row>
    <row r="16" spans="2:9" s="168" customFormat="1" ht="20.25" customHeight="1">
      <c r="B16" s="587"/>
      <c r="C16" s="696" t="s">
        <v>23</v>
      </c>
      <c r="D16" s="1153" t="s">
        <v>24</v>
      </c>
      <c r="E16" s="1153"/>
      <c r="F16" s="1153"/>
      <c r="G16" s="1153"/>
      <c r="H16" s="1153"/>
      <c r="I16" s="697" t="s">
        <v>436</v>
      </c>
    </row>
    <row r="17" spans="2:12" s="168" customFormat="1" ht="17.399999999999999" customHeight="1">
      <c r="B17" s="587"/>
      <c r="C17" s="698" t="s">
        <v>311</v>
      </c>
      <c r="D17" s="1113" t="s">
        <v>312</v>
      </c>
      <c r="E17" s="1113"/>
      <c r="F17" s="1113"/>
      <c r="G17" s="1113"/>
      <c r="H17" s="1113"/>
      <c r="I17" s="590">
        <f>+I27+I168+I235</f>
        <v>11640.48</v>
      </c>
    </row>
    <row r="18" spans="2:12" s="168" customFormat="1" ht="20.25" hidden="1" customHeight="1">
      <c r="B18" s="587"/>
      <c r="C18" s="698" t="s">
        <v>316</v>
      </c>
      <c r="D18" s="1113" t="s">
        <v>100</v>
      </c>
      <c r="E18" s="1113"/>
      <c r="F18" s="1113"/>
      <c r="G18" s="1113"/>
      <c r="H18" s="1113"/>
      <c r="I18" s="590"/>
      <c r="K18" s="168">
        <v>18000</v>
      </c>
    </row>
    <row r="19" spans="2:12" s="168" customFormat="1" ht="20.25" hidden="1" customHeight="1">
      <c r="B19" s="587"/>
      <c r="C19" s="698" t="s">
        <v>317</v>
      </c>
      <c r="D19" s="1113" t="s">
        <v>101</v>
      </c>
      <c r="E19" s="1113"/>
      <c r="F19" s="1113"/>
      <c r="G19" s="1113"/>
      <c r="H19" s="1113"/>
      <c r="I19" s="590"/>
      <c r="K19" s="168">
        <v>62000</v>
      </c>
    </row>
    <row r="20" spans="2:12" s="168" customFormat="1" ht="20.25" hidden="1" customHeight="1">
      <c r="B20" s="587"/>
      <c r="C20" s="698" t="s">
        <v>318</v>
      </c>
      <c r="D20" s="1113" t="s">
        <v>102</v>
      </c>
      <c r="E20" s="1113"/>
      <c r="F20" s="1113"/>
      <c r="G20" s="1113"/>
      <c r="H20" s="1113"/>
      <c r="I20" s="590">
        <v>0</v>
      </c>
    </row>
    <row r="21" spans="2:12" s="168" customFormat="1" ht="20.25" customHeight="1" thickBot="1">
      <c r="B21" s="587"/>
      <c r="C21" s="1167" t="s">
        <v>51</v>
      </c>
      <c r="D21" s="1168"/>
      <c r="E21" s="1168"/>
      <c r="F21" s="1168"/>
      <c r="G21" s="1168"/>
      <c r="H21" s="1168"/>
      <c r="I21" s="591">
        <f>SUM(I17:I20)</f>
        <v>11640.48</v>
      </c>
      <c r="J21" s="170"/>
      <c r="K21" s="171">
        <v>223745</v>
      </c>
      <c r="L21" s="170"/>
    </row>
    <row r="22" spans="2:12" ht="18" customHeight="1">
      <c r="C22" s="585"/>
      <c r="D22" s="592"/>
      <c r="E22" s="592"/>
      <c r="F22" s="593"/>
      <c r="K22" s="171">
        <f>K21-I21</f>
        <v>212104.52</v>
      </c>
    </row>
    <row r="23" spans="2:12" ht="27" customHeight="1">
      <c r="B23" s="1082" t="s">
        <v>479</v>
      </c>
      <c r="C23" s="1082"/>
      <c r="D23" s="1082"/>
      <c r="E23" s="1082"/>
      <c r="F23" s="1082"/>
      <c r="G23" s="1082"/>
      <c r="H23" s="1082"/>
      <c r="I23" s="1082"/>
    </row>
    <row r="24" spans="2:12" ht="8.25" customHeight="1">
      <c r="B24" s="598"/>
      <c r="C24" s="599"/>
      <c r="D24" s="600"/>
      <c r="E24" s="600"/>
      <c r="F24" s="601"/>
      <c r="G24" s="601"/>
      <c r="H24" s="599"/>
      <c r="I24" s="599"/>
    </row>
    <row r="25" spans="2:12" ht="16.5" customHeight="1">
      <c r="B25" s="1111" t="s">
        <v>518</v>
      </c>
      <c r="C25" s="1111"/>
      <c r="D25" s="1111"/>
      <c r="E25" s="1111"/>
      <c r="F25" s="1111"/>
      <c r="G25" s="1111"/>
      <c r="H25" s="1111"/>
      <c r="I25" s="1111"/>
    </row>
    <row r="26" spans="2:12" ht="12.75" customHeight="1">
      <c r="B26" s="582"/>
      <c r="C26" s="582"/>
      <c r="D26" s="602"/>
      <c r="E26" s="602"/>
      <c r="F26" s="603"/>
      <c r="G26" s="603"/>
      <c r="H26" s="582"/>
      <c r="I26" s="582"/>
    </row>
    <row r="27" spans="2:12" s="168" customFormat="1" ht="13.5" customHeight="1">
      <c r="B27" s="604" t="s">
        <v>319</v>
      </c>
      <c r="C27" s="605"/>
      <c r="D27" s="606"/>
      <c r="E27" s="606"/>
      <c r="F27" s="606"/>
      <c r="G27" s="607"/>
      <c r="H27" s="607" t="s">
        <v>0</v>
      </c>
      <c r="I27" s="608">
        <f>+ROUND((I29+I51+I90+I128+I148),2)</f>
        <v>9318.82</v>
      </c>
      <c r="J27" s="177"/>
    </row>
    <row r="28" spans="2:12" s="179" customFormat="1" ht="13.5" customHeight="1">
      <c r="B28" s="609"/>
      <c r="C28" s="610"/>
      <c r="D28" s="611"/>
      <c r="E28" s="611"/>
      <c r="F28" s="611"/>
      <c r="G28" s="612"/>
      <c r="H28" s="612"/>
      <c r="I28" s="613"/>
      <c r="J28" s="240"/>
    </row>
    <row r="29" spans="2:12" ht="13.5" customHeight="1">
      <c r="B29" s="614" t="s">
        <v>11</v>
      </c>
      <c r="C29" s="615" t="s">
        <v>10</v>
      </c>
      <c r="D29" s="616"/>
      <c r="E29" s="616"/>
      <c r="F29" s="617"/>
      <c r="G29" s="618"/>
      <c r="H29" s="619" t="s">
        <v>0</v>
      </c>
      <c r="I29" s="620">
        <f>+H47</f>
        <v>6712.5</v>
      </c>
    </row>
    <row r="30" spans="2:12" ht="13.5" customHeight="1">
      <c r="B30" s="621"/>
      <c r="C30" s="622"/>
      <c r="D30" s="623"/>
      <c r="E30" s="623"/>
      <c r="F30" s="624"/>
      <c r="G30" s="624"/>
      <c r="H30" s="623"/>
      <c r="I30" s="623"/>
    </row>
    <row r="31" spans="2:12" ht="13.5" customHeight="1">
      <c r="B31" s="625">
        <v>1.01</v>
      </c>
      <c r="C31" s="626" t="s">
        <v>12</v>
      </c>
      <c r="D31" s="623"/>
      <c r="E31" s="623"/>
      <c r="F31" s="624"/>
      <c r="G31" s="624"/>
      <c r="H31" s="627" t="s">
        <v>0</v>
      </c>
      <c r="I31" s="628">
        <f>+H47</f>
        <v>6712.5</v>
      </c>
    </row>
    <row r="32" spans="2:12" ht="13.5" customHeight="1">
      <c r="B32" s="629"/>
      <c r="C32" s="596"/>
      <c r="D32" s="623"/>
      <c r="E32" s="623"/>
      <c r="F32" s="624"/>
      <c r="G32" s="624"/>
      <c r="H32" s="623"/>
      <c r="I32" s="623"/>
    </row>
    <row r="33" spans="2:12" ht="13.5" customHeight="1">
      <c r="B33" s="582"/>
      <c r="C33" s="626" t="s">
        <v>29</v>
      </c>
      <c r="D33" s="596"/>
      <c r="E33" s="596"/>
      <c r="F33" s="630"/>
      <c r="G33" s="630"/>
      <c r="H33" s="596"/>
      <c r="I33" s="623"/>
    </row>
    <row r="34" spans="2:12" ht="13.5" customHeight="1">
      <c r="B34" s="582"/>
      <c r="C34" s="626"/>
      <c r="D34" s="596"/>
      <c r="E34" s="596"/>
      <c r="F34" s="630"/>
      <c r="G34" s="630"/>
      <c r="H34" s="596"/>
      <c r="I34" s="623"/>
    </row>
    <row r="35" spans="2:12" ht="13.5" customHeight="1">
      <c r="B35" s="631"/>
      <c r="C35" s="643" t="s">
        <v>30</v>
      </c>
      <c r="D35" s="633" t="s">
        <v>31</v>
      </c>
      <c r="E35" s="633" t="s">
        <v>291</v>
      </c>
      <c r="F35" s="633" t="s">
        <v>32</v>
      </c>
      <c r="G35" s="633" t="s">
        <v>13</v>
      </c>
      <c r="H35" s="633" t="s">
        <v>4</v>
      </c>
      <c r="I35" s="623"/>
    </row>
    <row r="36" spans="2:12" ht="13.5" customHeight="1">
      <c r="B36" s="631"/>
      <c r="C36" s="662" t="s">
        <v>433</v>
      </c>
      <c r="D36" s="645">
        <v>1</v>
      </c>
      <c r="E36" s="645">
        <v>1</v>
      </c>
      <c r="F36" s="645">
        <v>0.5</v>
      </c>
      <c r="G36" s="645">
        <v>5000</v>
      </c>
      <c r="H36" s="645">
        <f>PRODUCT(D36:G36)</f>
        <v>2500</v>
      </c>
      <c r="I36" s="623"/>
    </row>
    <row r="37" spans="2:12" ht="13.5" hidden="1" customHeight="1">
      <c r="B37" s="631"/>
      <c r="C37" s="662" t="s">
        <v>529</v>
      </c>
      <c r="D37" s="645">
        <v>0</v>
      </c>
      <c r="E37" s="645">
        <v>1</v>
      </c>
      <c r="F37" s="645">
        <v>4</v>
      </c>
      <c r="G37" s="645">
        <v>4000</v>
      </c>
      <c r="H37" s="645">
        <f t="shared" ref="H37:H46" si="0">PRODUCT(D37:G37)</f>
        <v>0</v>
      </c>
      <c r="I37" s="623"/>
    </row>
    <row r="38" spans="2:12" ht="13.5" hidden="1" customHeight="1">
      <c r="B38" s="631"/>
      <c r="C38" s="662" t="s">
        <v>528</v>
      </c>
      <c r="D38" s="645">
        <v>0</v>
      </c>
      <c r="E38" s="645">
        <v>1</v>
      </c>
      <c r="F38" s="645">
        <v>4</v>
      </c>
      <c r="G38" s="645">
        <v>4000</v>
      </c>
      <c r="H38" s="645">
        <f t="shared" si="0"/>
        <v>0</v>
      </c>
      <c r="I38" s="623"/>
    </row>
    <row r="39" spans="2:12" ht="13.5" hidden="1" customHeight="1">
      <c r="B39" s="631"/>
      <c r="C39" s="662" t="s">
        <v>533</v>
      </c>
      <c r="D39" s="645">
        <v>0</v>
      </c>
      <c r="E39" s="645">
        <v>1</v>
      </c>
      <c r="F39" s="645">
        <v>2</v>
      </c>
      <c r="G39" s="645">
        <v>4000</v>
      </c>
      <c r="H39" s="645">
        <f>PRODUCT(D39:G39)</f>
        <v>0</v>
      </c>
      <c r="I39" s="623"/>
    </row>
    <row r="40" spans="2:12" s="159" customFormat="1" ht="13.5" hidden="1" customHeight="1">
      <c r="B40" s="634"/>
      <c r="C40" s="644" t="s">
        <v>530</v>
      </c>
      <c r="D40" s="645">
        <v>0</v>
      </c>
      <c r="E40" s="645">
        <v>1</v>
      </c>
      <c r="F40" s="645">
        <v>2</v>
      </c>
      <c r="G40" s="645">
        <v>4000</v>
      </c>
      <c r="H40" s="645">
        <f t="shared" si="0"/>
        <v>0</v>
      </c>
      <c r="I40" s="623"/>
    </row>
    <row r="41" spans="2:12" s="159" customFormat="1" ht="13.5" hidden="1" customHeight="1">
      <c r="B41" s="634"/>
      <c r="C41" s="644" t="s">
        <v>531</v>
      </c>
      <c r="D41" s="645">
        <v>0</v>
      </c>
      <c r="E41" s="645">
        <v>1</v>
      </c>
      <c r="F41" s="645">
        <v>1</v>
      </c>
      <c r="G41" s="645">
        <v>4000</v>
      </c>
      <c r="H41" s="645">
        <f t="shared" si="0"/>
        <v>0</v>
      </c>
      <c r="I41" s="623"/>
    </row>
    <row r="42" spans="2:12" s="159" customFormat="1" ht="13.5" customHeight="1">
      <c r="B42" s="634"/>
      <c r="C42" s="644" t="s">
        <v>532</v>
      </c>
      <c r="D42" s="645">
        <v>1</v>
      </c>
      <c r="E42" s="645">
        <v>1</v>
      </c>
      <c r="F42" s="645">
        <v>0.5</v>
      </c>
      <c r="G42" s="645">
        <v>5000</v>
      </c>
      <c r="H42" s="645">
        <f t="shared" si="0"/>
        <v>2500</v>
      </c>
      <c r="I42" s="623"/>
      <c r="K42" s="159">
        <v>70000</v>
      </c>
    </row>
    <row r="43" spans="2:12" s="159" customFormat="1" ht="13.5" hidden="1" customHeight="1">
      <c r="B43" s="634"/>
      <c r="C43" s="644" t="s">
        <v>435</v>
      </c>
      <c r="D43" s="645">
        <v>0</v>
      </c>
      <c r="E43" s="645">
        <v>1</v>
      </c>
      <c r="F43" s="645">
        <v>1</v>
      </c>
      <c r="G43" s="645">
        <v>4000</v>
      </c>
      <c r="H43" s="645">
        <f t="shared" si="0"/>
        <v>0</v>
      </c>
      <c r="I43" s="623"/>
      <c r="K43" s="159" t="e">
        <f>+#REF!+K42</f>
        <v>#REF!</v>
      </c>
    </row>
    <row r="44" spans="2:12" s="159" customFormat="1" ht="13.5" customHeight="1">
      <c r="B44" s="634"/>
      <c r="C44" s="644" t="s">
        <v>237</v>
      </c>
      <c r="D44" s="645">
        <v>1</v>
      </c>
      <c r="E44" s="645">
        <v>0.5</v>
      </c>
      <c r="F44" s="645">
        <v>0.5</v>
      </c>
      <c r="G44" s="645">
        <v>3350</v>
      </c>
      <c r="H44" s="645">
        <f t="shared" si="0"/>
        <v>837.5</v>
      </c>
      <c r="I44" s="623"/>
    </row>
    <row r="45" spans="2:12" s="159" customFormat="1" ht="13.5" hidden="1" customHeight="1">
      <c r="B45" s="634"/>
      <c r="C45" s="644" t="s">
        <v>434</v>
      </c>
      <c r="D45" s="645">
        <v>0</v>
      </c>
      <c r="E45" s="645">
        <v>0.5</v>
      </c>
      <c r="F45" s="645">
        <v>2</v>
      </c>
      <c r="G45" s="645">
        <v>3000</v>
      </c>
      <c r="H45" s="645">
        <f t="shared" si="0"/>
        <v>0</v>
      </c>
      <c r="I45" s="623"/>
      <c r="K45" s="159" t="s">
        <v>437</v>
      </c>
      <c r="L45" s="159">
        <v>17000</v>
      </c>
    </row>
    <row r="46" spans="2:12" s="159" customFormat="1" ht="13.5" customHeight="1">
      <c r="B46" s="634"/>
      <c r="C46" s="644" t="s">
        <v>308</v>
      </c>
      <c r="D46" s="645">
        <v>1</v>
      </c>
      <c r="E46" s="645">
        <v>0.5</v>
      </c>
      <c r="F46" s="645">
        <v>0.5</v>
      </c>
      <c r="G46" s="645">
        <v>3500</v>
      </c>
      <c r="H46" s="645">
        <f t="shared" si="0"/>
        <v>875</v>
      </c>
      <c r="I46" s="623"/>
      <c r="K46" s="159" t="s">
        <v>438</v>
      </c>
      <c r="L46" s="159">
        <v>4000</v>
      </c>
    </row>
    <row r="47" spans="2:12" ht="13.5" customHeight="1">
      <c r="C47" s="1095" t="s">
        <v>3</v>
      </c>
      <c r="D47" s="1095"/>
      <c r="E47" s="1095"/>
      <c r="F47" s="1095"/>
      <c r="G47" s="1095"/>
      <c r="H47" s="635">
        <f>SUM(H36:H46)</f>
        <v>6712.5</v>
      </c>
      <c r="I47" s="596"/>
      <c r="K47" s="161" t="s">
        <v>439</v>
      </c>
      <c r="L47" s="161">
        <v>11000</v>
      </c>
    </row>
    <row r="48" spans="2:12" ht="13.5" customHeight="1">
      <c r="B48" s="582"/>
      <c r="C48" s="623"/>
      <c r="D48" s="623"/>
      <c r="E48" s="623"/>
      <c r="F48" s="624"/>
      <c r="G48" s="624"/>
      <c r="H48" s="623"/>
      <c r="I48" s="623"/>
    </row>
    <row r="49" spans="2:9" ht="13.5" customHeight="1">
      <c r="B49" s="621"/>
      <c r="C49" s="622"/>
      <c r="D49" s="623"/>
      <c r="E49" s="623"/>
      <c r="F49" s="624"/>
      <c r="G49" s="624"/>
      <c r="H49" s="623"/>
      <c r="I49" s="623"/>
    </row>
    <row r="50" spans="2:9" ht="13.5" customHeight="1">
      <c r="B50" s="582"/>
      <c r="C50" s="623"/>
      <c r="D50" s="623"/>
      <c r="E50" s="623"/>
      <c r="F50" s="624"/>
      <c r="G50" s="624"/>
      <c r="H50" s="623"/>
      <c r="I50" s="623"/>
    </row>
    <row r="51" spans="2:9" ht="13.5" customHeight="1">
      <c r="B51" s="614">
        <v>2</v>
      </c>
      <c r="C51" s="615" t="s">
        <v>15</v>
      </c>
      <c r="D51" s="616"/>
      <c r="E51" s="616"/>
      <c r="F51" s="617"/>
      <c r="G51" s="618"/>
      <c r="H51" s="619" t="s">
        <v>0</v>
      </c>
      <c r="I51" s="620">
        <f>+H69+H87</f>
        <v>786.06731250000007</v>
      </c>
    </row>
    <row r="52" spans="2:9" ht="13.5" customHeight="1">
      <c r="B52" s="621"/>
      <c r="C52" s="622"/>
      <c r="D52" s="623"/>
      <c r="E52" s="623"/>
      <c r="F52" s="624"/>
      <c r="G52" s="624"/>
      <c r="H52" s="623"/>
      <c r="I52" s="623"/>
    </row>
    <row r="53" spans="2:9" ht="13.5" customHeight="1">
      <c r="B53" s="625">
        <v>2.0099999999999998</v>
      </c>
      <c r="C53" s="626" t="s">
        <v>95</v>
      </c>
      <c r="D53" s="623"/>
      <c r="E53" s="623"/>
      <c r="F53" s="624"/>
      <c r="G53" s="624"/>
      <c r="H53" s="627" t="s">
        <v>0</v>
      </c>
      <c r="I53" s="628">
        <f>+H69</f>
        <v>670.57875000000001</v>
      </c>
    </row>
    <row r="54" spans="2:9" ht="13.5" customHeight="1">
      <c r="B54" s="648"/>
      <c r="C54" s="626"/>
      <c r="D54" s="623"/>
      <c r="E54" s="623"/>
      <c r="F54" s="624"/>
      <c r="G54" s="624"/>
      <c r="H54" s="623"/>
      <c r="I54" s="623"/>
    </row>
    <row r="55" spans="2:9" ht="13.5" customHeight="1">
      <c r="B55" s="629"/>
      <c r="C55" s="626" t="s">
        <v>29</v>
      </c>
      <c r="D55" s="596"/>
      <c r="E55" s="596"/>
      <c r="F55" s="630"/>
      <c r="G55" s="630"/>
      <c r="H55" s="623"/>
      <c r="I55" s="623"/>
    </row>
    <row r="56" spans="2:9" ht="13.5" customHeight="1">
      <c r="B56" s="629"/>
      <c r="C56" s="626"/>
      <c r="D56" s="596"/>
      <c r="E56" s="596"/>
      <c r="F56" s="630"/>
      <c r="G56" s="630"/>
      <c r="H56" s="623"/>
      <c r="I56" s="623"/>
    </row>
    <row r="57" spans="2:9" ht="13.5" customHeight="1">
      <c r="B57" s="582"/>
      <c r="C57" s="643" t="s">
        <v>30</v>
      </c>
      <c r="D57" s="633" t="s">
        <v>31</v>
      </c>
      <c r="E57" s="633" t="str">
        <f t="shared" ref="E57:E68" si="1">+E35</f>
        <v>COEF. PARTIC.</v>
      </c>
      <c r="F57" s="633" t="s">
        <v>32</v>
      </c>
      <c r="G57" s="633" t="s">
        <v>13</v>
      </c>
      <c r="H57" s="633" t="s">
        <v>4</v>
      </c>
      <c r="I57" s="623"/>
    </row>
    <row r="58" spans="2:9" ht="13.5" customHeight="1">
      <c r="B58" s="582"/>
      <c r="C58" s="662" t="str">
        <f t="shared" ref="C58:D68" si="2">+C36</f>
        <v>INGENIERO CIVIL O ARQUITECTO (COORDINADOR)</v>
      </c>
      <c r="D58" s="645">
        <f t="shared" si="2"/>
        <v>1</v>
      </c>
      <c r="E58" s="645">
        <f t="shared" si="1"/>
        <v>1</v>
      </c>
      <c r="F58" s="645">
        <f t="shared" ref="F58:F68" si="3">+F36</f>
        <v>0.5</v>
      </c>
      <c r="G58" s="645">
        <f t="shared" ref="G58:G68" si="4">+(G36+G115)*0.09</f>
        <v>499.5</v>
      </c>
      <c r="H58" s="645">
        <f>PRODUCT(D58:G58)</f>
        <v>249.75</v>
      </c>
      <c r="I58" s="623"/>
    </row>
    <row r="59" spans="2:9" ht="13.5" hidden="1" customHeight="1">
      <c r="B59" s="582"/>
      <c r="C59" s="662" t="str">
        <f t="shared" si="2"/>
        <v>ARQUITECTO</v>
      </c>
      <c r="D59" s="645">
        <f t="shared" si="2"/>
        <v>0</v>
      </c>
      <c r="E59" s="645">
        <f t="shared" si="1"/>
        <v>1</v>
      </c>
      <c r="F59" s="645">
        <f t="shared" si="3"/>
        <v>4</v>
      </c>
      <c r="G59" s="645">
        <f t="shared" si="4"/>
        <v>399.59999999999997</v>
      </c>
      <c r="H59" s="645">
        <f t="shared" ref="H59:H68" si="5">PRODUCT(D59:G59)</f>
        <v>0</v>
      </c>
      <c r="I59" s="623"/>
    </row>
    <row r="60" spans="2:9" ht="13.5" hidden="1" customHeight="1">
      <c r="B60" s="582"/>
      <c r="C60" s="662" t="str">
        <f t="shared" si="2"/>
        <v>INGENIERO ESPECIALISTA EN ESTRUCTURAS</v>
      </c>
      <c r="D60" s="645">
        <f t="shared" si="2"/>
        <v>0</v>
      </c>
      <c r="E60" s="645">
        <f t="shared" si="1"/>
        <v>1</v>
      </c>
      <c r="F60" s="645">
        <f t="shared" si="3"/>
        <v>4</v>
      </c>
      <c r="G60" s="645">
        <f t="shared" si="4"/>
        <v>399.59999999999997</v>
      </c>
      <c r="H60" s="645">
        <f t="shared" si="5"/>
        <v>0</v>
      </c>
      <c r="I60" s="623"/>
    </row>
    <row r="61" spans="2:9" ht="13.5" hidden="1" customHeight="1">
      <c r="B61" s="582"/>
      <c r="C61" s="662" t="str">
        <f t="shared" si="2"/>
        <v>INGENIERO ESPECIALISTA EN EN COSTOS Y PRESUPUESTO</v>
      </c>
      <c r="D61" s="645">
        <f t="shared" si="2"/>
        <v>0</v>
      </c>
      <c r="E61" s="645">
        <f t="shared" si="1"/>
        <v>1</v>
      </c>
      <c r="F61" s="645">
        <f t="shared" si="3"/>
        <v>2</v>
      </c>
      <c r="G61" s="645">
        <f t="shared" si="4"/>
        <v>399.59999999999997</v>
      </c>
      <c r="H61" s="645">
        <f>PRODUCT(D61:G61)</f>
        <v>0</v>
      </c>
      <c r="I61" s="623"/>
    </row>
    <row r="62" spans="2:9" ht="13.5" hidden="1" customHeight="1">
      <c r="B62" s="582"/>
      <c r="C62" s="662" t="str">
        <f t="shared" si="2"/>
        <v>INGENIERO ESPECIALISTA EN INSTALACIONES SANITARIAS</v>
      </c>
      <c r="D62" s="645">
        <f t="shared" si="2"/>
        <v>0</v>
      </c>
      <c r="E62" s="645">
        <f t="shared" si="1"/>
        <v>1</v>
      </c>
      <c r="F62" s="645">
        <f t="shared" si="3"/>
        <v>2</v>
      </c>
      <c r="G62" s="645">
        <f t="shared" si="4"/>
        <v>399.59999999999997</v>
      </c>
      <c r="H62" s="645">
        <f t="shared" si="5"/>
        <v>0</v>
      </c>
      <c r="I62" s="623"/>
    </row>
    <row r="63" spans="2:9" ht="13.5" hidden="1" customHeight="1">
      <c r="B63" s="582"/>
      <c r="C63" s="662" t="str">
        <f t="shared" si="2"/>
        <v>INGENIERO ESPECIALISTA EN INSTALACIONES ELECTRICAS</v>
      </c>
      <c r="D63" s="645">
        <f t="shared" si="2"/>
        <v>0</v>
      </c>
      <c r="E63" s="645">
        <f t="shared" si="1"/>
        <v>1</v>
      </c>
      <c r="F63" s="645">
        <f t="shared" si="3"/>
        <v>1</v>
      </c>
      <c r="G63" s="645">
        <f t="shared" si="4"/>
        <v>399.59999999999997</v>
      </c>
      <c r="H63" s="645">
        <f t="shared" si="5"/>
        <v>0</v>
      </c>
      <c r="I63" s="623"/>
    </row>
    <row r="64" spans="2:9" ht="13.5" customHeight="1">
      <c r="B64" s="582"/>
      <c r="C64" s="662" t="str">
        <f t="shared" si="2"/>
        <v>INGENIERO ESPECIALISTA EN INSTALACIONES ESPECIALES</v>
      </c>
      <c r="D64" s="645">
        <f t="shared" si="2"/>
        <v>1</v>
      </c>
      <c r="E64" s="645">
        <f t="shared" si="1"/>
        <v>1</v>
      </c>
      <c r="F64" s="645">
        <f t="shared" si="3"/>
        <v>0.5</v>
      </c>
      <c r="G64" s="645">
        <f t="shared" si="4"/>
        <v>499.5</v>
      </c>
      <c r="H64" s="645">
        <f t="shared" si="5"/>
        <v>249.75</v>
      </c>
      <c r="I64" s="623"/>
    </row>
    <row r="65" spans="2:12" ht="13.5" hidden="1" customHeight="1">
      <c r="B65" s="582"/>
      <c r="C65" s="662" t="str">
        <f t="shared" si="2"/>
        <v>INGENIERO GEOLOGO</v>
      </c>
      <c r="D65" s="645">
        <f t="shared" si="2"/>
        <v>0</v>
      </c>
      <c r="E65" s="645">
        <f t="shared" si="1"/>
        <v>1</v>
      </c>
      <c r="F65" s="645">
        <f t="shared" si="3"/>
        <v>1</v>
      </c>
      <c r="G65" s="645">
        <f t="shared" si="4"/>
        <v>399.59999999999997</v>
      </c>
      <c r="H65" s="645">
        <f t="shared" si="5"/>
        <v>0</v>
      </c>
      <c r="I65" s="623"/>
    </row>
    <row r="66" spans="2:12" ht="13.5" customHeight="1">
      <c r="B66" s="582"/>
      <c r="C66" s="662" t="str">
        <f t="shared" si="2"/>
        <v>ASISTENTE TECNICO</v>
      </c>
      <c r="D66" s="645">
        <f t="shared" si="2"/>
        <v>1</v>
      </c>
      <c r="E66" s="645">
        <f t="shared" si="1"/>
        <v>0.5</v>
      </c>
      <c r="F66" s="645">
        <f t="shared" si="3"/>
        <v>0.5</v>
      </c>
      <c r="G66" s="645">
        <f t="shared" si="4"/>
        <v>334.66499999999996</v>
      </c>
      <c r="H66" s="645">
        <f t="shared" si="5"/>
        <v>83.666249999999991</v>
      </c>
      <c r="I66" s="623"/>
    </row>
    <row r="67" spans="2:12" ht="13.5" hidden="1" customHeight="1">
      <c r="B67" s="582"/>
      <c r="C67" s="662" t="str">
        <f t="shared" si="2"/>
        <v>PROFESIONAL ADMINISTRATIVO</v>
      </c>
      <c r="D67" s="645">
        <f t="shared" si="2"/>
        <v>0</v>
      </c>
      <c r="E67" s="645">
        <f t="shared" si="1"/>
        <v>0.5</v>
      </c>
      <c r="F67" s="645">
        <f t="shared" si="3"/>
        <v>2</v>
      </c>
      <c r="G67" s="645">
        <f t="shared" si="4"/>
        <v>299.7</v>
      </c>
      <c r="H67" s="645">
        <f t="shared" si="5"/>
        <v>0</v>
      </c>
      <c r="I67" s="623"/>
    </row>
    <row r="68" spans="2:12" ht="13.5" customHeight="1">
      <c r="B68" s="582"/>
      <c r="C68" s="662" t="str">
        <f t="shared" si="2"/>
        <v>ASISTENTE ADMINISTRATIVO</v>
      </c>
      <c r="D68" s="645">
        <f t="shared" si="2"/>
        <v>1</v>
      </c>
      <c r="E68" s="645">
        <f t="shared" si="1"/>
        <v>0.5</v>
      </c>
      <c r="F68" s="645">
        <f t="shared" si="3"/>
        <v>0.5</v>
      </c>
      <c r="G68" s="645">
        <f t="shared" si="4"/>
        <v>349.65</v>
      </c>
      <c r="H68" s="645">
        <f t="shared" si="5"/>
        <v>87.412499999999994</v>
      </c>
      <c r="I68" s="623"/>
    </row>
    <row r="69" spans="2:12" ht="13.5" customHeight="1">
      <c r="B69" s="582"/>
      <c r="C69" s="1105" t="s">
        <v>3</v>
      </c>
      <c r="D69" s="1106"/>
      <c r="E69" s="1106"/>
      <c r="F69" s="1106"/>
      <c r="G69" s="1107"/>
      <c r="H69" s="635">
        <f>SUM(H58:H68)</f>
        <v>670.57875000000001</v>
      </c>
      <c r="I69" s="623"/>
    </row>
    <row r="70" spans="2:12" ht="13.5" customHeight="1">
      <c r="B70" s="582"/>
      <c r="C70" s="649"/>
      <c r="D70" s="649"/>
      <c r="E70" s="649"/>
      <c r="F70" s="624"/>
      <c r="G70" s="624"/>
      <c r="H70" s="623"/>
      <c r="I70" s="623"/>
    </row>
    <row r="71" spans="2:12" ht="13.5" customHeight="1">
      <c r="B71" s="625">
        <v>2.02</v>
      </c>
      <c r="C71" s="626" t="s">
        <v>55</v>
      </c>
      <c r="D71" s="623"/>
      <c r="E71" s="623"/>
      <c r="F71" s="624"/>
      <c r="G71" s="624"/>
      <c r="H71" s="627" t="s">
        <v>0</v>
      </c>
      <c r="I71" s="628">
        <f>+H87</f>
        <v>115.4885625</v>
      </c>
    </row>
    <row r="72" spans="2:12" ht="13.5" customHeight="1">
      <c r="B72" s="648"/>
      <c r="C72" s="626"/>
      <c r="D72" s="623"/>
      <c r="E72" s="623"/>
      <c r="F72" s="624"/>
      <c r="G72" s="624"/>
      <c r="H72" s="623"/>
      <c r="I72" s="623"/>
    </row>
    <row r="73" spans="2:12" ht="13.5" customHeight="1">
      <c r="B73" s="582"/>
      <c r="C73" s="626" t="s">
        <v>29</v>
      </c>
      <c r="D73" s="596"/>
      <c r="E73" s="596"/>
      <c r="F73" s="630"/>
      <c r="G73" s="630"/>
      <c r="H73" s="623"/>
      <c r="I73" s="623"/>
    </row>
    <row r="74" spans="2:12" ht="13.5" customHeight="1">
      <c r="B74" s="582"/>
      <c r="C74" s="626"/>
      <c r="D74" s="596"/>
      <c r="E74" s="596"/>
      <c r="F74" s="630"/>
      <c r="G74" s="630"/>
      <c r="H74" s="623"/>
      <c r="I74" s="623"/>
    </row>
    <row r="75" spans="2:12" ht="13.5" customHeight="1">
      <c r="B75" s="582"/>
      <c r="C75" s="643" t="s">
        <v>30</v>
      </c>
      <c r="D75" s="633" t="s">
        <v>31</v>
      </c>
      <c r="E75" s="633" t="str">
        <f t="shared" ref="E75:E86" si="6">+E35</f>
        <v>COEF. PARTIC.</v>
      </c>
      <c r="F75" s="633" t="s">
        <v>32</v>
      </c>
      <c r="G75" s="633" t="s">
        <v>13</v>
      </c>
      <c r="H75" s="633" t="s">
        <v>4</v>
      </c>
      <c r="I75" s="623"/>
    </row>
    <row r="76" spans="2:12" ht="13.5" customHeight="1">
      <c r="B76" s="582"/>
      <c r="C76" s="662" t="str">
        <f t="shared" ref="C76:D86" si="7">+C36</f>
        <v>INGENIERO CIVIL O ARQUITECTO (COORDINADOR)</v>
      </c>
      <c r="D76" s="645">
        <f t="shared" si="7"/>
        <v>1</v>
      </c>
      <c r="E76" s="645">
        <f t="shared" si="6"/>
        <v>1</v>
      </c>
      <c r="F76" s="645">
        <f t="shared" ref="F76:F86" si="8">+F36</f>
        <v>0.5</v>
      </c>
      <c r="G76" s="645">
        <f t="shared" ref="G76:G86" si="9">+(G36+G115)*0.0155</f>
        <v>86.025000000000006</v>
      </c>
      <c r="H76" s="645">
        <f>PRODUCT(D76:G76)</f>
        <v>43.012500000000003</v>
      </c>
      <c r="I76" s="623"/>
    </row>
    <row r="77" spans="2:12" ht="13.5" hidden="1" customHeight="1">
      <c r="B77" s="582"/>
      <c r="C77" s="662" t="str">
        <f t="shared" si="7"/>
        <v>ARQUITECTO</v>
      </c>
      <c r="D77" s="645">
        <f t="shared" si="7"/>
        <v>0</v>
      </c>
      <c r="E77" s="645">
        <f t="shared" si="6"/>
        <v>1</v>
      </c>
      <c r="F77" s="645">
        <f t="shared" si="8"/>
        <v>4</v>
      </c>
      <c r="G77" s="645">
        <f t="shared" si="9"/>
        <v>68.819999999999993</v>
      </c>
      <c r="H77" s="645">
        <f t="shared" ref="H77:H86" si="10">PRODUCT(D77:G77)</f>
        <v>0</v>
      </c>
      <c r="I77" s="623"/>
      <c r="L77" s="161">
        <v>4000</v>
      </c>
    </row>
    <row r="78" spans="2:12" ht="13.5" hidden="1" customHeight="1">
      <c r="B78" s="582"/>
      <c r="C78" s="662" t="str">
        <f t="shared" si="7"/>
        <v>INGENIERO ESPECIALISTA EN ESTRUCTURAS</v>
      </c>
      <c r="D78" s="645">
        <f t="shared" si="7"/>
        <v>0</v>
      </c>
      <c r="E78" s="645">
        <f t="shared" si="6"/>
        <v>1</v>
      </c>
      <c r="F78" s="645">
        <f t="shared" si="8"/>
        <v>4</v>
      </c>
      <c r="G78" s="645">
        <f t="shared" si="9"/>
        <v>68.819999999999993</v>
      </c>
      <c r="H78" s="645">
        <f t="shared" si="10"/>
        <v>0</v>
      </c>
      <c r="I78" s="623"/>
      <c r="L78" s="161">
        <v>360</v>
      </c>
    </row>
    <row r="79" spans="2:12" ht="13.5" hidden="1" customHeight="1">
      <c r="B79" s="582"/>
      <c r="C79" s="662" t="str">
        <f t="shared" si="7"/>
        <v>INGENIERO ESPECIALISTA EN EN COSTOS Y PRESUPUESTO</v>
      </c>
      <c r="D79" s="645">
        <f t="shared" si="7"/>
        <v>0</v>
      </c>
      <c r="E79" s="645">
        <f t="shared" si="6"/>
        <v>1</v>
      </c>
      <c r="F79" s="645">
        <f t="shared" si="8"/>
        <v>2</v>
      </c>
      <c r="G79" s="645">
        <f t="shared" si="9"/>
        <v>68.819999999999993</v>
      </c>
      <c r="H79" s="645">
        <f>PRODUCT(D79:G79)</f>
        <v>0</v>
      </c>
      <c r="I79" s="623"/>
    </row>
    <row r="80" spans="2:12" ht="13.5" hidden="1" customHeight="1">
      <c r="B80" s="582"/>
      <c r="C80" s="662" t="str">
        <f t="shared" si="7"/>
        <v>INGENIERO ESPECIALISTA EN INSTALACIONES SANITARIAS</v>
      </c>
      <c r="D80" s="645">
        <f t="shared" si="7"/>
        <v>0</v>
      </c>
      <c r="E80" s="645">
        <f t="shared" si="6"/>
        <v>1</v>
      </c>
      <c r="F80" s="645">
        <f t="shared" si="8"/>
        <v>2</v>
      </c>
      <c r="G80" s="645">
        <f t="shared" si="9"/>
        <v>68.819999999999993</v>
      </c>
      <c r="H80" s="645">
        <f t="shared" si="10"/>
        <v>0</v>
      </c>
      <c r="I80" s="623"/>
      <c r="L80" s="161">
        <f>+L77+L78</f>
        <v>4360</v>
      </c>
    </row>
    <row r="81" spans="2:12" ht="13.5" hidden="1" customHeight="1">
      <c r="B81" s="582"/>
      <c r="C81" s="662" t="str">
        <f t="shared" si="7"/>
        <v>INGENIERO ESPECIALISTA EN INSTALACIONES ELECTRICAS</v>
      </c>
      <c r="D81" s="645">
        <f t="shared" si="7"/>
        <v>0</v>
      </c>
      <c r="E81" s="645">
        <f t="shared" si="6"/>
        <v>1</v>
      </c>
      <c r="F81" s="645">
        <f t="shared" si="8"/>
        <v>1</v>
      </c>
      <c r="G81" s="645">
        <f t="shared" si="9"/>
        <v>68.819999999999993</v>
      </c>
      <c r="H81" s="645">
        <f t="shared" si="10"/>
        <v>0</v>
      </c>
      <c r="I81" s="623"/>
      <c r="L81" s="161" t="e">
        <f>+L77-#REF!</f>
        <v>#REF!</v>
      </c>
    </row>
    <row r="82" spans="2:12" ht="13.5" customHeight="1">
      <c r="B82" s="582"/>
      <c r="C82" s="662" t="str">
        <f t="shared" si="7"/>
        <v>INGENIERO ESPECIALISTA EN INSTALACIONES ESPECIALES</v>
      </c>
      <c r="D82" s="645">
        <f t="shared" si="7"/>
        <v>1</v>
      </c>
      <c r="E82" s="645">
        <f t="shared" si="6"/>
        <v>1</v>
      </c>
      <c r="F82" s="645">
        <f t="shared" si="8"/>
        <v>0.5</v>
      </c>
      <c r="G82" s="645">
        <f t="shared" si="9"/>
        <v>86.025000000000006</v>
      </c>
      <c r="H82" s="645">
        <f t="shared" si="10"/>
        <v>43.012500000000003</v>
      </c>
      <c r="I82" s="623"/>
    </row>
    <row r="83" spans="2:12" ht="13.5" hidden="1" customHeight="1">
      <c r="B83" s="582"/>
      <c r="C83" s="662" t="str">
        <f t="shared" si="7"/>
        <v>INGENIERO GEOLOGO</v>
      </c>
      <c r="D83" s="645">
        <f t="shared" si="7"/>
        <v>0</v>
      </c>
      <c r="E83" s="645">
        <f t="shared" si="6"/>
        <v>1</v>
      </c>
      <c r="F83" s="645">
        <f t="shared" si="8"/>
        <v>1</v>
      </c>
      <c r="G83" s="645">
        <f t="shared" si="9"/>
        <v>68.819999999999993</v>
      </c>
      <c r="H83" s="645">
        <f t="shared" si="10"/>
        <v>0</v>
      </c>
      <c r="I83" s="623"/>
    </row>
    <row r="84" spans="2:12" ht="13.5" customHeight="1">
      <c r="B84" s="582"/>
      <c r="C84" s="662" t="str">
        <f t="shared" si="7"/>
        <v>ASISTENTE TECNICO</v>
      </c>
      <c r="D84" s="645">
        <f t="shared" si="7"/>
        <v>1</v>
      </c>
      <c r="E84" s="645">
        <f t="shared" si="6"/>
        <v>0.5</v>
      </c>
      <c r="F84" s="645">
        <f t="shared" si="8"/>
        <v>0.5</v>
      </c>
      <c r="G84" s="645">
        <f t="shared" si="9"/>
        <v>57.636749999999999</v>
      </c>
      <c r="H84" s="645">
        <f t="shared" si="10"/>
        <v>14.4091875</v>
      </c>
      <c r="I84" s="623"/>
    </row>
    <row r="85" spans="2:12" ht="13.5" hidden="1" customHeight="1">
      <c r="B85" s="582"/>
      <c r="C85" s="662" t="str">
        <f t="shared" si="7"/>
        <v>PROFESIONAL ADMINISTRATIVO</v>
      </c>
      <c r="D85" s="645">
        <f t="shared" si="7"/>
        <v>0</v>
      </c>
      <c r="E85" s="645">
        <f t="shared" si="6"/>
        <v>0.5</v>
      </c>
      <c r="F85" s="645">
        <f t="shared" si="8"/>
        <v>2</v>
      </c>
      <c r="G85" s="645">
        <f t="shared" si="9"/>
        <v>51.615000000000002</v>
      </c>
      <c r="H85" s="645">
        <f t="shared" si="10"/>
        <v>0</v>
      </c>
      <c r="I85" s="623"/>
    </row>
    <row r="86" spans="2:12" ht="13.5" customHeight="1">
      <c r="B86" s="582"/>
      <c r="C86" s="662" t="str">
        <f t="shared" si="7"/>
        <v>ASISTENTE ADMINISTRATIVO</v>
      </c>
      <c r="D86" s="645">
        <f t="shared" si="7"/>
        <v>1</v>
      </c>
      <c r="E86" s="645">
        <f t="shared" si="6"/>
        <v>0.5</v>
      </c>
      <c r="F86" s="645">
        <f t="shared" si="8"/>
        <v>0.5</v>
      </c>
      <c r="G86" s="645">
        <f t="shared" si="9"/>
        <v>60.217500000000001</v>
      </c>
      <c r="H86" s="645">
        <f t="shared" si="10"/>
        <v>15.054375</v>
      </c>
      <c r="I86" s="623"/>
    </row>
    <row r="87" spans="2:12" ht="13.5" customHeight="1">
      <c r="B87" s="582"/>
      <c r="C87" s="1105" t="s">
        <v>3</v>
      </c>
      <c r="D87" s="1106"/>
      <c r="E87" s="1106"/>
      <c r="F87" s="1106"/>
      <c r="G87" s="1107"/>
      <c r="H87" s="635">
        <f>SUM(H76:H86)</f>
        <v>115.4885625</v>
      </c>
      <c r="I87" s="623"/>
    </row>
    <row r="88" spans="2:12" ht="13.5" customHeight="1">
      <c r="B88" s="582"/>
      <c r="C88" s="640"/>
      <c r="D88" s="640"/>
      <c r="E88" s="640"/>
      <c r="F88" s="640"/>
      <c r="G88" s="640"/>
      <c r="H88" s="623"/>
      <c r="I88" s="623"/>
    </row>
    <row r="89" spans="2:12" ht="13.5" customHeight="1">
      <c r="B89" s="582"/>
      <c r="C89" s="623"/>
      <c r="D89" s="623"/>
      <c r="E89" s="623"/>
      <c r="F89" s="624"/>
      <c r="G89" s="624"/>
      <c r="H89" s="623"/>
      <c r="I89" s="623"/>
    </row>
    <row r="90" spans="2:12" ht="13.5" customHeight="1">
      <c r="B90" s="614">
        <v>3</v>
      </c>
      <c r="C90" s="615" t="s">
        <v>16</v>
      </c>
      <c r="D90" s="616"/>
      <c r="E90" s="616"/>
      <c r="F90" s="617"/>
      <c r="G90" s="618"/>
      <c r="H90" s="619" t="s">
        <v>0</v>
      </c>
      <c r="I90" s="620">
        <f>+H108+H126</f>
        <v>1745.25</v>
      </c>
    </row>
    <row r="91" spans="2:12" ht="13.5" customHeight="1">
      <c r="B91" s="650"/>
      <c r="C91" s="651"/>
      <c r="D91" s="623"/>
      <c r="E91" s="623"/>
      <c r="F91" s="596"/>
      <c r="G91" s="642"/>
      <c r="H91" s="627"/>
      <c r="I91" s="628"/>
    </row>
    <row r="92" spans="2:12" ht="13.5" customHeight="1">
      <c r="B92" s="625">
        <v>3.01</v>
      </c>
      <c r="C92" s="626" t="s">
        <v>157</v>
      </c>
      <c r="D92" s="623"/>
      <c r="E92" s="623"/>
      <c r="F92" s="624"/>
      <c r="G92" s="624"/>
      <c r="H92" s="627" t="s">
        <v>0</v>
      </c>
      <c r="I92" s="628">
        <f>+H108</f>
        <v>1006.875</v>
      </c>
    </row>
    <row r="93" spans="2:12" ht="13.5" customHeight="1">
      <c r="B93" s="648"/>
      <c r="C93" s="626"/>
      <c r="D93" s="623"/>
      <c r="E93" s="623"/>
      <c r="F93" s="624"/>
      <c r="G93" s="624"/>
      <c r="H93" s="623"/>
      <c r="I93" s="623"/>
    </row>
    <row r="94" spans="2:12" ht="13.5" customHeight="1">
      <c r="B94" s="582"/>
      <c r="C94" s="652" t="s">
        <v>29</v>
      </c>
      <c r="D94" s="596"/>
      <c r="E94" s="596"/>
      <c r="F94" s="630"/>
      <c r="G94" s="630"/>
      <c r="H94" s="596"/>
      <c r="I94" s="624"/>
    </row>
    <row r="95" spans="2:12" ht="13.5" customHeight="1">
      <c r="B95" s="582"/>
      <c r="C95" s="652"/>
      <c r="D95" s="596"/>
      <c r="E95" s="596"/>
      <c r="F95" s="630"/>
      <c r="G95" s="630"/>
      <c r="H95" s="596"/>
      <c r="I95" s="624"/>
    </row>
    <row r="96" spans="2:12" ht="13.5" customHeight="1">
      <c r="B96" s="582"/>
      <c r="C96" s="643" t="s">
        <v>30</v>
      </c>
      <c r="D96" s="633" t="s">
        <v>31</v>
      </c>
      <c r="E96" s="633" t="str">
        <f t="shared" ref="E96:E107" si="11">+E35</f>
        <v>COEF. PARTIC.</v>
      </c>
      <c r="F96" s="633" t="s">
        <v>32</v>
      </c>
      <c r="G96" s="633" t="s">
        <v>13</v>
      </c>
      <c r="H96" s="633" t="s">
        <v>4</v>
      </c>
      <c r="I96" s="623"/>
    </row>
    <row r="97" spans="2:9" ht="13.5" customHeight="1">
      <c r="B97" s="582"/>
      <c r="C97" s="662" t="str">
        <f t="shared" ref="C97:D107" si="12">+C36</f>
        <v>INGENIERO CIVIL O ARQUITECTO (COORDINADOR)</v>
      </c>
      <c r="D97" s="645">
        <f t="shared" si="12"/>
        <v>1</v>
      </c>
      <c r="E97" s="645">
        <f t="shared" si="11"/>
        <v>1</v>
      </c>
      <c r="F97" s="645">
        <f t="shared" ref="F97:F107" si="13">+F36</f>
        <v>0.5</v>
      </c>
      <c r="G97" s="645">
        <f t="shared" ref="G97:G107" si="14">+G36*0.15</f>
        <v>750</v>
      </c>
      <c r="H97" s="645">
        <f t="shared" ref="H97:H107" si="15">PRODUCT(D97:G97)</f>
        <v>375</v>
      </c>
      <c r="I97" s="623"/>
    </row>
    <row r="98" spans="2:9" ht="13.5" hidden="1" customHeight="1">
      <c r="B98" s="582"/>
      <c r="C98" s="662" t="str">
        <f t="shared" si="12"/>
        <v>ARQUITECTO</v>
      </c>
      <c r="D98" s="645">
        <f t="shared" si="12"/>
        <v>0</v>
      </c>
      <c r="E98" s="645">
        <f t="shared" si="11"/>
        <v>1</v>
      </c>
      <c r="F98" s="645">
        <f t="shared" si="13"/>
        <v>4</v>
      </c>
      <c r="G98" s="645">
        <f t="shared" si="14"/>
        <v>600</v>
      </c>
      <c r="H98" s="645">
        <f t="shared" si="15"/>
        <v>0</v>
      </c>
      <c r="I98" s="623"/>
    </row>
    <row r="99" spans="2:9" ht="13.5" hidden="1" customHeight="1">
      <c r="B99" s="582"/>
      <c r="C99" s="662" t="str">
        <f t="shared" si="12"/>
        <v>INGENIERO ESPECIALISTA EN ESTRUCTURAS</v>
      </c>
      <c r="D99" s="645">
        <f t="shared" si="12"/>
        <v>0</v>
      </c>
      <c r="E99" s="645">
        <f t="shared" si="11"/>
        <v>1</v>
      </c>
      <c r="F99" s="645">
        <f t="shared" si="13"/>
        <v>4</v>
      </c>
      <c r="G99" s="645">
        <f t="shared" si="14"/>
        <v>600</v>
      </c>
      <c r="H99" s="645">
        <f t="shared" si="15"/>
        <v>0</v>
      </c>
      <c r="I99" s="623"/>
    </row>
    <row r="100" spans="2:9" ht="13.5" hidden="1" customHeight="1">
      <c r="B100" s="582"/>
      <c r="C100" s="662" t="str">
        <f t="shared" si="12"/>
        <v>INGENIERO ESPECIALISTA EN EN COSTOS Y PRESUPUESTO</v>
      </c>
      <c r="D100" s="645">
        <f t="shared" si="12"/>
        <v>0</v>
      </c>
      <c r="E100" s="645">
        <f t="shared" si="11"/>
        <v>1</v>
      </c>
      <c r="F100" s="645">
        <f t="shared" si="13"/>
        <v>2</v>
      </c>
      <c r="G100" s="645">
        <f t="shared" si="14"/>
        <v>600</v>
      </c>
      <c r="H100" s="645">
        <f>PRODUCT(D100:G100)</f>
        <v>0</v>
      </c>
      <c r="I100" s="623"/>
    </row>
    <row r="101" spans="2:9" ht="13.5" hidden="1" customHeight="1">
      <c r="B101" s="582"/>
      <c r="C101" s="662" t="str">
        <f t="shared" si="12"/>
        <v>INGENIERO ESPECIALISTA EN INSTALACIONES SANITARIAS</v>
      </c>
      <c r="D101" s="645">
        <f t="shared" si="12"/>
        <v>0</v>
      </c>
      <c r="E101" s="645">
        <f t="shared" si="11"/>
        <v>1</v>
      </c>
      <c r="F101" s="645">
        <f t="shared" si="13"/>
        <v>2</v>
      </c>
      <c r="G101" s="645">
        <f t="shared" si="14"/>
        <v>600</v>
      </c>
      <c r="H101" s="645">
        <f t="shared" si="15"/>
        <v>0</v>
      </c>
      <c r="I101" s="623"/>
    </row>
    <row r="102" spans="2:9" ht="13.5" hidden="1" customHeight="1">
      <c r="B102" s="582"/>
      <c r="C102" s="662" t="str">
        <f t="shared" si="12"/>
        <v>INGENIERO ESPECIALISTA EN INSTALACIONES ELECTRICAS</v>
      </c>
      <c r="D102" s="645">
        <f t="shared" si="12"/>
        <v>0</v>
      </c>
      <c r="E102" s="645">
        <f t="shared" si="11"/>
        <v>1</v>
      </c>
      <c r="F102" s="645">
        <f t="shared" si="13"/>
        <v>1</v>
      </c>
      <c r="G102" s="645">
        <f t="shared" si="14"/>
        <v>600</v>
      </c>
      <c r="H102" s="645">
        <f t="shared" si="15"/>
        <v>0</v>
      </c>
      <c r="I102" s="623"/>
    </row>
    <row r="103" spans="2:9" ht="13.5" customHeight="1">
      <c r="B103" s="582"/>
      <c r="C103" s="662" t="str">
        <f t="shared" si="12"/>
        <v>INGENIERO ESPECIALISTA EN INSTALACIONES ESPECIALES</v>
      </c>
      <c r="D103" s="645">
        <f t="shared" si="12"/>
        <v>1</v>
      </c>
      <c r="E103" s="645">
        <f t="shared" si="11"/>
        <v>1</v>
      </c>
      <c r="F103" s="645">
        <f t="shared" si="13"/>
        <v>0.5</v>
      </c>
      <c r="G103" s="645">
        <f t="shared" si="14"/>
        <v>750</v>
      </c>
      <c r="H103" s="645">
        <f t="shared" si="15"/>
        <v>375</v>
      </c>
      <c r="I103" s="623"/>
    </row>
    <row r="104" spans="2:9" ht="13.5" hidden="1" customHeight="1">
      <c r="B104" s="582"/>
      <c r="C104" s="662" t="str">
        <f t="shared" si="12"/>
        <v>INGENIERO GEOLOGO</v>
      </c>
      <c r="D104" s="645">
        <f t="shared" si="12"/>
        <v>0</v>
      </c>
      <c r="E104" s="645">
        <f t="shared" si="11"/>
        <v>1</v>
      </c>
      <c r="F104" s="645">
        <f t="shared" si="13"/>
        <v>1</v>
      </c>
      <c r="G104" s="645">
        <f t="shared" si="14"/>
        <v>600</v>
      </c>
      <c r="H104" s="645">
        <f t="shared" si="15"/>
        <v>0</v>
      </c>
      <c r="I104" s="623"/>
    </row>
    <row r="105" spans="2:9" ht="13.5" customHeight="1">
      <c r="B105" s="582"/>
      <c r="C105" s="662" t="str">
        <f t="shared" si="12"/>
        <v>ASISTENTE TECNICO</v>
      </c>
      <c r="D105" s="645">
        <f t="shared" si="12"/>
        <v>1</v>
      </c>
      <c r="E105" s="645">
        <f t="shared" si="11"/>
        <v>0.5</v>
      </c>
      <c r="F105" s="645">
        <f t="shared" si="13"/>
        <v>0.5</v>
      </c>
      <c r="G105" s="645">
        <f t="shared" si="14"/>
        <v>502.5</v>
      </c>
      <c r="H105" s="645">
        <f t="shared" si="15"/>
        <v>125.625</v>
      </c>
      <c r="I105" s="623"/>
    </row>
    <row r="106" spans="2:9" ht="13.5" hidden="1" customHeight="1">
      <c r="B106" s="582"/>
      <c r="C106" s="662" t="str">
        <f t="shared" si="12"/>
        <v>PROFESIONAL ADMINISTRATIVO</v>
      </c>
      <c r="D106" s="645">
        <f t="shared" si="12"/>
        <v>0</v>
      </c>
      <c r="E106" s="645">
        <f t="shared" si="11"/>
        <v>0.5</v>
      </c>
      <c r="F106" s="645">
        <f t="shared" si="13"/>
        <v>2</v>
      </c>
      <c r="G106" s="645">
        <f t="shared" si="14"/>
        <v>450</v>
      </c>
      <c r="H106" s="645">
        <f t="shared" si="15"/>
        <v>0</v>
      </c>
      <c r="I106" s="623"/>
    </row>
    <row r="107" spans="2:9" ht="13.5" customHeight="1">
      <c r="B107" s="582"/>
      <c r="C107" s="662" t="str">
        <f t="shared" si="12"/>
        <v>ASISTENTE ADMINISTRATIVO</v>
      </c>
      <c r="D107" s="645">
        <f t="shared" si="12"/>
        <v>1</v>
      </c>
      <c r="E107" s="645">
        <f t="shared" si="11"/>
        <v>0.5</v>
      </c>
      <c r="F107" s="645">
        <f t="shared" si="13"/>
        <v>0.5</v>
      </c>
      <c r="G107" s="645">
        <f t="shared" si="14"/>
        <v>525</v>
      </c>
      <c r="H107" s="645">
        <f t="shared" si="15"/>
        <v>131.25</v>
      </c>
      <c r="I107" s="623"/>
    </row>
    <row r="108" spans="2:9" ht="13.5" customHeight="1">
      <c r="B108" s="582"/>
      <c r="C108" s="1105" t="s">
        <v>3</v>
      </c>
      <c r="D108" s="1106"/>
      <c r="E108" s="1106"/>
      <c r="F108" s="1106"/>
      <c r="G108" s="1107"/>
      <c r="H108" s="635">
        <f>SUM(H97:H107)</f>
        <v>1006.875</v>
      </c>
      <c r="I108" s="623"/>
    </row>
    <row r="109" spans="2:9" ht="13.5" customHeight="1">
      <c r="B109" s="582"/>
      <c r="C109" s="623"/>
      <c r="D109" s="623"/>
      <c r="E109" s="623"/>
      <c r="F109" s="624"/>
      <c r="G109" s="624"/>
      <c r="H109" s="623"/>
      <c r="I109" s="623"/>
    </row>
    <row r="110" spans="2:9" ht="13.5" customHeight="1">
      <c r="B110" s="625">
        <v>3.02</v>
      </c>
      <c r="C110" s="626" t="s">
        <v>97</v>
      </c>
      <c r="D110" s="623"/>
      <c r="E110" s="623"/>
      <c r="F110" s="624"/>
      <c r="G110" s="624"/>
      <c r="H110" s="627" t="s">
        <v>0</v>
      </c>
      <c r="I110" s="628">
        <f>+H126</f>
        <v>738.375</v>
      </c>
    </row>
    <row r="111" spans="2:9" ht="13.5" customHeight="1">
      <c r="B111" s="648"/>
      <c r="C111" s="626"/>
      <c r="D111" s="623"/>
      <c r="E111" s="623"/>
      <c r="F111" s="624"/>
      <c r="G111" s="624"/>
      <c r="H111" s="623"/>
      <c r="I111" s="623"/>
    </row>
    <row r="112" spans="2:9" ht="13.5" customHeight="1">
      <c r="B112" s="582"/>
      <c r="C112" s="652" t="s">
        <v>29</v>
      </c>
      <c r="D112" s="596"/>
      <c r="E112" s="596"/>
      <c r="F112" s="630"/>
      <c r="G112" s="630"/>
      <c r="H112" s="596"/>
      <c r="I112" s="624"/>
    </row>
    <row r="113" spans="2:9" ht="13.5" customHeight="1">
      <c r="B113" s="582"/>
      <c r="C113" s="652"/>
      <c r="D113" s="596"/>
      <c r="E113" s="596"/>
      <c r="F113" s="630"/>
      <c r="G113" s="630"/>
      <c r="H113" s="596"/>
      <c r="I113" s="624"/>
    </row>
    <row r="114" spans="2:9" ht="13.5" customHeight="1">
      <c r="B114" s="582"/>
      <c r="C114" s="643" t="s">
        <v>30</v>
      </c>
      <c r="D114" s="633" t="s">
        <v>31</v>
      </c>
      <c r="E114" s="633" t="str">
        <f t="shared" ref="E114:E125" si="16">+E35</f>
        <v>COEF. PARTIC.</v>
      </c>
      <c r="F114" s="633" t="s">
        <v>32</v>
      </c>
      <c r="G114" s="633" t="s">
        <v>13</v>
      </c>
      <c r="H114" s="633" t="s">
        <v>4</v>
      </c>
      <c r="I114" s="623"/>
    </row>
    <row r="115" spans="2:9" ht="13.5" customHeight="1">
      <c r="B115" s="582"/>
      <c r="C115" s="662" t="str">
        <f t="shared" ref="C115:D125" si="17">+C36</f>
        <v>INGENIERO CIVIL O ARQUITECTO (COORDINADOR)</v>
      </c>
      <c r="D115" s="645">
        <f t="shared" si="17"/>
        <v>1</v>
      </c>
      <c r="E115" s="645">
        <f t="shared" si="16"/>
        <v>1</v>
      </c>
      <c r="F115" s="645">
        <f t="shared" ref="F115:F125" si="18">+F36</f>
        <v>0.5</v>
      </c>
      <c r="G115" s="645">
        <f t="shared" ref="G115:G125" si="19">(+G36+G155)/10</f>
        <v>550</v>
      </c>
      <c r="H115" s="645">
        <f t="shared" ref="H115:H125" si="20">PRODUCT(D115:G115)</f>
        <v>275</v>
      </c>
      <c r="I115" s="623"/>
    </row>
    <row r="116" spans="2:9" ht="13.5" hidden="1" customHeight="1">
      <c r="B116" s="582"/>
      <c r="C116" s="662" t="str">
        <f t="shared" si="17"/>
        <v>ARQUITECTO</v>
      </c>
      <c r="D116" s="645">
        <f t="shared" si="17"/>
        <v>0</v>
      </c>
      <c r="E116" s="645">
        <f t="shared" si="16"/>
        <v>1</v>
      </c>
      <c r="F116" s="645">
        <f t="shared" si="18"/>
        <v>4</v>
      </c>
      <c r="G116" s="645">
        <f t="shared" si="19"/>
        <v>440</v>
      </c>
      <c r="H116" s="645">
        <f t="shared" si="20"/>
        <v>0</v>
      </c>
      <c r="I116" s="623"/>
    </row>
    <row r="117" spans="2:9" ht="13.5" hidden="1" customHeight="1">
      <c r="B117" s="582"/>
      <c r="C117" s="662" t="str">
        <f t="shared" si="17"/>
        <v>INGENIERO ESPECIALISTA EN ESTRUCTURAS</v>
      </c>
      <c r="D117" s="645">
        <f t="shared" si="17"/>
        <v>0</v>
      </c>
      <c r="E117" s="645">
        <f t="shared" si="16"/>
        <v>1</v>
      </c>
      <c r="F117" s="645">
        <f t="shared" si="18"/>
        <v>4</v>
      </c>
      <c r="G117" s="645">
        <f t="shared" si="19"/>
        <v>440</v>
      </c>
      <c r="H117" s="645">
        <f t="shared" si="20"/>
        <v>0</v>
      </c>
      <c r="I117" s="623"/>
    </row>
    <row r="118" spans="2:9" ht="13.5" hidden="1" customHeight="1">
      <c r="B118" s="582"/>
      <c r="C118" s="662" t="str">
        <f t="shared" si="17"/>
        <v>INGENIERO ESPECIALISTA EN EN COSTOS Y PRESUPUESTO</v>
      </c>
      <c r="D118" s="645">
        <f t="shared" si="17"/>
        <v>0</v>
      </c>
      <c r="E118" s="645">
        <f t="shared" si="16"/>
        <v>1</v>
      </c>
      <c r="F118" s="645">
        <f t="shared" si="18"/>
        <v>2</v>
      </c>
      <c r="G118" s="645">
        <f t="shared" si="19"/>
        <v>440</v>
      </c>
      <c r="H118" s="645">
        <f>PRODUCT(D118:G118)</f>
        <v>0</v>
      </c>
      <c r="I118" s="623"/>
    </row>
    <row r="119" spans="2:9" ht="13.5" hidden="1" customHeight="1">
      <c r="B119" s="582"/>
      <c r="C119" s="662" t="str">
        <f t="shared" si="17"/>
        <v>INGENIERO ESPECIALISTA EN INSTALACIONES SANITARIAS</v>
      </c>
      <c r="D119" s="645">
        <f t="shared" si="17"/>
        <v>0</v>
      </c>
      <c r="E119" s="645">
        <f t="shared" si="16"/>
        <v>1</v>
      </c>
      <c r="F119" s="645">
        <f t="shared" si="18"/>
        <v>2</v>
      </c>
      <c r="G119" s="645">
        <f t="shared" si="19"/>
        <v>440</v>
      </c>
      <c r="H119" s="645">
        <f t="shared" si="20"/>
        <v>0</v>
      </c>
      <c r="I119" s="623"/>
    </row>
    <row r="120" spans="2:9" ht="13.5" hidden="1" customHeight="1">
      <c r="B120" s="582"/>
      <c r="C120" s="662" t="str">
        <f t="shared" si="17"/>
        <v>INGENIERO ESPECIALISTA EN INSTALACIONES ELECTRICAS</v>
      </c>
      <c r="D120" s="645">
        <f t="shared" si="17"/>
        <v>0</v>
      </c>
      <c r="E120" s="645">
        <f t="shared" si="16"/>
        <v>1</v>
      </c>
      <c r="F120" s="645">
        <f t="shared" si="18"/>
        <v>1</v>
      </c>
      <c r="G120" s="645">
        <f t="shared" si="19"/>
        <v>440</v>
      </c>
      <c r="H120" s="645">
        <f t="shared" si="20"/>
        <v>0</v>
      </c>
      <c r="I120" s="623"/>
    </row>
    <row r="121" spans="2:9" ht="13.5" customHeight="1">
      <c r="B121" s="582"/>
      <c r="C121" s="662" t="str">
        <f t="shared" si="17"/>
        <v>INGENIERO ESPECIALISTA EN INSTALACIONES ESPECIALES</v>
      </c>
      <c r="D121" s="645">
        <f t="shared" si="17"/>
        <v>1</v>
      </c>
      <c r="E121" s="645">
        <f t="shared" si="16"/>
        <v>1</v>
      </c>
      <c r="F121" s="645">
        <f t="shared" si="18"/>
        <v>0.5</v>
      </c>
      <c r="G121" s="645">
        <f t="shared" si="19"/>
        <v>550</v>
      </c>
      <c r="H121" s="645">
        <f t="shared" si="20"/>
        <v>275</v>
      </c>
      <c r="I121" s="623"/>
    </row>
    <row r="122" spans="2:9" ht="13.5" hidden="1" customHeight="1">
      <c r="B122" s="582"/>
      <c r="C122" s="662" t="str">
        <f t="shared" si="17"/>
        <v>INGENIERO GEOLOGO</v>
      </c>
      <c r="D122" s="645">
        <f t="shared" si="17"/>
        <v>0</v>
      </c>
      <c r="E122" s="645">
        <f t="shared" si="16"/>
        <v>1</v>
      </c>
      <c r="F122" s="645">
        <f t="shared" si="18"/>
        <v>1</v>
      </c>
      <c r="G122" s="645">
        <f t="shared" si="19"/>
        <v>440</v>
      </c>
      <c r="H122" s="645">
        <f t="shared" si="20"/>
        <v>0</v>
      </c>
      <c r="I122" s="623"/>
    </row>
    <row r="123" spans="2:9" ht="13.5" customHeight="1">
      <c r="B123" s="582"/>
      <c r="C123" s="662" t="str">
        <f t="shared" si="17"/>
        <v>ASISTENTE TECNICO</v>
      </c>
      <c r="D123" s="645">
        <f t="shared" si="17"/>
        <v>1</v>
      </c>
      <c r="E123" s="645">
        <f t="shared" si="16"/>
        <v>0.5</v>
      </c>
      <c r="F123" s="645">
        <f t="shared" si="18"/>
        <v>0.5</v>
      </c>
      <c r="G123" s="645">
        <f t="shared" si="19"/>
        <v>368.5</v>
      </c>
      <c r="H123" s="645">
        <f t="shared" si="20"/>
        <v>92.125</v>
      </c>
      <c r="I123" s="623"/>
    </row>
    <row r="124" spans="2:9" ht="13.5" hidden="1" customHeight="1">
      <c r="B124" s="582"/>
      <c r="C124" s="662" t="str">
        <f t="shared" si="17"/>
        <v>PROFESIONAL ADMINISTRATIVO</v>
      </c>
      <c r="D124" s="645">
        <f t="shared" si="17"/>
        <v>0</v>
      </c>
      <c r="E124" s="645">
        <f t="shared" si="16"/>
        <v>0.5</v>
      </c>
      <c r="F124" s="645">
        <f t="shared" si="18"/>
        <v>2</v>
      </c>
      <c r="G124" s="645">
        <f t="shared" si="19"/>
        <v>330</v>
      </c>
      <c r="H124" s="645">
        <f t="shared" si="20"/>
        <v>0</v>
      </c>
      <c r="I124" s="623"/>
    </row>
    <row r="125" spans="2:9" ht="13.5" customHeight="1">
      <c r="B125" s="582"/>
      <c r="C125" s="662" t="str">
        <f t="shared" si="17"/>
        <v>ASISTENTE ADMINISTRATIVO</v>
      </c>
      <c r="D125" s="645">
        <f t="shared" si="17"/>
        <v>1</v>
      </c>
      <c r="E125" s="645">
        <f t="shared" si="16"/>
        <v>0.5</v>
      </c>
      <c r="F125" s="645">
        <f t="shared" si="18"/>
        <v>0.5</v>
      </c>
      <c r="G125" s="645">
        <f t="shared" si="19"/>
        <v>385</v>
      </c>
      <c r="H125" s="645">
        <f t="shared" si="20"/>
        <v>96.25</v>
      </c>
      <c r="I125" s="623"/>
    </row>
    <row r="126" spans="2:9" ht="13.5" customHeight="1">
      <c r="B126" s="582"/>
      <c r="C126" s="1105" t="s">
        <v>3</v>
      </c>
      <c r="D126" s="1106"/>
      <c r="E126" s="1106"/>
      <c r="F126" s="1106"/>
      <c r="G126" s="1107"/>
      <c r="H126" s="635">
        <f>SUM(H115:H125)</f>
        <v>738.375</v>
      </c>
      <c r="I126" s="623"/>
    </row>
    <row r="127" spans="2:9" ht="13.5" customHeight="1">
      <c r="B127" s="582"/>
      <c r="C127" s="623"/>
      <c r="D127" s="623"/>
      <c r="E127" s="623"/>
      <c r="F127" s="624"/>
      <c r="G127" s="624"/>
      <c r="H127" s="623"/>
      <c r="I127" s="623"/>
    </row>
    <row r="128" spans="2:9" ht="13.5" customHeight="1">
      <c r="B128" s="614">
        <v>4</v>
      </c>
      <c r="C128" s="615" t="s">
        <v>214</v>
      </c>
      <c r="D128" s="616"/>
      <c r="E128" s="616"/>
      <c r="F128" s="617"/>
      <c r="G128" s="618"/>
      <c r="H128" s="619" t="s">
        <v>0</v>
      </c>
      <c r="I128" s="620">
        <f>+I130</f>
        <v>75</v>
      </c>
    </row>
    <row r="129" spans="2:9" ht="13.5" customHeight="1">
      <c r="B129" s="650"/>
      <c r="C129" s="651"/>
      <c r="D129" s="623"/>
      <c r="E129" s="623"/>
      <c r="F129" s="596"/>
      <c r="G129" s="642"/>
      <c r="H129" s="627"/>
      <c r="I129" s="628"/>
    </row>
    <row r="130" spans="2:9" ht="13.5" customHeight="1">
      <c r="B130" s="625">
        <v>4.01</v>
      </c>
      <c r="C130" s="626" t="s">
        <v>96</v>
      </c>
      <c r="D130" s="653">
        <v>300</v>
      </c>
      <c r="E130" s="653"/>
      <c r="F130" s="624"/>
      <c r="G130" s="624"/>
      <c r="H130" s="627" t="s">
        <v>0</v>
      </c>
      <c r="I130" s="628">
        <f>+H146</f>
        <v>75</v>
      </c>
    </row>
    <row r="131" spans="2:9" ht="13.5" customHeight="1">
      <c r="B131" s="648"/>
      <c r="C131" s="626"/>
      <c r="D131" s="623"/>
      <c r="E131" s="623"/>
      <c r="F131" s="624"/>
      <c r="G131" s="624"/>
      <c r="H131" s="623"/>
      <c r="I131" s="623"/>
    </row>
    <row r="132" spans="2:9" ht="13.5" customHeight="1">
      <c r="B132" s="582"/>
      <c r="C132" s="652" t="s">
        <v>29</v>
      </c>
      <c r="D132" s="596"/>
      <c r="E132" s="596"/>
      <c r="F132" s="630"/>
      <c r="G132" s="630"/>
      <c r="H132" s="596"/>
      <c r="I132" s="624"/>
    </row>
    <row r="133" spans="2:9" ht="13.5" customHeight="1">
      <c r="B133" s="582"/>
      <c r="C133" s="652"/>
      <c r="D133" s="596"/>
      <c r="E133" s="596"/>
      <c r="F133" s="630"/>
      <c r="G133" s="630"/>
      <c r="H133" s="596"/>
      <c r="I133" s="624"/>
    </row>
    <row r="134" spans="2:9" ht="13.5" customHeight="1">
      <c r="B134" s="582"/>
      <c r="C134" s="643" t="s">
        <v>30</v>
      </c>
      <c r="D134" s="633" t="s">
        <v>31</v>
      </c>
      <c r="E134" s="633" t="str">
        <f>+E35</f>
        <v>COEF. PARTIC.</v>
      </c>
      <c r="F134" s="633" t="s">
        <v>32</v>
      </c>
      <c r="G134" s="633" t="s">
        <v>13</v>
      </c>
      <c r="H134" s="633" t="s">
        <v>4</v>
      </c>
      <c r="I134" s="623"/>
    </row>
    <row r="135" spans="2:9" ht="13.5" customHeight="1">
      <c r="B135" s="582"/>
      <c r="C135" s="662" t="str">
        <f t="shared" ref="C135:F145" si="21">C36</f>
        <v>INGENIERO CIVIL O ARQUITECTO (COORDINADOR)</v>
      </c>
      <c r="D135" s="645">
        <f t="shared" si="21"/>
        <v>1</v>
      </c>
      <c r="E135" s="645">
        <f t="shared" si="21"/>
        <v>1</v>
      </c>
      <c r="F135" s="645">
        <f t="shared" si="21"/>
        <v>0.5</v>
      </c>
      <c r="G135" s="645">
        <f>($D$130*2)/12*(F135*E135)</f>
        <v>25</v>
      </c>
      <c r="H135" s="645">
        <f>+D135*G135</f>
        <v>25</v>
      </c>
      <c r="I135" s="623"/>
    </row>
    <row r="136" spans="2:9" ht="13.5" hidden="1" customHeight="1">
      <c r="B136" s="582"/>
      <c r="C136" s="662" t="str">
        <f t="shared" si="21"/>
        <v>ARQUITECTO</v>
      </c>
      <c r="D136" s="645">
        <f t="shared" si="21"/>
        <v>0</v>
      </c>
      <c r="E136" s="645">
        <f t="shared" si="21"/>
        <v>1</v>
      </c>
      <c r="F136" s="645">
        <f t="shared" si="21"/>
        <v>4</v>
      </c>
      <c r="G136" s="645">
        <f t="shared" ref="G136:G145" si="22">($D$130*2)/12*(F136*E136)</f>
        <v>200</v>
      </c>
      <c r="H136" s="645">
        <f t="shared" ref="H136:H145" si="23">+D136*G136</f>
        <v>0</v>
      </c>
      <c r="I136" s="623"/>
    </row>
    <row r="137" spans="2:9" ht="13.5" hidden="1" customHeight="1">
      <c r="B137" s="582"/>
      <c r="C137" s="662" t="str">
        <f t="shared" si="21"/>
        <v>INGENIERO ESPECIALISTA EN ESTRUCTURAS</v>
      </c>
      <c r="D137" s="645">
        <f t="shared" si="21"/>
        <v>0</v>
      </c>
      <c r="E137" s="645">
        <f t="shared" si="21"/>
        <v>1</v>
      </c>
      <c r="F137" s="645">
        <f t="shared" si="21"/>
        <v>4</v>
      </c>
      <c r="G137" s="645">
        <f t="shared" si="22"/>
        <v>200</v>
      </c>
      <c r="H137" s="645">
        <f t="shared" si="23"/>
        <v>0</v>
      </c>
      <c r="I137" s="623"/>
    </row>
    <row r="138" spans="2:9" ht="13.5" hidden="1" customHeight="1">
      <c r="B138" s="582"/>
      <c r="C138" s="662" t="str">
        <f t="shared" si="21"/>
        <v>INGENIERO ESPECIALISTA EN EN COSTOS Y PRESUPUESTO</v>
      </c>
      <c r="D138" s="645">
        <f t="shared" si="21"/>
        <v>0</v>
      </c>
      <c r="E138" s="645">
        <f t="shared" si="21"/>
        <v>1</v>
      </c>
      <c r="F138" s="645">
        <f t="shared" si="21"/>
        <v>2</v>
      </c>
      <c r="G138" s="645">
        <f>($D$130*2)/12*(F138*E138)</f>
        <v>100</v>
      </c>
      <c r="H138" s="645">
        <f>+D138*G138</f>
        <v>0</v>
      </c>
      <c r="I138" s="623"/>
    </row>
    <row r="139" spans="2:9" ht="13.5" hidden="1" customHeight="1">
      <c r="B139" s="582"/>
      <c r="C139" s="662" t="str">
        <f t="shared" si="21"/>
        <v>INGENIERO ESPECIALISTA EN INSTALACIONES SANITARIAS</v>
      </c>
      <c r="D139" s="645">
        <f t="shared" si="21"/>
        <v>0</v>
      </c>
      <c r="E139" s="645">
        <f t="shared" si="21"/>
        <v>1</v>
      </c>
      <c r="F139" s="645">
        <f t="shared" si="21"/>
        <v>2</v>
      </c>
      <c r="G139" s="645">
        <f t="shared" si="22"/>
        <v>100</v>
      </c>
      <c r="H139" s="645">
        <f t="shared" si="23"/>
        <v>0</v>
      </c>
      <c r="I139" s="623"/>
    </row>
    <row r="140" spans="2:9" ht="13.5" hidden="1" customHeight="1">
      <c r="B140" s="582"/>
      <c r="C140" s="662" t="str">
        <f t="shared" si="21"/>
        <v>INGENIERO ESPECIALISTA EN INSTALACIONES ELECTRICAS</v>
      </c>
      <c r="D140" s="645">
        <f t="shared" si="21"/>
        <v>0</v>
      </c>
      <c r="E140" s="645">
        <f t="shared" si="21"/>
        <v>1</v>
      </c>
      <c r="F140" s="645">
        <f t="shared" si="21"/>
        <v>1</v>
      </c>
      <c r="G140" s="645">
        <f t="shared" si="22"/>
        <v>50</v>
      </c>
      <c r="H140" s="645">
        <f t="shared" si="23"/>
        <v>0</v>
      </c>
      <c r="I140" s="623"/>
    </row>
    <row r="141" spans="2:9" ht="13.5" customHeight="1">
      <c r="B141" s="582"/>
      <c r="C141" s="662" t="str">
        <f t="shared" si="21"/>
        <v>INGENIERO ESPECIALISTA EN INSTALACIONES ESPECIALES</v>
      </c>
      <c r="D141" s="645">
        <f t="shared" si="21"/>
        <v>1</v>
      </c>
      <c r="E141" s="645">
        <f t="shared" si="21"/>
        <v>1</v>
      </c>
      <c r="F141" s="645">
        <f t="shared" si="21"/>
        <v>0.5</v>
      </c>
      <c r="G141" s="645">
        <f t="shared" si="22"/>
        <v>25</v>
      </c>
      <c r="H141" s="645">
        <f t="shared" si="23"/>
        <v>25</v>
      </c>
      <c r="I141" s="623"/>
    </row>
    <row r="142" spans="2:9" ht="13.5" hidden="1" customHeight="1">
      <c r="B142" s="582"/>
      <c r="C142" s="662" t="str">
        <f t="shared" si="21"/>
        <v>INGENIERO GEOLOGO</v>
      </c>
      <c r="D142" s="645">
        <f t="shared" si="21"/>
        <v>0</v>
      </c>
      <c r="E142" s="645">
        <f t="shared" si="21"/>
        <v>1</v>
      </c>
      <c r="F142" s="645">
        <f t="shared" si="21"/>
        <v>1</v>
      </c>
      <c r="G142" s="645">
        <f t="shared" si="22"/>
        <v>50</v>
      </c>
      <c r="H142" s="645">
        <f t="shared" si="23"/>
        <v>0</v>
      </c>
      <c r="I142" s="623"/>
    </row>
    <row r="143" spans="2:9" ht="13.5" customHeight="1">
      <c r="B143" s="582"/>
      <c r="C143" s="662" t="str">
        <f t="shared" si="21"/>
        <v>ASISTENTE TECNICO</v>
      </c>
      <c r="D143" s="645">
        <f t="shared" si="21"/>
        <v>1</v>
      </c>
      <c r="E143" s="645">
        <f t="shared" si="21"/>
        <v>0.5</v>
      </c>
      <c r="F143" s="645">
        <f t="shared" si="21"/>
        <v>0.5</v>
      </c>
      <c r="G143" s="645">
        <f t="shared" si="22"/>
        <v>12.5</v>
      </c>
      <c r="H143" s="645">
        <f t="shared" si="23"/>
        <v>12.5</v>
      </c>
      <c r="I143" s="623"/>
    </row>
    <row r="144" spans="2:9" ht="13.5" hidden="1" customHeight="1">
      <c r="B144" s="582"/>
      <c r="C144" s="662" t="str">
        <f t="shared" si="21"/>
        <v>PROFESIONAL ADMINISTRATIVO</v>
      </c>
      <c r="D144" s="645">
        <f t="shared" si="21"/>
        <v>0</v>
      </c>
      <c r="E144" s="645">
        <f t="shared" si="21"/>
        <v>0.5</v>
      </c>
      <c r="F144" s="645">
        <f t="shared" si="21"/>
        <v>2</v>
      </c>
      <c r="G144" s="645">
        <f t="shared" si="22"/>
        <v>50</v>
      </c>
      <c r="H144" s="645">
        <f t="shared" si="23"/>
        <v>0</v>
      </c>
      <c r="I144" s="623"/>
    </row>
    <row r="145" spans="2:9" ht="13.5" customHeight="1">
      <c r="B145" s="582"/>
      <c r="C145" s="662" t="str">
        <f t="shared" si="21"/>
        <v>ASISTENTE ADMINISTRATIVO</v>
      </c>
      <c r="D145" s="645">
        <f t="shared" si="21"/>
        <v>1</v>
      </c>
      <c r="E145" s="645">
        <f t="shared" si="21"/>
        <v>0.5</v>
      </c>
      <c r="F145" s="645">
        <f t="shared" si="21"/>
        <v>0.5</v>
      </c>
      <c r="G145" s="645">
        <f t="shared" si="22"/>
        <v>12.5</v>
      </c>
      <c r="H145" s="645">
        <f t="shared" si="23"/>
        <v>12.5</v>
      </c>
      <c r="I145" s="623"/>
    </row>
    <row r="146" spans="2:9" ht="13.5" customHeight="1">
      <c r="B146" s="582"/>
      <c r="C146" s="1099" t="s">
        <v>3</v>
      </c>
      <c r="D146" s="1099"/>
      <c r="E146" s="1099"/>
      <c r="F146" s="1099"/>
      <c r="G146" s="1099"/>
      <c r="H146" s="633">
        <f>SUM(H135:H145)</f>
        <v>75</v>
      </c>
      <c r="I146" s="623"/>
    </row>
    <row r="147" spans="2:9" ht="13.5" customHeight="1">
      <c r="B147" s="582"/>
      <c r="C147" s="640"/>
      <c r="D147" s="640"/>
      <c r="E147" s="640"/>
      <c r="F147" s="640"/>
      <c r="G147" s="640"/>
      <c r="H147" s="640"/>
      <c r="I147" s="623"/>
    </row>
    <row r="148" spans="2:9" ht="13.5" customHeight="1">
      <c r="B148" s="739">
        <v>5</v>
      </c>
      <c r="C148" s="706" t="s">
        <v>417</v>
      </c>
      <c r="D148" s="707"/>
      <c r="E148" s="707"/>
      <c r="F148" s="740"/>
      <c r="G148" s="741"/>
      <c r="H148" s="709" t="s">
        <v>0</v>
      </c>
      <c r="I148" s="710">
        <f>+I150</f>
        <v>0</v>
      </c>
    </row>
    <row r="149" spans="2:9" ht="13.5" customHeight="1">
      <c r="B149" s="650"/>
      <c r="C149" s="651"/>
      <c r="D149" s="623"/>
      <c r="E149" s="623"/>
      <c r="F149" s="596"/>
      <c r="G149" s="578"/>
      <c r="H149" s="623"/>
      <c r="I149" s="628"/>
    </row>
    <row r="150" spans="2:9" ht="13.5" customHeight="1">
      <c r="B150" s="625">
        <v>4.01</v>
      </c>
      <c r="C150" s="626" t="s">
        <v>418</v>
      </c>
      <c r="D150" s="653"/>
      <c r="E150" s="653"/>
      <c r="F150" s="624"/>
      <c r="G150" s="578"/>
      <c r="H150" s="627" t="s">
        <v>0</v>
      </c>
      <c r="I150" s="628">
        <f>H159</f>
        <v>0</v>
      </c>
    </row>
    <row r="151" spans="2:9" ht="13.5" customHeight="1">
      <c r="B151" s="648"/>
      <c r="C151" s="626"/>
      <c r="D151" s="623"/>
      <c r="E151" s="623"/>
      <c r="F151" s="624"/>
      <c r="G151" s="624"/>
      <c r="H151" s="623"/>
      <c r="I151" s="623"/>
    </row>
    <row r="152" spans="2:9" ht="13.5" customHeight="1">
      <c r="B152" s="582"/>
      <c r="C152" s="652" t="s">
        <v>29</v>
      </c>
      <c r="D152" s="596"/>
      <c r="E152" s="596"/>
      <c r="F152" s="630"/>
      <c r="G152" s="630"/>
      <c r="H152" s="596"/>
      <c r="I152" s="623"/>
    </row>
    <row r="153" spans="2:9" ht="13.5" customHeight="1">
      <c r="B153" s="582"/>
      <c r="C153" s="652"/>
      <c r="D153" s="596"/>
      <c r="E153" s="596"/>
      <c r="F153" s="630"/>
      <c r="G153" s="630"/>
      <c r="H153" s="596"/>
      <c r="I153" s="623"/>
    </row>
    <row r="154" spans="2:9" ht="13.5" customHeight="1">
      <c r="B154" s="582"/>
      <c r="C154" s="643" t="s">
        <v>30</v>
      </c>
      <c r="D154" s="633" t="s">
        <v>31</v>
      </c>
      <c r="E154" s="633" t="s">
        <v>291</v>
      </c>
      <c r="F154" s="633" t="s">
        <v>32</v>
      </c>
      <c r="G154" s="633" t="s">
        <v>13</v>
      </c>
      <c r="H154" s="633" t="s">
        <v>4</v>
      </c>
      <c r="I154" s="623"/>
    </row>
    <row r="155" spans="2:9" ht="13.5" customHeight="1">
      <c r="B155" s="582"/>
      <c r="C155" s="662" t="str">
        <f t="shared" ref="C155:F165" si="24">C36</f>
        <v>INGENIERO CIVIL O ARQUITECTO (COORDINADOR)</v>
      </c>
      <c r="D155" s="645">
        <f t="shared" si="24"/>
        <v>1</v>
      </c>
      <c r="E155" s="645">
        <f t="shared" si="24"/>
        <v>1</v>
      </c>
      <c r="F155" s="645">
        <f t="shared" si="24"/>
        <v>0.5</v>
      </c>
      <c r="G155" s="645">
        <f t="shared" ref="G155:G165" si="25">G36/10</f>
        <v>500</v>
      </c>
      <c r="H155" s="645">
        <f t="shared" ref="H155:H165" si="26">PRODUCT(D155:G155)</f>
        <v>250</v>
      </c>
      <c r="I155" s="623"/>
    </row>
    <row r="156" spans="2:9" ht="13.5" hidden="1" customHeight="1">
      <c r="B156" s="582"/>
      <c r="C156" s="662" t="str">
        <f t="shared" si="24"/>
        <v>ARQUITECTO</v>
      </c>
      <c r="D156" s="645">
        <f t="shared" si="24"/>
        <v>0</v>
      </c>
      <c r="E156" s="645">
        <f t="shared" si="24"/>
        <v>1</v>
      </c>
      <c r="F156" s="645">
        <f t="shared" si="24"/>
        <v>4</v>
      </c>
      <c r="G156" s="645">
        <f t="shared" si="25"/>
        <v>400</v>
      </c>
      <c r="H156" s="645">
        <f t="shared" si="26"/>
        <v>0</v>
      </c>
      <c r="I156" s="623"/>
    </row>
    <row r="157" spans="2:9" ht="13.5" hidden="1" customHeight="1">
      <c r="B157" s="582"/>
      <c r="C157" s="662" t="str">
        <f t="shared" si="24"/>
        <v>INGENIERO ESPECIALISTA EN ESTRUCTURAS</v>
      </c>
      <c r="D157" s="645">
        <f t="shared" si="24"/>
        <v>0</v>
      </c>
      <c r="E157" s="645">
        <f t="shared" si="24"/>
        <v>1</v>
      </c>
      <c r="F157" s="645">
        <f t="shared" si="24"/>
        <v>4</v>
      </c>
      <c r="G157" s="645">
        <f t="shared" si="25"/>
        <v>400</v>
      </c>
      <c r="H157" s="645">
        <f t="shared" si="26"/>
        <v>0</v>
      </c>
      <c r="I157" s="623"/>
    </row>
    <row r="158" spans="2:9" ht="13.5" hidden="1" customHeight="1">
      <c r="B158" s="582"/>
      <c r="C158" s="662" t="str">
        <f t="shared" si="24"/>
        <v>INGENIERO ESPECIALISTA EN EN COSTOS Y PRESUPUESTO</v>
      </c>
      <c r="D158" s="645">
        <f t="shared" si="24"/>
        <v>0</v>
      </c>
      <c r="E158" s="645">
        <f t="shared" si="24"/>
        <v>1</v>
      </c>
      <c r="F158" s="645">
        <f t="shared" si="24"/>
        <v>2</v>
      </c>
      <c r="G158" s="645">
        <f t="shared" si="25"/>
        <v>400</v>
      </c>
      <c r="H158" s="645">
        <f>PRODUCT(D158:G158)</f>
        <v>0</v>
      </c>
      <c r="I158" s="623"/>
    </row>
    <row r="159" spans="2:9" ht="13.5" hidden="1" customHeight="1">
      <c r="B159" s="582"/>
      <c r="C159" s="662" t="str">
        <f t="shared" si="24"/>
        <v>INGENIERO ESPECIALISTA EN INSTALACIONES SANITARIAS</v>
      </c>
      <c r="D159" s="645">
        <f t="shared" si="24"/>
        <v>0</v>
      </c>
      <c r="E159" s="645">
        <f t="shared" si="24"/>
        <v>1</v>
      </c>
      <c r="F159" s="645">
        <f t="shared" si="24"/>
        <v>2</v>
      </c>
      <c r="G159" s="645">
        <f t="shared" si="25"/>
        <v>400</v>
      </c>
      <c r="H159" s="645">
        <f t="shared" si="26"/>
        <v>0</v>
      </c>
      <c r="I159" s="623"/>
    </row>
    <row r="160" spans="2:9" ht="13.5" hidden="1" customHeight="1">
      <c r="B160" s="582"/>
      <c r="C160" s="662" t="str">
        <f t="shared" si="24"/>
        <v>INGENIERO ESPECIALISTA EN INSTALACIONES ELECTRICAS</v>
      </c>
      <c r="D160" s="645">
        <f t="shared" si="24"/>
        <v>0</v>
      </c>
      <c r="E160" s="645">
        <f t="shared" si="24"/>
        <v>1</v>
      </c>
      <c r="F160" s="645">
        <f t="shared" si="24"/>
        <v>1</v>
      </c>
      <c r="G160" s="645">
        <f t="shared" si="25"/>
        <v>400</v>
      </c>
      <c r="H160" s="645">
        <f t="shared" si="26"/>
        <v>0</v>
      </c>
      <c r="I160" s="623"/>
    </row>
    <row r="161" spans="2:11" ht="13.5" customHeight="1">
      <c r="B161" s="582"/>
      <c r="C161" s="662" t="str">
        <f t="shared" si="24"/>
        <v>INGENIERO ESPECIALISTA EN INSTALACIONES ESPECIALES</v>
      </c>
      <c r="D161" s="645">
        <f t="shared" si="24"/>
        <v>1</v>
      </c>
      <c r="E161" s="645">
        <f t="shared" si="24"/>
        <v>1</v>
      </c>
      <c r="F161" s="645">
        <f t="shared" si="24"/>
        <v>0.5</v>
      </c>
      <c r="G161" s="645">
        <f t="shared" si="25"/>
        <v>500</v>
      </c>
      <c r="H161" s="645">
        <f t="shared" si="26"/>
        <v>250</v>
      </c>
      <c r="I161" s="623"/>
    </row>
    <row r="162" spans="2:11" ht="13.5" hidden="1" customHeight="1">
      <c r="B162" s="582"/>
      <c r="C162" s="662" t="str">
        <f t="shared" si="24"/>
        <v>INGENIERO GEOLOGO</v>
      </c>
      <c r="D162" s="645">
        <f t="shared" si="24"/>
        <v>0</v>
      </c>
      <c r="E162" s="645">
        <f t="shared" si="24"/>
        <v>1</v>
      </c>
      <c r="F162" s="645">
        <f t="shared" si="24"/>
        <v>1</v>
      </c>
      <c r="G162" s="645">
        <f t="shared" si="25"/>
        <v>400</v>
      </c>
      <c r="H162" s="645">
        <f t="shared" si="26"/>
        <v>0</v>
      </c>
      <c r="I162" s="623"/>
    </row>
    <row r="163" spans="2:11" ht="13.5" customHeight="1">
      <c r="B163" s="582"/>
      <c r="C163" s="662" t="str">
        <f t="shared" si="24"/>
        <v>ASISTENTE TECNICO</v>
      </c>
      <c r="D163" s="645">
        <f t="shared" si="24"/>
        <v>1</v>
      </c>
      <c r="E163" s="645">
        <f t="shared" si="24"/>
        <v>0.5</v>
      </c>
      <c r="F163" s="645">
        <f t="shared" si="24"/>
        <v>0.5</v>
      </c>
      <c r="G163" s="645">
        <f t="shared" si="25"/>
        <v>335</v>
      </c>
      <c r="H163" s="645">
        <f t="shared" si="26"/>
        <v>83.75</v>
      </c>
      <c r="I163" s="623"/>
    </row>
    <row r="164" spans="2:11" ht="13.5" hidden="1" customHeight="1">
      <c r="B164" s="582"/>
      <c r="C164" s="662" t="str">
        <f t="shared" si="24"/>
        <v>PROFESIONAL ADMINISTRATIVO</v>
      </c>
      <c r="D164" s="645">
        <f t="shared" si="24"/>
        <v>0</v>
      </c>
      <c r="E164" s="645">
        <f t="shared" si="24"/>
        <v>0.5</v>
      </c>
      <c r="F164" s="645">
        <f t="shared" si="24"/>
        <v>2</v>
      </c>
      <c r="G164" s="645">
        <f t="shared" si="25"/>
        <v>300</v>
      </c>
      <c r="H164" s="645">
        <f t="shared" si="26"/>
        <v>0</v>
      </c>
      <c r="I164" s="623"/>
    </row>
    <row r="165" spans="2:11" ht="13.5" customHeight="1">
      <c r="B165" s="582"/>
      <c r="C165" s="662" t="str">
        <f t="shared" si="24"/>
        <v>ASISTENTE ADMINISTRATIVO</v>
      </c>
      <c r="D165" s="645">
        <f t="shared" si="24"/>
        <v>1</v>
      </c>
      <c r="E165" s="645">
        <f t="shared" si="24"/>
        <v>0.5</v>
      </c>
      <c r="F165" s="645">
        <f t="shared" si="24"/>
        <v>0.5</v>
      </c>
      <c r="G165" s="645">
        <f t="shared" si="25"/>
        <v>350</v>
      </c>
      <c r="H165" s="645">
        <f t="shared" si="26"/>
        <v>87.5</v>
      </c>
      <c r="I165" s="623"/>
    </row>
    <row r="166" spans="2:11" ht="13.5" customHeight="1">
      <c r="B166" s="582"/>
      <c r="C166" s="1099" t="s">
        <v>3</v>
      </c>
      <c r="D166" s="1099"/>
      <c r="E166" s="1099"/>
      <c r="F166" s="1099"/>
      <c r="G166" s="1099"/>
      <c r="H166" s="633">
        <f>SUM(H155:H165)</f>
        <v>671.25</v>
      </c>
      <c r="I166" s="623"/>
    </row>
    <row r="167" spans="2:11" ht="13.5" customHeight="1">
      <c r="B167" s="582"/>
      <c r="C167" s="623"/>
      <c r="D167" s="623"/>
      <c r="E167" s="623"/>
      <c r="F167" s="624"/>
      <c r="G167" s="624"/>
      <c r="H167" s="623"/>
      <c r="I167" s="623"/>
    </row>
    <row r="168" spans="2:11" s="168" customFormat="1" ht="13.5" customHeight="1">
      <c r="B168" s="636" t="s">
        <v>320</v>
      </c>
      <c r="C168" s="637"/>
      <c r="D168" s="606"/>
      <c r="E168" s="606"/>
      <c r="F168" s="606"/>
      <c r="G168" s="607"/>
      <c r="H168" s="607" t="s">
        <v>0</v>
      </c>
      <c r="I168" s="608">
        <f>+ROUND((I170+I178+I186+I204+I228),2)</f>
        <v>2321.66</v>
      </c>
      <c r="J168" s="177"/>
    </row>
    <row r="169" spans="2:11" s="168" customFormat="1" ht="13.5" customHeight="1">
      <c r="B169" s="638"/>
      <c r="C169" s="639"/>
      <c r="D169" s="611"/>
      <c r="E169" s="611"/>
      <c r="F169" s="611"/>
      <c r="G169" s="612"/>
      <c r="H169" s="612"/>
      <c r="I169" s="613"/>
      <c r="J169" s="177"/>
    </row>
    <row r="170" spans="2:11" s="168" customFormat="1" ht="13.5" hidden="1" customHeight="1">
      <c r="B170" s="614">
        <v>1</v>
      </c>
      <c r="C170" s="615" t="s">
        <v>255</v>
      </c>
      <c r="D170" s="616"/>
      <c r="E170" s="616"/>
      <c r="F170" s="617"/>
      <c r="G170" s="618"/>
      <c r="H170" s="619" t="s">
        <v>0</v>
      </c>
      <c r="I170" s="620">
        <f>H176</f>
        <v>0</v>
      </c>
      <c r="J170" s="177"/>
    </row>
    <row r="171" spans="2:11" s="168" customFormat="1" ht="13.5" hidden="1" customHeight="1">
      <c r="B171" s="638"/>
      <c r="C171" s="639"/>
      <c r="D171" s="611"/>
      <c r="E171" s="611"/>
      <c r="F171" s="611"/>
      <c r="G171" s="612"/>
      <c r="H171" s="612"/>
      <c r="I171" s="613"/>
      <c r="J171" s="177"/>
    </row>
    <row r="172" spans="2:11" ht="13.5" hidden="1" customHeight="1">
      <c r="B172" s="625">
        <v>1.01</v>
      </c>
      <c r="C172" s="626" t="s">
        <v>25</v>
      </c>
      <c r="D172" s="623"/>
      <c r="E172" s="623"/>
      <c r="F172" s="623"/>
      <c r="G172" s="624"/>
      <c r="H172" s="627" t="s">
        <v>0</v>
      </c>
      <c r="I172" s="654">
        <f>H176</f>
        <v>0</v>
      </c>
    </row>
    <row r="173" spans="2:11" ht="13.5" hidden="1" customHeight="1">
      <c r="B173" s="648"/>
      <c r="C173" s="626"/>
      <c r="D173" s="623"/>
      <c r="E173" s="623"/>
      <c r="F173" s="623"/>
      <c r="G173" s="624"/>
      <c r="H173" s="623"/>
      <c r="I173" s="623"/>
      <c r="J173" s="171"/>
    </row>
    <row r="174" spans="2:11" ht="13.5" hidden="1" customHeight="1">
      <c r="B174" s="582"/>
      <c r="C174" s="1097" t="s">
        <v>17</v>
      </c>
      <c r="D174" s="1098"/>
      <c r="E174" s="655" t="s">
        <v>2</v>
      </c>
      <c r="F174" s="655" t="s">
        <v>18</v>
      </c>
      <c r="G174" s="655" t="s">
        <v>5</v>
      </c>
      <c r="H174" s="655" t="s">
        <v>4</v>
      </c>
      <c r="I174" s="640"/>
    </row>
    <row r="175" spans="2:11" ht="13.5" hidden="1" customHeight="1">
      <c r="B175" s="582"/>
      <c r="C175" s="1172" t="s">
        <v>253</v>
      </c>
      <c r="D175" s="1173"/>
      <c r="E175" s="659" t="s">
        <v>2</v>
      </c>
      <c r="F175" s="657">
        <v>0</v>
      </c>
      <c r="G175" s="694">
        <v>100</v>
      </c>
      <c r="H175" s="646">
        <f>F175*G175</f>
        <v>0</v>
      </c>
      <c r="I175" s="640"/>
    </row>
    <row r="176" spans="2:11" ht="13.5" hidden="1" customHeight="1">
      <c r="B176" s="582"/>
      <c r="C176" s="1099" t="s">
        <v>3</v>
      </c>
      <c r="D176" s="1099"/>
      <c r="E176" s="1099"/>
      <c r="F176" s="1099"/>
      <c r="G176" s="1099"/>
      <c r="H176" s="660">
        <f>SUM(H175:H175)</f>
        <v>0</v>
      </c>
      <c r="I176" s="641"/>
      <c r="K176" s="161" t="e">
        <f>365-#REF!</f>
        <v>#REF!</v>
      </c>
    </row>
    <row r="177" spans="2:11" ht="13.5" customHeight="1">
      <c r="B177" s="629"/>
      <c r="C177" s="640"/>
      <c r="D177" s="640"/>
      <c r="E177" s="640"/>
      <c r="F177" s="640"/>
      <c r="G177" s="640"/>
      <c r="H177" s="623"/>
      <c r="I177" s="596"/>
    </row>
    <row r="178" spans="2:11" ht="13.5" hidden="1" customHeight="1">
      <c r="B178" s="661">
        <v>1</v>
      </c>
      <c r="C178" s="615" t="s">
        <v>93</v>
      </c>
      <c r="D178" s="616"/>
      <c r="E178" s="616"/>
      <c r="F178" s="617"/>
      <c r="G178" s="618"/>
      <c r="H178" s="619" t="s">
        <v>0</v>
      </c>
      <c r="I178" s="620">
        <f>H184</f>
        <v>0</v>
      </c>
    </row>
    <row r="179" spans="2:11" ht="13.5" hidden="1" customHeight="1">
      <c r="B179" s="638"/>
      <c r="C179" s="639"/>
      <c r="D179" s="611"/>
      <c r="E179" s="611"/>
      <c r="F179" s="611"/>
      <c r="G179" s="612"/>
      <c r="H179" s="612"/>
      <c r="I179" s="613"/>
    </row>
    <row r="180" spans="2:11" ht="13.5" hidden="1" customHeight="1">
      <c r="B180" s="625">
        <v>2.0099999999999998</v>
      </c>
      <c r="C180" s="626" t="s">
        <v>172</v>
      </c>
      <c r="D180" s="623"/>
      <c r="E180" s="623"/>
      <c r="F180" s="623"/>
      <c r="G180" s="624"/>
      <c r="H180" s="627" t="s">
        <v>0</v>
      </c>
      <c r="I180" s="654">
        <f>H184</f>
        <v>0</v>
      </c>
    </row>
    <row r="181" spans="2:11" ht="13.5" hidden="1" customHeight="1">
      <c r="B181" s="648"/>
      <c r="C181" s="626"/>
      <c r="D181" s="623"/>
      <c r="E181" s="623"/>
      <c r="F181" s="623"/>
      <c r="G181" s="624"/>
      <c r="H181" s="623"/>
      <c r="I181" s="623"/>
    </row>
    <row r="182" spans="2:11" ht="13.5" hidden="1" customHeight="1">
      <c r="B182" s="582"/>
      <c r="C182" s="1100" t="s">
        <v>17</v>
      </c>
      <c r="D182" s="1100"/>
      <c r="E182" s="655" t="s">
        <v>2</v>
      </c>
      <c r="F182" s="655" t="s">
        <v>18</v>
      </c>
      <c r="G182" s="655" t="s">
        <v>5</v>
      </c>
      <c r="H182" s="655" t="s">
        <v>4</v>
      </c>
      <c r="I182" s="640"/>
    </row>
    <row r="183" spans="2:11" ht="13.5" hidden="1" customHeight="1">
      <c r="B183" s="582"/>
      <c r="C183" s="1096" t="s">
        <v>279</v>
      </c>
      <c r="D183" s="1096"/>
      <c r="E183" s="656" t="s">
        <v>6</v>
      </c>
      <c r="F183" s="657">
        <v>0</v>
      </c>
      <c r="G183" s="693">
        <v>13.5</v>
      </c>
      <c r="H183" s="658">
        <f>F183*G183</f>
        <v>0</v>
      </c>
      <c r="I183" s="640"/>
      <c r="K183" s="161">
        <f>1000/12</f>
        <v>83.333333333333329</v>
      </c>
    </row>
    <row r="184" spans="2:11" ht="13.5" hidden="1" customHeight="1">
      <c r="B184" s="582"/>
      <c r="C184" s="1099" t="s">
        <v>3</v>
      </c>
      <c r="D184" s="1099"/>
      <c r="E184" s="1099"/>
      <c r="F184" s="1099"/>
      <c r="G184" s="1099"/>
      <c r="H184" s="660">
        <f>SUM(H183)</f>
        <v>0</v>
      </c>
      <c r="I184" s="640"/>
    </row>
    <row r="185" spans="2:11" ht="13.5" customHeight="1">
      <c r="B185" s="629"/>
      <c r="C185" s="640"/>
      <c r="D185" s="640"/>
      <c r="E185" s="640"/>
      <c r="F185" s="640"/>
      <c r="G185" s="640"/>
      <c r="H185" s="623"/>
      <c r="I185" s="596"/>
    </row>
    <row r="186" spans="2:11" ht="13.5" hidden="1" customHeight="1">
      <c r="B186" s="665">
        <v>3</v>
      </c>
      <c r="C186" s="615" t="s">
        <v>292</v>
      </c>
      <c r="D186" s="616"/>
      <c r="E186" s="616"/>
      <c r="F186" s="616"/>
      <c r="G186" s="618"/>
      <c r="H186" s="619" t="s">
        <v>0</v>
      </c>
      <c r="I186" s="620">
        <f>+I188</f>
        <v>0</v>
      </c>
    </row>
    <row r="187" spans="2:11" ht="13.5" hidden="1" customHeight="1">
      <c r="B187" s="648"/>
      <c r="C187" s="626"/>
      <c r="D187" s="623"/>
      <c r="E187" s="623"/>
      <c r="F187" s="623"/>
      <c r="G187" s="624"/>
      <c r="H187" s="623"/>
      <c r="I187" s="623"/>
    </row>
    <row r="188" spans="2:11" ht="13.5" hidden="1" customHeight="1">
      <c r="B188" s="648">
        <v>3.01</v>
      </c>
      <c r="C188" s="626" t="s">
        <v>288</v>
      </c>
      <c r="D188" s="596"/>
      <c r="E188" s="596"/>
      <c r="F188" s="596"/>
      <c r="G188" s="630"/>
      <c r="H188" s="627" t="s">
        <v>0</v>
      </c>
      <c r="I188" s="595">
        <f>H200</f>
        <v>0</v>
      </c>
    </row>
    <row r="189" spans="2:11" ht="13.5" hidden="1" customHeight="1">
      <c r="B189" s="666"/>
      <c r="C189" s="667"/>
      <c r="D189" s="668"/>
      <c r="E189" s="668"/>
      <c r="F189" s="669"/>
      <c r="G189" s="668"/>
      <c r="H189" s="669"/>
    </row>
    <row r="190" spans="2:11" ht="13.5" hidden="1" customHeight="1">
      <c r="B190" s="666"/>
      <c r="C190" s="1170" t="s">
        <v>17</v>
      </c>
      <c r="D190" s="1170"/>
      <c r="E190" s="670" t="s">
        <v>2</v>
      </c>
      <c r="F190" s="671" t="s">
        <v>18</v>
      </c>
      <c r="G190" s="670" t="s">
        <v>5</v>
      </c>
      <c r="H190" s="672" t="s">
        <v>4</v>
      </c>
    </row>
    <row r="191" spans="2:11" ht="13.5" hidden="1" customHeight="1">
      <c r="B191" s="666"/>
      <c r="C191" s="1101" t="s">
        <v>293</v>
      </c>
      <c r="D191" s="1101"/>
      <c r="E191" s="676" t="s">
        <v>2</v>
      </c>
      <c r="F191" s="676">
        <v>0</v>
      </c>
      <c r="G191" s="676">
        <v>1200</v>
      </c>
      <c r="H191" s="695">
        <f>+F191*G191</f>
        <v>0</v>
      </c>
    </row>
    <row r="192" spans="2:11" ht="13.5" hidden="1" customHeight="1">
      <c r="B192" s="666"/>
      <c r="C192" s="675" t="s">
        <v>426</v>
      </c>
      <c r="D192" s="675"/>
      <c r="E192" s="676" t="s">
        <v>2</v>
      </c>
      <c r="F192" s="676">
        <v>0</v>
      </c>
      <c r="G192" s="676">
        <v>300</v>
      </c>
      <c r="H192" s="695">
        <f t="shared" ref="H192:H199" si="27">+F192*G192</f>
        <v>0</v>
      </c>
    </row>
    <row r="193" spans="2:9" ht="13.5" hidden="1" customHeight="1">
      <c r="B193" s="666"/>
      <c r="C193" s="675" t="s">
        <v>425</v>
      </c>
      <c r="D193" s="675"/>
      <c r="E193" s="676" t="s">
        <v>2</v>
      </c>
      <c r="F193" s="676">
        <v>0</v>
      </c>
      <c r="G193" s="676">
        <v>250</v>
      </c>
      <c r="H193" s="695">
        <f t="shared" si="27"/>
        <v>0</v>
      </c>
    </row>
    <row r="194" spans="2:9" ht="13.5" hidden="1" customHeight="1">
      <c r="B194" s="666"/>
      <c r="C194" s="675" t="s">
        <v>424</v>
      </c>
      <c r="D194" s="675"/>
      <c r="E194" s="676" t="s">
        <v>2</v>
      </c>
      <c r="F194" s="676">
        <v>0</v>
      </c>
      <c r="G194" s="676">
        <v>300</v>
      </c>
      <c r="H194" s="695">
        <f t="shared" si="27"/>
        <v>0</v>
      </c>
    </row>
    <row r="195" spans="2:9" ht="13.5" hidden="1" customHeight="1">
      <c r="B195" s="666"/>
      <c r="C195" s="675" t="s">
        <v>427</v>
      </c>
      <c r="D195" s="675"/>
      <c r="E195" s="676" t="s">
        <v>2</v>
      </c>
      <c r="F195" s="676">
        <v>0</v>
      </c>
      <c r="G195" s="676">
        <v>150</v>
      </c>
      <c r="H195" s="695">
        <f t="shared" si="27"/>
        <v>0</v>
      </c>
    </row>
    <row r="196" spans="2:9" ht="13.5" hidden="1" customHeight="1">
      <c r="B196" s="666"/>
      <c r="C196" s="675" t="s">
        <v>428</v>
      </c>
      <c r="D196" s="675"/>
      <c r="E196" s="676" t="s">
        <v>2</v>
      </c>
      <c r="F196" s="676">
        <v>0</v>
      </c>
      <c r="G196" s="676">
        <v>150</v>
      </c>
      <c r="H196" s="695">
        <f t="shared" si="27"/>
        <v>0</v>
      </c>
    </row>
    <row r="197" spans="2:9" ht="13.5" hidden="1" customHeight="1">
      <c r="B197" s="666"/>
      <c r="C197" s="675" t="s">
        <v>429</v>
      </c>
      <c r="D197" s="675"/>
      <c r="E197" s="676" t="s">
        <v>2</v>
      </c>
      <c r="F197" s="676">
        <v>0</v>
      </c>
      <c r="G197" s="676">
        <v>360</v>
      </c>
      <c r="H197" s="695">
        <f t="shared" si="27"/>
        <v>0</v>
      </c>
    </row>
    <row r="198" spans="2:9" ht="13.5" hidden="1" customHeight="1">
      <c r="B198" s="666"/>
      <c r="C198" s="675" t="s">
        <v>430</v>
      </c>
      <c r="D198" s="675"/>
      <c r="E198" s="676" t="s">
        <v>2</v>
      </c>
      <c r="F198" s="676">
        <v>0</v>
      </c>
      <c r="G198" s="676">
        <v>450</v>
      </c>
      <c r="H198" s="695">
        <f t="shared" si="27"/>
        <v>0</v>
      </c>
    </row>
    <row r="199" spans="2:9" ht="13.5" hidden="1" customHeight="1">
      <c r="B199" s="666"/>
      <c r="C199" s="675" t="s">
        <v>431</v>
      </c>
      <c r="D199" s="675"/>
      <c r="E199" s="676" t="s">
        <v>2</v>
      </c>
      <c r="F199" s="676">
        <v>0</v>
      </c>
      <c r="G199" s="676">
        <v>60</v>
      </c>
      <c r="H199" s="695">
        <f t="shared" si="27"/>
        <v>0</v>
      </c>
    </row>
    <row r="200" spans="2:9" ht="13.5" hidden="1" customHeight="1">
      <c r="B200" s="682"/>
      <c r="C200" s="1171" t="s">
        <v>3</v>
      </c>
      <c r="D200" s="1171"/>
      <c r="E200" s="1099"/>
      <c r="F200" s="1099"/>
      <c r="G200" s="1099"/>
      <c r="H200" s="683">
        <f>SUM(H191:H199)</f>
        <v>0</v>
      </c>
    </row>
    <row r="201" spans="2:9" ht="13.5" hidden="1" customHeight="1">
      <c r="B201" s="629"/>
      <c r="C201" s="640"/>
      <c r="D201" s="640"/>
      <c r="E201" s="640"/>
      <c r="F201" s="640"/>
      <c r="G201" s="640"/>
      <c r="H201" s="623"/>
      <c r="I201" s="596"/>
    </row>
    <row r="202" spans="2:9" ht="13.5" hidden="1" customHeight="1">
      <c r="B202" s="629"/>
      <c r="C202" s="640"/>
      <c r="D202" s="640"/>
      <c r="E202" s="640"/>
      <c r="F202" s="640"/>
      <c r="G202" s="640"/>
      <c r="H202" s="623"/>
      <c r="I202" s="596"/>
    </row>
    <row r="203" spans="2:9" ht="13.5" hidden="1" customHeight="1">
      <c r="B203" s="629"/>
      <c r="C203" s="640"/>
      <c r="D203" s="640"/>
      <c r="E203" s="640"/>
      <c r="F203" s="640"/>
      <c r="G203" s="640"/>
      <c r="H203" s="623"/>
      <c r="I203" s="596"/>
    </row>
    <row r="204" spans="2:9" ht="13.5" customHeight="1">
      <c r="B204" s="614">
        <v>4</v>
      </c>
      <c r="C204" s="615" t="s">
        <v>92</v>
      </c>
      <c r="D204" s="616"/>
      <c r="E204" s="616"/>
      <c r="F204" s="617"/>
      <c r="G204" s="618"/>
      <c r="H204" s="619" t="s">
        <v>0</v>
      </c>
      <c r="I204" s="620">
        <f>+I206</f>
        <v>1954</v>
      </c>
    </row>
    <row r="205" spans="2:9" ht="13.5" customHeight="1">
      <c r="B205" s="650"/>
      <c r="C205" s="651"/>
      <c r="D205" s="623"/>
      <c r="E205" s="623"/>
      <c r="F205" s="624"/>
      <c r="G205" s="642"/>
      <c r="H205" s="627"/>
      <c r="I205" s="628"/>
    </row>
    <row r="206" spans="2:9" ht="13.5" customHeight="1">
      <c r="B206" s="625">
        <v>4.01</v>
      </c>
      <c r="C206" s="626" t="s">
        <v>36</v>
      </c>
      <c r="D206" s="623"/>
      <c r="E206" s="623"/>
      <c r="F206" s="624"/>
      <c r="G206" s="624"/>
      <c r="H206" s="627" t="s">
        <v>0</v>
      </c>
      <c r="I206" s="595">
        <f>+H226</f>
        <v>1954</v>
      </c>
    </row>
    <row r="207" spans="2:9" ht="13.5" customHeight="1">
      <c r="B207" s="648"/>
      <c r="C207" s="626"/>
      <c r="D207" s="623"/>
      <c r="E207" s="623"/>
      <c r="F207" s="624"/>
      <c r="G207" s="624"/>
      <c r="H207" s="623"/>
      <c r="I207" s="596"/>
    </row>
    <row r="208" spans="2:9" ht="13.5" customHeight="1">
      <c r="B208" s="582"/>
      <c r="C208" s="635" t="s">
        <v>34</v>
      </c>
      <c r="D208" s="633" t="s">
        <v>44</v>
      </c>
      <c r="E208" s="632" t="s">
        <v>18</v>
      </c>
      <c r="F208" s="684" t="s">
        <v>535</v>
      </c>
      <c r="G208" s="633" t="s">
        <v>5</v>
      </c>
      <c r="H208" s="633" t="s">
        <v>4</v>
      </c>
      <c r="I208" s="596"/>
    </row>
    <row r="209" spans="2:12" ht="13.5" customHeight="1">
      <c r="B209" s="582"/>
      <c r="C209" s="644" t="s">
        <v>163</v>
      </c>
      <c r="D209" s="645" t="s">
        <v>2</v>
      </c>
      <c r="E209" s="742">
        <v>2</v>
      </c>
      <c r="F209" s="676">
        <v>1</v>
      </c>
      <c r="G209" s="645">
        <v>300</v>
      </c>
      <c r="H209" s="692">
        <f>PRODUCT(E209:G209)</f>
        <v>600</v>
      </c>
      <c r="I209" s="596"/>
    </row>
    <row r="210" spans="2:12" ht="13.5" customHeight="1">
      <c r="B210" s="582"/>
      <c r="C210" s="644" t="s">
        <v>524</v>
      </c>
      <c r="D210" s="645" t="s">
        <v>258</v>
      </c>
      <c r="E210" s="742">
        <v>1</v>
      </c>
      <c r="F210" s="676">
        <v>1</v>
      </c>
      <c r="G210" s="645">
        <v>700</v>
      </c>
      <c r="H210" s="692">
        <f>PRODUCT(E210:G210)</f>
        <v>700</v>
      </c>
      <c r="I210" s="596"/>
    </row>
    <row r="211" spans="2:12" ht="13.5" customHeight="1">
      <c r="B211" s="582"/>
      <c r="C211" s="695" t="s">
        <v>71</v>
      </c>
      <c r="D211" s="676" t="s">
        <v>2</v>
      </c>
      <c r="E211" s="676">
        <v>0</v>
      </c>
      <c r="F211" s="676">
        <v>1</v>
      </c>
      <c r="G211" s="676">
        <v>1.5</v>
      </c>
      <c r="H211" s="692">
        <f t="shared" ref="H211:H225" si="28">PRODUCT(E211:G211)</f>
        <v>0</v>
      </c>
      <c r="I211" s="596"/>
    </row>
    <row r="212" spans="2:12" ht="13.5" customHeight="1">
      <c r="B212" s="582"/>
      <c r="C212" s="695" t="s">
        <v>40</v>
      </c>
      <c r="D212" s="676" t="s">
        <v>2</v>
      </c>
      <c r="E212" s="676">
        <v>6</v>
      </c>
      <c r="F212" s="676">
        <v>1</v>
      </c>
      <c r="G212" s="676">
        <v>8</v>
      </c>
      <c r="H212" s="692">
        <f t="shared" si="28"/>
        <v>48</v>
      </c>
      <c r="I212" s="596"/>
    </row>
    <row r="213" spans="2:12" ht="13.5" customHeight="1">
      <c r="B213" s="582"/>
      <c r="C213" s="695" t="s">
        <v>38</v>
      </c>
      <c r="D213" s="676" t="s">
        <v>2</v>
      </c>
      <c r="E213" s="676">
        <v>0</v>
      </c>
      <c r="F213" s="676">
        <v>1</v>
      </c>
      <c r="G213" s="676">
        <v>4</v>
      </c>
      <c r="H213" s="692">
        <f t="shared" si="28"/>
        <v>0</v>
      </c>
      <c r="I213" s="596"/>
    </row>
    <row r="214" spans="2:12" ht="13.5" customHeight="1">
      <c r="B214" s="582"/>
      <c r="C214" s="695" t="s">
        <v>67</v>
      </c>
      <c r="D214" s="676" t="s">
        <v>2</v>
      </c>
      <c r="E214" s="676">
        <v>1</v>
      </c>
      <c r="F214" s="676">
        <v>1</v>
      </c>
      <c r="G214" s="676">
        <v>4</v>
      </c>
      <c r="H214" s="692">
        <f t="shared" si="28"/>
        <v>4</v>
      </c>
      <c r="I214" s="596"/>
    </row>
    <row r="215" spans="2:12" ht="13.5" customHeight="1">
      <c r="B215" s="582"/>
      <c r="C215" s="695" t="s">
        <v>57</v>
      </c>
      <c r="D215" s="676" t="s">
        <v>2</v>
      </c>
      <c r="E215" s="676">
        <v>0</v>
      </c>
      <c r="F215" s="676">
        <v>1</v>
      </c>
      <c r="G215" s="676">
        <v>1</v>
      </c>
      <c r="H215" s="692">
        <f t="shared" si="28"/>
        <v>0</v>
      </c>
      <c r="I215" s="596"/>
    </row>
    <row r="216" spans="2:12" ht="13.5" customHeight="1">
      <c r="B216" s="582"/>
      <c r="C216" s="695" t="s">
        <v>85</v>
      </c>
      <c r="D216" s="676" t="s">
        <v>240</v>
      </c>
      <c r="E216" s="676">
        <v>1</v>
      </c>
      <c r="F216" s="676">
        <v>1</v>
      </c>
      <c r="G216" s="676">
        <v>50</v>
      </c>
      <c r="H216" s="692">
        <f t="shared" si="28"/>
        <v>50</v>
      </c>
      <c r="I216" s="596"/>
    </row>
    <row r="217" spans="2:12" ht="13.5" customHeight="1">
      <c r="B217" s="582"/>
      <c r="C217" s="695" t="s">
        <v>43</v>
      </c>
      <c r="D217" s="676" t="s">
        <v>37</v>
      </c>
      <c r="E217" s="676">
        <v>10</v>
      </c>
      <c r="F217" s="676">
        <v>1</v>
      </c>
      <c r="G217" s="676">
        <v>30</v>
      </c>
      <c r="H217" s="692">
        <f t="shared" si="28"/>
        <v>300</v>
      </c>
      <c r="I217" s="596"/>
    </row>
    <row r="218" spans="2:12" ht="13.5" customHeight="1">
      <c r="B218" s="582"/>
      <c r="C218" s="695" t="s">
        <v>65</v>
      </c>
      <c r="D218" s="676" t="s">
        <v>2</v>
      </c>
      <c r="E218" s="676">
        <v>1</v>
      </c>
      <c r="F218" s="676">
        <v>1</v>
      </c>
      <c r="G218" s="676">
        <v>5</v>
      </c>
      <c r="H218" s="692">
        <f t="shared" si="28"/>
        <v>5</v>
      </c>
      <c r="I218" s="596"/>
      <c r="L218" s="303"/>
    </row>
    <row r="219" spans="2:12" ht="13.5" customHeight="1">
      <c r="B219" s="582"/>
      <c r="C219" s="695" t="s">
        <v>431</v>
      </c>
      <c r="D219" s="676" t="s">
        <v>2</v>
      </c>
      <c r="E219" s="676">
        <v>2</v>
      </c>
      <c r="F219" s="676">
        <v>1</v>
      </c>
      <c r="G219" s="676">
        <v>60</v>
      </c>
      <c r="H219" s="692">
        <f t="shared" si="28"/>
        <v>120</v>
      </c>
      <c r="I219" s="596"/>
    </row>
    <row r="220" spans="2:12" ht="13.5" customHeight="1">
      <c r="B220" s="582"/>
      <c r="C220" s="695" t="s">
        <v>62</v>
      </c>
      <c r="D220" s="676" t="s">
        <v>2</v>
      </c>
      <c r="E220" s="676">
        <v>1</v>
      </c>
      <c r="F220" s="676">
        <v>1</v>
      </c>
      <c r="G220" s="676">
        <v>15</v>
      </c>
      <c r="H220" s="692">
        <f t="shared" si="28"/>
        <v>15</v>
      </c>
      <c r="I220" s="596"/>
    </row>
    <row r="221" spans="2:12" ht="13.5" customHeight="1">
      <c r="B221" s="582"/>
      <c r="C221" s="695" t="s">
        <v>73</v>
      </c>
      <c r="D221" s="676" t="s">
        <v>54</v>
      </c>
      <c r="E221" s="676">
        <v>0</v>
      </c>
      <c r="F221" s="676">
        <v>1</v>
      </c>
      <c r="G221" s="676">
        <v>12</v>
      </c>
      <c r="H221" s="692">
        <f t="shared" si="28"/>
        <v>0</v>
      </c>
      <c r="I221" s="596"/>
    </row>
    <row r="222" spans="2:12" ht="13.5" customHeight="1">
      <c r="B222" s="582"/>
      <c r="C222" s="695" t="s">
        <v>63</v>
      </c>
      <c r="D222" s="676" t="s">
        <v>2</v>
      </c>
      <c r="E222" s="676">
        <v>0</v>
      </c>
      <c r="F222" s="676">
        <v>1</v>
      </c>
      <c r="G222" s="676">
        <v>5</v>
      </c>
      <c r="H222" s="692">
        <f t="shared" si="28"/>
        <v>0</v>
      </c>
      <c r="I222" s="596"/>
    </row>
    <row r="223" spans="2:12" ht="13.5" customHeight="1">
      <c r="B223" s="582"/>
      <c r="C223" s="695" t="s">
        <v>534</v>
      </c>
      <c r="D223" s="676" t="s">
        <v>2</v>
      </c>
      <c r="E223" s="676">
        <v>1</v>
      </c>
      <c r="F223" s="676">
        <v>1</v>
      </c>
      <c r="G223" s="676">
        <v>100</v>
      </c>
      <c r="H223" s="692">
        <f t="shared" si="28"/>
        <v>100</v>
      </c>
      <c r="I223" s="596"/>
    </row>
    <row r="224" spans="2:12" ht="13.5" customHeight="1">
      <c r="B224" s="582"/>
      <c r="C224" s="695" t="s">
        <v>86</v>
      </c>
      <c r="D224" s="676" t="s">
        <v>2</v>
      </c>
      <c r="E224" s="676">
        <v>1</v>
      </c>
      <c r="F224" s="676">
        <v>1</v>
      </c>
      <c r="G224" s="676">
        <v>2</v>
      </c>
      <c r="H224" s="692">
        <f t="shared" si="28"/>
        <v>2</v>
      </c>
      <c r="I224" s="596"/>
    </row>
    <row r="225" spans="2:11" ht="13.5" customHeight="1">
      <c r="B225" s="582"/>
      <c r="C225" s="695" t="s">
        <v>525</v>
      </c>
      <c r="D225" s="676" t="s">
        <v>2</v>
      </c>
      <c r="E225" s="676">
        <v>10</v>
      </c>
      <c r="F225" s="676">
        <v>1</v>
      </c>
      <c r="G225" s="676">
        <v>1</v>
      </c>
      <c r="H225" s="692">
        <f t="shared" si="28"/>
        <v>10</v>
      </c>
      <c r="I225" s="596"/>
    </row>
    <row r="226" spans="2:11" ht="13.5" customHeight="1">
      <c r="B226" s="629"/>
      <c r="C226" s="1099" t="s">
        <v>3</v>
      </c>
      <c r="D226" s="1099"/>
      <c r="E226" s="1099"/>
      <c r="F226" s="1099"/>
      <c r="G226" s="1099"/>
      <c r="H226" s="635">
        <f>SUM(H209:H225)</f>
        <v>1954</v>
      </c>
      <c r="I226" s="596"/>
    </row>
    <row r="227" spans="2:11" ht="13.5" customHeight="1">
      <c r="B227" s="629"/>
      <c r="C227" s="640"/>
      <c r="D227" s="640"/>
      <c r="E227" s="640"/>
      <c r="F227" s="640"/>
      <c r="G227" s="640"/>
      <c r="H227" s="623"/>
      <c r="I227" s="596"/>
    </row>
    <row r="228" spans="2:11" ht="13.5" customHeight="1">
      <c r="B228" s="625">
        <v>4.0199999999999996</v>
      </c>
      <c r="C228" s="626" t="s">
        <v>440</v>
      </c>
      <c r="D228" s="623"/>
      <c r="E228" s="623"/>
      <c r="F228" s="624"/>
      <c r="G228" s="624"/>
      <c r="H228" s="627" t="s">
        <v>0</v>
      </c>
      <c r="I228" s="628">
        <f>G232</f>
        <v>367.66</v>
      </c>
    </row>
    <row r="229" spans="2:11" ht="13.5" customHeight="1">
      <c r="B229" s="648"/>
      <c r="C229" s="626"/>
      <c r="D229" s="623"/>
      <c r="E229" s="623"/>
      <c r="F229" s="624"/>
      <c r="G229" s="624"/>
      <c r="H229" s="623"/>
      <c r="I229" s="596"/>
    </row>
    <row r="230" spans="2:11" ht="13.5" customHeight="1">
      <c r="B230" s="582"/>
      <c r="C230" s="643" t="s">
        <v>34</v>
      </c>
      <c r="D230" s="633" t="s">
        <v>44</v>
      </c>
      <c r="E230" s="633" t="s">
        <v>304</v>
      </c>
      <c r="F230" s="633" t="s">
        <v>5</v>
      </c>
      <c r="G230" s="633" t="s">
        <v>4</v>
      </c>
      <c r="H230" s="640"/>
      <c r="I230" s="596"/>
      <c r="K230" s="171"/>
    </row>
    <row r="231" spans="2:11" ht="13.5" customHeight="1">
      <c r="B231" s="582"/>
      <c r="C231" s="662" t="s">
        <v>441</v>
      </c>
      <c r="D231" s="645" t="s">
        <v>241</v>
      </c>
      <c r="E231" s="645">
        <v>1</v>
      </c>
      <c r="F231" s="645"/>
      <c r="G231" s="692">
        <v>367.66</v>
      </c>
      <c r="H231" s="641"/>
      <c r="I231" s="596"/>
    </row>
    <row r="232" spans="2:11" ht="13.5" customHeight="1">
      <c r="B232" s="625"/>
      <c r="C232" s="1099" t="s">
        <v>3</v>
      </c>
      <c r="D232" s="1099"/>
      <c r="E232" s="1099"/>
      <c r="F232" s="1099"/>
      <c r="G232" s="635">
        <f>SUM(G231:G231)</f>
        <v>367.66</v>
      </c>
      <c r="H232" s="627"/>
      <c r="I232" s="628"/>
      <c r="K232" s="171"/>
    </row>
    <row r="233" spans="2:11" ht="13.5" customHeight="1">
      <c r="B233" s="648"/>
      <c r="C233" s="626"/>
      <c r="D233" s="623"/>
      <c r="E233" s="623"/>
      <c r="F233" s="624"/>
      <c r="G233" s="624"/>
      <c r="H233" s="623"/>
      <c r="I233" s="596"/>
    </row>
    <row r="234" spans="2:11" ht="13.5" customHeight="1">
      <c r="B234" s="629"/>
      <c r="C234" s="640"/>
      <c r="D234" s="640"/>
      <c r="E234" s="640"/>
      <c r="F234" s="640"/>
      <c r="G234" s="640"/>
      <c r="H234" s="623"/>
      <c r="I234" s="596"/>
    </row>
    <row r="235" spans="2:11" s="168" customFormat="1" ht="13.5" hidden="1" customHeight="1">
      <c r="B235" s="636" t="s">
        <v>321</v>
      </c>
      <c r="C235" s="637"/>
      <c r="D235" s="606"/>
      <c r="E235" s="606"/>
      <c r="F235" s="606"/>
      <c r="G235" s="607"/>
      <c r="H235" s="607" t="s">
        <v>0</v>
      </c>
      <c r="I235" s="608">
        <f>+I238+I251+I246</f>
        <v>0</v>
      </c>
      <c r="J235" s="177"/>
    </row>
    <row r="236" spans="2:11" s="179" customFormat="1" ht="13.5" hidden="1" customHeight="1">
      <c r="B236" s="638"/>
      <c r="C236" s="639"/>
      <c r="D236" s="611"/>
      <c r="E236" s="611"/>
      <c r="F236" s="611"/>
      <c r="G236" s="612"/>
      <c r="H236" s="612"/>
      <c r="I236" s="613"/>
      <c r="J236" s="240"/>
    </row>
    <row r="237" spans="2:11" ht="13.5" hidden="1" customHeight="1">
      <c r="B237" s="648"/>
      <c r="C237" s="626"/>
      <c r="D237" s="623"/>
      <c r="E237" s="623"/>
      <c r="F237" s="624"/>
      <c r="G237" s="624"/>
      <c r="H237" s="623"/>
      <c r="I237" s="596"/>
    </row>
    <row r="238" spans="2:11" ht="13.5" hidden="1" customHeight="1">
      <c r="B238" s="625"/>
      <c r="C238" s="626" t="s">
        <v>442</v>
      </c>
      <c r="D238" s="623"/>
      <c r="E238" s="623"/>
      <c r="F238" s="624"/>
      <c r="G238" s="624"/>
      <c r="H238" s="627" t="s">
        <v>0</v>
      </c>
      <c r="I238" s="628">
        <f>G244</f>
        <v>0</v>
      </c>
    </row>
    <row r="239" spans="2:11" ht="13.5" hidden="1" customHeight="1">
      <c r="B239" s="648"/>
      <c r="C239" s="626"/>
      <c r="D239" s="623"/>
      <c r="E239" s="623"/>
      <c r="F239" s="624"/>
      <c r="G239" s="624"/>
      <c r="H239" s="623"/>
      <c r="I239" s="596"/>
    </row>
    <row r="240" spans="2:11" ht="13.5" hidden="1" customHeight="1">
      <c r="B240" s="582"/>
      <c r="C240" s="643" t="s">
        <v>34</v>
      </c>
      <c r="D240" s="633" t="s">
        <v>44</v>
      </c>
      <c r="E240" s="633" t="s">
        <v>304</v>
      </c>
      <c r="F240" s="633" t="s">
        <v>5</v>
      </c>
      <c r="G240" s="633" t="s">
        <v>4</v>
      </c>
      <c r="H240" s="640"/>
      <c r="I240" s="596"/>
    </row>
    <row r="241" spans="2:9" ht="13.5" hidden="1" customHeight="1">
      <c r="B241" s="582"/>
      <c r="C241" s="662" t="s">
        <v>536</v>
      </c>
      <c r="D241" s="645" t="s">
        <v>241</v>
      </c>
      <c r="E241" s="645">
        <v>0</v>
      </c>
      <c r="F241" s="645">
        <v>10000</v>
      </c>
      <c r="G241" s="692">
        <f>+E241*F241</f>
        <v>0</v>
      </c>
      <c r="H241" s="641"/>
      <c r="I241" s="596"/>
    </row>
    <row r="242" spans="2:9" ht="13.5" hidden="1" customHeight="1">
      <c r="B242" s="629"/>
      <c r="C242" s="662" t="s">
        <v>537</v>
      </c>
      <c r="D242" s="645" t="s">
        <v>241</v>
      </c>
      <c r="E242" s="645">
        <v>0</v>
      </c>
      <c r="F242" s="645">
        <v>6000</v>
      </c>
      <c r="G242" s="692">
        <f>+E242*F242</f>
        <v>0</v>
      </c>
      <c r="H242" s="623"/>
      <c r="I242" s="596"/>
    </row>
    <row r="243" spans="2:9" ht="13.5" hidden="1" customHeight="1">
      <c r="B243" s="629"/>
      <c r="C243" s="662" t="s">
        <v>526</v>
      </c>
      <c r="D243" s="645" t="s">
        <v>241</v>
      </c>
      <c r="E243" s="645">
        <v>0</v>
      </c>
      <c r="F243" s="645">
        <v>1500</v>
      </c>
      <c r="G243" s="692">
        <f>+E243*F243</f>
        <v>0</v>
      </c>
      <c r="H243" s="623"/>
      <c r="I243" s="596"/>
    </row>
    <row r="244" spans="2:9" ht="13.5" hidden="1" customHeight="1">
      <c r="B244" s="625"/>
      <c r="C244" s="1099" t="s">
        <v>3</v>
      </c>
      <c r="D244" s="1099"/>
      <c r="E244" s="1099"/>
      <c r="F244" s="1099"/>
      <c r="G244" s="635">
        <f>SUM(G241:G243)</f>
        <v>0</v>
      </c>
      <c r="H244" s="627"/>
      <c r="I244" s="628"/>
    </row>
    <row r="245" spans="2:9" ht="13.5" hidden="1" customHeight="1">
      <c r="B245" s="648"/>
      <c r="C245" s="626"/>
      <c r="D245" s="623"/>
      <c r="E245" s="623"/>
      <c r="F245" s="624"/>
      <c r="G245" s="624"/>
      <c r="H245" s="623"/>
      <c r="I245" s="596"/>
    </row>
    <row r="246" spans="2:9" ht="13.5" hidden="1" customHeight="1">
      <c r="B246" s="648"/>
      <c r="C246" s="626" t="s">
        <v>521</v>
      </c>
      <c r="D246" s="623"/>
      <c r="E246" s="623"/>
      <c r="F246" s="624"/>
      <c r="G246" s="624"/>
      <c r="H246" s="627" t="s">
        <v>0</v>
      </c>
      <c r="I246" s="628">
        <f>G250</f>
        <v>0</v>
      </c>
    </row>
    <row r="247" spans="2:9" ht="13.5" hidden="1" customHeight="1">
      <c r="B247" s="648"/>
      <c r="C247" s="626"/>
      <c r="D247" s="623"/>
      <c r="E247" s="623"/>
      <c r="F247" s="624"/>
      <c r="G247" s="624"/>
      <c r="H247" s="623"/>
      <c r="I247" s="596"/>
    </row>
    <row r="248" spans="2:9" ht="13.5" hidden="1" customHeight="1">
      <c r="B248" s="648"/>
      <c r="C248" s="643" t="s">
        <v>34</v>
      </c>
      <c r="D248" s="633" t="s">
        <v>44</v>
      </c>
      <c r="E248" s="633" t="s">
        <v>304</v>
      </c>
      <c r="F248" s="633" t="s">
        <v>5</v>
      </c>
      <c r="G248" s="633" t="s">
        <v>4</v>
      </c>
      <c r="H248" s="640"/>
      <c r="I248" s="596"/>
    </row>
    <row r="249" spans="2:9" ht="13.5" hidden="1" customHeight="1">
      <c r="B249" s="648"/>
      <c r="C249" s="662" t="s">
        <v>522</v>
      </c>
      <c r="D249" s="645" t="s">
        <v>122</v>
      </c>
      <c r="E249" s="645">
        <v>0</v>
      </c>
      <c r="F249" s="645">
        <v>120</v>
      </c>
      <c r="G249" s="692">
        <f>+E249*F249</f>
        <v>0</v>
      </c>
      <c r="H249" s="641"/>
      <c r="I249" s="596"/>
    </row>
    <row r="250" spans="2:9" ht="13.5" hidden="1" customHeight="1">
      <c r="B250" s="648"/>
      <c r="C250" s="1099" t="s">
        <v>3</v>
      </c>
      <c r="D250" s="1099"/>
      <c r="E250" s="1099"/>
      <c r="F250" s="1099"/>
      <c r="G250" s="635">
        <f>SUM(G249:G249)</f>
        <v>0</v>
      </c>
      <c r="H250" s="627"/>
      <c r="I250" s="628"/>
    </row>
    <row r="251" spans="2:9" ht="13.5" hidden="1" customHeight="1">
      <c r="B251" s="625"/>
      <c r="C251" s="626" t="s">
        <v>443</v>
      </c>
      <c r="D251" s="623"/>
      <c r="E251" s="623"/>
      <c r="F251" s="624"/>
      <c r="G251" s="624"/>
      <c r="H251" s="627" t="s">
        <v>0</v>
      </c>
      <c r="I251" s="628">
        <f>G255</f>
        <v>0</v>
      </c>
    </row>
    <row r="252" spans="2:9" ht="13.5" hidden="1" customHeight="1">
      <c r="B252" s="648"/>
      <c r="C252" s="626"/>
      <c r="D252" s="623"/>
      <c r="E252" s="623"/>
      <c r="F252" s="624"/>
      <c r="G252" s="624"/>
      <c r="H252" s="623"/>
      <c r="I252" s="596"/>
    </row>
    <row r="253" spans="2:9" ht="13.5" hidden="1" customHeight="1">
      <c r="B253" s="582"/>
      <c r="C253" s="643" t="s">
        <v>34</v>
      </c>
      <c r="D253" s="633" t="s">
        <v>44</v>
      </c>
      <c r="E253" s="633" t="s">
        <v>304</v>
      </c>
      <c r="F253" s="633" t="s">
        <v>5</v>
      </c>
      <c r="G253" s="633" t="s">
        <v>4</v>
      </c>
      <c r="H253" s="640"/>
      <c r="I253" s="596"/>
    </row>
    <row r="254" spans="2:9" ht="13.5" hidden="1" customHeight="1">
      <c r="B254" s="582"/>
      <c r="C254" s="662" t="s">
        <v>444</v>
      </c>
      <c r="D254" s="645" t="s">
        <v>122</v>
      </c>
      <c r="E254" s="645">
        <v>0</v>
      </c>
      <c r="F254" s="645">
        <v>200</v>
      </c>
      <c r="G254" s="692">
        <f>+E254*F254</f>
        <v>0</v>
      </c>
      <c r="H254" s="641"/>
      <c r="I254" s="596"/>
    </row>
    <row r="255" spans="2:9" ht="13.5" hidden="1" customHeight="1">
      <c r="B255" s="625"/>
      <c r="C255" s="1099" t="s">
        <v>3</v>
      </c>
      <c r="D255" s="1099"/>
      <c r="E255" s="1099"/>
      <c r="F255" s="1099"/>
      <c r="G255" s="635">
        <f>SUM(G254:G254)</f>
        <v>0</v>
      </c>
      <c r="H255" s="627"/>
      <c r="I255" s="628"/>
    </row>
    <row r="256" spans="2:9" ht="13.5" hidden="1" customHeight="1">
      <c r="B256" s="648"/>
      <c r="C256" s="626"/>
      <c r="D256" s="623"/>
      <c r="E256" s="623"/>
      <c r="F256" s="624"/>
      <c r="G256" s="624"/>
      <c r="H256" s="623"/>
      <c r="I256" s="596"/>
    </row>
    <row r="257" spans="2:12" ht="13.5" hidden="1" customHeight="1">
      <c r="B257" s="582"/>
      <c r="C257" s="640"/>
      <c r="D257" s="640"/>
      <c r="E257" s="640"/>
      <c r="F257" s="640"/>
      <c r="G257" s="640"/>
      <c r="H257" s="623"/>
      <c r="I257" s="596"/>
    </row>
    <row r="258" spans="2:12" ht="13.5" customHeight="1">
      <c r="B258" s="629"/>
      <c r="C258" s="640"/>
      <c r="D258" s="640"/>
      <c r="E258" s="640"/>
      <c r="F258" s="640"/>
      <c r="G258" s="640"/>
      <c r="H258" s="623"/>
      <c r="I258" s="596"/>
      <c r="L258" s="171"/>
    </row>
    <row r="259" spans="2:12" ht="13.5" customHeight="1">
      <c r="B259" s="1169" t="s">
        <v>303</v>
      </c>
      <c r="C259" s="1169"/>
      <c r="D259" s="1169"/>
      <c r="E259" s="1169"/>
      <c r="F259" s="1169"/>
      <c r="G259" s="1169"/>
      <c r="H259" s="627" t="s">
        <v>0</v>
      </c>
      <c r="I259" s="628">
        <f>+I21</f>
        <v>11640.48</v>
      </c>
      <c r="K259" s="252"/>
      <c r="L259" s="252"/>
    </row>
    <row r="260" spans="2:12" ht="13.5" customHeight="1"/>
    <row r="261" spans="2:12" ht="13.5" customHeight="1">
      <c r="I261" s="597"/>
    </row>
    <row r="262" spans="2:12" ht="13.5" customHeight="1">
      <c r="I262" s="628"/>
    </row>
    <row r="263" spans="2:12" ht="13.5" customHeight="1">
      <c r="I263" s="628"/>
    </row>
    <row r="264" spans="2:12" ht="13.5" customHeight="1">
      <c r="I264" s="628"/>
    </row>
    <row r="265" spans="2:12" ht="12.75" customHeight="1">
      <c r="I265" s="628"/>
    </row>
    <row r="266" spans="2:12" ht="12.75" customHeight="1"/>
    <row r="267" spans="2:12" ht="12.75" customHeight="1"/>
    <row r="268" spans="2:12" ht="12.75" customHeight="1"/>
    <row r="269" spans="2:12" ht="12.75" customHeight="1"/>
    <row r="270" spans="2:12" ht="12.75" customHeight="1"/>
    <row r="271" spans="2:12" ht="12.75" customHeight="1"/>
    <row r="272" spans="2:12" ht="12.75" customHeight="1"/>
    <row r="273" spans="2:9" ht="12.75" customHeight="1"/>
    <row r="274" spans="2:9" ht="12.75" customHeight="1"/>
    <row r="275" spans="2:9" ht="12.75" customHeight="1"/>
    <row r="276" spans="2:9" ht="12.75" customHeight="1"/>
    <row r="277" spans="2:9" ht="12.75" customHeight="1"/>
    <row r="278" spans="2:9" ht="12.75" customHeight="1"/>
    <row r="279" spans="2:9" ht="12.75" customHeight="1"/>
    <row r="280" spans="2:9" ht="12.75" customHeight="1"/>
    <row r="281" spans="2:9" ht="12.75" customHeight="1"/>
    <row r="282" spans="2:9" ht="18" customHeight="1"/>
    <row r="283" spans="2:9" ht="12.75" customHeight="1"/>
    <row r="284" spans="2:9" ht="12.75" customHeight="1"/>
    <row r="285" spans="2:9" ht="12.75" customHeight="1"/>
    <row r="286" spans="2:9" ht="12.75" customHeight="1"/>
    <row r="287" spans="2:9" ht="12.75" customHeight="1"/>
    <row r="288" spans="2:9" s="242" customFormat="1" ht="18" customHeight="1">
      <c r="B288" s="579"/>
      <c r="C288" s="580"/>
      <c r="D288" s="580"/>
      <c r="E288" s="580"/>
      <c r="F288" s="581"/>
      <c r="G288" s="581"/>
      <c r="H288" s="580"/>
      <c r="I288" s="580"/>
    </row>
  </sheetData>
  <mergeCells count="36">
    <mergeCell ref="C87:G87"/>
    <mergeCell ref="C255:F255"/>
    <mergeCell ref="C176:G176"/>
    <mergeCell ref="C182:D182"/>
    <mergeCell ref="C183:D183"/>
    <mergeCell ref="C226:G226"/>
    <mergeCell ref="C146:G146"/>
    <mergeCell ref="C175:D175"/>
    <mergeCell ref="C126:G126"/>
    <mergeCell ref="C166:G166"/>
    <mergeCell ref="C174:D174"/>
    <mergeCell ref="C108:G108"/>
    <mergeCell ref="B259:G259"/>
    <mergeCell ref="C184:G184"/>
    <mergeCell ref="C190:D190"/>
    <mergeCell ref="C191:D191"/>
    <mergeCell ref="C200:G200"/>
    <mergeCell ref="C244:F244"/>
    <mergeCell ref="C232:F232"/>
    <mergeCell ref="C250:F250"/>
    <mergeCell ref="C3:I3"/>
    <mergeCell ref="C4:I4"/>
    <mergeCell ref="C5:I5"/>
    <mergeCell ref="C6:I6"/>
    <mergeCell ref="C69:G69"/>
    <mergeCell ref="C47:G47"/>
    <mergeCell ref="B8:I8"/>
    <mergeCell ref="D14:I15"/>
    <mergeCell ref="B23:I23"/>
    <mergeCell ref="B25:I25"/>
    <mergeCell ref="D16:H16"/>
    <mergeCell ref="C21:H21"/>
    <mergeCell ref="D17:H17"/>
    <mergeCell ref="D18:H18"/>
    <mergeCell ref="D19:H19"/>
    <mergeCell ref="D20:H20"/>
  </mergeCells>
  <conditionalFormatting sqref="D14:E14">
    <cfRule type="aboveAverage" dxfId="0" priority="1" stopIfTrue="1" aboveAverage="0"/>
  </conditionalFormatting>
  <printOptions horizontalCentered="1"/>
  <pageMargins left="0.82" right="0.61" top="0.62" bottom="0.98425196850393704" header="0" footer="0"/>
  <pageSetup paperSize="9" scale="67" fitToHeight="4" orientation="portrait" horizontalDpi="4294967293" r:id="rId1"/>
  <headerFooter alignWithMargins="0">
    <oddFooter>&amp;C&amp;G</oddFooter>
  </headerFooter>
  <rowBreaks count="4" manualBreakCount="4">
    <brk id="70" min="1" max="8" man="1"/>
    <brk id="127" min="1" max="8" man="1"/>
    <brk id="185" min="1" max="8" man="1"/>
    <brk id="203" min="1" max="8" man="1"/>
  </rowBreaks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3C32-ECE7-42CA-8062-97470C333722}">
  <sheetPr>
    <tabColor indexed="43"/>
  </sheetPr>
  <dimension ref="A1:F15"/>
  <sheetViews>
    <sheetView tabSelected="1" workbookViewId="0">
      <selection sqref="A1:F11"/>
    </sheetView>
  </sheetViews>
  <sheetFormatPr baseColWidth="10" defaultColWidth="34.77734375" defaultRowHeight="13.2"/>
  <cols>
    <col min="1" max="1" width="4.44140625" customWidth="1"/>
    <col min="2" max="2" width="40.5546875" customWidth="1"/>
    <col min="3" max="6" width="16.21875" customWidth="1"/>
  </cols>
  <sheetData>
    <row r="1" spans="1:6">
      <c r="A1" s="1004">
        <v>1</v>
      </c>
      <c r="B1" s="1004" t="s">
        <v>604</v>
      </c>
      <c r="C1" s="1005">
        <v>0</v>
      </c>
      <c r="D1" s="1006">
        <v>550000</v>
      </c>
      <c r="E1" s="1005">
        <v>0</v>
      </c>
      <c r="F1" s="1006">
        <v>550000</v>
      </c>
    </row>
    <row r="2" spans="1:6">
      <c r="A2" s="1004">
        <v>2</v>
      </c>
      <c r="B2" s="1007" t="s">
        <v>605</v>
      </c>
      <c r="C2" s="1008">
        <v>0</v>
      </c>
      <c r="D2" s="1009">
        <v>410000</v>
      </c>
      <c r="E2" s="1008">
        <v>0</v>
      </c>
      <c r="F2" s="1009">
        <v>410000</v>
      </c>
    </row>
    <row r="3" spans="1:6">
      <c r="A3" s="1004">
        <v>3</v>
      </c>
      <c r="B3" s="1004" t="s">
        <v>606</v>
      </c>
      <c r="C3" s="1005">
        <v>0</v>
      </c>
      <c r="D3" s="1006">
        <v>355000</v>
      </c>
      <c r="E3" s="1005">
        <v>0</v>
      </c>
      <c r="F3" s="1006">
        <v>355000</v>
      </c>
    </row>
    <row r="4" spans="1:6">
      <c r="A4" s="1004">
        <v>4</v>
      </c>
      <c r="B4" s="1010" t="s">
        <v>611</v>
      </c>
      <c r="C4" s="1008">
        <v>0</v>
      </c>
      <c r="D4" s="1009">
        <v>196000</v>
      </c>
      <c r="E4" s="1008">
        <v>0</v>
      </c>
      <c r="F4" s="1009">
        <v>196000</v>
      </c>
    </row>
    <row r="5" spans="1:6">
      <c r="A5" s="1004">
        <v>5</v>
      </c>
      <c r="B5" s="1011" t="s">
        <v>612</v>
      </c>
      <c r="C5" s="1005">
        <v>0</v>
      </c>
      <c r="D5" s="1006">
        <v>18000</v>
      </c>
      <c r="E5" s="1005">
        <v>0</v>
      </c>
      <c r="F5" s="1006">
        <v>18000</v>
      </c>
    </row>
    <row r="6" spans="1:6">
      <c r="A6" s="1004">
        <v>6</v>
      </c>
      <c r="B6" s="1010" t="s">
        <v>613</v>
      </c>
      <c r="C6" s="1008">
        <v>0</v>
      </c>
      <c r="D6" s="1009">
        <v>180000</v>
      </c>
      <c r="E6" s="1008">
        <v>0</v>
      </c>
      <c r="F6" s="1009">
        <v>180000</v>
      </c>
    </row>
    <row r="7" spans="1:6">
      <c r="A7" s="1004">
        <v>7</v>
      </c>
      <c r="B7" s="1011" t="s">
        <v>614</v>
      </c>
      <c r="C7" s="1005">
        <v>0</v>
      </c>
      <c r="D7" s="1006">
        <v>120000</v>
      </c>
      <c r="E7" s="1005">
        <v>0</v>
      </c>
      <c r="F7" s="1006">
        <v>120000</v>
      </c>
    </row>
    <row r="8" spans="1:6">
      <c r="A8" s="1004">
        <v>8</v>
      </c>
      <c r="B8" s="1010" t="s">
        <v>615</v>
      </c>
      <c r="C8" s="1008">
        <v>0</v>
      </c>
      <c r="D8" s="1009">
        <v>60000</v>
      </c>
      <c r="E8" s="1008">
        <v>0</v>
      </c>
      <c r="F8" s="1009">
        <v>60000</v>
      </c>
    </row>
    <row r="9" spans="1:6">
      <c r="A9" s="1004">
        <v>9</v>
      </c>
      <c r="B9" s="1011" t="s">
        <v>616</v>
      </c>
      <c r="C9" s="1005">
        <v>0</v>
      </c>
      <c r="D9" s="1006">
        <v>136500</v>
      </c>
      <c r="E9" s="1005">
        <v>0</v>
      </c>
      <c r="F9" s="1006">
        <v>136500</v>
      </c>
    </row>
    <row r="10" spans="1:6">
      <c r="A10" s="1004">
        <v>10</v>
      </c>
      <c r="B10" s="1010" t="s">
        <v>617</v>
      </c>
      <c r="C10" s="1008">
        <v>0</v>
      </c>
      <c r="D10" s="1009">
        <v>24000</v>
      </c>
      <c r="E10" s="1008">
        <v>0</v>
      </c>
      <c r="F10" s="1009">
        <v>24000</v>
      </c>
    </row>
    <row r="11" spans="1:6">
      <c r="A11" s="1004">
        <v>11</v>
      </c>
      <c r="B11" s="1011" t="s">
        <v>618</v>
      </c>
      <c r="C11" s="1005">
        <v>0</v>
      </c>
      <c r="D11" s="1006">
        <v>150000</v>
      </c>
      <c r="E11" s="1005">
        <v>0</v>
      </c>
      <c r="F11" s="1006">
        <v>150000</v>
      </c>
    </row>
    <row r="12" spans="1:6" ht="13.8" thickBot="1">
      <c r="B12" s="1024" t="s">
        <v>607</v>
      </c>
      <c r="C12" s="1025">
        <v>24000</v>
      </c>
      <c r="D12" s="1026">
        <v>0</v>
      </c>
      <c r="E12" s="1026">
        <v>0</v>
      </c>
      <c r="F12" s="1025">
        <v>24000</v>
      </c>
    </row>
    <row r="13" spans="1:6" ht="13.8" thickBot="1">
      <c r="B13" s="1027" t="s">
        <v>608</v>
      </c>
      <c r="C13" s="1028">
        <v>0</v>
      </c>
      <c r="D13" s="1028">
        <v>0</v>
      </c>
      <c r="E13" s="1029">
        <v>50000</v>
      </c>
      <c r="F13" s="1029">
        <v>50000</v>
      </c>
    </row>
    <row r="14" spans="1:6" ht="13.8" thickBot="1">
      <c r="B14" s="1030" t="s">
        <v>609</v>
      </c>
      <c r="C14" s="1031">
        <v>0</v>
      </c>
      <c r="D14" s="1031">
        <v>0</v>
      </c>
      <c r="E14" s="1032">
        <v>80000</v>
      </c>
      <c r="F14" s="1032">
        <v>80000</v>
      </c>
    </row>
    <row r="15" spans="1:6" ht="13.8" thickBot="1">
      <c r="B15" s="1003" t="s">
        <v>610</v>
      </c>
      <c r="C15" s="1001"/>
      <c r="D15" s="1001"/>
      <c r="E15" s="1001"/>
      <c r="F15" s="1002">
        <v>2353500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A1:BG16"/>
  <sheetViews>
    <sheetView zoomScale="115" zoomScaleNormal="115" workbookViewId="0">
      <selection activeCell="E19" sqref="E19"/>
    </sheetView>
  </sheetViews>
  <sheetFormatPr baseColWidth="10" defaultColWidth="11.44140625" defaultRowHeight="11.4"/>
  <cols>
    <col min="1" max="1" width="3.109375" style="774" customWidth="1"/>
    <col min="2" max="2" width="31.109375" style="774" customWidth="1"/>
    <col min="3" max="3" width="7.5546875" style="774" customWidth="1"/>
    <col min="4" max="5" width="6.6640625" style="774" customWidth="1"/>
    <col min="6" max="6" width="8" style="774" customWidth="1"/>
    <col min="7" max="8" width="6.6640625" style="774" customWidth="1"/>
    <col min="9" max="9" width="7.6640625" style="774" customWidth="1"/>
    <col min="10" max="14" width="6.6640625" style="774" customWidth="1"/>
    <col min="15" max="20" width="6.6640625" style="774" hidden="1" customWidth="1"/>
    <col min="21" max="23" width="6.6640625" style="774" customWidth="1"/>
    <col min="24" max="24" width="7.44140625" style="774" hidden="1" customWidth="1"/>
    <col min="25" max="32" width="6.6640625" style="774" hidden="1" customWidth="1"/>
    <col min="33" max="38" width="6.6640625" style="774" customWidth="1"/>
    <col min="39" max="39" width="7.6640625" style="774" customWidth="1"/>
    <col min="40" max="41" width="6.6640625" style="774" customWidth="1"/>
    <col min="42" max="42" width="6.88671875" style="774" hidden="1" customWidth="1"/>
    <col min="43" max="44" width="6.6640625" style="774" hidden="1" customWidth="1"/>
    <col min="45" max="50" width="6.6640625" style="774" customWidth="1"/>
    <col min="51" max="53" width="6.6640625" style="774" hidden="1" customWidth="1"/>
    <col min="54" max="55" width="8.33203125" style="774" customWidth="1"/>
    <col min="56" max="56" width="28.33203125" style="774" customWidth="1"/>
    <col min="57" max="58" width="8.33203125" style="774" customWidth="1"/>
    <col min="59" max="59" width="10.33203125" style="774" customWidth="1"/>
    <col min="60" max="16384" width="11.44140625" style="774"/>
  </cols>
  <sheetData>
    <row r="1" spans="1:59" s="762" customFormat="1" ht="18" customHeight="1">
      <c r="B1" s="1174" t="s">
        <v>507</v>
      </c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  <c r="R1" s="1174"/>
      <c r="S1" s="1174"/>
      <c r="T1" s="1174"/>
      <c r="U1" s="1174"/>
      <c r="V1" s="1174"/>
      <c r="W1" s="1174"/>
      <c r="X1" s="1174"/>
      <c r="Y1" s="1174"/>
      <c r="Z1" s="1174"/>
      <c r="AA1" s="1174"/>
      <c r="AB1" s="1174"/>
      <c r="AC1" s="1174"/>
      <c r="AD1" s="1174"/>
      <c r="AE1" s="1174"/>
      <c r="AF1" s="1174"/>
      <c r="AG1" s="1174"/>
      <c r="AH1" s="1174"/>
      <c r="AI1" s="1174"/>
      <c r="AJ1" s="1174"/>
      <c r="AK1" s="1174"/>
      <c r="AL1" s="1174"/>
      <c r="AM1" s="1174"/>
      <c r="AN1" s="1174"/>
      <c r="AO1" s="1174"/>
      <c r="AP1" s="1174"/>
      <c r="AQ1" s="1174"/>
      <c r="AR1" s="1174"/>
      <c r="AS1" s="1174"/>
      <c r="AT1" s="1174"/>
      <c r="AU1" s="1174"/>
      <c r="AV1" s="1174"/>
      <c r="AW1" s="1174"/>
      <c r="AX1" s="1174"/>
      <c r="AY1" s="1174"/>
      <c r="AZ1" s="1174"/>
      <c r="BA1" s="1174"/>
      <c r="BB1" s="763"/>
      <c r="BC1" s="763"/>
      <c r="BD1" s="763"/>
      <c r="BE1" s="763"/>
      <c r="BF1" s="763"/>
      <c r="BG1" s="763"/>
    </row>
    <row r="2" spans="1:59" s="762" customFormat="1" ht="18" customHeight="1" thickBot="1"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1175"/>
      <c r="AF2" s="1175"/>
      <c r="AG2" s="1175"/>
      <c r="AH2" s="1175"/>
      <c r="AI2" s="1175"/>
      <c r="AJ2" s="1175"/>
      <c r="AK2" s="1175"/>
      <c r="AL2" s="1175"/>
      <c r="AM2" s="1175"/>
      <c r="AN2" s="1175"/>
      <c r="AO2" s="1175"/>
      <c r="AP2" s="1175"/>
      <c r="AQ2" s="1175"/>
      <c r="AR2" s="1175"/>
      <c r="AS2" s="1175"/>
      <c r="AT2" s="1175"/>
      <c r="AU2" s="1175"/>
      <c r="AV2" s="1175"/>
      <c r="AW2" s="1175"/>
      <c r="AX2" s="1175"/>
      <c r="AY2" s="1175"/>
      <c r="AZ2" s="1175"/>
      <c r="BA2" s="1175"/>
      <c r="BB2" s="763"/>
      <c r="BC2" s="763"/>
      <c r="BD2" s="763"/>
      <c r="BE2" s="763"/>
      <c r="BF2" s="763"/>
      <c r="BG2" s="763"/>
    </row>
    <row r="3" spans="1:59" s="767" customFormat="1" ht="35.25" customHeight="1">
      <c r="A3" s="1179" t="s">
        <v>225</v>
      </c>
      <c r="B3" s="1181" t="s">
        <v>480</v>
      </c>
      <c r="C3" s="1176" t="s">
        <v>236</v>
      </c>
      <c r="D3" s="1176"/>
      <c r="E3" s="1176"/>
      <c r="F3" s="1176" t="s">
        <v>485</v>
      </c>
      <c r="G3" s="1176"/>
      <c r="H3" s="1176"/>
      <c r="I3" s="1176" t="s">
        <v>421</v>
      </c>
      <c r="J3" s="1176"/>
      <c r="K3" s="1176"/>
      <c r="L3" s="1176" t="s">
        <v>481</v>
      </c>
      <c r="M3" s="1176"/>
      <c r="N3" s="1176"/>
      <c r="O3" s="1176" t="s">
        <v>482</v>
      </c>
      <c r="P3" s="1176"/>
      <c r="Q3" s="1176"/>
      <c r="R3" s="1176" t="s">
        <v>483</v>
      </c>
      <c r="S3" s="1176"/>
      <c r="T3" s="1176"/>
      <c r="U3" s="1176" t="s">
        <v>484</v>
      </c>
      <c r="V3" s="1176"/>
      <c r="W3" s="1176"/>
      <c r="X3" s="1176" t="s">
        <v>485</v>
      </c>
      <c r="Y3" s="1176"/>
      <c r="Z3" s="1176"/>
      <c r="AA3" s="1176" t="s">
        <v>486</v>
      </c>
      <c r="AB3" s="1176"/>
      <c r="AC3" s="1176"/>
      <c r="AD3" s="1176" t="s">
        <v>487</v>
      </c>
      <c r="AE3" s="1176"/>
      <c r="AF3" s="1176"/>
      <c r="AG3" s="1176" t="s">
        <v>488</v>
      </c>
      <c r="AH3" s="1176"/>
      <c r="AI3" s="1176"/>
      <c r="AJ3" s="1176" t="s">
        <v>489</v>
      </c>
      <c r="AK3" s="1176"/>
      <c r="AL3" s="1176"/>
      <c r="AM3" s="1176" t="s">
        <v>490</v>
      </c>
      <c r="AN3" s="1176"/>
      <c r="AO3" s="1176"/>
      <c r="AP3" s="1176" t="s">
        <v>491</v>
      </c>
      <c r="AQ3" s="1176"/>
      <c r="AR3" s="1176"/>
      <c r="AS3" s="1176" t="s">
        <v>492</v>
      </c>
      <c r="AT3" s="1176"/>
      <c r="AU3" s="1176"/>
      <c r="AV3" s="1176" t="s">
        <v>493</v>
      </c>
      <c r="AW3" s="1176"/>
      <c r="AX3" s="1176"/>
      <c r="AY3" s="1176" t="s">
        <v>494</v>
      </c>
      <c r="AZ3" s="1176"/>
      <c r="BA3" s="1177"/>
      <c r="BB3" s="764"/>
      <c r="BC3" s="765"/>
      <c r="BD3" s="766"/>
      <c r="BE3" s="1178"/>
      <c r="BF3" s="1178"/>
      <c r="BG3" s="1178"/>
    </row>
    <row r="4" spans="1:59" ht="18" customHeight="1" thickBot="1">
      <c r="A4" s="1180"/>
      <c r="B4" s="1182"/>
      <c r="C4" s="768" t="s">
        <v>394</v>
      </c>
      <c r="D4" s="768" t="s">
        <v>420</v>
      </c>
      <c r="E4" s="768" t="s">
        <v>495</v>
      </c>
      <c r="F4" s="768" t="s">
        <v>394</v>
      </c>
      <c r="G4" s="768" t="s">
        <v>420</v>
      </c>
      <c r="H4" s="768" t="s">
        <v>495</v>
      </c>
      <c r="I4" s="768" t="s">
        <v>394</v>
      </c>
      <c r="J4" s="768" t="s">
        <v>420</v>
      </c>
      <c r="K4" s="768" t="s">
        <v>495</v>
      </c>
      <c r="L4" s="768" t="s">
        <v>394</v>
      </c>
      <c r="M4" s="768" t="s">
        <v>420</v>
      </c>
      <c r="N4" s="768" t="s">
        <v>495</v>
      </c>
      <c r="O4" s="768" t="s">
        <v>394</v>
      </c>
      <c r="P4" s="768" t="s">
        <v>420</v>
      </c>
      <c r="Q4" s="768" t="s">
        <v>495</v>
      </c>
      <c r="R4" s="768" t="s">
        <v>394</v>
      </c>
      <c r="S4" s="768" t="s">
        <v>420</v>
      </c>
      <c r="T4" s="768" t="s">
        <v>495</v>
      </c>
      <c r="U4" s="768" t="s">
        <v>394</v>
      </c>
      <c r="V4" s="768" t="s">
        <v>420</v>
      </c>
      <c r="W4" s="768" t="s">
        <v>495</v>
      </c>
      <c r="X4" s="768" t="s">
        <v>394</v>
      </c>
      <c r="Y4" s="768" t="s">
        <v>420</v>
      </c>
      <c r="Z4" s="768" t="s">
        <v>495</v>
      </c>
      <c r="AA4" s="768" t="s">
        <v>394</v>
      </c>
      <c r="AB4" s="768" t="s">
        <v>420</v>
      </c>
      <c r="AC4" s="768" t="s">
        <v>495</v>
      </c>
      <c r="AD4" s="768" t="s">
        <v>394</v>
      </c>
      <c r="AE4" s="768" t="s">
        <v>420</v>
      </c>
      <c r="AF4" s="768" t="s">
        <v>495</v>
      </c>
      <c r="AG4" s="768" t="s">
        <v>394</v>
      </c>
      <c r="AH4" s="768" t="s">
        <v>420</v>
      </c>
      <c r="AI4" s="768" t="s">
        <v>495</v>
      </c>
      <c r="AJ4" s="768" t="s">
        <v>394</v>
      </c>
      <c r="AK4" s="768" t="s">
        <v>420</v>
      </c>
      <c r="AL4" s="768" t="s">
        <v>495</v>
      </c>
      <c r="AM4" s="768" t="s">
        <v>394</v>
      </c>
      <c r="AN4" s="768" t="s">
        <v>420</v>
      </c>
      <c r="AO4" s="768" t="s">
        <v>495</v>
      </c>
      <c r="AP4" s="768" t="s">
        <v>394</v>
      </c>
      <c r="AQ4" s="768" t="s">
        <v>420</v>
      </c>
      <c r="AR4" s="768" t="s">
        <v>495</v>
      </c>
      <c r="AS4" s="768" t="s">
        <v>394</v>
      </c>
      <c r="AT4" s="768" t="s">
        <v>420</v>
      </c>
      <c r="AU4" s="768" t="s">
        <v>495</v>
      </c>
      <c r="AV4" s="768" t="s">
        <v>394</v>
      </c>
      <c r="AW4" s="768" t="s">
        <v>420</v>
      </c>
      <c r="AX4" s="768" t="s">
        <v>495</v>
      </c>
      <c r="AY4" s="768" t="s">
        <v>394</v>
      </c>
      <c r="AZ4" s="768" t="s">
        <v>420</v>
      </c>
      <c r="BA4" s="769" t="s">
        <v>495</v>
      </c>
      <c r="BB4" s="770"/>
      <c r="BC4" s="771"/>
      <c r="BD4" s="772"/>
      <c r="BE4" s="773"/>
      <c r="BF4" s="773"/>
      <c r="BG4" s="773"/>
    </row>
    <row r="5" spans="1:59" ht="18" customHeight="1">
      <c r="A5" s="775">
        <v>1</v>
      </c>
      <c r="B5" s="776" t="s">
        <v>496</v>
      </c>
      <c r="C5" s="777">
        <v>4150</v>
      </c>
      <c r="D5" s="778">
        <f>ROUND(C5/208,2)</f>
        <v>19.95</v>
      </c>
      <c r="E5" s="778"/>
      <c r="F5" s="777">
        <v>4500</v>
      </c>
      <c r="G5" s="778">
        <f>ROUND(F5/208,2)</f>
        <v>21.63</v>
      </c>
      <c r="H5" s="778"/>
      <c r="I5" s="777">
        <v>3000</v>
      </c>
      <c r="J5" s="778">
        <f>ROUND(I5/208,2)</f>
        <v>14.42</v>
      </c>
      <c r="K5" s="778"/>
      <c r="L5" s="777">
        <v>2600</v>
      </c>
      <c r="M5" s="778">
        <f>ROUND(L5/208,2)</f>
        <v>12.5</v>
      </c>
      <c r="N5" s="778"/>
      <c r="O5" s="777">
        <v>2247</v>
      </c>
      <c r="P5" s="778">
        <f>ROUND(O5/208,2)</f>
        <v>10.8</v>
      </c>
      <c r="Q5" s="778"/>
      <c r="R5" s="777">
        <v>1608.78</v>
      </c>
      <c r="S5" s="778">
        <f>ROUND(R5/208,2)</f>
        <v>7.73</v>
      </c>
      <c r="T5" s="778"/>
      <c r="U5" s="777">
        <v>1900</v>
      </c>
      <c r="V5" s="778">
        <f>ROUND(U5/208,2)</f>
        <v>9.1300000000000008</v>
      </c>
      <c r="W5" s="778"/>
      <c r="X5" s="777">
        <v>8022.3</v>
      </c>
      <c r="Y5" s="778">
        <f>ROUND(X5/208,2)</f>
        <v>38.57</v>
      </c>
      <c r="Z5" s="778"/>
      <c r="AA5" s="777">
        <v>6520.8</v>
      </c>
      <c r="AB5" s="778">
        <f>ROUND(AA5/208,2)</f>
        <v>31.35</v>
      </c>
      <c r="AC5" s="778"/>
      <c r="AD5" s="777">
        <v>5148</v>
      </c>
      <c r="AE5" s="778">
        <f>ROUND(AD5/208,2)</f>
        <v>24.75</v>
      </c>
      <c r="AF5" s="778"/>
      <c r="AG5" s="777">
        <v>4000</v>
      </c>
      <c r="AH5" s="778">
        <f>ROUND(AG5/208,2)</f>
        <v>19.23</v>
      </c>
      <c r="AI5" s="778"/>
      <c r="AJ5" s="777">
        <v>2600</v>
      </c>
      <c r="AK5" s="778">
        <f>ROUND(AJ5/208,2)</f>
        <v>12.5</v>
      </c>
      <c r="AL5" s="778"/>
      <c r="AM5" s="777">
        <v>5000</v>
      </c>
      <c r="AN5" s="778">
        <f>ROUND(AM5/208,2)</f>
        <v>24.04</v>
      </c>
      <c r="AO5" s="778"/>
      <c r="AP5" s="777">
        <v>6520.8</v>
      </c>
      <c r="AQ5" s="778">
        <f>ROUND(AP5/208,2)</f>
        <v>31.35</v>
      </c>
      <c r="AR5" s="778"/>
      <c r="AS5" s="777">
        <v>4000</v>
      </c>
      <c r="AT5" s="778">
        <f>ROUND(AS5/208,2)</f>
        <v>19.23</v>
      </c>
      <c r="AU5" s="778"/>
      <c r="AV5" s="777">
        <v>5662.48</v>
      </c>
      <c r="AW5" s="778">
        <f>ROUND(AV5/208,2)</f>
        <v>27.22</v>
      </c>
      <c r="AX5" s="778"/>
      <c r="AY5" s="777">
        <v>690</v>
      </c>
      <c r="AZ5" s="778">
        <f>ROUND(AY5/208,2)</f>
        <v>3.32</v>
      </c>
      <c r="BA5" s="779"/>
      <c r="BB5" s="780">
        <v>2250</v>
      </c>
      <c r="BC5" s="781">
        <f>BB5*0.22</f>
        <v>495</v>
      </c>
      <c r="BD5" s="782">
        <f>BB5+BC5</f>
        <v>2745</v>
      </c>
      <c r="BE5" s="783"/>
      <c r="BF5" s="784"/>
      <c r="BG5" s="784"/>
    </row>
    <row r="6" spans="1:59" ht="18" customHeight="1">
      <c r="A6" s="785">
        <f t="shared" ref="A6:A14" si="0">1+A5</f>
        <v>2</v>
      </c>
      <c r="B6" s="786" t="s">
        <v>497</v>
      </c>
      <c r="C6" s="787"/>
      <c r="D6" s="787">
        <f>ROUND(C6/208,2)</f>
        <v>0</v>
      </c>
      <c r="E6" s="787"/>
      <c r="F6" s="787"/>
      <c r="G6" s="787">
        <f>ROUND(F6/208,2)</f>
        <v>0</v>
      </c>
      <c r="H6" s="787"/>
      <c r="I6" s="787"/>
      <c r="J6" s="787">
        <f>ROUND(I6/208,2)</f>
        <v>0</v>
      </c>
      <c r="K6" s="787"/>
      <c r="L6" s="787"/>
      <c r="M6" s="787">
        <f>ROUND(L6/208,2)</f>
        <v>0</v>
      </c>
      <c r="N6" s="787"/>
      <c r="O6" s="787"/>
      <c r="P6" s="787">
        <f>ROUND(O6/208,2)</f>
        <v>0</v>
      </c>
      <c r="Q6" s="787"/>
      <c r="R6" s="787"/>
      <c r="S6" s="787">
        <f>ROUND(R6/208,2)</f>
        <v>0</v>
      </c>
      <c r="T6" s="787"/>
      <c r="U6" s="787"/>
      <c r="V6" s="787">
        <f>ROUND(U6/208,2)</f>
        <v>0</v>
      </c>
      <c r="W6" s="787"/>
      <c r="X6" s="787"/>
      <c r="Y6" s="787">
        <f>ROUND(X6/208,2)</f>
        <v>0</v>
      </c>
      <c r="Z6" s="787"/>
      <c r="AA6" s="787"/>
      <c r="AB6" s="787">
        <f>ROUND(AA6/208,2)</f>
        <v>0</v>
      </c>
      <c r="AC6" s="787"/>
      <c r="AD6" s="787"/>
      <c r="AE6" s="787">
        <f>ROUND(AD6/208,2)</f>
        <v>0</v>
      </c>
      <c r="AF6" s="787"/>
      <c r="AG6" s="787"/>
      <c r="AH6" s="787">
        <f>ROUND(AG6/208,2)</f>
        <v>0</v>
      </c>
      <c r="AI6" s="787"/>
      <c r="AJ6" s="787"/>
      <c r="AK6" s="787">
        <f>ROUND(AJ6/208,2)</f>
        <v>0</v>
      </c>
      <c r="AL6" s="787"/>
      <c r="AM6" s="787"/>
      <c r="AN6" s="787">
        <f>ROUND(AM6/208,2)</f>
        <v>0</v>
      </c>
      <c r="AO6" s="787"/>
      <c r="AP6" s="787"/>
      <c r="AQ6" s="787">
        <f>ROUND(AP6/208,2)</f>
        <v>0</v>
      </c>
      <c r="AR6" s="787"/>
      <c r="AS6" s="787"/>
      <c r="AT6" s="787">
        <f>ROUND(AS6/208,2)</f>
        <v>0</v>
      </c>
      <c r="AU6" s="787"/>
      <c r="AV6" s="787"/>
      <c r="AW6" s="787">
        <f>ROUND(AV6/208,2)</f>
        <v>0</v>
      </c>
      <c r="AX6" s="787"/>
      <c r="AY6" s="787"/>
      <c r="AZ6" s="787">
        <f>ROUND(AY6/208,2)</f>
        <v>0</v>
      </c>
      <c r="BA6" s="788"/>
      <c r="BB6" s="780">
        <v>1590</v>
      </c>
      <c r="BC6" s="781">
        <f>BB6*0.22</f>
        <v>349.8</v>
      </c>
      <c r="BD6" s="782">
        <f>BB6+BC6</f>
        <v>1939.8</v>
      </c>
      <c r="BE6" s="783"/>
      <c r="BF6" s="784"/>
      <c r="BG6" s="784"/>
    </row>
    <row r="7" spans="1:59" s="795" customFormat="1" ht="18" customHeight="1">
      <c r="A7" s="789">
        <f t="shared" si="0"/>
        <v>3</v>
      </c>
      <c r="B7" s="790" t="s">
        <v>498</v>
      </c>
      <c r="C7" s="791">
        <v>0</v>
      </c>
      <c r="D7" s="791">
        <f>ROUND(C7/208,2)</f>
        <v>0</v>
      </c>
      <c r="E7" s="791"/>
      <c r="F7" s="791">
        <v>0</v>
      </c>
      <c r="G7" s="791">
        <f>ROUND(F7/208,2)</f>
        <v>0</v>
      </c>
      <c r="H7" s="791"/>
      <c r="I7" s="791">
        <v>0</v>
      </c>
      <c r="J7" s="791">
        <f>ROUND(I7/208,2)</f>
        <v>0</v>
      </c>
      <c r="K7" s="791"/>
      <c r="L7" s="791">
        <v>0</v>
      </c>
      <c r="M7" s="791">
        <f>ROUND(L7/208,2)</f>
        <v>0</v>
      </c>
      <c r="N7" s="791"/>
      <c r="O7" s="791">
        <v>0</v>
      </c>
      <c r="P7" s="791">
        <f>ROUND(O7/208,2)</f>
        <v>0</v>
      </c>
      <c r="Q7" s="791"/>
      <c r="R7" s="791">
        <v>0</v>
      </c>
      <c r="S7" s="791">
        <f>ROUND(R7/208,2)</f>
        <v>0</v>
      </c>
      <c r="T7" s="791"/>
      <c r="U7" s="791">
        <v>0</v>
      </c>
      <c r="V7" s="791">
        <f>ROUND(U7/208,2)</f>
        <v>0</v>
      </c>
      <c r="W7" s="791"/>
      <c r="X7" s="791">
        <v>0</v>
      </c>
      <c r="Y7" s="791">
        <f>ROUND(X7/208,2)</f>
        <v>0</v>
      </c>
      <c r="Z7" s="791"/>
      <c r="AA7" s="791">
        <v>0</v>
      </c>
      <c r="AB7" s="791">
        <f>ROUND(AA7/208,2)</f>
        <v>0</v>
      </c>
      <c r="AC7" s="791"/>
      <c r="AD7" s="791">
        <v>0</v>
      </c>
      <c r="AE7" s="791">
        <f>ROUND(AD7/208,2)</f>
        <v>0</v>
      </c>
      <c r="AF7" s="791"/>
      <c r="AG7" s="791">
        <v>0</v>
      </c>
      <c r="AH7" s="791">
        <f>ROUND(AG7/208,2)</f>
        <v>0</v>
      </c>
      <c r="AI7" s="791"/>
      <c r="AJ7" s="791">
        <v>0</v>
      </c>
      <c r="AK7" s="791">
        <f>ROUND(AJ7/208,2)</f>
        <v>0</v>
      </c>
      <c r="AL7" s="791"/>
      <c r="AM7" s="791">
        <v>0</v>
      </c>
      <c r="AN7" s="791">
        <f>ROUND(AM7/208,2)</f>
        <v>0</v>
      </c>
      <c r="AO7" s="791"/>
      <c r="AP7" s="791">
        <v>0</v>
      </c>
      <c r="AQ7" s="791">
        <f>ROUND(AP7/208,2)</f>
        <v>0</v>
      </c>
      <c r="AR7" s="791"/>
      <c r="AS7" s="791">
        <v>0</v>
      </c>
      <c r="AT7" s="791">
        <f>ROUND(AS7/208,2)</f>
        <v>0</v>
      </c>
      <c r="AU7" s="791"/>
      <c r="AV7" s="791">
        <v>0</v>
      </c>
      <c r="AW7" s="791">
        <f>ROUND(AV7/208,2)</f>
        <v>0</v>
      </c>
      <c r="AX7" s="791"/>
      <c r="AY7" s="791">
        <v>0</v>
      </c>
      <c r="AZ7" s="791">
        <f>ROUND(AY7/208,2)</f>
        <v>0</v>
      </c>
      <c r="BA7" s="792"/>
      <c r="BB7" s="793"/>
      <c r="BC7" s="794"/>
      <c r="BD7" s="783"/>
      <c r="BE7" s="783"/>
      <c r="BF7" s="784"/>
      <c r="BG7" s="784"/>
    </row>
    <row r="8" spans="1:59" ht="18" customHeight="1">
      <c r="A8" s="789">
        <f t="shared" si="0"/>
        <v>4</v>
      </c>
      <c r="B8" s="796" t="s">
        <v>499</v>
      </c>
      <c r="C8" s="787">
        <f>(C$5)/12</f>
        <v>345.83333333333331</v>
      </c>
      <c r="D8" s="787">
        <f>(D$5)/12</f>
        <v>1.6624999999999999</v>
      </c>
      <c r="E8" s="787"/>
      <c r="F8" s="787">
        <f>(F$5)/12</f>
        <v>375</v>
      </c>
      <c r="G8" s="787">
        <f>(G$5)/12</f>
        <v>1.8025</v>
      </c>
      <c r="H8" s="787"/>
      <c r="I8" s="787">
        <f>(I$5)/12</f>
        <v>250</v>
      </c>
      <c r="J8" s="787">
        <f>(J$5)/12</f>
        <v>1.2016666666666667</v>
      </c>
      <c r="K8" s="787"/>
      <c r="L8" s="787">
        <f>(L$5)/12</f>
        <v>216.66666666666666</v>
      </c>
      <c r="M8" s="787">
        <f>(M$5)/12</f>
        <v>1.0416666666666667</v>
      </c>
      <c r="N8" s="787"/>
      <c r="O8" s="787">
        <f>(O$5)/12</f>
        <v>187.25</v>
      </c>
      <c r="P8" s="787">
        <f>(P$5)/12</f>
        <v>0.9</v>
      </c>
      <c r="Q8" s="787"/>
      <c r="R8" s="787">
        <f>(R$5)/12</f>
        <v>134.065</v>
      </c>
      <c r="S8" s="787">
        <f>(S$5)/12</f>
        <v>0.64416666666666667</v>
      </c>
      <c r="T8" s="787"/>
      <c r="U8" s="787">
        <f>(U$5)/12</f>
        <v>158.33333333333334</v>
      </c>
      <c r="V8" s="787">
        <f>(V$5)/12</f>
        <v>0.76083333333333336</v>
      </c>
      <c r="W8" s="787"/>
      <c r="X8" s="787">
        <f>(X$5)/12</f>
        <v>668.52499999999998</v>
      </c>
      <c r="Y8" s="787">
        <f>(Y$5)/12</f>
        <v>3.2141666666666668</v>
      </c>
      <c r="Z8" s="787"/>
      <c r="AA8" s="787">
        <f>(AA$5)/12</f>
        <v>543.4</v>
      </c>
      <c r="AB8" s="787">
        <f>(AB$5)/12</f>
        <v>2.6125000000000003</v>
      </c>
      <c r="AC8" s="787"/>
      <c r="AD8" s="787">
        <f>(AD$5)/12</f>
        <v>429</v>
      </c>
      <c r="AE8" s="787">
        <f>(AE$5)/12</f>
        <v>2.0625</v>
      </c>
      <c r="AF8" s="787"/>
      <c r="AG8" s="787">
        <f>(AG$5)/12</f>
        <v>333.33333333333331</v>
      </c>
      <c r="AH8" s="787">
        <f>(AH$5)/12</f>
        <v>1.6025</v>
      </c>
      <c r="AI8" s="787"/>
      <c r="AJ8" s="787">
        <f>(AJ$5)/12</f>
        <v>216.66666666666666</v>
      </c>
      <c r="AK8" s="787">
        <f>(AK$5)/12</f>
        <v>1.0416666666666667</v>
      </c>
      <c r="AL8" s="787"/>
      <c r="AM8" s="787">
        <f>(AM$5)/12</f>
        <v>416.66666666666669</v>
      </c>
      <c r="AN8" s="787">
        <f>(AN$5)/12</f>
        <v>2.0033333333333334</v>
      </c>
      <c r="AO8" s="787"/>
      <c r="AP8" s="787">
        <f>(AP$5)/12</f>
        <v>543.4</v>
      </c>
      <c r="AQ8" s="787">
        <f>(AQ$5)/12</f>
        <v>2.6125000000000003</v>
      </c>
      <c r="AR8" s="787"/>
      <c r="AS8" s="787">
        <f>(AS$5)/12</f>
        <v>333.33333333333331</v>
      </c>
      <c r="AT8" s="787">
        <f>(AT$5)/12</f>
        <v>1.6025</v>
      </c>
      <c r="AU8" s="787"/>
      <c r="AV8" s="787">
        <f>(AV$5)/12</f>
        <v>471.87333333333328</v>
      </c>
      <c r="AW8" s="787">
        <f>(AW$5)/12</f>
        <v>2.2683333333333331</v>
      </c>
      <c r="AX8" s="787"/>
      <c r="AY8" s="787">
        <f>(AY$5)/12</f>
        <v>57.5</v>
      </c>
      <c r="AZ8" s="787">
        <f>(AZ$5)/12</f>
        <v>0.27666666666666667</v>
      </c>
      <c r="BA8" s="788"/>
      <c r="BB8" s="780"/>
      <c r="BC8" s="781"/>
      <c r="BD8" s="797"/>
      <c r="BE8" s="783"/>
      <c r="BF8" s="784"/>
      <c r="BG8" s="784"/>
    </row>
    <row r="9" spans="1:59" ht="18" customHeight="1">
      <c r="A9" s="785">
        <f t="shared" si="0"/>
        <v>5</v>
      </c>
      <c r="B9" s="796" t="s">
        <v>500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787"/>
      <c r="AK9" s="787"/>
      <c r="AL9" s="787"/>
      <c r="AM9" s="787"/>
      <c r="AN9" s="787"/>
      <c r="AO9" s="787"/>
      <c r="AP9" s="787"/>
      <c r="AQ9" s="787"/>
      <c r="AR9" s="787"/>
      <c r="AS9" s="787"/>
      <c r="AT9" s="787"/>
      <c r="AU9" s="787"/>
      <c r="AV9" s="787"/>
      <c r="AW9" s="787"/>
      <c r="AX9" s="787"/>
      <c r="AY9" s="787"/>
      <c r="AZ9" s="787"/>
      <c r="BA9" s="788"/>
      <c r="BB9" s="780"/>
      <c r="BC9" s="781"/>
      <c r="BD9" s="797"/>
      <c r="BE9" s="783"/>
      <c r="BF9" s="784"/>
      <c r="BG9" s="784"/>
    </row>
    <row r="10" spans="1:59" ht="18" customHeight="1">
      <c r="A10" s="785">
        <f>1+A9</f>
        <v>6</v>
      </c>
      <c r="B10" s="786" t="s">
        <v>501</v>
      </c>
      <c r="C10" s="787">
        <v>50</v>
      </c>
      <c r="D10" s="787">
        <f>ROUND(C10/208,2)</f>
        <v>0.24</v>
      </c>
      <c r="E10" s="787"/>
      <c r="F10" s="787">
        <v>50</v>
      </c>
      <c r="G10" s="787">
        <f>ROUND(F10/208,2)</f>
        <v>0.24</v>
      </c>
      <c r="H10" s="787"/>
      <c r="I10" s="787">
        <v>50</v>
      </c>
      <c r="J10" s="787">
        <f>ROUND(I10/208,2)</f>
        <v>0.24</v>
      </c>
      <c r="K10" s="787"/>
      <c r="L10" s="787">
        <v>50</v>
      </c>
      <c r="M10" s="787">
        <f>ROUND(L10/208,2)</f>
        <v>0.24</v>
      </c>
      <c r="N10" s="787"/>
      <c r="O10" s="787">
        <v>50</v>
      </c>
      <c r="P10" s="787">
        <f>ROUND(O10/208,2)</f>
        <v>0.24</v>
      </c>
      <c r="Q10" s="787"/>
      <c r="R10" s="787">
        <v>50</v>
      </c>
      <c r="S10" s="787">
        <f>ROUND(R10/208,2)</f>
        <v>0.24</v>
      </c>
      <c r="T10" s="787"/>
      <c r="U10" s="787">
        <v>50</v>
      </c>
      <c r="V10" s="787">
        <f>ROUND(U10/208,2)</f>
        <v>0.24</v>
      </c>
      <c r="W10" s="787"/>
      <c r="X10" s="787">
        <v>50</v>
      </c>
      <c r="Y10" s="787">
        <f>ROUND(X10/208,2)</f>
        <v>0.24</v>
      </c>
      <c r="Z10" s="787"/>
      <c r="AA10" s="787">
        <v>50</v>
      </c>
      <c r="AB10" s="787">
        <f>ROUND(AA10/208,2)</f>
        <v>0.24</v>
      </c>
      <c r="AC10" s="787"/>
      <c r="AD10" s="787">
        <v>50</v>
      </c>
      <c r="AE10" s="787">
        <f>ROUND(AD10/208,2)</f>
        <v>0.24</v>
      </c>
      <c r="AF10" s="787"/>
      <c r="AG10" s="787">
        <v>50</v>
      </c>
      <c r="AH10" s="787">
        <f>ROUND(AG10/208,2)</f>
        <v>0.24</v>
      </c>
      <c r="AI10" s="787"/>
      <c r="AJ10" s="787">
        <v>50</v>
      </c>
      <c r="AK10" s="787">
        <f>ROUND(AJ10/208,2)</f>
        <v>0.24</v>
      </c>
      <c r="AL10" s="787"/>
      <c r="AM10" s="787">
        <v>50</v>
      </c>
      <c r="AN10" s="787">
        <f>ROUND(AM10/208,2)</f>
        <v>0.24</v>
      </c>
      <c r="AO10" s="787"/>
      <c r="AP10" s="787">
        <v>50</v>
      </c>
      <c r="AQ10" s="787">
        <f>ROUND(AP10/208,2)</f>
        <v>0.24</v>
      </c>
      <c r="AR10" s="787"/>
      <c r="AS10" s="787">
        <v>50</v>
      </c>
      <c r="AT10" s="787">
        <f>ROUND(AS10/208,2)</f>
        <v>0.24</v>
      </c>
      <c r="AU10" s="787"/>
      <c r="AV10" s="787">
        <v>50</v>
      </c>
      <c r="AW10" s="787">
        <f>ROUND(AV10/208,2)</f>
        <v>0.24</v>
      </c>
      <c r="AX10" s="787"/>
      <c r="AY10" s="787">
        <v>50</v>
      </c>
      <c r="AZ10" s="787">
        <f>ROUND(AY10/208,2)</f>
        <v>0.24</v>
      </c>
      <c r="BA10" s="788"/>
      <c r="BB10" s="780"/>
      <c r="BC10" s="781"/>
      <c r="BD10" s="783"/>
      <c r="BE10" s="783"/>
      <c r="BF10" s="784"/>
      <c r="BG10" s="784"/>
    </row>
    <row r="11" spans="1:59" ht="18" customHeight="1">
      <c r="A11" s="798">
        <f t="shared" si="0"/>
        <v>7</v>
      </c>
      <c r="B11" s="786" t="s">
        <v>502</v>
      </c>
      <c r="C11" s="787">
        <f>400/12</f>
        <v>33.333333333333336</v>
      </c>
      <c r="D11" s="787">
        <f>ROUND(C11/208,2)</f>
        <v>0.16</v>
      </c>
      <c r="E11" s="787"/>
      <c r="F11" s="787">
        <f>400/12</f>
        <v>33.333333333333336</v>
      </c>
      <c r="G11" s="787">
        <f>ROUND(F11/208,2)</f>
        <v>0.16</v>
      </c>
      <c r="H11" s="787"/>
      <c r="I11" s="787">
        <f>400/12</f>
        <v>33.333333333333336</v>
      </c>
      <c r="J11" s="787">
        <f>ROUND(I11/208,2)</f>
        <v>0.16</v>
      </c>
      <c r="K11" s="787"/>
      <c r="L11" s="787">
        <f>400/12</f>
        <v>33.333333333333336</v>
      </c>
      <c r="M11" s="787">
        <f>ROUND(L11/208,2)</f>
        <v>0.16</v>
      </c>
      <c r="N11" s="787"/>
      <c r="O11" s="787">
        <f>400/12</f>
        <v>33.333333333333336</v>
      </c>
      <c r="P11" s="787">
        <f>ROUND(O11/208,2)</f>
        <v>0.16</v>
      </c>
      <c r="Q11" s="787"/>
      <c r="R11" s="787">
        <f>400/12</f>
        <v>33.333333333333336</v>
      </c>
      <c r="S11" s="787">
        <f>ROUND(R11/208,2)</f>
        <v>0.16</v>
      </c>
      <c r="T11" s="787"/>
      <c r="U11" s="787">
        <f>400/12</f>
        <v>33.333333333333336</v>
      </c>
      <c r="V11" s="787">
        <f>ROUND(U11/208,2)</f>
        <v>0.16</v>
      </c>
      <c r="W11" s="787"/>
      <c r="X11" s="787">
        <f>400/12</f>
        <v>33.333333333333336</v>
      </c>
      <c r="Y11" s="787">
        <f>ROUND(X11/208,2)</f>
        <v>0.16</v>
      </c>
      <c r="Z11" s="787"/>
      <c r="AA11" s="787">
        <f>400/12</f>
        <v>33.333333333333336</v>
      </c>
      <c r="AB11" s="787">
        <f>ROUND(AA11/208,2)</f>
        <v>0.16</v>
      </c>
      <c r="AC11" s="787"/>
      <c r="AD11" s="787">
        <f>400/12</f>
        <v>33.333333333333336</v>
      </c>
      <c r="AE11" s="787">
        <f>ROUND(AD11/208,2)</f>
        <v>0.16</v>
      </c>
      <c r="AF11" s="787"/>
      <c r="AG11" s="787">
        <f>400/12</f>
        <v>33.333333333333336</v>
      </c>
      <c r="AH11" s="787">
        <f>ROUND(AG11/208,2)</f>
        <v>0.16</v>
      </c>
      <c r="AI11" s="787"/>
      <c r="AJ11" s="787">
        <f>400/12</f>
        <v>33.333333333333336</v>
      </c>
      <c r="AK11" s="787">
        <f>ROUND(AJ11/208,2)</f>
        <v>0.16</v>
      </c>
      <c r="AL11" s="787"/>
      <c r="AM11" s="787">
        <f>400/12</f>
        <v>33.333333333333336</v>
      </c>
      <c r="AN11" s="787">
        <f>ROUND(AM11/208,2)</f>
        <v>0.16</v>
      </c>
      <c r="AO11" s="787"/>
      <c r="AP11" s="787">
        <f>400/12</f>
        <v>33.333333333333336</v>
      </c>
      <c r="AQ11" s="787">
        <f>ROUND(AP11/208,2)</f>
        <v>0.16</v>
      </c>
      <c r="AR11" s="787"/>
      <c r="AS11" s="787">
        <f>400/12</f>
        <v>33.333333333333336</v>
      </c>
      <c r="AT11" s="787">
        <f>ROUND(AS11/208,2)</f>
        <v>0.16</v>
      </c>
      <c r="AU11" s="787"/>
      <c r="AV11" s="787">
        <f>400/12</f>
        <v>33.333333333333336</v>
      </c>
      <c r="AW11" s="787">
        <f>ROUND(AV11/208,2)</f>
        <v>0.16</v>
      </c>
      <c r="AX11" s="787"/>
      <c r="AY11" s="787">
        <f>400/12</f>
        <v>33.333333333333336</v>
      </c>
      <c r="AZ11" s="787">
        <f>ROUND(AY11/208,2)</f>
        <v>0.16</v>
      </c>
      <c r="BA11" s="788"/>
      <c r="BB11" s="780"/>
      <c r="BC11" s="781"/>
      <c r="BD11" s="783"/>
      <c r="BE11" s="783"/>
      <c r="BF11" s="784"/>
      <c r="BG11" s="784"/>
    </row>
    <row r="12" spans="1:59" ht="18" customHeight="1">
      <c r="A12" s="799">
        <f t="shared" si="0"/>
        <v>8</v>
      </c>
      <c r="B12" s="796" t="s">
        <v>503</v>
      </c>
      <c r="C12" s="787">
        <f>SUM(C5:C9)</f>
        <v>4495.833333333333</v>
      </c>
      <c r="D12" s="787">
        <f>SUM(D5:D11)</f>
        <v>22.012499999999999</v>
      </c>
      <c r="E12" s="800"/>
      <c r="F12" s="787">
        <f>SUM(F5:F9)</f>
        <v>4875</v>
      </c>
      <c r="G12" s="787">
        <f>SUM(G5:G11)</f>
        <v>23.832499999999996</v>
      </c>
      <c r="H12" s="800"/>
      <c r="I12" s="787">
        <f>SUM(I5:I9)</f>
        <v>3250</v>
      </c>
      <c r="J12" s="787">
        <f>SUM(J5:J11)</f>
        <v>16.021666666666665</v>
      </c>
      <c r="K12" s="800"/>
      <c r="L12" s="787">
        <f>SUM(L5:L9)</f>
        <v>2816.6666666666665</v>
      </c>
      <c r="M12" s="787">
        <f>SUM(M5:M11)</f>
        <v>13.941666666666666</v>
      </c>
      <c r="N12" s="800"/>
      <c r="O12" s="787">
        <f>SUM(O5:O9)</f>
        <v>2434.25</v>
      </c>
      <c r="P12" s="787">
        <f>SUM(P5:P11)</f>
        <v>12.100000000000001</v>
      </c>
      <c r="Q12" s="800"/>
      <c r="R12" s="787">
        <f>SUM(R5:R9)</f>
        <v>1742.845</v>
      </c>
      <c r="S12" s="787">
        <f>SUM(S5:S11)</f>
        <v>8.7741666666666678</v>
      </c>
      <c r="T12" s="800"/>
      <c r="U12" s="787">
        <f>SUM(U5:U9)</f>
        <v>2058.3333333333335</v>
      </c>
      <c r="V12" s="787">
        <f>SUM(V5:V11)</f>
        <v>10.290833333333335</v>
      </c>
      <c r="W12" s="800"/>
      <c r="X12" s="787">
        <f>SUM(X5:X9)</f>
        <v>8690.8250000000007</v>
      </c>
      <c r="Y12" s="787">
        <f>SUM(Y5:Y11)</f>
        <v>42.184166666666663</v>
      </c>
      <c r="Z12" s="800"/>
      <c r="AA12" s="787">
        <f>SUM(AA5:AA9)</f>
        <v>7064.2</v>
      </c>
      <c r="AB12" s="787">
        <f>SUM(AB5:AB11)</f>
        <v>34.362499999999997</v>
      </c>
      <c r="AC12" s="800"/>
      <c r="AD12" s="787">
        <f>SUM(AD5:AD9)</f>
        <v>5577</v>
      </c>
      <c r="AE12" s="787">
        <f>SUM(AE5:AE11)</f>
        <v>27.212499999999999</v>
      </c>
      <c r="AF12" s="800"/>
      <c r="AG12" s="787">
        <f>SUM(AG5:AG9)</f>
        <v>4333.333333333333</v>
      </c>
      <c r="AH12" s="787">
        <f>SUM(AH5:AH11)</f>
        <v>21.232499999999998</v>
      </c>
      <c r="AI12" s="800"/>
      <c r="AJ12" s="787">
        <f>SUM(AJ5:AJ9)</f>
        <v>2816.6666666666665</v>
      </c>
      <c r="AK12" s="787">
        <f>SUM(AK5:AK11)</f>
        <v>13.941666666666666</v>
      </c>
      <c r="AL12" s="787"/>
      <c r="AM12" s="787">
        <f>SUM(AM5:AM9)</f>
        <v>5416.666666666667</v>
      </c>
      <c r="AN12" s="787">
        <f>SUM(AN5:AN11)</f>
        <v>26.443333333333332</v>
      </c>
      <c r="AO12" s="787"/>
      <c r="AP12" s="787">
        <f>SUM(AP5:AP9)</f>
        <v>7064.2</v>
      </c>
      <c r="AQ12" s="787">
        <f>SUM(AQ5:AQ11)</f>
        <v>34.362499999999997</v>
      </c>
      <c r="AR12" s="787"/>
      <c r="AS12" s="787">
        <f>SUM(AS5:AS9)</f>
        <v>4333.333333333333</v>
      </c>
      <c r="AT12" s="787">
        <f>SUM(AT5:AT11)</f>
        <v>21.232499999999998</v>
      </c>
      <c r="AU12" s="787"/>
      <c r="AV12" s="787">
        <f>SUM(AV5:AV9)</f>
        <v>6134.3533333333326</v>
      </c>
      <c r="AW12" s="787">
        <f>SUM(AW5:AW11)</f>
        <v>29.888333333333332</v>
      </c>
      <c r="AX12" s="787"/>
      <c r="AY12" s="787">
        <f>SUM(AY5:AY9)</f>
        <v>747.5</v>
      </c>
      <c r="AZ12" s="787">
        <f>SUM(AZ5:AZ11)</f>
        <v>3.996666666666667</v>
      </c>
      <c r="BA12" s="788"/>
      <c r="BB12" s="780"/>
      <c r="BC12" s="781"/>
      <c r="BD12" s="797"/>
      <c r="BE12" s="783"/>
      <c r="BF12" s="784"/>
      <c r="BG12" s="801"/>
    </row>
    <row r="13" spans="1:59" ht="18" customHeight="1">
      <c r="A13" s="775">
        <f t="shared" si="0"/>
        <v>9</v>
      </c>
      <c r="B13" s="796" t="s">
        <v>504</v>
      </c>
      <c r="C13" s="787">
        <f>(C$5+C$8)*0.09</f>
        <v>404.62499999999994</v>
      </c>
      <c r="D13" s="787">
        <f>(D$5+D$8)*0.09</f>
        <v>1.945125</v>
      </c>
      <c r="E13" s="787"/>
      <c r="F13" s="787">
        <f>(F$5+F$8)*0.09</f>
        <v>438.75</v>
      </c>
      <c r="G13" s="787">
        <f>(G$5+G$8)*0.09</f>
        <v>2.1089249999999997</v>
      </c>
      <c r="H13" s="787"/>
      <c r="I13" s="787">
        <f>(I$5+I$8)*0.09</f>
        <v>292.5</v>
      </c>
      <c r="J13" s="787">
        <f>(J$5+J$8)*0.09</f>
        <v>1.4059499999999998</v>
      </c>
      <c r="K13" s="787"/>
      <c r="L13" s="787">
        <f>(L$5+L$8)*0.09</f>
        <v>253.49999999999997</v>
      </c>
      <c r="M13" s="787">
        <f>(M$5+M$8)*0.09</f>
        <v>1.21875</v>
      </c>
      <c r="N13" s="787"/>
      <c r="O13" s="787">
        <f>(O$5+O$8)*0.09</f>
        <v>219.08249999999998</v>
      </c>
      <c r="P13" s="787">
        <f>(P$5+P$8)*0.09</f>
        <v>1.0530000000000002</v>
      </c>
      <c r="Q13" s="787"/>
      <c r="R13" s="787">
        <f>(R$5+R$8)*0.09</f>
        <v>156.85605000000001</v>
      </c>
      <c r="S13" s="787">
        <f>(S$5+S$8)*0.09</f>
        <v>0.75367500000000009</v>
      </c>
      <c r="T13" s="787"/>
      <c r="U13" s="787">
        <f>(U$5+U$8)*0.09</f>
        <v>185.25</v>
      </c>
      <c r="V13" s="787">
        <f>(V$5+V$8)*0.09</f>
        <v>0.89017500000000016</v>
      </c>
      <c r="W13" s="787"/>
      <c r="X13" s="787">
        <f>(X$5+X$8)*0.09</f>
        <v>782.17425000000003</v>
      </c>
      <c r="Y13" s="787">
        <f>(Y$5+Y$8)*0.09</f>
        <v>3.7605749999999998</v>
      </c>
      <c r="Z13" s="787"/>
      <c r="AA13" s="787">
        <f>(AA$5+AA$8)*0.09</f>
        <v>635.77799999999991</v>
      </c>
      <c r="AB13" s="787">
        <f>(AB$5+AB$8)*0.09</f>
        <v>3.0566249999999999</v>
      </c>
      <c r="AC13" s="787"/>
      <c r="AD13" s="787">
        <f>(AD$5+AD$8)*0.09</f>
        <v>501.93</v>
      </c>
      <c r="AE13" s="787">
        <f>(AE$5+AE$8)*0.09</f>
        <v>2.413125</v>
      </c>
      <c r="AF13" s="787"/>
      <c r="AG13" s="787">
        <f>(AG$5+AG$8)*0.09</f>
        <v>389.99999999999994</v>
      </c>
      <c r="AH13" s="787">
        <f>(AH$5+AH$8)*0.09</f>
        <v>1.874925</v>
      </c>
      <c r="AI13" s="787"/>
      <c r="AJ13" s="787">
        <f>(AJ$5+AJ$8)*0.09</f>
        <v>253.49999999999997</v>
      </c>
      <c r="AK13" s="787">
        <f>(AK$5+AK$8)*0.09</f>
        <v>1.21875</v>
      </c>
      <c r="AL13" s="787"/>
      <c r="AM13" s="787">
        <f>(AM$5+AM$8)*0.09</f>
        <v>487.5</v>
      </c>
      <c r="AN13" s="787">
        <f>(AN$5+AN$8)*0.09</f>
        <v>2.3439000000000001</v>
      </c>
      <c r="AO13" s="787"/>
      <c r="AP13" s="787">
        <f>(AP$5+AP$8)*0.09</f>
        <v>635.77799999999991</v>
      </c>
      <c r="AQ13" s="787">
        <f>(AQ$5+AQ$8)*0.09</f>
        <v>3.0566249999999999</v>
      </c>
      <c r="AR13" s="787"/>
      <c r="AS13" s="787">
        <f>(AS$5+AS$8)*0.09</f>
        <v>389.99999999999994</v>
      </c>
      <c r="AT13" s="787">
        <f>(AT$5+AT$8)*0.09</f>
        <v>1.874925</v>
      </c>
      <c r="AU13" s="787"/>
      <c r="AV13" s="787">
        <f>(AV$5+AV$8)*0.09</f>
        <v>552.09179999999992</v>
      </c>
      <c r="AW13" s="787">
        <f>(AW$5+AW$8)*0.09</f>
        <v>2.65395</v>
      </c>
      <c r="AX13" s="787"/>
      <c r="AY13" s="787">
        <f>(AY$5+AY$8)*0.09</f>
        <v>67.274999999999991</v>
      </c>
      <c r="AZ13" s="787">
        <f>(AZ$5+AZ$8)*0.09</f>
        <v>0.32369999999999999</v>
      </c>
      <c r="BA13" s="788"/>
      <c r="BB13" s="780"/>
      <c r="BC13" s="781"/>
      <c r="BD13" s="797"/>
      <c r="BE13" s="783"/>
      <c r="BF13" s="784"/>
      <c r="BG13" s="784"/>
    </row>
    <row r="14" spans="1:59" ht="18" customHeight="1">
      <c r="A14" s="785">
        <f t="shared" si="0"/>
        <v>10</v>
      </c>
      <c r="B14" s="802" t="s">
        <v>505</v>
      </c>
      <c r="C14" s="787">
        <f>(C$5+C$8)*0.0155</f>
        <v>69.685416666666669</v>
      </c>
      <c r="D14" s="787">
        <f>(D$5+D$8)*0.0675</f>
        <v>1.4588437500000002</v>
      </c>
      <c r="E14" s="787"/>
      <c r="F14" s="787">
        <f>(F$5+F$8)*0.0155</f>
        <v>75.5625</v>
      </c>
      <c r="G14" s="787">
        <f>(G$5+G$8)*0.0675</f>
        <v>1.5816937499999999</v>
      </c>
      <c r="H14" s="787"/>
      <c r="I14" s="787">
        <f>(I$5+I$8)*0.0155</f>
        <v>50.375</v>
      </c>
      <c r="J14" s="787">
        <f>(J$5+J$8)*0.0675</f>
        <v>1.0544625000000001</v>
      </c>
      <c r="K14" s="787"/>
      <c r="L14" s="787">
        <f>(L$5+L$8)*0.0155</f>
        <v>43.658333333333331</v>
      </c>
      <c r="M14" s="787">
        <f>(M$5+M$8)*0.0675</f>
        <v>0.9140625</v>
      </c>
      <c r="N14" s="787"/>
      <c r="O14" s="787">
        <f>(O$5+O$8)*0.0155</f>
        <v>37.730874999999997</v>
      </c>
      <c r="P14" s="787">
        <f>(P$5+P$8)*0.0675</f>
        <v>0.78975000000000017</v>
      </c>
      <c r="Q14" s="787"/>
      <c r="R14" s="787">
        <f>(R$5+R$8)*0.0155</f>
        <v>27.014097500000002</v>
      </c>
      <c r="S14" s="787">
        <f>(S$5+S$8)*0.0675</f>
        <v>0.56525625000000013</v>
      </c>
      <c r="T14" s="787"/>
      <c r="U14" s="787">
        <f>(U$5+U$8)*0.0155</f>
        <v>31.904166666666669</v>
      </c>
      <c r="V14" s="787">
        <f>(V$5+V$8)*0.0675</f>
        <v>0.66763125000000012</v>
      </c>
      <c r="W14" s="787"/>
      <c r="X14" s="787">
        <f>(X$5+X$8)*0.0155</f>
        <v>134.70778750000002</v>
      </c>
      <c r="Y14" s="787">
        <f>(Y$5+Y$8)*0.0675</f>
        <v>2.8204312499999999</v>
      </c>
      <c r="Z14" s="787"/>
      <c r="AA14" s="787">
        <f>(AA$5+AA$8)*0.0155</f>
        <v>109.49509999999999</v>
      </c>
      <c r="AB14" s="787">
        <f>(AB$5+AB$8)*0.0675</f>
        <v>2.2924687499999998</v>
      </c>
      <c r="AC14" s="787"/>
      <c r="AD14" s="787">
        <f>(AD$5+AD$8)*0.0155</f>
        <v>86.4435</v>
      </c>
      <c r="AE14" s="787">
        <f>(AE$5+AE$8)*0.0675</f>
        <v>1.8098437500000002</v>
      </c>
      <c r="AF14" s="787"/>
      <c r="AG14" s="787">
        <f>(AG$5+AG$8)*0.0155</f>
        <v>67.166666666666657</v>
      </c>
      <c r="AH14" s="787">
        <f>(AH$5+AH$8)*0.0675</f>
        <v>1.4061937500000001</v>
      </c>
      <c r="AI14" s="787"/>
      <c r="AJ14" s="787">
        <f>(AJ$5+AJ$8)*0.0155</f>
        <v>43.658333333333331</v>
      </c>
      <c r="AK14" s="787">
        <f>(AK$5+AK$8)*0.0675</f>
        <v>0.9140625</v>
      </c>
      <c r="AL14" s="787"/>
      <c r="AM14" s="787">
        <f>(AM$5+AM$8)*0.0155</f>
        <v>83.958333333333343</v>
      </c>
      <c r="AN14" s="787">
        <f>(AN$5+AN$8)*0.0675</f>
        <v>1.7579250000000002</v>
      </c>
      <c r="AO14" s="787"/>
      <c r="AP14" s="787">
        <f>(AP$5+AP$8)*0.0155</f>
        <v>109.49509999999999</v>
      </c>
      <c r="AQ14" s="787">
        <f>(AQ$5+AQ$8)*0.0675</f>
        <v>2.2924687499999998</v>
      </c>
      <c r="AR14" s="787"/>
      <c r="AS14" s="787">
        <f>(AS$5+AS$8)*0.0155</f>
        <v>67.166666666666657</v>
      </c>
      <c r="AT14" s="787">
        <f>(AT$5+AT$8)*0.0675</f>
        <v>1.4061937500000001</v>
      </c>
      <c r="AU14" s="787"/>
      <c r="AV14" s="787">
        <f>(AV$5+AV$8)*0.0155</f>
        <v>95.082476666666651</v>
      </c>
      <c r="AW14" s="787">
        <f>(AW$5+AW$8)*0.0675</f>
        <v>1.9904625</v>
      </c>
      <c r="AX14" s="787"/>
      <c r="AY14" s="787">
        <f>(AY$5+AY$8)*0.0155</f>
        <v>11.58625</v>
      </c>
      <c r="AZ14" s="787">
        <f>(AZ$5+AZ$8)*0.0675</f>
        <v>0.24277500000000002</v>
      </c>
      <c r="BA14" s="788"/>
      <c r="BB14" s="780"/>
      <c r="BC14" s="781"/>
      <c r="BD14" s="797"/>
      <c r="BE14" s="783"/>
      <c r="BF14" s="784"/>
      <c r="BG14" s="784"/>
    </row>
    <row r="15" spans="1:59" ht="18" customHeight="1" thickBot="1">
      <c r="A15" s="803">
        <f>1+A14</f>
        <v>11</v>
      </c>
      <c r="B15" s="804" t="s">
        <v>506</v>
      </c>
      <c r="C15" s="805">
        <f>SUM(C10:C14)</f>
        <v>5053.4770833333323</v>
      </c>
      <c r="D15" s="806">
        <f>SUM(D12:D14)</f>
        <v>25.41646875</v>
      </c>
      <c r="E15" s="807"/>
      <c r="F15" s="805">
        <f>SUM(F10:F14)</f>
        <v>5472.645833333333</v>
      </c>
      <c r="G15" s="806">
        <f>SUM(G12:G14)</f>
        <v>27.523118749999995</v>
      </c>
      <c r="H15" s="807"/>
      <c r="I15" s="805">
        <f>SUM(I10:I14)</f>
        <v>3676.2083333333335</v>
      </c>
      <c r="J15" s="806">
        <f>SUM(J12:J14)</f>
        <v>18.482079166666665</v>
      </c>
      <c r="K15" s="807"/>
      <c r="L15" s="805">
        <f>SUM(L10:L14)</f>
        <v>3197.1583333333333</v>
      </c>
      <c r="M15" s="806">
        <f>SUM(M12:M14)</f>
        <v>16.074479166666666</v>
      </c>
      <c r="N15" s="807"/>
      <c r="O15" s="805">
        <f>SUM(O10:O14)</f>
        <v>2774.3967083333337</v>
      </c>
      <c r="P15" s="806">
        <f>SUM(P12:P14)</f>
        <v>13.942750000000002</v>
      </c>
      <c r="Q15" s="807"/>
      <c r="R15" s="805">
        <f>SUM(R10:R14)</f>
        <v>2010.0484808333333</v>
      </c>
      <c r="S15" s="806">
        <f>SUM(S12:S14)</f>
        <v>10.093097916666668</v>
      </c>
      <c r="T15" s="807"/>
      <c r="U15" s="805">
        <f>SUM(U10:U14)</f>
        <v>2358.8208333333337</v>
      </c>
      <c r="V15" s="806">
        <f>SUM(V12:V14)</f>
        <v>11.848639583333334</v>
      </c>
      <c r="W15" s="807"/>
      <c r="X15" s="805">
        <f>SUM(X10:X14)</f>
        <v>9691.0403708333342</v>
      </c>
      <c r="Y15" s="806">
        <f>SUM(Y12:Y14)</f>
        <v>48.765172916666664</v>
      </c>
      <c r="Z15" s="807"/>
      <c r="AA15" s="805">
        <f>SUM(AA10:AA14)</f>
        <v>7892.8064333333332</v>
      </c>
      <c r="AB15" s="806">
        <f>SUM(AB12:AB14)</f>
        <v>39.711593749999992</v>
      </c>
      <c r="AC15" s="807"/>
      <c r="AD15" s="805">
        <f>SUM(AD10:AD14)</f>
        <v>6248.7068333333336</v>
      </c>
      <c r="AE15" s="806">
        <f>SUM(AE12:AE14)</f>
        <v>31.435468749999998</v>
      </c>
      <c r="AF15" s="807"/>
      <c r="AG15" s="805">
        <f>SUM(AG10:AG14)</f>
        <v>4873.833333333333</v>
      </c>
      <c r="AH15" s="806">
        <f>SUM(AH12:AH14)</f>
        <v>24.513618749999999</v>
      </c>
      <c r="AI15" s="807"/>
      <c r="AJ15" s="805">
        <f>SUM(AJ10:AJ14)</f>
        <v>3197.1583333333333</v>
      </c>
      <c r="AK15" s="806">
        <f>SUM(AK12:AK14)</f>
        <v>16.074479166666666</v>
      </c>
      <c r="AL15" s="808"/>
      <c r="AM15" s="805">
        <f>SUM(AM10:AM14)</f>
        <v>6071.458333333333</v>
      </c>
      <c r="AN15" s="806">
        <f>SUM(AN12:AN14)</f>
        <v>30.545158333333333</v>
      </c>
      <c r="AO15" s="808"/>
      <c r="AP15" s="805">
        <f>SUM(AP10:AP14)</f>
        <v>7892.8064333333332</v>
      </c>
      <c r="AQ15" s="806">
        <f>SUM(AQ12:AQ14)</f>
        <v>39.711593749999992</v>
      </c>
      <c r="AR15" s="808"/>
      <c r="AS15" s="805">
        <f>SUM(AS10:AS14)</f>
        <v>4873.833333333333</v>
      </c>
      <c r="AT15" s="806">
        <f>SUM(AT12:AT14)</f>
        <v>24.513618749999999</v>
      </c>
      <c r="AU15" s="808"/>
      <c r="AV15" s="805">
        <f>SUM(AV10:AV14)</f>
        <v>6864.8609433333322</v>
      </c>
      <c r="AW15" s="806">
        <f>SUM(AW12:AW14)</f>
        <v>34.53274583333333</v>
      </c>
      <c r="AX15" s="808"/>
      <c r="AY15" s="805">
        <f>SUM(AY10:AY14)</f>
        <v>909.6945833333333</v>
      </c>
      <c r="AZ15" s="806">
        <f>SUM(AZ12:AZ14)</f>
        <v>4.5631416666666667</v>
      </c>
      <c r="BA15" s="809"/>
      <c r="BB15" s="780"/>
      <c r="BC15" s="771"/>
      <c r="BD15" s="810"/>
      <c r="BE15" s="811"/>
      <c r="BF15" s="812"/>
      <c r="BG15" s="813"/>
    </row>
    <row r="16" spans="1:59" s="814" customFormat="1" ht="18" customHeight="1">
      <c r="B16" s="815"/>
      <c r="C16" s="816"/>
      <c r="D16" s="817"/>
      <c r="E16" s="818"/>
      <c r="F16" s="818"/>
      <c r="G16" s="818"/>
      <c r="H16" s="818"/>
      <c r="I16" s="818"/>
      <c r="J16" s="818"/>
      <c r="K16" s="818"/>
      <c r="L16" s="816"/>
      <c r="M16" s="817"/>
      <c r="N16" s="818"/>
      <c r="O16" s="818"/>
      <c r="P16" s="818"/>
      <c r="Q16" s="818"/>
      <c r="R16" s="818"/>
      <c r="S16" s="818"/>
      <c r="T16" s="818"/>
      <c r="U16" s="818"/>
      <c r="V16" s="818"/>
      <c r="W16" s="818"/>
      <c r="X16" s="818"/>
      <c r="Y16" s="818"/>
      <c r="Z16" s="818"/>
      <c r="AA16" s="816"/>
      <c r="AB16" s="817"/>
      <c r="AC16" s="818"/>
      <c r="AD16" s="818"/>
      <c r="AE16" s="818"/>
      <c r="AF16" s="818"/>
      <c r="AG16" s="818"/>
      <c r="AH16" s="818"/>
      <c r="AI16" s="818"/>
      <c r="AJ16" s="818"/>
      <c r="AK16" s="818"/>
      <c r="AL16" s="818"/>
      <c r="AM16" s="816"/>
      <c r="AN16" s="817"/>
      <c r="AO16" s="816"/>
      <c r="AP16" s="816"/>
      <c r="AQ16" s="817"/>
      <c r="AR16" s="816"/>
      <c r="AS16" s="816"/>
      <c r="AT16" s="817"/>
      <c r="AU16" s="816"/>
      <c r="AV16" s="816"/>
      <c r="AW16" s="816"/>
      <c r="AX16" s="816"/>
      <c r="AY16" s="816"/>
      <c r="AZ16" s="817"/>
      <c r="BA16" s="816"/>
      <c r="BB16" s="780"/>
      <c r="BC16" s="770"/>
      <c r="BD16" s="780"/>
      <c r="BE16" s="780"/>
      <c r="BF16" s="770"/>
      <c r="BG16" s="780"/>
    </row>
  </sheetData>
  <mergeCells count="22">
    <mergeCell ref="A3:A4"/>
    <mergeCell ref="B3:B4"/>
    <mergeCell ref="C3:E3"/>
    <mergeCell ref="F3:H3"/>
    <mergeCell ref="I3:K3"/>
    <mergeCell ref="BE3:BG3"/>
    <mergeCell ref="AJ3:AL3"/>
    <mergeCell ref="AM3:AO3"/>
    <mergeCell ref="AP3:AR3"/>
    <mergeCell ref="AS3:AU3"/>
    <mergeCell ref="B1:BA1"/>
    <mergeCell ref="B2:BA2"/>
    <mergeCell ref="O3:Q3"/>
    <mergeCell ref="R3:T3"/>
    <mergeCell ref="AV3:AX3"/>
    <mergeCell ref="AY3:BA3"/>
    <mergeCell ref="U3:W3"/>
    <mergeCell ref="X3:Z3"/>
    <mergeCell ref="AA3:AC3"/>
    <mergeCell ref="AD3:AF3"/>
    <mergeCell ref="AG3:AI3"/>
    <mergeCell ref="L3:N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5"/>
  <sheetViews>
    <sheetView view="pageBreakPreview" topLeftCell="A4" workbookViewId="0">
      <selection activeCell="G29" sqref="G29"/>
    </sheetView>
  </sheetViews>
  <sheetFormatPr baseColWidth="10" defaultColWidth="11.5546875" defaultRowHeight="13.2"/>
  <cols>
    <col min="1" max="1" width="0.5546875" style="304" customWidth="1"/>
    <col min="2" max="2" width="10.88671875" style="304" customWidth="1"/>
    <col min="3" max="3" width="38.6640625" style="304" customWidth="1"/>
    <col min="4" max="4" width="6.44140625" style="304" customWidth="1"/>
    <col min="5" max="6" width="14.44140625" style="304" customWidth="1"/>
    <col min="7" max="7" width="18.109375" style="304" customWidth="1"/>
    <col min="8" max="8" width="23.5546875" style="304" customWidth="1"/>
    <col min="9" max="9" width="12.5546875" style="304" bestFit="1" customWidth="1"/>
    <col min="10" max="16384" width="11.5546875" style="304"/>
  </cols>
  <sheetData>
    <row r="1" spans="1:11" ht="59.25" customHeight="1" thickTop="1">
      <c r="A1" s="445"/>
      <c r="B1" s="1183" t="str">
        <f>RESÚMEN!B4</f>
        <v xml:space="preserve">PROYECTO : “MEJORAMIENTO DEL SERVICIO EDUCATIVO DE LA I.E ESTHER ROBERTI GAMERO, DISTRITO DE ABANCAY- REGIÓN APURÍMAC”
</v>
      </c>
      <c r="C1" s="1184"/>
      <c r="D1" s="1184"/>
      <c r="E1" s="1184"/>
      <c r="F1" s="1184"/>
      <c r="G1" s="1185"/>
    </row>
    <row r="2" spans="1:11">
      <c r="A2" s="398"/>
      <c r="B2" s="1186"/>
      <c r="C2" s="1187"/>
      <c r="D2" s="1187"/>
      <c r="E2" s="1187"/>
      <c r="F2" s="1187"/>
      <c r="G2" s="1188"/>
    </row>
    <row r="3" spans="1:11" ht="13.8" thickBot="1">
      <c r="A3" s="398"/>
      <c r="B3" s="1036"/>
      <c r="C3" s="1037"/>
      <c r="D3" s="1037"/>
      <c r="E3" s="1037"/>
      <c r="F3" s="1037"/>
      <c r="G3" s="1189"/>
    </row>
    <row r="4" spans="1:11" ht="20.25" customHeight="1" thickBot="1">
      <c r="A4" s="398"/>
      <c r="B4" s="313"/>
      <c r="C4" s="313"/>
      <c r="D4" s="313"/>
      <c r="E4" s="313"/>
      <c r="F4" s="313"/>
      <c r="G4" s="312"/>
    </row>
    <row r="5" spans="1:11">
      <c r="A5" s="398"/>
      <c r="B5" s="444"/>
      <c r="C5" s="443"/>
      <c r="D5" s="442"/>
      <c r="E5" s="441"/>
      <c r="F5" s="440"/>
      <c r="G5" s="439" t="s">
        <v>365</v>
      </c>
    </row>
    <row r="6" spans="1:11" ht="20.399999999999999">
      <c r="A6" s="398"/>
      <c r="B6" s="438" t="s">
        <v>364</v>
      </c>
      <c r="C6" s="376"/>
      <c r="D6" s="437" t="s">
        <v>0</v>
      </c>
      <c r="E6" s="426">
        <v>2199586.84</v>
      </c>
      <c r="F6" s="313"/>
      <c r="G6" s="436">
        <f>I10</f>
        <v>0.13331728698649609</v>
      </c>
      <c r="J6" s="435"/>
    </row>
    <row r="7" spans="1:11" ht="20.399999999999999">
      <c r="A7" s="398"/>
      <c r="B7" s="403"/>
      <c r="C7" s="313"/>
      <c r="D7" s="313"/>
      <c r="E7" s="313"/>
      <c r="F7" s="313"/>
      <c r="G7" s="312"/>
      <c r="J7" s="435"/>
    </row>
    <row r="8" spans="1:11" ht="15.6">
      <c r="A8" s="398"/>
      <c r="B8" s="1195" t="s">
        <v>363</v>
      </c>
      <c r="C8" s="1196"/>
      <c r="D8" s="1196"/>
      <c r="E8" s="1196"/>
      <c r="F8" s="1196"/>
      <c r="G8" s="1197"/>
      <c r="H8" s="434"/>
    </row>
    <row r="9" spans="1:11">
      <c r="A9" s="398"/>
      <c r="B9" s="403"/>
      <c r="C9" s="313"/>
      <c r="D9" s="313"/>
      <c r="E9" s="313"/>
      <c r="F9" s="313"/>
      <c r="G9" s="312"/>
    </row>
    <row r="10" spans="1:11" ht="13.8" thickBot="1">
      <c r="A10" s="398"/>
      <c r="B10" s="403"/>
      <c r="C10" s="313"/>
      <c r="D10" s="313"/>
      <c r="E10" s="313"/>
      <c r="F10" s="313"/>
      <c r="G10" s="312"/>
      <c r="I10" s="433">
        <f>+E22/E21</f>
        <v>0.13331728698649609</v>
      </c>
      <c r="K10" s="304">
        <v>0.14658163141506192</v>
      </c>
    </row>
    <row r="11" spans="1:11" ht="26.4">
      <c r="A11" s="398"/>
      <c r="B11" s="432" t="s">
        <v>362</v>
      </c>
      <c r="C11" s="431" t="s">
        <v>361</v>
      </c>
      <c r="D11" s="431" t="s">
        <v>360</v>
      </c>
      <c r="E11" s="430" t="s">
        <v>359</v>
      </c>
      <c r="F11" s="430" t="s">
        <v>358</v>
      </c>
      <c r="G11" s="429" t="s">
        <v>357</v>
      </c>
    </row>
    <row r="12" spans="1:11">
      <c r="A12" s="398"/>
      <c r="B12" s="428" t="s">
        <v>356</v>
      </c>
      <c r="C12" s="1198" t="s">
        <v>355</v>
      </c>
      <c r="D12" s="1198"/>
      <c r="E12" s="1198"/>
      <c r="F12" s="1198"/>
      <c r="G12" s="1199"/>
    </row>
    <row r="13" spans="1:11">
      <c r="A13" s="398"/>
      <c r="B13" s="422">
        <v>1</v>
      </c>
      <c r="C13" s="421" t="s">
        <v>354</v>
      </c>
      <c r="D13" s="420" t="s">
        <v>350</v>
      </c>
      <c r="E13" s="419">
        <v>1</v>
      </c>
      <c r="F13" s="427">
        <f>+[2]FIJOS!$H$36</f>
        <v>27789.706700000002</v>
      </c>
      <c r="G13" s="426">
        <f>+ROUND(F13*E13,2)</f>
        <v>27789.71</v>
      </c>
    </row>
    <row r="14" spans="1:11">
      <c r="A14" s="398"/>
      <c r="B14" s="422"/>
      <c r="C14" s="421"/>
      <c r="D14" s="420"/>
      <c r="E14" s="425"/>
      <c r="F14" s="425"/>
      <c r="G14" s="424"/>
      <c r="J14" s="355">
        <f>+E22/E21</f>
        <v>0.13331728698649609</v>
      </c>
    </row>
    <row r="15" spans="1:11">
      <c r="A15" s="398"/>
      <c r="B15" s="423" t="s">
        <v>353</v>
      </c>
      <c r="C15" s="1200" t="s">
        <v>352</v>
      </c>
      <c r="D15" s="1200"/>
      <c r="E15" s="1200"/>
      <c r="F15" s="1200"/>
      <c r="G15" s="1201"/>
    </row>
    <row r="16" spans="1:11">
      <c r="A16" s="398"/>
      <c r="B16" s="422">
        <v>1</v>
      </c>
      <c r="C16" s="421" t="s">
        <v>351</v>
      </c>
      <c r="D16" s="420" t="s">
        <v>350</v>
      </c>
      <c r="E16" s="419">
        <v>1</v>
      </c>
      <c r="F16" s="418">
        <f>+[2]VARIABLES!H36</f>
        <v>265453.23678199999</v>
      </c>
      <c r="G16" s="417">
        <f>+ROUND(F16*E16,2)</f>
        <v>265453.24</v>
      </c>
    </row>
    <row r="17" spans="1:11">
      <c r="A17" s="398"/>
      <c r="B17" s="416"/>
      <c r="C17" s="1202"/>
      <c r="D17" s="1202"/>
      <c r="E17" s="1202"/>
      <c r="F17" s="1202"/>
      <c r="G17" s="1203"/>
    </row>
    <row r="18" spans="1:11" ht="16.2" thickBot="1">
      <c r="A18" s="398"/>
      <c r="B18" s="1190" t="s">
        <v>349</v>
      </c>
      <c r="C18" s="1191"/>
      <c r="D18" s="1191"/>
      <c r="E18" s="1191"/>
      <c r="F18" s="1192"/>
      <c r="G18" s="415">
        <f>G13+G16</f>
        <v>293242.95</v>
      </c>
      <c r="H18" s="305">
        <f>E6*0.119888247</f>
        <v>263704.61037186946</v>
      </c>
      <c r="I18" s="305"/>
      <c r="J18" s="305"/>
    </row>
    <row r="19" spans="1:11" ht="13.8" thickBot="1">
      <c r="A19" s="398"/>
      <c r="B19" s="403"/>
      <c r="C19" s="313"/>
      <c r="D19" s="313"/>
      <c r="E19" s="313"/>
      <c r="F19" s="313"/>
      <c r="G19" s="312"/>
      <c r="H19" s="305">
        <f>G18-H18</f>
        <v>29538.339628130547</v>
      </c>
      <c r="K19" s="355">
        <f>+E22/E21</f>
        <v>0.13331728698649609</v>
      </c>
    </row>
    <row r="20" spans="1:11" ht="15.6">
      <c r="A20" s="398"/>
      <c r="B20" s="403"/>
      <c r="C20" s="1193" t="s">
        <v>348</v>
      </c>
      <c r="D20" s="1194"/>
      <c r="E20" s="1194"/>
      <c r="F20" s="405">
        <f>+E23</f>
        <v>0.13331728698649609</v>
      </c>
      <c r="G20" s="404"/>
      <c r="H20" s="304">
        <f>H19/8</f>
        <v>3692.2924535163183</v>
      </c>
    </row>
    <row r="21" spans="1:11">
      <c r="A21" s="398"/>
      <c r="B21" s="403"/>
      <c r="C21" s="402" t="s">
        <v>347</v>
      </c>
      <c r="D21" s="401"/>
      <c r="E21" s="400">
        <f>E6</f>
        <v>2199586.84</v>
      </c>
      <c r="F21" s="414"/>
      <c r="G21" s="413"/>
      <c r="H21" s="304">
        <v>0.17966300000261981</v>
      </c>
      <c r="I21" s="305"/>
      <c r="J21" s="305"/>
    </row>
    <row r="22" spans="1:11">
      <c r="A22" s="398"/>
      <c r="B22" s="403"/>
      <c r="C22" s="412" t="s">
        <v>346</v>
      </c>
      <c r="D22" s="411"/>
      <c r="E22" s="410">
        <f>G18</f>
        <v>293242.95</v>
      </c>
      <c r="F22" s="409"/>
      <c r="G22" s="312"/>
      <c r="H22" s="348"/>
      <c r="I22" s="305">
        <v>-0.57408699999359669</v>
      </c>
    </row>
    <row r="23" spans="1:11" ht="13.8" thickBot="1">
      <c r="A23" s="398"/>
      <c r="B23" s="403"/>
      <c r="C23" s="408" t="s">
        <v>345</v>
      </c>
      <c r="D23" s="395"/>
      <c r="E23" s="394">
        <f>((E22/E21))</f>
        <v>0.13331728698649609</v>
      </c>
      <c r="F23" s="407"/>
      <c r="G23" s="312"/>
    </row>
    <row r="24" spans="1:11" ht="13.8" thickBot="1">
      <c r="A24" s="398"/>
      <c r="B24" s="403"/>
      <c r="C24" s="313"/>
      <c r="D24" s="313"/>
      <c r="E24" s="313"/>
      <c r="F24" s="406"/>
      <c r="G24" s="312"/>
    </row>
    <row r="25" spans="1:11" ht="15.6">
      <c r="A25" s="398"/>
      <c r="B25" s="403"/>
      <c r="C25" s="1193" t="s">
        <v>344</v>
      </c>
      <c r="D25" s="1194"/>
      <c r="E25" s="1194"/>
      <c r="F25" s="405">
        <f>E27</f>
        <v>0.08</v>
      </c>
      <c r="G25" s="404"/>
      <c r="H25" s="304">
        <f>+E22/E21</f>
        <v>0.13331728698649609</v>
      </c>
      <c r="K25" s="304">
        <f>100*241226.18</f>
        <v>24122618</v>
      </c>
    </row>
    <row r="26" spans="1:11">
      <c r="A26" s="398"/>
      <c r="B26" s="403"/>
      <c r="C26" s="402" t="s">
        <v>343</v>
      </c>
      <c r="D26" s="401"/>
      <c r="E26" s="400">
        <f>ROUND(E6*E27,2)</f>
        <v>175966.95</v>
      </c>
      <c r="F26" s="399"/>
      <c r="G26" s="312"/>
      <c r="I26" s="304">
        <v>1583801.6</v>
      </c>
      <c r="J26" s="324"/>
      <c r="K26" s="304">
        <f>+K25/1583801.6</f>
        <v>15.230833205371177</v>
      </c>
    </row>
    <row r="27" spans="1:11" ht="13.8" thickBot="1">
      <c r="A27" s="398"/>
      <c r="B27" s="397"/>
      <c r="C27" s="396" t="s">
        <v>342</v>
      </c>
      <c r="D27" s="395"/>
      <c r="E27" s="394">
        <v>0.08</v>
      </c>
      <c r="F27" s="393"/>
      <c r="G27" s="392"/>
    </row>
    <row r="28" spans="1:11" ht="13.8" thickBot="1">
      <c r="A28" s="391"/>
      <c r="B28" s="309"/>
      <c r="C28" s="309"/>
      <c r="D28" s="309"/>
      <c r="E28" s="309"/>
      <c r="F28" s="309"/>
      <c r="G28" s="308"/>
    </row>
    <row r="29" spans="1:11" ht="13.8" thickTop="1">
      <c r="H29" s="390"/>
    </row>
    <row r="30" spans="1:11">
      <c r="B30" s="307"/>
      <c r="E30" s="355"/>
    </row>
    <row r="33" spans="6:9">
      <c r="H33" s="304">
        <v>2081203.59</v>
      </c>
    </row>
    <row r="34" spans="6:9">
      <c r="F34" s="355"/>
    </row>
    <row r="35" spans="6:9">
      <c r="I35" s="304">
        <f>+H33*0.11</f>
        <v>228932.39490000001</v>
      </c>
    </row>
  </sheetData>
  <mergeCells count="8">
    <mergeCell ref="B1:G3"/>
    <mergeCell ref="B18:F18"/>
    <mergeCell ref="C20:E20"/>
    <mergeCell ref="C25:E25"/>
    <mergeCell ref="B8:G8"/>
    <mergeCell ref="C12:G12"/>
    <mergeCell ref="C15:G15"/>
    <mergeCell ref="C17:G17"/>
  </mergeCells>
  <pageMargins left="0.68" right="0.18" top="1.29" bottom="1" header="0" footer="0"/>
  <pageSetup paperSize="9" scale="8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B1:Z43"/>
  <sheetViews>
    <sheetView showGridLines="0" view="pageBreakPreview" zoomScale="90" zoomScaleSheetLayoutView="90" workbookViewId="0">
      <selection activeCell="H7" sqref="H7"/>
    </sheetView>
  </sheetViews>
  <sheetFormatPr baseColWidth="10" defaultColWidth="11.5546875" defaultRowHeight="13.2"/>
  <cols>
    <col min="1" max="1" width="2.6640625" style="304" customWidth="1"/>
    <col min="2" max="2" width="38.88671875" style="304" customWidth="1"/>
    <col min="3" max="3" width="12.109375" style="304" customWidth="1"/>
    <col min="4" max="4" width="13.6640625" style="304" customWidth="1"/>
    <col min="5" max="6" width="15.33203125" style="304" customWidth="1"/>
    <col min="7" max="7" width="12.109375" style="304" customWidth="1"/>
    <col min="8" max="13" width="15.33203125" style="304" customWidth="1"/>
    <col min="14" max="14" width="15.44140625" style="304" bestFit="1" customWidth="1"/>
    <col min="15" max="15" width="13.33203125" style="304" bestFit="1" customWidth="1"/>
    <col min="16" max="16384" width="11.5546875" style="304"/>
  </cols>
  <sheetData>
    <row r="1" spans="2:26" ht="13.8" thickBot="1"/>
    <row r="2" spans="2:26" ht="68.25" customHeight="1" thickBot="1">
      <c r="B2" s="1204" t="str">
        <f>RESÚMEN!B4</f>
        <v xml:space="preserve">PROYECTO : “MEJORAMIENTO DEL SERVICIO EDUCATIVO DE LA I.E ESTHER ROBERTI GAMERO, DISTRITO DE ABANCAY- REGIÓN APURÍMAC”
</v>
      </c>
      <c r="C2" s="1205"/>
      <c r="D2" s="1205"/>
      <c r="E2" s="1205"/>
      <c r="F2" s="1205"/>
      <c r="G2" s="1205"/>
      <c r="H2" s="1205"/>
      <c r="I2" s="1205"/>
      <c r="J2" s="1205"/>
      <c r="K2" s="1205"/>
      <c r="L2" s="1205"/>
      <c r="M2" s="1205"/>
      <c r="N2" s="1206"/>
    </row>
    <row r="3" spans="2:26"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</row>
    <row r="4" spans="2:26" ht="21">
      <c r="B4" s="1207" t="s">
        <v>414</v>
      </c>
      <c r="C4" s="1207"/>
      <c r="D4" s="1207"/>
      <c r="E4" s="1207"/>
      <c r="F4" s="1207"/>
      <c r="G4" s="1207"/>
      <c r="H4" s="1207"/>
      <c r="I4" s="1207"/>
      <c r="J4" s="1207"/>
      <c r="K4" s="1207"/>
      <c r="L4" s="1207"/>
      <c r="M4" s="1207"/>
      <c r="N4" s="1207"/>
      <c r="O4" s="552"/>
      <c r="P4" s="552"/>
      <c r="Q4" s="552"/>
      <c r="R4" s="552"/>
      <c r="S4" s="552"/>
      <c r="T4" s="552"/>
      <c r="U4" s="552"/>
      <c r="V4" s="552"/>
      <c r="W4" s="552"/>
      <c r="X4" s="552"/>
      <c r="Y4" s="552"/>
      <c r="Z4" s="552"/>
    </row>
    <row r="5" spans="2:26" ht="14.4" thickBot="1"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52"/>
      <c r="P5" s="552"/>
      <c r="Q5" s="552"/>
      <c r="R5" s="552"/>
      <c r="S5" s="552"/>
      <c r="T5" s="552"/>
      <c r="U5" s="552"/>
      <c r="V5" s="552"/>
      <c r="W5" s="552"/>
      <c r="X5" s="552"/>
      <c r="Y5" s="552"/>
      <c r="Z5" s="552"/>
    </row>
    <row r="6" spans="2:26" s="351" customFormat="1" ht="38.25" customHeight="1" thickBot="1">
      <c r="B6" s="570" t="s">
        <v>401</v>
      </c>
      <c r="C6" s="569" t="s">
        <v>367</v>
      </c>
      <c r="D6" s="568" t="s">
        <v>400</v>
      </c>
      <c r="E6" s="567" t="s">
        <v>413</v>
      </c>
      <c r="F6" s="566">
        <v>13</v>
      </c>
      <c r="G6" s="531" t="s">
        <v>398</v>
      </c>
      <c r="H6" s="531">
        <v>10</v>
      </c>
      <c r="I6" s="565">
        <v>9</v>
      </c>
      <c r="J6" s="564">
        <v>2</v>
      </c>
      <c r="K6" s="563">
        <v>15</v>
      </c>
      <c r="L6" s="562">
        <v>10</v>
      </c>
      <c r="M6" s="561" t="s">
        <v>397</v>
      </c>
      <c r="N6" s="560" t="s">
        <v>396</v>
      </c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</row>
    <row r="7" spans="2:26" ht="15.6">
      <c r="B7" s="558" t="s">
        <v>412</v>
      </c>
      <c r="C7" s="557">
        <v>1</v>
      </c>
      <c r="D7" s="556">
        <v>1</v>
      </c>
      <c r="E7" s="502">
        <v>2681.65</v>
      </c>
      <c r="F7" s="519">
        <f t="shared" ref="F7:F16" si="0">(E7+H7)*$F$6/100</f>
        <v>383.47595000000001</v>
      </c>
      <c r="G7" s="502">
        <v>6</v>
      </c>
      <c r="H7" s="502">
        <f t="shared" ref="H7:H16" si="1">+E7*$H$6/100</f>
        <v>268.16500000000002</v>
      </c>
      <c r="I7" s="502">
        <f t="shared" ref="I7:I16" si="2">E7*$I$6/100</f>
        <v>241.34850000000003</v>
      </c>
      <c r="J7" s="502">
        <f>E7*($O$6/100*1.19)</f>
        <v>0</v>
      </c>
      <c r="K7" s="502">
        <f t="shared" ref="K7:K16" si="3">(E7+H7+M7)*$K$6/100</f>
        <v>516.217625</v>
      </c>
      <c r="L7" s="502">
        <f t="shared" ref="L7:L16" si="4">(E7+H7)*$L$6/100</f>
        <v>294.98150000000004</v>
      </c>
      <c r="M7" s="502">
        <f t="shared" ref="M7:M16" si="5">SUM(E7,H7)/6</f>
        <v>491.63583333333332</v>
      </c>
      <c r="N7" s="543">
        <f>SUM(G7:M7)+E7</f>
        <v>4499.9984583333335</v>
      </c>
      <c r="O7" s="555"/>
      <c r="P7" s="554">
        <f>4500-M7-L7-K7-J7-I7-H7-G7</f>
        <v>2681.6515416666671</v>
      </c>
      <c r="Q7" s="552"/>
      <c r="R7" s="552"/>
      <c r="S7" s="552"/>
      <c r="T7" s="552"/>
      <c r="U7" s="552"/>
      <c r="V7" s="552"/>
      <c r="W7" s="552"/>
      <c r="X7" s="552"/>
      <c r="Y7" s="552"/>
      <c r="Z7" s="552"/>
    </row>
    <row r="8" spans="2:26" ht="15.6">
      <c r="B8" s="553" t="s">
        <v>373</v>
      </c>
      <c r="C8" s="545">
        <v>1</v>
      </c>
      <c r="D8" s="544">
        <v>1</v>
      </c>
      <c r="E8" s="502">
        <v>2681.65</v>
      </c>
      <c r="F8" s="518">
        <f t="shared" si="0"/>
        <v>383.47595000000001</v>
      </c>
      <c r="G8" s="510">
        <v>6</v>
      </c>
      <c r="H8" s="510">
        <f t="shared" si="1"/>
        <v>268.16500000000002</v>
      </c>
      <c r="I8" s="510">
        <f t="shared" si="2"/>
        <v>241.34850000000003</v>
      </c>
      <c r="J8" s="510">
        <f>E8*($O$6/100*1.19)</f>
        <v>0</v>
      </c>
      <c r="K8" s="510">
        <f t="shared" si="3"/>
        <v>516.217625</v>
      </c>
      <c r="L8" s="510">
        <f t="shared" si="4"/>
        <v>294.98150000000004</v>
      </c>
      <c r="M8" s="510">
        <f t="shared" si="5"/>
        <v>491.63583333333332</v>
      </c>
      <c r="N8" s="543">
        <f>SUM(G8:M8)+E8</f>
        <v>4499.9984583333335</v>
      </c>
      <c r="O8" s="552"/>
      <c r="P8" s="552"/>
      <c r="Q8" s="552"/>
      <c r="R8" s="552"/>
      <c r="S8" s="552"/>
      <c r="T8" s="552"/>
      <c r="U8" s="552"/>
      <c r="V8" s="552"/>
      <c r="W8" s="552"/>
      <c r="X8" s="552"/>
      <c r="Y8" s="552"/>
      <c r="Z8" s="552"/>
    </row>
    <row r="9" spans="2:26" ht="15.6">
      <c r="B9" s="553" t="s">
        <v>374</v>
      </c>
      <c r="C9" s="545">
        <v>1</v>
      </c>
      <c r="D9" s="544">
        <v>1</v>
      </c>
      <c r="E9" s="502">
        <v>2681.65</v>
      </c>
      <c r="F9" s="518">
        <f t="shared" si="0"/>
        <v>383.47595000000001</v>
      </c>
      <c r="G9" s="510">
        <v>6</v>
      </c>
      <c r="H9" s="510">
        <f t="shared" si="1"/>
        <v>268.16500000000002</v>
      </c>
      <c r="I9" s="510">
        <f t="shared" si="2"/>
        <v>241.34850000000003</v>
      </c>
      <c r="J9" s="510">
        <f>E9*($O$6/100*1.19)</f>
        <v>0</v>
      </c>
      <c r="K9" s="510">
        <f t="shared" si="3"/>
        <v>516.217625</v>
      </c>
      <c r="L9" s="510">
        <f t="shared" si="4"/>
        <v>294.98150000000004</v>
      </c>
      <c r="M9" s="510">
        <f t="shared" si="5"/>
        <v>491.63583333333332</v>
      </c>
      <c r="N9" s="543">
        <f>SUM(G9:M9)+E9</f>
        <v>4499.9984583333335</v>
      </c>
      <c r="O9" s="552"/>
      <c r="P9" s="552"/>
      <c r="Q9" s="552"/>
      <c r="R9" s="552"/>
      <c r="S9" s="552"/>
      <c r="T9" s="552"/>
      <c r="U9" s="552"/>
      <c r="V9" s="552"/>
      <c r="W9" s="552"/>
      <c r="X9" s="552"/>
      <c r="Y9" s="552"/>
      <c r="Z9" s="552"/>
    </row>
    <row r="10" spans="2:26" ht="15.6">
      <c r="B10" s="546" t="s">
        <v>411</v>
      </c>
      <c r="C10" s="545">
        <v>1</v>
      </c>
      <c r="D10" s="544">
        <v>1</v>
      </c>
      <c r="E10" s="510">
        <v>1547.885</v>
      </c>
      <c r="F10" s="518">
        <f t="shared" si="0"/>
        <v>221.347555</v>
      </c>
      <c r="G10" s="510">
        <v>6</v>
      </c>
      <c r="H10" s="510">
        <f t="shared" si="1"/>
        <v>154.7885</v>
      </c>
      <c r="I10" s="510">
        <f t="shared" si="2"/>
        <v>139.30965</v>
      </c>
      <c r="J10" s="510">
        <f>E10*($O$6/100*1.19)</f>
        <v>0</v>
      </c>
      <c r="K10" s="510">
        <f t="shared" si="3"/>
        <v>297.96786249999997</v>
      </c>
      <c r="L10" s="510">
        <f t="shared" si="4"/>
        <v>170.26734999999999</v>
      </c>
      <c r="M10" s="510">
        <f t="shared" si="5"/>
        <v>283.77891666666665</v>
      </c>
      <c r="N10" s="543">
        <f>SUM(G10:M10)+E10</f>
        <v>2599.9972791666669</v>
      </c>
    </row>
    <row r="11" spans="2:26" ht="15.6">
      <c r="B11" s="546" t="s">
        <v>410</v>
      </c>
      <c r="C11" s="551">
        <v>0</v>
      </c>
      <c r="D11" s="550">
        <v>0</v>
      </c>
      <c r="E11" s="548">
        <v>0</v>
      </c>
      <c r="F11" s="549">
        <f t="shared" si="0"/>
        <v>0</v>
      </c>
      <c r="G11" s="517" t="s">
        <v>395</v>
      </c>
      <c r="H11" s="548">
        <f t="shared" si="1"/>
        <v>0</v>
      </c>
      <c r="I11" s="548">
        <f t="shared" si="2"/>
        <v>0</v>
      </c>
      <c r="J11" s="548">
        <f>E11*($O$6/100*1.19)</f>
        <v>0</v>
      </c>
      <c r="K11" s="548">
        <f t="shared" si="3"/>
        <v>0</v>
      </c>
      <c r="L11" s="548">
        <f t="shared" si="4"/>
        <v>0</v>
      </c>
      <c r="M11" s="548">
        <f t="shared" si="5"/>
        <v>0</v>
      </c>
      <c r="N11" s="547">
        <f>SUM(H11:M11)+E11</f>
        <v>0</v>
      </c>
    </row>
    <row r="12" spans="2:26" ht="15.6">
      <c r="B12" s="546" t="s">
        <v>409</v>
      </c>
      <c r="C12" s="545">
        <v>1</v>
      </c>
      <c r="D12" s="544">
        <v>1</v>
      </c>
      <c r="E12" s="510">
        <v>1389.28</v>
      </c>
      <c r="F12" s="518">
        <f t="shared" si="0"/>
        <v>198.66704000000001</v>
      </c>
      <c r="G12" s="510">
        <v>6</v>
      </c>
      <c r="H12" s="510">
        <f t="shared" si="1"/>
        <v>138.928</v>
      </c>
      <c r="I12" s="510">
        <f t="shared" si="2"/>
        <v>125.0352</v>
      </c>
      <c r="J12" s="510">
        <f>E12*($J$6/100*1.19)</f>
        <v>33.064864</v>
      </c>
      <c r="K12" s="510">
        <f t="shared" si="3"/>
        <v>267.43640000000005</v>
      </c>
      <c r="L12" s="510">
        <f t="shared" si="4"/>
        <v>152.82080000000002</v>
      </c>
      <c r="M12" s="510">
        <f t="shared" si="5"/>
        <v>254.70133333333334</v>
      </c>
      <c r="N12" s="543">
        <f>SUM(G12:M12)+E12</f>
        <v>2367.2665973333333</v>
      </c>
    </row>
    <row r="13" spans="2:26" ht="15.6">
      <c r="B13" s="546" t="s">
        <v>408</v>
      </c>
      <c r="C13" s="545">
        <v>1</v>
      </c>
      <c r="D13" s="544">
        <v>1</v>
      </c>
      <c r="E13" s="510">
        <v>2083.92</v>
      </c>
      <c r="F13" s="518">
        <f t="shared" si="0"/>
        <v>298.00055999999995</v>
      </c>
      <c r="G13" s="510">
        <v>6</v>
      </c>
      <c r="H13" s="510">
        <f t="shared" si="1"/>
        <v>208.392</v>
      </c>
      <c r="I13" s="510">
        <f t="shared" si="2"/>
        <v>187.55279999999999</v>
      </c>
      <c r="J13" s="510">
        <f>E13*($J$6/100*1.19)</f>
        <v>49.597296</v>
      </c>
      <c r="K13" s="510">
        <f t="shared" si="3"/>
        <v>401.15460000000002</v>
      </c>
      <c r="L13" s="510">
        <f t="shared" si="4"/>
        <v>229.2312</v>
      </c>
      <c r="M13" s="510">
        <f t="shared" si="5"/>
        <v>382.05199999999996</v>
      </c>
      <c r="N13" s="543">
        <f>SUM(G13:M13)+E13</f>
        <v>3547.8998959999999</v>
      </c>
    </row>
    <row r="14" spans="2:26" ht="15.6">
      <c r="B14" s="546" t="s">
        <v>407</v>
      </c>
      <c r="C14" s="545">
        <v>1</v>
      </c>
      <c r="D14" s="544">
        <v>1</v>
      </c>
      <c r="E14" s="510">
        <v>1910.26</v>
      </c>
      <c r="F14" s="518">
        <f t="shared" si="0"/>
        <v>273.16718000000003</v>
      </c>
      <c r="G14" s="510">
        <v>6</v>
      </c>
      <c r="H14" s="510">
        <f t="shared" si="1"/>
        <v>191.02599999999998</v>
      </c>
      <c r="I14" s="510">
        <f t="shared" si="2"/>
        <v>171.92340000000002</v>
      </c>
      <c r="J14" s="510">
        <f>E14*($J$6/100*1.19)</f>
        <v>45.464187999999993</v>
      </c>
      <c r="K14" s="510">
        <f t="shared" si="3"/>
        <v>367.72505000000007</v>
      </c>
      <c r="L14" s="510">
        <f t="shared" si="4"/>
        <v>210.12860000000001</v>
      </c>
      <c r="M14" s="510">
        <f t="shared" si="5"/>
        <v>350.21433333333334</v>
      </c>
      <c r="N14" s="543">
        <f>SUM(G14:M14)+E14</f>
        <v>3252.741571333333</v>
      </c>
    </row>
    <row r="15" spans="2:26" ht="16.2" thickBot="1">
      <c r="B15" s="542" t="s">
        <v>406</v>
      </c>
      <c r="C15" s="541">
        <v>1</v>
      </c>
      <c r="D15" s="540">
        <v>1</v>
      </c>
      <c r="E15" s="497">
        <v>1736.6</v>
      </c>
      <c r="F15" s="498">
        <f t="shared" si="0"/>
        <v>248.3338</v>
      </c>
      <c r="G15" s="497">
        <v>6</v>
      </c>
      <c r="H15" s="497">
        <f t="shared" si="1"/>
        <v>173.66</v>
      </c>
      <c r="I15" s="497">
        <f t="shared" si="2"/>
        <v>156.29399999999998</v>
      </c>
      <c r="J15" s="497">
        <f>E15*($P$6/100*1.19)</f>
        <v>0</v>
      </c>
      <c r="K15" s="497">
        <f t="shared" si="3"/>
        <v>334.2955</v>
      </c>
      <c r="L15" s="497">
        <f t="shared" si="4"/>
        <v>191.02599999999998</v>
      </c>
      <c r="M15" s="497">
        <f t="shared" si="5"/>
        <v>318.37666666666667</v>
      </c>
      <c r="N15" s="496">
        <f>SUM(G15:M15)+E15</f>
        <v>2916.2521666666662</v>
      </c>
    </row>
    <row r="16" spans="2:26" ht="16.2" thickBot="1">
      <c r="B16" s="542" t="s">
        <v>416</v>
      </c>
      <c r="C16" s="541">
        <v>1</v>
      </c>
      <c r="D16" s="540">
        <v>1</v>
      </c>
      <c r="E16" s="497">
        <v>2980.0070000000001</v>
      </c>
      <c r="F16" s="498">
        <f t="shared" si="0"/>
        <v>426.14100100000002</v>
      </c>
      <c r="G16" s="497">
        <v>6</v>
      </c>
      <c r="H16" s="497">
        <f t="shared" si="1"/>
        <v>298.00069999999999</v>
      </c>
      <c r="I16" s="497">
        <f t="shared" si="2"/>
        <v>268.20063000000005</v>
      </c>
      <c r="J16" s="497">
        <f>E16*($P$6/100*1.19)</f>
        <v>0</v>
      </c>
      <c r="K16" s="497">
        <f t="shared" si="3"/>
        <v>573.65134749999993</v>
      </c>
      <c r="L16" s="497">
        <f t="shared" si="4"/>
        <v>327.80077000000006</v>
      </c>
      <c r="M16" s="497">
        <f t="shared" si="5"/>
        <v>546.33461666666665</v>
      </c>
      <c r="N16" s="496">
        <f>SUM(G16:M16)+E16</f>
        <v>4999.9950641666674</v>
      </c>
    </row>
    <row r="17" spans="2:22" ht="15.6">
      <c r="B17" s="500"/>
      <c r="C17" s="538"/>
      <c r="D17" s="539" t="s">
        <v>394</v>
      </c>
      <c r="E17" s="502">
        <f t="shared" ref="E17:N17" si="6">SUM(E7:E15)</f>
        <v>16712.895</v>
      </c>
      <c r="F17" s="502">
        <f t="shared" si="6"/>
        <v>2389.9439849999999</v>
      </c>
      <c r="G17" s="502">
        <f t="shared" si="6"/>
        <v>48</v>
      </c>
      <c r="H17" s="502">
        <f t="shared" si="6"/>
        <v>1671.2895000000003</v>
      </c>
      <c r="I17" s="502">
        <f t="shared" si="6"/>
        <v>1504.1605500000001</v>
      </c>
      <c r="J17" s="502">
        <f t="shared" si="6"/>
        <v>128.12634800000001</v>
      </c>
      <c r="K17" s="502">
        <f t="shared" si="6"/>
        <v>3217.2322875</v>
      </c>
      <c r="L17" s="502">
        <f t="shared" si="6"/>
        <v>1838.4184500000001</v>
      </c>
      <c r="M17" s="502">
        <f t="shared" si="6"/>
        <v>3064.0307499999999</v>
      </c>
      <c r="N17" s="1209">
        <f t="shared" si="6"/>
        <v>28184.152885499996</v>
      </c>
    </row>
    <row r="18" spans="2:22" ht="16.2" thickBot="1">
      <c r="B18" s="500"/>
      <c r="C18" s="538"/>
      <c r="D18" s="537" t="s">
        <v>3</v>
      </c>
      <c r="E18" s="497">
        <f>SUMPRODUCT(D7:D15,E7:E15)</f>
        <v>16712.895</v>
      </c>
      <c r="F18" s="498">
        <f>SUMPRODUCT(D7:D15,F7:F15)</f>
        <v>2389.9439849999999</v>
      </c>
      <c r="G18" s="497">
        <f>SUMPRODUCT(C7:C15,G7:G15)</f>
        <v>48</v>
      </c>
      <c r="H18" s="497">
        <f>SUMPRODUCT(D7:D15,H7:H15)</f>
        <v>1671.2895000000003</v>
      </c>
      <c r="I18" s="497">
        <f>SUMPRODUCT(D7:D15,I7:I15)</f>
        <v>1504.1605500000001</v>
      </c>
      <c r="J18" s="497">
        <f>SUMPRODUCT(D7:D15,J7:J15)</f>
        <v>128.12634800000001</v>
      </c>
      <c r="K18" s="497">
        <f>SUMPRODUCT(D7:D15,K7:K15)</f>
        <v>3217.2322875</v>
      </c>
      <c r="L18" s="497">
        <f>SUMPRODUCT(D7:D15,L7:L15)</f>
        <v>1838.4184500000001</v>
      </c>
      <c r="M18" s="497">
        <f>SUMPRODUCT(D7:D15,M7:M15)</f>
        <v>3064.0307499999999</v>
      </c>
      <c r="N18" s="1210"/>
    </row>
    <row r="19" spans="2:22" ht="15.6"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</row>
    <row r="20" spans="2:22" ht="15.6">
      <c r="B20" s="500" t="s">
        <v>405</v>
      </c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36"/>
      <c r="N20" s="374"/>
    </row>
    <row r="21" spans="2:22" ht="15.6">
      <c r="B21" s="500" t="s">
        <v>404</v>
      </c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36"/>
      <c r="N21" s="500"/>
      <c r="O21" s="304">
        <f>+N17*7</f>
        <v>197289.07019849998</v>
      </c>
    </row>
    <row r="22" spans="2:22" ht="15.6">
      <c r="B22" s="500" t="s">
        <v>403</v>
      </c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36"/>
      <c r="N22" s="500"/>
    </row>
    <row r="23" spans="2:22" ht="15.6">
      <c r="B23" s="500"/>
      <c r="C23" s="500"/>
      <c r="D23" s="500"/>
      <c r="E23" s="500"/>
      <c r="F23" s="500"/>
      <c r="G23" s="500"/>
      <c r="H23" s="500"/>
      <c r="I23" s="500"/>
      <c r="J23" s="500"/>
      <c r="K23" s="500"/>
      <c r="L23" s="500"/>
      <c r="M23" s="500"/>
      <c r="N23" s="500"/>
    </row>
    <row r="24" spans="2:22" ht="15">
      <c r="B24" s="536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</row>
    <row r="25" spans="2:22" ht="15.6">
      <c r="B25" s="1208" t="s">
        <v>402</v>
      </c>
      <c r="C25" s="1208"/>
      <c r="D25" s="1208"/>
      <c r="E25" s="1208"/>
      <c r="F25" s="1208"/>
      <c r="G25" s="1208"/>
      <c r="H25" s="1208"/>
      <c r="I25" s="1208"/>
      <c r="J25" s="1208"/>
      <c r="K25" s="1208"/>
      <c r="L25" s="1208"/>
      <c r="M25" s="1208"/>
      <c r="N25" s="1208"/>
    </row>
    <row r="26" spans="2:22" ht="16.2" thickBot="1"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389"/>
      <c r="P26" s="389"/>
      <c r="Q26" s="389"/>
      <c r="R26" s="389"/>
      <c r="S26" s="389"/>
      <c r="T26" s="389"/>
      <c r="U26" s="389"/>
      <c r="V26" s="389"/>
    </row>
    <row r="27" spans="2:22" s="351" customFormat="1" ht="32.25" customHeight="1" thickBot="1">
      <c r="B27" s="535" t="s">
        <v>401</v>
      </c>
      <c r="C27" s="534" t="s">
        <v>367</v>
      </c>
      <c r="D27" s="525" t="s">
        <v>400</v>
      </c>
      <c r="E27" s="533" t="s">
        <v>399</v>
      </c>
      <c r="F27" s="532">
        <f>F6</f>
        <v>13</v>
      </c>
      <c r="G27" s="531" t="s">
        <v>398</v>
      </c>
      <c r="H27" s="530">
        <f>H6</f>
        <v>10</v>
      </c>
      <c r="I27" s="529">
        <f>I6</f>
        <v>9</v>
      </c>
      <c r="J27" s="528">
        <f>J6</f>
        <v>2</v>
      </c>
      <c r="K27" s="527">
        <f>K6</f>
        <v>15</v>
      </c>
      <c r="L27" s="526">
        <f>L6</f>
        <v>10</v>
      </c>
      <c r="M27" s="525" t="s">
        <v>397</v>
      </c>
      <c r="N27" s="524" t="s">
        <v>396</v>
      </c>
      <c r="O27" s="523"/>
      <c r="P27" s="523"/>
      <c r="Q27" s="523"/>
      <c r="R27" s="523"/>
      <c r="S27" s="523"/>
      <c r="T27" s="523"/>
      <c r="U27" s="523"/>
      <c r="V27" s="523"/>
    </row>
    <row r="28" spans="2:22" ht="15.6">
      <c r="B28" s="521" t="str">
        <f>B7</f>
        <v>Ing  y/o Arq  Residente de Obra</v>
      </c>
      <c r="C28" s="522">
        <f>C7</f>
        <v>1</v>
      </c>
      <c r="D28" s="520">
        <v>9.5</v>
      </c>
      <c r="E28" s="502">
        <f t="shared" ref="E28:E36" si="7">+D28*E7*C28</f>
        <v>25475.674999999999</v>
      </c>
      <c r="F28" s="519">
        <f t="shared" ref="F28:F36" si="8">(E28+H28)*$F$6/100</f>
        <v>3643.0215250000001</v>
      </c>
      <c r="G28" s="502">
        <v>6</v>
      </c>
      <c r="H28" s="502">
        <f t="shared" ref="H28:H36" si="9">+E28*H$27/100</f>
        <v>2547.5675000000001</v>
      </c>
      <c r="I28" s="502">
        <f t="shared" ref="I28:I36" si="10">E28*$I$6/100</f>
        <v>2292.8107499999996</v>
      </c>
      <c r="J28" s="502">
        <f>E28*($O$6/100*1.19)</f>
        <v>0</v>
      </c>
      <c r="K28" s="502">
        <f t="shared" ref="K28:K36" si="11">(E28+H28+M28)*$K$6/100</f>
        <v>4904.0674374999999</v>
      </c>
      <c r="L28" s="502">
        <f t="shared" ref="L28:L36" si="12">(E28+H28)*$L$6/100</f>
        <v>2802.3242499999997</v>
      </c>
      <c r="M28" s="502">
        <f t="shared" ref="M28:M36" si="13">SUM(E28,H28)/6</f>
        <v>4670.5404166666667</v>
      </c>
      <c r="N28" s="501">
        <f t="shared" ref="N28:N36" si="14">SUM(G28:M28)+E28</f>
        <v>42698.985354166667</v>
      </c>
      <c r="O28" s="515"/>
      <c r="P28" s="389"/>
      <c r="Q28" s="389"/>
      <c r="R28" s="389"/>
      <c r="S28" s="389"/>
      <c r="T28" s="389"/>
      <c r="U28" s="389"/>
      <c r="V28" s="389"/>
    </row>
    <row r="29" spans="2:22" ht="15.6">
      <c r="B29" s="521" t="s">
        <v>373</v>
      </c>
      <c r="C29" s="465">
        <v>1</v>
      </c>
      <c r="D29" s="520">
        <v>3</v>
      </c>
      <c r="E29" s="502">
        <f t="shared" si="7"/>
        <v>8044.9500000000007</v>
      </c>
      <c r="F29" s="519">
        <f t="shared" si="8"/>
        <v>1150.4278500000003</v>
      </c>
      <c r="G29" s="510">
        <v>6</v>
      </c>
      <c r="H29" s="502">
        <f t="shared" si="9"/>
        <v>804.495</v>
      </c>
      <c r="I29" s="502">
        <f t="shared" si="10"/>
        <v>724.04550000000006</v>
      </c>
      <c r="J29" s="502">
        <f>E29*($O$6/100*1.19)</f>
        <v>0</v>
      </c>
      <c r="K29" s="502">
        <f t="shared" si="11"/>
        <v>1548.652875</v>
      </c>
      <c r="L29" s="502">
        <f t="shared" si="12"/>
        <v>884.94450000000006</v>
      </c>
      <c r="M29" s="502">
        <f t="shared" si="13"/>
        <v>1474.9075000000003</v>
      </c>
      <c r="N29" s="501">
        <f t="shared" si="14"/>
        <v>13487.995375</v>
      </c>
      <c r="O29" s="515"/>
      <c r="P29" s="389"/>
      <c r="Q29" s="389"/>
      <c r="R29" s="389"/>
      <c r="S29" s="389"/>
      <c r="T29" s="389"/>
      <c r="U29" s="389"/>
      <c r="V29" s="389"/>
    </row>
    <row r="30" spans="2:22" ht="15.6">
      <c r="B30" s="521" t="s">
        <v>374</v>
      </c>
      <c r="C30" s="465">
        <v>1</v>
      </c>
      <c r="D30" s="520">
        <v>1</v>
      </c>
      <c r="E30" s="502">
        <f t="shared" si="7"/>
        <v>2681.65</v>
      </c>
      <c r="F30" s="519">
        <f t="shared" si="8"/>
        <v>383.47595000000001</v>
      </c>
      <c r="G30" s="510">
        <v>6</v>
      </c>
      <c r="H30" s="502">
        <f t="shared" si="9"/>
        <v>268.16500000000002</v>
      </c>
      <c r="I30" s="502">
        <f t="shared" si="10"/>
        <v>241.34850000000003</v>
      </c>
      <c r="J30" s="502">
        <f>E30*($O$6/100*1.19)</f>
        <v>0</v>
      </c>
      <c r="K30" s="502">
        <f t="shared" si="11"/>
        <v>516.217625</v>
      </c>
      <c r="L30" s="502">
        <f t="shared" si="12"/>
        <v>294.98150000000004</v>
      </c>
      <c r="M30" s="502">
        <f t="shared" si="13"/>
        <v>491.63583333333332</v>
      </c>
      <c r="N30" s="501">
        <f t="shared" si="14"/>
        <v>4499.9984583333335</v>
      </c>
      <c r="O30" s="515"/>
      <c r="P30" s="389"/>
      <c r="Q30" s="389"/>
      <c r="R30" s="389"/>
      <c r="S30" s="389"/>
      <c r="T30" s="389"/>
      <c r="U30" s="389"/>
      <c r="V30" s="389"/>
    </row>
    <row r="31" spans="2:22" ht="15.6">
      <c r="B31" s="514" t="str">
        <f t="shared" ref="B31:C36" si="15">B10</f>
        <v>Asistente Tecnico</v>
      </c>
      <c r="C31" s="513">
        <f t="shared" si="15"/>
        <v>1</v>
      </c>
      <c r="D31" s="516">
        <f>+D28-0.5</f>
        <v>9</v>
      </c>
      <c r="E31" s="510">
        <f t="shared" si="7"/>
        <v>13930.965</v>
      </c>
      <c r="F31" s="518">
        <f t="shared" si="8"/>
        <v>1992.1279949999998</v>
      </c>
      <c r="G31" s="510">
        <v>6</v>
      </c>
      <c r="H31" s="510">
        <f t="shared" si="9"/>
        <v>1393.0964999999999</v>
      </c>
      <c r="I31" s="510">
        <f t="shared" si="10"/>
        <v>1253.78685</v>
      </c>
      <c r="J31" s="510">
        <f>E31*($P$6/100*1.19)</f>
        <v>0</v>
      </c>
      <c r="K31" s="510">
        <f t="shared" si="11"/>
        <v>2681.7107624999999</v>
      </c>
      <c r="L31" s="510">
        <f t="shared" si="12"/>
        <v>1532.4061499999998</v>
      </c>
      <c r="M31" s="510">
        <f t="shared" si="13"/>
        <v>2554.0102499999998</v>
      </c>
      <c r="N31" s="501">
        <f t="shared" si="14"/>
        <v>23351.975512500001</v>
      </c>
      <c r="O31" s="515"/>
      <c r="P31" s="389"/>
      <c r="Q31" s="389"/>
      <c r="R31" s="389"/>
      <c r="S31" s="389"/>
      <c r="T31" s="389"/>
      <c r="U31" s="389"/>
      <c r="V31" s="389"/>
    </row>
    <row r="32" spans="2:22" ht="15.6">
      <c r="B32" s="514" t="str">
        <f t="shared" si="15"/>
        <v>Secretaria</v>
      </c>
      <c r="C32" s="513">
        <f t="shared" si="15"/>
        <v>0</v>
      </c>
      <c r="D32" s="516">
        <v>0</v>
      </c>
      <c r="E32" s="510">
        <f t="shared" si="7"/>
        <v>0</v>
      </c>
      <c r="F32" s="518">
        <f t="shared" si="8"/>
        <v>0</v>
      </c>
      <c r="G32" s="517" t="s">
        <v>395</v>
      </c>
      <c r="H32" s="510">
        <f t="shared" si="9"/>
        <v>0</v>
      </c>
      <c r="I32" s="510">
        <f t="shared" si="10"/>
        <v>0</v>
      </c>
      <c r="J32" s="510">
        <f>E32*($P$6/100*1.19)</f>
        <v>0</v>
      </c>
      <c r="K32" s="510">
        <f t="shared" si="11"/>
        <v>0</v>
      </c>
      <c r="L32" s="510">
        <f t="shared" si="12"/>
        <v>0</v>
      </c>
      <c r="M32" s="510">
        <f t="shared" si="13"/>
        <v>0</v>
      </c>
      <c r="N32" s="501">
        <f t="shared" si="14"/>
        <v>0</v>
      </c>
      <c r="O32" s="515"/>
      <c r="P32" s="389"/>
      <c r="Q32" s="389"/>
      <c r="R32" s="389"/>
      <c r="S32" s="389"/>
      <c r="T32" s="389"/>
      <c r="U32" s="389"/>
      <c r="V32" s="389"/>
    </row>
    <row r="33" spans="2:22" ht="15.6">
      <c r="B33" s="514" t="str">
        <f t="shared" si="15"/>
        <v xml:space="preserve">Guardián </v>
      </c>
      <c r="C33" s="513">
        <f t="shared" si="15"/>
        <v>1</v>
      </c>
      <c r="D33" s="516">
        <f>+D31</f>
        <v>9</v>
      </c>
      <c r="E33" s="510">
        <f t="shared" si="7"/>
        <v>12503.52</v>
      </c>
      <c r="F33" s="511">
        <f t="shared" si="8"/>
        <v>1788.0033600000002</v>
      </c>
      <c r="G33" s="510">
        <v>6</v>
      </c>
      <c r="H33" s="510">
        <f t="shared" si="9"/>
        <v>1250.3520000000001</v>
      </c>
      <c r="I33" s="509">
        <f t="shared" si="10"/>
        <v>1125.3168000000001</v>
      </c>
      <c r="J33" s="509">
        <f>E33*($J$6/100*1.19)</f>
        <v>297.583776</v>
      </c>
      <c r="K33" s="509">
        <f t="shared" si="11"/>
        <v>2406.9276</v>
      </c>
      <c r="L33" s="510">
        <f t="shared" si="12"/>
        <v>1375.3872000000001</v>
      </c>
      <c r="M33" s="509">
        <f t="shared" si="13"/>
        <v>2292.3120000000004</v>
      </c>
      <c r="N33" s="501">
        <f t="shared" si="14"/>
        <v>21257.399376000001</v>
      </c>
      <c r="O33" s="515"/>
      <c r="P33" s="389"/>
      <c r="Q33" s="389"/>
      <c r="R33" s="389"/>
      <c r="S33" s="389"/>
      <c r="T33" s="389"/>
      <c r="U33" s="389"/>
      <c r="V33" s="389"/>
    </row>
    <row r="34" spans="2:22" ht="15.6">
      <c r="B34" s="514" t="str">
        <f t="shared" si="15"/>
        <v>Maestro de Obra</v>
      </c>
      <c r="C34" s="513">
        <f t="shared" si="15"/>
        <v>1</v>
      </c>
      <c r="D34" s="516">
        <f>+D33</f>
        <v>9</v>
      </c>
      <c r="E34" s="510">
        <f t="shared" si="7"/>
        <v>18755.28</v>
      </c>
      <c r="F34" s="511">
        <f t="shared" si="8"/>
        <v>2682.0050399999996</v>
      </c>
      <c r="G34" s="510">
        <v>6</v>
      </c>
      <c r="H34" s="510">
        <f t="shared" si="9"/>
        <v>1875.5279999999998</v>
      </c>
      <c r="I34" s="509">
        <f t="shared" si="10"/>
        <v>1687.9751999999999</v>
      </c>
      <c r="J34" s="509">
        <f>E34*($J$6/100*1.19)</f>
        <v>446.37566399999992</v>
      </c>
      <c r="K34" s="509">
        <f t="shared" si="11"/>
        <v>3610.3913999999995</v>
      </c>
      <c r="L34" s="510">
        <f t="shared" si="12"/>
        <v>2063.0807999999997</v>
      </c>
      <c r="M34" s="509">
        <f t="shared" si="13"/>
        <v>3438.4679999999994</v>
      </c>
      <c r="N34" s="501">
        <f t="shared" si="14"/>
        <v>31883.099063999995</v>
      </c>
      <c r="O34" s="515"/>
      <c r="P34" s="389"/>
      <c r="Q34" s="389"/>
      <c r="R34" s="389"/>
      <c r="S34" s="389"/>
      <c r="T34" s="389"/>
      <c r="U34" s="389"/>
      <c r="V34" s="389"/>
    </row>
    <row r="35" spans="2:22" ht="15.6">
      <c r="B35" s="514" t="str">
        <f t="shared" si="15"/>
        <v>Almacenero</v>
      </c>
      <c r="C35" s="513">
        <f t="shared" si="15"/>
        <v>1</v>
      </c>
      <c r="D35" s="512">
        <f>+D34</f>
        <v>9</v>
      </c>
      <c r="E35" s="510">
        <f t="shared" si="7"/>
        <v>17192.34</v>
      </c>
      <c r="F35" s="511">
        <f t="shared" si="8"/>
        <v>2458.5046200000002</v>
      </c>
      <c r="G35" s="510">
        <v>6</v>
      </c>
      <c r="H35" s="510">
        <f t="shared" si="9"/>
        <v>1719.2339999999999</v>
      </c>
      <c r="I35" s="509">
        <f t="shared" si="10"/>
        <v>1547.3106</v>
      </c>
      <c r="J35" s="509">
        <f>E35*($J$6/100*1.19)</f>
        <v>409.17769199999998</v>
      </c>
      <c r="K35" s="509">
        <f t="shared" si="11"/>
        <v>3309.5254499999996</v>
      </c>
      <c r="L35" s="510">
        <f t="shared" si="12"/>
        <v>1891.1573999999998</v>
      </c>
      <c r="M35" s="509">
        <f t="shared" si="13"/>
        <v>3151.9290000000001</v>
      </c>
      <c r="N35" s="501">
        <f t="shared" si="14"/>
        <v>29226.674142</v>
      </c>
      <c r="O35" s="508"/>
      <c r="P35" s="389"/>
      <c r="Q35" s="389"/>
      <c r="R35" s="389"/>
      <c r="S35" s="389"/>
      <c r="T35" s="389"/>
      <c r="U35" s="389"/>
      <c r="V35" s="389"/>
    </row>
    <row r="36" spans="2:22" ht="16.2" thickBot="1">
      <c r="B36" s="507" t="str">
        <f t="shared" si="15"/>
        <v>Asistente Administrativo</v>
      </c>
      <c r="C36" s="506">
        <f t="shared" si="15"/>
        <v>1</v>
      </c>
      <c r="D36" s="505">
        <f>+D31</f>
        <v>9</v>
      </c>
      <c r="E36" s="497">
        <f t="shared" si="7"/>
        <v>15629.4</v>
      </c>
      <c r="F36" s="498">
        <f t="shared" si="8"/>
        <v>2235.0042000000003</v>
      </c>
      <c r="G36" s="497">
        <v>6</v>
      </c>
      <c r="H36" s="497">
        <f t="shared" si="9"/>
        <v>1562.94</v>
      </c>
      <c r="I36" s="497">
        <f t="shared" si="10"/>
        <v>1406.646</v>
      </c>
      <c r="J36" s="497">
        <f>E36*($P$6/100*1.19)</f>
        <v>0</v>
      </c>
      <c r="K36" s="497">
        <f t="shared" si="11"/>
        <v>3008.6595000000002</v>
      </c>
      <c r="L36" s="497">
        <f t="shared" si="12"/>
        <v>1719.2339999999999</v>
      </c>
      <c r="M36" s="497">
        <f t="shared" si="13"/>
        <v>2865.39</v>
      </c>
      <c r="N36" s="504">
        <f t="shared" si="14"/>
        <v>26198.269500000002</v>
      </c>
      <c r="O36" s="389"/>
      <c r="P36" s="389"/>
      <c r="Q36" s="389"/>
      <c r="R36" s="389"/>
      <c r="S36" s="389"/>
      <c r="T36" s="389"/>
      <c r="U36" s="389"/>
      <c r="V36" s="389"/>
    </row>
    <row r="37" spans="2:22" ht="15.6">
      <c r="B37" s="500"/>
      <c r="C37" s="500"/>
      <c r="D37" s="503" t="s">
        <v>394</v>
      </c>
      <c r="E37" s="502">
        <f t="shared" ref="E37:N37" si="16">SUM(E28:E36)</f>
        <v>114213.78</v>
      </c>
      <c r="F37" s="502">
        <f t="shared" si="16"/>
        <v>16332.570540000001</v>
      </c>
      <c r="G37" s="502">
        <f t="shared" si="16"/>
        <v>48</v>
      </c>
      <c r="H37" s="502">
        <f t="shared" si="16"/>
        <v>11421.378000000001</v>
      </c>
      <c r="I37" s="502">
        <f t="shared" si="16"/>
        <v>10279.2402</v>
      </c>
      <c r="J37" s="502">
        <f t="shared" si="16"/>
        <v>1153.1371319999998</v>
      </c>
      <c r="K37" s="502">
        <f t="shared" si="16"/>
        <v>21986.152650000004</v>
      </c>
      <c r="L37" s="502">
        <f t="shared" si="16"/>
        <v>12563.515800000001</v>
      </c>
      <c r="M37" s="501">
        <f t="shared" si="16"/>
        <v>20939.192999999999</v>
      </c>
      <c r="N37" s="1211">
        <f t="shared" si="16"/>
        <v>192604.396782</v>
      </c>
      <c r="O37" s="389"/>
      <c r="P37" s="389"/>
      <c r="Q37" s="389"/>
      <c r="R37" s="389"/>
      <c r="S37" s="389"/>
      <c r="T37" s="389"/>
      <c r="U37" s="389"/>
      <c r="V37" s="389"/>
    </row>
    <row r="38" spans="2:22" ht="16.2" thickBot="1">
      <c r="B38" s="500"/>
      <c r="C38" s="500"/>
      <c r="D38" s="499" t="s">
        <v>3</v>
      </c>
      <c r="E38" s="497">
        <f>SUMPRODUCT(D28:D36,E28:E36)</f>
        <v>970938.9574999999</v>
      </c>
      <c r="F38" s="498">
        <f>SUMPRODUCT(D28:D36,F28:F36)</f>
        <v>138844.2709225</v>
      </c>
      <c r="G38" s="497">
        <f>SUMPRODUCT(C28:C36,G28:G36)</f>
        <v>48</v>
      </c>
      <c r="H38" s="497">
        <f>SUMPRODUCT(D28:D36,H28:H36)</f>
        <v>97093.895749999996</v>
      </c>
      <c r="I38" s="497">
        <f>SUMPRODUCT(D28:D36,I28:I36)</f>
        <v>87384.506174999988</v>
      </c>
      <c r="J38" s="497">
        <f>SUMPRODUCT(D28:D36,J28:J36)</f>
        <v>10378.234187999999</v>
      </c>
      <c r="K38" s="497">
        <f>SUMPRODUCT(D28:D36,K28:K36)</f>
        <v>186905.74931874999</v>
      </c>
      <c r="L38" s="497">
        <f>SUMPRODUCT(D28:D36,L28:L36)</f>
        <v>106803.28532499999</v>
      </c>
      <c r="M38" s="496">
        <f>SUMPRODUCT(D28:D36,M28:M36)</f>
        <v>178005.47554166667</v>
      </c>
      <c r="N38" s="1212"/>
      <c r="O38" s="389"/>
      <c r="P38" s="389"/>
      <c r="Q38" s="389"/>
      <c r="R38" s="389"/>
      <c r="S38" s="389"/>
      <c r="T38" s="389"/>
      <c r="U38" s="389"/>
      <c r="V38" s="389"/>
    </row>
    <row r="42" spans="2:22" ht="15.6">
      <c r="D42" s="305">
        <f>+D28</f>
        <v>9.5</v>
      </c>
      <c r="E42" s="355"/>
      <c r="N42" s="495">
        <f>+M37+L37+K37+J37+I37+H37+F37</f>
        <v>94675.187321999998</v>
      </c>
      <c r="O42" s="355"/>
    </row>
    <row r="43" spans="2:22">
      <c r="F43" s="355">
        <f>+F37+H37+I37+J37+K37+L37+M37</f>
        <v>94675.187322000013</v>
      </c>
      <c r="G43" s="355"/>
    </row>
  </sheetData>
  <mergeCells count="5">
    <mergeCell ref="B2:N2"/>
    <mergeCell ref="B4:N4"/>
    <mergeCell ref="B25:N25"/>
    <mergeCell ref="N17:N18"/>
    <mergeCell ref="N37:N38"/>
  </mergeCells>
  <printOptions horizontalCentered="1" verticalCentered="1"/>
  <pageMargins left="0.47244094488188981" right="0.43307086614173229" top="0.6692913385826772" bottom="0.98425196850393704" header="0" footer="0"/>
  <pageSetup paperSize="9" scale="65" orientation="landscape" r:id="rId1"/>
  <headerFooter alignWithMargins="0"/>
  <rowBreaks count="1" manualBreakCount="1">
    <brk id="38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view="pageBreakPreview" topLeftCell="A10" zoomScaleSheetLayoutView="100" workbookViewId="0">
      <selection activeCell="E25" sqref="E25"/>
    </sheetView>
  </sheetViews>
  <sheetFormatPr baseColWidth="10" defaultColWidth="11.5546875" defaultRowHeight="13.2"/>
  <cols>
    <col min="1" max="1" width="11.5546875" style="304"/>
    <col min="2" max="2" width="3" style="304" customWidth="1"/>
    <col min="3" max="3" width="4.33203125" style="304" customWidth="1"/>
    <col min="4" max="4" width="32.88671875" style="304" customWidth="1"/>
    <col min="5" max="5" width="18.44140625" style="304" customWidth="1"/>
    <col min="6" max="6" width="17" style="304" customWidth="1"/>
    <col min="7" max="7" width="21.5546875" style="304" customWidth="1"/>
    <col min="8" max="8" width="3.5546875" style="304" customWidth="1"/>
    <col min="9" max="9" width="13.88671875" style="304" customWidth="1"/>
    <col min="10" max="10" width="12.33203125" style="304" bestFit="1" customWidth="1"/>
    <col min="11" max="11" width="11.5546875" style="304"/>
    <col min="12" max="12" width="17.6640625" style="304" bestFit="1" customWidth="1"/>
    <col min="13" max="13" width="16.6640625" style="304" customWidth="1"/>
    <col min="14" max="14" width="11.5546875" style="304"/>
    <col min="15" max="15" width="16.44140625" style="304" bestFit="1" customWidth="1"/>
    <col min="16" max="16384" width="11.5546875" style="304"/>
  </cols>
  <sheetData>
    <row r="1" spans="1:15">
      <c r="A1" s="389"/>
    </row>
    <row r="2" spans="1:15" ht="13.8" thickBot="1">
      <c r="A2" s="389"/>
    </row>
    <row r="3" spans="1:15" ht="6.75" customHeight="1" thickTop="1" thickBot="1">
      <c r="B3" s="388"/>
      <c r="C3" s="387"/>
      <c r="D3" s="387"/>
      <c r="E3" s="387"/>
      <c r="F3" s="387"/>
      <c r="G3" s="386"/>
      <c r="H3" s="306"/>
      <c r="I3" s="316"/>
    </row>
    <row r="4" spans="1:15" ht="78" customHeight="1" thickBot="1">
      <c r="B4" s="1045" t="s">
        <v>341</v>
      </c>
      <c r="C4" s="1046"/>
      <c r="D4" s="1046"/>
      <c r="E4" s="1046"/>
      <c r="F4" s="1046"/>
      <c r="G4" s="1047"/>
      <c r="H4" s="385"/>
      <c r="I4" s="384"/>
    </row>
    <row r="5" spans="1:15">
      <c r="B5" s="315"/>
      <c r="C5" s="313"/>
      <c r="D5" s="313"/>
      <c r="E5" s="313"/>
      <c r="F5" s="313"/>
      <c r="G5" s="312"/>
      <c r="H5" s="306"/>
      <c r="I5" s="316"/>
      <c r="M5" s="383">
        <v>3836246.56</v>
      </c>
    </row>
    <row r="6" spans="1:15" ht="15.6">
      <c r="B6" s="315"/>
      <c r="C6" s="382" t="s">
        <v>340</v>
      </c>
      <c r="D6" s="381"/>
      <c r="E6" s="381"/>
      <c r="F6" s="313"/>
      <c r="G6" s="312"/>
      <c r="H6" s="306"/>
      <c r="M6" s="355">
        <f>G32-M5</f>
        <v>197918.05000000028</v>
      </c>
    </row>
    <row r="7" spans="1:15" ht="18">
      <c r="B7" s="315"/>
      <c r="C7" s="335" t="s">
        <v>339</v>
      </c>
      <c r="D7" s="381"/>
      <c r="E7" s="381"/>
      <c r="F7" s="313"/>
      <c r="G7" s="312"/>
      <c r="H7" s="306"/>
      <c r="I7" s="316"/>
    </row>
    <row r="8" spans="1:15">
      <c r="B8" s="315"/>
      <c r="C8" s="380"/>
      <c r="D8" s="380"/>
      <c r="E8" s="376" t="s">
        <v>1</v>
      </c>
      <c r="F8" s="314"/>
      <c r="G8" s="379" t="s">
        <v>338</v>
      </c>
      <c r="H8" s="306"/>
      <c r="I8" s="378"/>
    </row>
    <row r="9" spans="1:15" ht="15.6">
      <c r="B9" s="315"/>
      <c r="C9" s="377" t="s">
        <v>337</v>
      </c>
      <c r="D9" s="376"/>
      <c r="E9" s="376"/>
      <c r="F9" s="363"/>
      <c r="G9" s="375">
        <f>+CONSOLIDADO!E6</f>
        <v>2199586.84</v>
      </c>
      <c r="H9" s="306"/>
      <c r="I9" s="374"/>
    </row>
    <row r="10" spans="1:15">
      <c r="B10" s="315"/>
      <c r="C10" s="313"/>
      <c r="D10" s="313"/>
      <c r="E10" s="313"/>
      <c r="F10" s="313"/>
      <c r="G10" s="312"/>
      <c r="I10" s="373"/>
    </row>
    <row r="11" spans="1:15" ht="22.2">
      <c r="B11" s="315"/>
      <c r="C11" s="1043" t="s">
        <v>336</v>
      </c>
      <c r="D11" s="1043"/>
      <c r="E11" s="1043"/>
      <c r="F11" s="1043"/>
      <c r="G11" s="1044"/>
      <c r="H11" s="372"/>
      <c r="I11" s="366"/>
    </row>
    <row r="12" spans="1:15" ht="15.6">
      <c r="B12" s="315"/>
      <c r="C12" s="363"/>
      <c r="D12" s="363" t="s">
        <v>34</v>
      </c>
      <c r="E12" s="363"/>
      <c r="F12" s="363"/>
      <c r="G12" s="371" t="s">
        <v>33</v>
      </c>
      <c r="H12" s="370"/>
      <c r="I12" s="366"/>
    </row>
    <row r="13" spans="1:15" ht="13.8">
      <c r="B13" s="315"/>
      <c r="C13" s="369"/>
      <c r="D13" s="368"/>
      <c r="E13" s="368"/>
      <c r="F13" s="350"/>
      <c r="G13" s="367"/>
      <c r="H13" s="361"/>
      <c r="I13" s="366"/>
      <c r="L13" s="324"/>
      <c r="N13" s="305"/>
    </row>
    <row r="14" spans="1:15" ht="15.6">
      <c r="B14" s="315"/>
      <c r="C14" s="365" t="s">
        <v>309</v>
      </c>
      <c r="D14" s="365" t="s">
        <v>245</v>
      </c>
      <c r="E14" s="364"/>
      <c r="F14" s="363"/>
      <c r="G14" s="362">
        <f>+G9</f>
        <v>2199586.84</v>
      </c>
      <c r="H14" s="361"/>
      <c r="I14" s="360"/>
      <c r="L14" s="324"/>
      <c r="N14" s="305"/>
      <c r="O14" s="357"/>
    </row>
    <row r="15" spans="1:15">
      <c r="B15" s="315"/>
      <c r="C15" s="359" t="s">
        <v>310</v>
      </c>
      <c r="D15" s="335" t="s">
        <v>28</v>
      </c>
      <c r="E15" s="334">
        <f>+CONSOLIDADO!E23</f>
        <v>0.13331728698649609</v>
      </c>
      <c r="F15" s="356"/>
      <c r="G15" s="331">
        <f>ROUND(G14*E15,2)</f>
        <v>293242.95</v>
      </c>
      <c r="H15" s="349"/>
      <c r="I15" s="358"/>
      <c r="J15" s="305"/>
      <c r="L15" s="324"/>
      <c r="N15" s="305"/>
      <c r="O15" s="357"/>
    </row>
    <row r="16" spans="1:15">
      <c r="B16" s="315"/>
      <c r="C16" s="313" t="s">
        <v>335</v>
      </c>
      <c r="D16" s="335" t="s">
        <v>334</v>
      </c>
      <c r="E16" s="334">
        <f>CONSOLIDADO!E27</f>
        <v>0.08</v>
      </c>
      <c r="F16" s="356"/>
      <c r="G16" s="331">
        <f>ROUND(G14*E16,2)</f>
        <v>175966.95</v>
      </c>
      <c r="H16" s="349"/>
      <c r="I16" s="348"/>
      <c r="J16" s="305"/>
      <c r="L16" s="324"/>
      <c r="N16" s="305"/>
      <c r="O16" s="355"/>
    </row>
    <row r="17" spans="2:14">
      <c r="B17" s="315"/>
      <c r="C17" s="354" t="s">
        <v>333</v>
      </c>
      <c r="D17" s="354" t="s">
        <v>4</v>
      </c>
      <c r="E17" s="334"/>
      <c r="F17" s="350"/>
      <c r="G17" s="353">
        <f>SUM(G14:G16)</f>
        <v>2668796.7400000002</v>
      </c>
      <c r="H17" s="349"/>
      <c r="I17" s="352"/>
      <c r="K17" s="351"/>
      <c r="L17" s="324"/>
      <c r="N17" s="305"/>
    </row>
    <row r="18" spans="2:14">
      <c r="B18" s="315"/>
      <c r="C18" s="313" t="s">
        <v>332</v>
      </c>
      <c r="D18" s="335" t="s">
        <v>331</v>
      </c>
      <c r="E18" s="334">
        <v>0.18</v>
      </c>
      <c r="F18" s="350"/>
      <c r="G18" s="331">
        <f>ROUND(G17*E18,2)</f>
        <v>480383.41</v>
      </c>
      <c r="H18" s="349"/>
      <c r="I18" s="348"/>
      <c r="L18" s="324"/>
      <c r="N18" s="305"/>
    </row>
    <row r="19" spans="2:14" ht="13.8">
      <c r="B19" s="347"/>
      <c r="C19" s="346" t="s">
        <v>330</v>
      </c>
      <c r="D19" s="346" t="s">
        <v>329</v>
      </c>
      <c r="E19" s="345"/>
      <c r="F19" s="344"/>
      <c r="G19" s="343">
        <f>+G18+G17</f>
        <v>3149180.1500000004</v>
      </c>
      <c r="H19" s="306"/>
      <c r="I19" s="339"/>
      <c r="L19" s="324"/>
      <c r="N19" s="305"/>
    </row>
    <row r="20" spans="2:14" ht="15.6">
      <c r="B20" s="315"/>
      <c r="C20" s="313"/>
      <c r="D20" s="342"/>
      <c r="E20" s="342"/>
      <c r="F20" s="341"/>
      <c r="G20" s="340"/>
      <c r="H20" s="306"/>
      <c r="I20" s="339"/>
      <c r="L20" s="324"/>
      <c r="N20" s="305"/>
    </row>
    <row r="21" spans="2:14" ht="15.6">
      <c r="B21" s="315"/>
      <c r="C21" s="328"/>
      <c r="D21" s="338" t="s">
        <v>328</v>
      </c>
      <c r="E21" s="338"/>
      <c r="F21" s="326"/>
      <c r="G21" s="337">
        <f>+G19</f>
        <v>3149180.1500000004</v>
      </c>
      <c r="H21" s="306"/>
      <c r="L21" s="324"/>
      <c r="N21" s="305"/>
    </row>
    <row r="22" spans="2:14">
      <c r="B22" s="315"/>
      <c r="C22" s="313"/>
      <c r="D22" s="313"/>
      <c r="E22" s="313"/>
      <c r="F22" s="313"/>
      <c r="G22" s="336" t="s">
        <v>1</v>
      </c>
      <c r="H22" s="306"/>
      <c r="I22" s="316"/>
      <c r="L22" s="324"/>
      <c r="N22" s="305"/>
    </row>
    <row r="23" spans="2:14">
      <c r="B23" s="315"/>
      <c r="C23" s="313"/>
      <c r="D23" s="335" t="s">
        <v>49</v>
      </c>
      <c r="E23" s="334">
        <f>+[3]CONSOLIDADO!$E$22</f>
        <v>5.0713941609795268E-2</v>
      </c>
      <c r="F23" s="313"/>
      <c r="G23" s="331">
        <f>ROUND(G21*E23,2)</f>
        <v>159707.34</v>
      </c>
      <c r="H23" s="306"/>
      <c r="I23" s="316"/>
      <c r="J23" s="305"/>
      <c r="L23" s="324"/>
      <c r="N23" s="305"/>
    </row>
    <row r="24" spans="2:14" ht="13.8">
      <c r="B24" s="315"/>
      <c r="C24" s="313"/>
      <c r="D24" s="313" t="s">
        <v>327</v>
      </c>
      <c r="E24" s="333">
        <f>(G24/G21)</f>
        <v>1.0044677818764988E-2</v>
      </c>
      <c r="F24" s="313"/>
      <c r="G24" s="331">
        <f>[4]Liquidacion!$G$19</f>
        <v>31632.5</v>
      </c>
      <c r="H24" s="306"/>
      <c r="I24" s="316"/>
      <c r="J24" s="305"/>
      <c r="L24" s="324"/>
      <c r="N24" s="305"/>
    </row>
    <row r="25" spans="2:14">
      <c r="B25" s="315"/>
      <c r="C25" s="313"/>
      <c r="D25" s="313" t="s">
        <v>248</v>
      </c>
      <c r="E25" s="313"/>
      <c r="F25" s="313"/>
      <c r="G25" s="331">
        <v>21304.5</v>
      </c>
      <c r="H25" s="306"/>
      <c r="I25" s="316"/>
      <c r="L25" s="332">
        <f>G24/G21</f>
        <v>1.0044677818764988E-2</v>
      </c>
      <c r="N25" s="305"/>
    </row>
    <row r="26" spans="2:14">
      <c r="B26" s="315"/>
      <c r="C26" s="313"/>
      <c r="D26" s="313" t="s">
        <v>326</v>
      </c>
      <c r="E26" s="313"/>
      <c r="F26" s="313"/>
      <c r="G26" s="331">
        <v>205180</v>
      </c>
      <c r="H26" s="306"/>
      <c r="I26" s="316"/>
      <c r="L26" s="324"/>
      <c r="N26" s="305"/>
    </row>
    <row r="27" spans="2:14">
      <c r="B27" s="315"/>
      <c r="C27" s="313"/>
      <c r="D27" s="313" t="s">
        <v>325</v>
      </c>
      <c r="E27" s="313"/>
      <c r="F27" s="313"/>
      <c r="G27" s="331">
        <v>284033.7</v>
      </c>
      <c r="H27" s="306"/>
      <c r="I27" s="316"/>
      <c r="L27" s="324"/>
      <c r="N27" s="305"/>
    </row>
    <row r="28" spans="2:14">
      <c r="B28" s="315"/>
      <c r="C28" s="313"/>
      <c r="D28" s="313" t="s">
        <v>324</v>
      </c>
      <c r="E28" s="313"/>
      <c r="F28" s="313"/>
      <c r="G28" s="331">
        <v>48601.89</v>
      </c>
      <c r="H28" s="306"/>
      <c r="I28" s="316"/>
      <c r="L28" s="324"/>
      <c r="N28" s="305"/>
    </row>
    <row r="29" spans="2:14">
      <c r="B29" s="315"/>
      <c r="C29" s="313"/>
      <c r="D29" s="313" t="s">
        <v>307</v>
      </c>
      <c r="E29" s="313"/>
      <c r="F29" s="313"/>
      <c r="G29" s="331">
        <f>[4]Gestión!$G$19</f>
        <v>50593.53</v>
      </c>
      <c r="H29" s="306"/>
      <c r="I29" s="316"/>
      <c r="L29" s="324"/>
      <c r="N29" s="305"/>
    </row>
    <row r="30" spans="2:14" ht="13.8" thickBot="1">
      <c r="B30" s="315"/>
      <c r="C30" s="313"/>
      <c r="D30" s="313" t="s">
        <v>246</v>
      </c>
      <c r="E30" s="313"/>
      <c r="F30" s="313"/>
      <c r="G30" s="330">
        <v>83931</v>
      </c>
      <c r="H30" s="306"/>
      <c r="I30" s="316"/>
      <c r="L30" s="324"/>
      <c r="N30" s="305"/>
    </row>
    <row r="31" spans="2:14" ht="13.8" thickTop="1">
      <c r="B31" s="315"/>
      <c r="C31" s="313"/>
      <c r="D31" s="313"/>
      <c r="E31" s="313"/>
      <c r="F31" s="313"/>
      <c r="G31" s="329"/>
      <c r="H31" s="306"/>
      <c r="I31" s="316"/>
      <c r="L31" s="324"/>
      <c r="N31" s="305"/>
    </row>
    <row r="32" spans="2:14" ht="15.6">
      <c r="B32" s="315"/>
      <c r="C32" s="328"/>
      <c r="D32" s="327" t="s">
        <v>323</v>
      </c>
      <c r="E32" s="327"/>
      <c r="F32" s="326"/>
      <c r="G32" s="325">
        <f>+G23+G21+G24+G25+G26+G27+G28+G30+G29</f>
        <v>4034164.6100000003</v>
      </c>
      <c r="H32" s="306"/>
      <c r="J32" s="305"/>
      <c r="L32" s="324"/>
      <c r="N32" s="305"/>
    </row>
    <row r="33" spans="1:9" ht="13.8" thickBot="1">
      <c r="B33" s="323"/>
      <c r="C33" s="322"/>
      <c r="D33" s="322"/>
      <c r="E33" s="322"/>
      <c r="F33" s="322"/>
      <c r="G33" s="321"/>
      <c r="H33" s="306"/>
      <c r="I33" s="316"/>
    </row>
    <row r="34" spans="1:9" ht="13.8" thickBot="1">
      <c r="B34" s="320"/>
      <c r="C34" s="318"/>
      <c r="D34" s="318"/>
      <c r="E34" s="319"/>
      <c r="F34" s="318"/>
      <c r="G34" s="317"/>
      <c r="H34" s="306"/>
      <c r="I34" s="316"/>
    </row>
    <row r="35" spans="1:9">
      <c r="B35" s="315"/>
      <c r="C35" s="313"/>
      <c r="D35" s="313"/>
      <c r="E35" s="313"/>
      <c r="F35" s="313"/>
      <c r="G35" s="312"/>
      <c r="H35" s="306"/>
      <c r="I35" s="316"/>
    </row>
    <row r="36" spans="1:9">
      <c r="A36" s="316"/>
      <c r="B36" s="315"/>
      <c r="C36" s="314"/>
      <c r="D36" s="313"/>
      <c r="E36" s="313"/>
      <c r="F36" s="313"/>
      <c r="G36" s="312"/>
    </row>
    <row r="37" spans="1:9" ht="13.8" thickBot="1">
      <c r="B37" s="311"/>
      <c r="C37" s="310"/>
      <c r="D37" s="309"/>
      <c r="E37" s="309"/>
      <c r="F37" s="309"/>
      <c r="G37" s="308"/>
    </row>
    <row r="38" spans="1:9" ht="13.8" thickTop="1"/>
    <row r="39" spans="1:9">
      <c r="C39" s="307"/>
      <c r="D39" s="306"/>
    </row>
    <row r="40" spans="1:9">
      <c r="D40" s="306"/>
    </row>
    <row r="42" spans="1:9">
      <c r="D42" s="304">
        <v>2081203.59</v>
      </c>
      <c r="G42" s="305"/>
    </row>
    <row r="43" spans="1:9">
      <c r="D43" s="304">
        <v>249511.85</v>
      </c>
    </row>
    <row r="44" spans="1:9">
      <c r="D44" s="304">
        <v>166496.29</v>
      </c>
    </row>
    <row r="45" spans="1:9">
      <c r="D45" s="304">
        <v>2497211.73</v>
      </c>
    </row>
    <row r="46" spans="1:9">
      <c r="D46" s="304">
        <v>449498.11</v>
      </c>
    </row>
    <row r="47" spans="1:9">
      <c r="D47" s="304">
        <v>2946709.84</v>
      </c>
    </row>
    <row r="49" spans="4:4">
      <c r="D49" s="304">
        <v>2946709.84</v>
      </c>
    </row>
    <row r="50" spans="4:4">
      <c r="D50" s="304" t="s">
        <v>1</v>
      </c>
    </row>
    <row r="51" spans="4:4">
      <c r="D51" s="304">
        <v>97151.45</v>
      </c>
    </row>
    <row r="53" spans="4:4">
      <c r="D53" s="304">
        <v>3043861.29</v>
      </c>
    </row>
  </sheetData>
  <mergeCells count="2">
    <mergeCell ref="C11:G11"/>
    <mergeCell ref="B4:G4"/>
  </mergeCells>
  <printOptions horizontalCentered="1"/>
  <pageMargins left="0.39370078740157483" right="0.23622047244094491" top="1.5748031496062993" bottom="0.98425196850393704" header="0" footer="0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1048" t="s">
        <v>227</v>
      </c>
      <c r="B1" s="1048"/>
      <c r="C1" s="1048"/>
      <c r="D1" s="1048"/>
      <c r="E1" s="1048"/>
      <c r="F1" s="1048"/>
      <c r="G1" s="1048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76</v>
      </c>
      <c r="C9" s="1049" t="e">
        <f>#REF!</f>
        <v>#REF!</v>
      </c>
      <c r="D9" s="1049"/>
      <c r="E9" s="1049"/>
      <c r="F9" s="1049"/>
      <c r="G9" s="1049"/>
    </row>
    <row r="10" spans="1:7" ht="13.8">
      <c r="A10" s="22"/>
      <c r="B10" s="6"/>
      <c r="C10" s="1049"/>
      <c r="D10" s="1049"/>
      <c r="E10" s="1049"/>
      <c r="F10" s="1049"/>
      <c r="G10" s="1049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1050" t="s">
        <v>24</v>
      </c>
      <c r="D13" s="1050"/>
      <c r="E13" s="1050"/>
      <c r="F13" s="1050"/>
      <c r="G13" s="129" t="s">
        <v>235</v>
      </c>
    </row>
    <row r="14" spans="1:7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1051" t="s">
        <v>229</v>
      </c>
      <c r="C19" s="1052"/>
      <c r="D19" s="1052"/>
      <c r="E19" s="1052"/>
      <c r="F19" s="1052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1053" t="s">
        <v>27</v>
      </c>
      <c r="B23" s="1054"/>
      <c r="C23" s="1054"/>
      <c r="D23" s="1054"/>
      <c r="E23" s="1054"/>
      <c r="F23" s="1054"/>
      <c r="G23" s="1054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228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234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91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11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18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233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1056" t="s">
        <v>3</v>
      </c>
      <c r="C38" s="1057"/>
      <c r="D38" s="1057"/>
      <c r="E38" s="1058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1059" t="s">
        <v>228</v>
      </c>
      <c r="B41" s="1059"/>
      <c r="C41" s="1059"/>
      <c r="D41" s="1059"/>
      <c r="E41" s="1059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230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154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10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11</v>
      </c>
      <c r="B49" s="39" t="s">
        <v>12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29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30</v>
      </c>
      <c r="C53" s="43" t="s">
        <v>31</v>
      </c>
      <c r="D53" s="43" t="s">
        <v>32</v>
      </c>
      <c r="E53" s="43" t="s">
        <v>13</v>
      </c>
      <c r="F53" s="43" t="s">
        <v>4</v>
      </c>
      <c r="G53" s="32"/>
    </row>
    <row r="54" spans="1:7">
      <c r="A54" s="40"/>
      <c r="B54" s="62" t="s">
        <v>213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212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1060" t="s">
        <v>3</v>
      </c>
      <c r="C56" s="1060"/>
      <c r="D56" s="1060"/>
      <c r="E56" s="1060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15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11</v>
      </c>
      <c r="B61" s="39" t="s">
        <v>95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29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30</v>
      </c>
      <c r="C65" s="43" t="s">
        <v>31</v>
      </c>
      <c r="D65" s="43" t="s">
        <v>32</v>
      </c>
      <c r="E65" s="43" t="s">
        <v>13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1062" t="s">
        <v>3</v>
      </c>
      <c r="C68" s="1062"/>
      <c r="D68" s="1062"/>
      <c r="E68" s="1062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14</v>
      </c>
      <c r="B71" s="39" t="s">
        <v>55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29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30</v>
      </c>
      <c r="C75" s="43" t="s">
        <v>31</v>
      </c>
      <c r="D75" s="43" t="s">
        <v>32</v>
      </c>
      <c r="E75" s="43" t="s">
        <v>13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1061" t="s">
        <v>3</v>
      </c>
      <c r="C78" s="1061"/>
      <c r="D78" s="1061"/>
      <c r="E78" s="1061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16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11</v>
      </c>
      <c r="B82" s="39" t="s">
        <v>98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29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30</v>
      </c>
      <c r="C86" s="43" t="s">
        <v>31</v>
      </c>
      <c r="D86" s="43" t="s">
        <v>32</v>
      </c>
      <c r="E86" s="43" t="s">
        <v>13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1055" t="s">
        <v>3</v>
      </c>
      <c r="C89" s="1055"/>
      <c r="D89" s="1055"/>
      <c r="E89" s="1055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14</v>
      </c>
      <c r="B91" s="39" t="s">
        <v>97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29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30</v>
      </c>
      <c r="C95" s="43" t="s">
        <v>31</v>
      </c>
      <c r="D95" s="43" t="s">
        <v>32</v>
      </c>
      <c r="E95" s="43" t="s">
        <v>13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1055" t="s">
        <v>3</v>
      </c>
      <c r="C98" s="1055"/>
      <c r="D98" s="1055"/>
      <c r="E98" s="1055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75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96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29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30</v>
      </c>
      <c r="C106" s="43" t="s">
        <v>31</v>
      </c>
      <c r="D106" s="43" t="s">
        <v>32</v>
      </c>
      <c r="E106" s="43" t="s">
        <v>13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1060" t="s">
        <v>3</v>
      </c>
      <c r="C109" s="1060"/>
      <c r="D109" s="1060"/>
      <c r="E109" s="1060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155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25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17</v>
      </c>
      <c r="C115" s="76" t="s">
        <v>2</v>
      </c>
      <c r="D115" s="76" t="s">
        <v>18</v>
      </c>
      <c r="E115" s="76" t="s">
        <v>5</v>
      </c>
      <c r="F115" s="76" t="s">
        <v>4</v>
      </c>
      <c r="G115" s="63"/>
    </row>
    <row r="116" spans="1:7">
      <c r="A116" s="11"/>
      <c r="B116" s="61" t="s">
        <v>83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74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1061" t="s">
        <v>3</v>
      </c>
      <c r="C118" s="1061"/>
      <c r="D118" s="1061"/>
      <c r="E118" s="1061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93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17</v>
      </c>
      <c r="C123" s="76" t="s">
        <v>2</v>
      </c>
      <c r="D123" s="76" t="s">
        <v>18</v>
      </c>
      <c r="E123" s="76" t="s">
        <v>5</v>
      </c>
      <c r="F123" s="76" t="s">
        <v>4</v>
      </c>
      <c r="G123" s="22"/>
    </row>
    <row r="124" spans="1:7">
      <c r="A124" s="73"/>
      <c r="B124" s="61" t="s">
        <v>114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107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1061" t="s">
        <v>3</v>
      </c>
      <c r="C127" s="1061"/>
      <c r="D127" s="1061"/>
      <c r="E127" s="1061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18</v>
      </c>
      <c r="E131" s="43" t="s">
        <v>5</v>
      </c>
      <c r="F131" s="43" t="s">
        <v>4</v>
      </c>
      <c r="G131" s="26"/>
    </row>
    <row r="132" spans="1:7">
      <c r="A132" s="16"/>
      <c r="B132" s="14" t="s">
        <v>71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69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64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84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67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70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58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57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85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68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60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65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89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61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62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73</v>
      </c>
      <c r="C150" s="56" t="s">
        <v>54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63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66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52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1061" t="s">
        <v>3</v>
      </c>
      <c r="C154" s="1061"/>
      <c r="D154" s="1061"/>
      <c r="E154" s="1061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90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18</v>
      </c>
      <c r="E158" s="43" t="s">
        <v>5</v>
      </c>
      <c r="F158" s="43" t="s">
        <v>4</v>
      </c>
      <c r="G158" s="26"/>
    </row>
    <row r="159" spans="1:10">
      <c r="A159" s="38"/>
      <c r="B159" s="150" t="s">
        <v>88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87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78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1056" t="s">
        <v>3</v>
      </c>
      <c r="C162" s="1057"/>
      <c r="D162" s="1057"/>
      <c r="E162" s="1058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156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91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11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18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109</v>
      </c>
      <c r="C172" s="13" t="s">
        <v>122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94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226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1056" t="s">
        <v>3</v>
      </c>
      <c r="C175" s="1057"/>
      <c r="D175" s="1057"/>
      <c r="E175" s="1058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1059" t="s">
        <v>231</v>
      </c>
      <c r="B178" s="1059"/>
      <c r="C178" s="1059"/>
      <c r="D178" s="1059"/>
      <c r="E178" s="1059"/>
      <c r="F178" s="34" t="s">
        <v>0</v>
      </c>
      <c r="G178" s="97">
        <f>+G165+G111+G45</f>
        <v>0</v>
      </c>
    </row>
    <row r="180" spans="1:7" ht="17.399999999999999">
      <c r="B180" s="148" t="s">
        <v>229</v>
      </c>
      <c r="F180" s="34" t="s">
        <v>0</v>
      </c>
      <c r="G180" s="97">
        <f>+G19</f>
        <v>0</v>
      </c>
    </row>
  </sheetData>
  <mergeCells count="19"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  <mergeCell ref="A1:G1"/>
    <mergeCell ref="C9:G10"/>
    <mergeCell ref="C13:F13"/>
    <mergeCell ref="B19:F19"/>
    <mergeCell ref="A23:G23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</sheetPr>
  <dimension ref="B1:G44"/>
  <sheetViews>
    <sheetView view="pageBreakPreview" topLeftCell="A16" zoomScaleNormal="100" zoomScaleSheetLayoutView="100" workbookViewId="0">
      <selection activeCell="C18" sqref="C18:G29"/>
    </sheetView>
  </sheetViews>
  <sheetFormatPr baseColWidth="10" defaultColWidth="11.44140625" defaultRowHeight="12"/>
  <cols>
    <col min="1" max="1" width="1.5546875" style="829" customWidth="1"/>
    <col min="2" max="2" width="6.33203125" style="829" customWidth="1"/>
    <col min="3" max="3" width="13.5546875" style="829" customWidth="1"/>
    <col min="4" max="4" width="55.6640625" style="829" customWidth="1"/>
    <col min="5" max="5" width="34.33203125" style="829" customWidth="1"/>
    <col min="6" max="6" width="19.88671875" style="829" customWidth="1"/>
    <col min="7" max="7" width="18.33203125" style="829" customWidth="1"/>
    <col min="8" max="8" width="16.33203125" style="829" customWidth="1"/>
    <col min="9" max="16384" width="11.44140625" style="829"/>
  </cols>
  <sheetData>
    <row r="1" spans="2:7">
      <c r="B1" s="827"/>
      <c r="C1" s="828"/>
      <c r="D1" s="828"/>
      <c r="E1" s="828"/>
      <c r="F1" s="828"/>
      <c r="G1" s="828"/>
    </row>
    <row r="2" spans="2:7" ht="12.6" thickBot="1"/>
    <row r="3" spans="2:7">
      <c r="B3" s="834"/>
      <c r="C3" s="835"/>
      <c r="D3" s="835"/>
      <c r="E3" s="835"/>
      <c r="F3" s="835"/>
      <c r="G3" s="836"/>
    </row>
    <row r="4" spans="2:7" ht="27" customHeight="1">
      <c r="B4" s="1063" t="s">
        <v>552</v>
      </c>
      <c r="C4" s="1064"/>
      <c r="D4" s="1064"/>
      <c r="E4" s="1064"/>
      <c r="F4" s="1064"/>
      <c r="G4" s="1065"/>
    </row>
    <row r="5" spans="2:7">
      <c r="B5" s="837"/>
      <c r="C5" s="831"/>
      <c r="D5" s="831"/>
      <c r="E5" s="831"/>
      <c r="F5" s="831"/>
      <c r="G5" s="833"/>
    </row>
    <row r="6" spans="2:7" ht="33" customHeight="1">
      <c r="B6" s="838" t="s">
        <v>538</v>
      </c>
      <c r="C6" s="831"/>
      <c r="D6" s="1066" t="s">
        <v>602</v>
      </c>
      <c r="E6" s="1066"/>
      <c r="F6" s="1066"/>
      <c r="G6" s="1067"/>
    </row>
    <row r="7" spans="2:7" ht="12" customHeight="1">
      <c r="B7" s="837"/>
      <c r="C7" s="831"/>
      <c r="D7" s="1066"/>
      <c r="E7" s="1066"/>
      <c r="F7" s="1066"/>
      <c r="G7" s="1067"/>
    </row>
    <row r="8" spans="2:7">
      <c r="B8" s="837"/>
      <c r="C8" s="831"/>
      <c r="D8" s="831"/>
      <c r="E8" s="831"/>
      <c r="F8" s="831"/>
      <c r="G8" s="833"/>
    </row>
    <row r="9" spans="2:7">
      <c r="B9" s="838"/>
      <c r="C9" s="831"/>
      <c r="D9" s="831"/>
      <c r="E9" s="831"/>
      <c r="F9" s="831"/>
      <c r="G9" s="833"/>
    </row>
    <row r="10" spans="2:7">
      <c r="B10" s="838" t="s">
        <v>539</v>
      </c>
      <c r="C10" s="831"/>
      <c r="D10" s="831" t="s">
        <v>550</v>
      </c>
      <c r="E10" s="831"/>
      <c r="F10" s="831"/>
      <c r="G10" s="833"/>
    </row>
    <row r="11" spans="2:7">
      <c r="B11" s="838" t="s">
        <v>540</v>
      </c>
      <c r="C11" s="831"/>
      <c r="D11" s="831" t="s">
        <v>551</v>
      </c>
      <c r="E11" s="831"/>
      <c r="F11" s="831"/>
      <c r="G11" s="833"/>
    </row>
    <row r="12" spans="2:7">
      <c r="B12" s="838" t="s">
        <v>541</v>
      </c>
      <c r="C12" s="831"/>
      <c r="D12" s="831" t="s">
        <v>603</v>
      </c>
      <c r="E12" s="831"/>
      <c r="F12" s="831"/>
      <c r="G12" s="833"/>
    </row>
    <row r="13" spans="2:7" ht="14.4" customHeight="1">
      <c r="B13" s="838" t="s">
        <v>542</v>
      </c>
      <c r="C13" s="831"/>
      <c r="D13" s="831" t="s">
        <v>603</v>
      </c>
      <c r="E13" s="831"/>
      <c r="F13" s="839" t="s">
        <v>543</v>
      </c>
      <c r="G13" s="840" t="s">
        <v>593</v>
      </c>
    </row>
    <row r="14" spans="2:7">
      <c r="B14" s="837"/>
      <c r="C14" s="831"/>
      <c r="D14" s="831"/>
      <c r="E14" s="831"/>
      <c r="F14" s="831"/>
      <c r="G14" s="833"/>
    </row>
    <row r="15" spans="2:7" ht="5.25" customHeight="1" thickBot="1">
      <c r="B15" s="841"/>
      <c r="C15" s="842"/>
      <c r="D15" s="842"/>
      <c r="E15" s="842"/>
      <c r="F15" s="842"/>
      <c r="G15" s="843"/>
    </row>
    <row r="16" spans="2:7" ht="3" customHeight="1">
      <c r="B16" s="834"/>
      <c r="C16" s="835"/>
      <c r="D16" s="835"/>
      <c r="E16" s="835"/>
      <c r="F16" s="835"/>
      <c r="G16" s="836"/>
    </row>
    <row r="17" spans="2:7" s="830" customFormat="1" ht="66" customHeight="1" thickBot="1">
      <c r="B17" s="1068" t="s">
        <v>362</v>
      </c>
      <c r="C17" s="1069"/>
      <c r="D17" s="1016" t="s">
        <v>34</v>
      </c>
      <c r="E17" s="855" t="s">
        <v>592</v>
      </c>
      <c r="F17" s="854" t="s">
        <v>469</v>
      </c>
      <c r="G17" s="856" t="s">
        <v>599</v>
      </c>
    </row>
    <row r="18" spans="2:7" s="830" customFormat="1" ht="18.600000000000001" customHeight="1">
      <c r="B18" s="1012"/>
      <c r="C18" s="1017">
        <f>IOARR!A1</f>
        <v>1</v>
      </c>
      <c r="D18" s="1018" t="str">
        <f>IOARR!B1</f>
        <v>Adquisicion de ambulancia urbana</v>
      </c>
      <c r="E18" s="1019">
        <f>IOARR!F1</f>
        <v>550000</v>
      </c>
      <c r="F18" s="844">
        <f t="shared" ref="F18:F26" si="0">+$F$33*E18</f>
        <v>16161.693112070925</v>
      </c>
      <c r="G18" s="845">
        <f t="shared" ref="G18:G26" si="1">+E18+F18</f>
        <v>566161.69311207091</v>
      </c>
    </row>
    <row r="19" spans="2:7" s="830" customFormat="1" ht="18.600000000000001" customHeight="1">
      <c r="B19" s="1013"/>
      <c r="C19" s="1020">
        <f>IOARR!A2</f>
        <v>2</v>
      </c>
      <c r="D19" s="1021" t="str">
        <f>IOARR!B2</f>
        <v>Adquisicion de esterilizador con generador electrico de vapor</v>
      </c>
      <c r="E19" s="1019">
        <f>IOARR!F2</f>
        <v>410000</v>
      </c>
      <c r="F19" s="844">
        <f t="shared" si="0"/>
        <v>12047.80759263469</v>
      </c>
      <c r="G19" s="845">
        <f t="shared" si="1"/>
        <v>422047.80759263469</v>
      </c>
    </row>
    <row r="20" spans="2:7" s="830" customFormat="1" ht="18.600000000000001" customHeight="1">
      <c r="B20" s="1013"/>
      <c r="C20" s="1020">
        <f>IOARR!A3</f>
        <v>3</v>
      </c>
      <c r="D20" s="1021" t="str">
        <f>IOARR!B3</f>
        <v>Adquisicion de lavadora secadora automatica</v>
      </c>
      <c r="E20" s="1019">
        <f>IOARR!F3</f>
        <v>355000</v>
      </c>
      <c r="F20" s="844">
        <f t="shared" si="0"/>
        <v>10431.638281427597</v>
      </c>
      <c r="G20" s="845">
        <f t="shared" si="1"/>
        <v>365431.63828142761</v>
      </c>
    </row>
    <row r="21" spans="2:7" s="830" customFormat="1" ht="18.600000000000001" customHeight="1">
      <c r="B21" s="1013"/>
      <c r="C21" s="1020">
        <f>IOARR!A4</f>
        <v>4</v>
      </c>
      <c r="D21" s="1021" t="str">
        <f>IOARR!B4</f>
        <v xml:space="preserve">Adquisicion de aspiradora de secreciones </v>
      </c>
      <c r="E21" s="1019">
        <f>IOARR!F4</f>
        <v>196000</v>
      </c>
      <c r="F21" s="844">
        <f t="shared" si="0"/>
        <v>5759.4397272107299</v>
      </c>
      <c r="G21" s="845">
        <f t="shared" si="1"/>
        <v>201759.43972721073</v>
      </c>
    </row>
    <row r="22" spans="2:7" s="830" customFormat="1" ht="18.600000000000001" customHeight="1">
      <c r="B22" s="1013"/>
      <c r="C22" s="1020">
        <f>IOARR!A5</f>
        <v>5</v>
      </c>
      <c r="D22" s="1021" t="str">
        <f>IOARR!B5</f>
        <v xml:space="preserve">Adquisicion de monitor de funciones vitales </v>
      </c>
      <c r="E22" s="1019">
        <f>IOARR!F5</f>
        <v>18000</v>
      </c>
      <c r="F22" s="844">
        <f t="shared" si="0"/>
        <v>528.92813821323023</v>
      </c>
      <c r="G22" s="845">
        <f t="shared" si="1"/>
        <v>18528.928138213229</v>
      </c>
    </row>
    <row r="23" spans="2:7" ht="18.600000000000001" customHeight="1">
      <c r="B23" s="1014"/>
      <c r="C23" s="1020">
        <f>IOARR!A6</f>
        <v>6</v>
      </c>
      <c r="D23" s="1021" t="str">
        <f>IOARR!B6</f>
        <v xml:space="preserve">Adquisicion de bomba de infusion </v>
      </c>
      <c r="E23" s="1019">
        <f>IOARR!F6</f>
        <v>180000</v>
      </c>
      <c r="F23" s="844">
        <f t="shared" si="0"/>
        <v>5289.2813821323025</v>
      </c>
      <c r="G23" s="845">
        <f t="shared" si="1"/>
        <v>185289.28138213229</v>
      </c>
    </row>
    <row r="24" spans="2:7" ht="18.600000000000001" customHeight="1">
      <c r="B24" s="1014"/>
      <c r="C24" s="1020">
        <f>IOARR!A7</f>
        <v>7</v>
      </c>
      <c r="D24" s="1021" t="str">
        <f>IOARR!B7</f>
        <v xml:space="preserve">Adquisicion de desfibrilador </v>
      </c>
      <c r="E24" s="1019">
        <f>IOARR!F7</f>
        <v>120000</v>
      </c>
      <c r="F24" s="844">
        <f t="shared" si="0"/>
        <v>3526.1875880882017</v>
      </c>
      <c r="G24" s="845">
        <f t="shared" si="1"/>
        <v>123526.1875880882</v>
      </c>
    </row>
    <row r="25" spans="2:7" ht="18.600000000000001" customHeight="1">
      <c r="B25" s="1014"/>
      <c r="C25" s="1020">
        <f>IOARR!A8</f>
        <v>8</v>
      </c>
      <c r="D25" s="1021" t="str">
        <f>IOARR!B8</f>
        <v xml:space="preserve">Adquisicion de cama camilla multiproposito tipo uci </v>
      </c>
      <c r="E25" s="1019">
        <f>IOARR!F8</f>
        <v>60000</v>
      </c>
      <c r="F25" s="844">
        <f t="shared" si="0"/>
        <v>1763.0937940441008</v>
      </c>
      <c r="G25" s="845">
        <f t="shared" si="1"/>
        <v>61763.0937940441</v>
      </c>
    </row>
    <row r="26" spans="2:7" ht="14.4" customHeight="1">
      <c r="B26" s="1014"/>
      <c r="C26" s="1020">
        <f>IOARR!A9</f>
        <v>9</v>
      </c>
      <c r="D26" s="1021" t="str">
        <f>IOARR!B9</f>
        <v xml:space="preserve">Adquisicion de coche de paro equipado </v>
      </c>
      <c r="E26" s="1019">
        <f>IOARR!F9</f>
        <v>136500</v>
      </c>
      <c r="F26" s="844">
        <f t="shared" si="0"/>
        <v>4011.0383814503298</v>
      </c>
      <c r="G26" s="845">
        <f t="shared" si="1"/>
        <v>140511.03838145034</v>
      </c>
    </row>
    <row r="27" spans="2:7" ht="14.4" customHeight="1">
      <c r="B27" s="1014"/>
      <c r="C27" s="1020">
        <f>IOARR!A10</f>
        <v>10</v>
      </c>
      <c r="D27" s="1021" t="str">
        <f>IOARR!B10</f>
        <v xml:space="preserve">Adquisicion de grupo electrogeno </v>
      </c>
      <c r="E27" s="1019">
        <f>IOARR!F10</f>
        <v>24000</v>
      </c>
      <c r="F27" s="844">
        <f>+$F$33*E27</f>
        <v>705.23751761764038</v>
      </c>
      <c r="G27" s="845">
        <f>+E27+F27</f>
        <v>24705.237517617639</v>
      </c>
    </row>
    <row r="28" spans="2:7" ht="18" customHeight="1">
      <c r="B28" s="1015"/>
      <c r="C28" s="1022">
        <f>IOARR!A11</f>
        <v>11</v>
      </c>
      <c r="D28" s="1023" t="str">
        <f>IOARR!B11</f>
        <v xml:space="preserve">Adquisicion de ventilador mecanico </v>
      </c>
      <c r="E28" s="1019">
        <f>IOARR!F11</f>
        <v>150000</v>
      </c>
      <c r="F28" s="844">
        <f>+$F$33*E28</f>
        <v>4407.7344851102525</v>
      </c>
      <c r="G28" s="845">
        <f>+E28+F28</f>
        <v>154407.73448511024</v>
      </c>
    </row>
    <row r="29" spans="2:7" ht="18" customHeight="1">
      <c r="B29" s="837"/>
      <c r="C29" s="831"/>
      <c r="D29" s="831"/>
      <c r="E29" s="846">
        <f>SUM(E18:E28)</f>
        <v>2199500</v>
      </c>
      <c r="F29" s="846">
        <f>SUM(F18:F28)</f>
        <v>64632.08</v>
      </c>
      <c r="G29" s="847">
        <f>SUM(G18:G27)</f>
        <v>2109724.3455148898</v>
      </c>
    </row>
    <row r="30" spans="2:7" ht="8.25" customHeight="1">
      <c r="B30" s="837"/>
      <c r="C30" s="831"/>
      <c r="D30" s="831"/>
      <c r="E30" s="831"/>
      <c r="F30" s="831"/>
      <c r="G30" s="848"/>
    </row>
    <row r="31" spans="2:7" ht="12.75" customHeight="1">
      <c r="B31" s="837"/>
      <c r="C31" s="831"/>
      <c r="D31" s="831"/>
      <c r="E31" s="831"/>
      <c r="F31" s="831"/>
      <c r="G31" s="848"/>
    </row>
    <row r="32" spans="2:7" ht="12.75" customHeight="1">
      <c r="B32" s="837"/>
      <c r="C32" s="831"/>
      <c r="D32" s="831"/>
      <c r="E32" s="850" t="s">
        <v>544</v>
      </c>
      <c r="F32" s="850"/>
      <c r="G32" s="857">
        <f>+E29</f>
        <v>2199500</v>
      </c>
    </row>
    <row r="33" spans="2:7" ht="12.75" customHeight="1">
      <c r="B33" s="837"/>
      <c r="C33" s="831"/>
      <c r="D33" s="831"/>
      <c r="E33" s="831" t="s">
        <v>28</v>
      </c>
      <c r="F33" s="832">
        <f>+G33/G32</f>
        <v>2.9384896567401682E-2</v>
      </c>
      <c r="G33" s="848">
        <f>+G.General!I21</f>
        <v>64632.08</v>
      </c>
    </row>
    <row r="34" spans="2:7">
      <c r="B34" s="837"/>
      <c r="C34" s="831"/>
      <c r="D34" s="831"/>
      <c r="E34" s="831" t="s">
        <v>546</v>
      </c>
      <c r="F34" s="832">
        <f>+G34/$G$32</f>
        <v>1.1738295067060697E-2</v>
      </c>
      <c r="G34" s="833">
        <f>+'G. Supervision'!I21</f>
        <v>25818.38</v>
      </c>
    </row>
    <row r="35" spans="2:7" ht="6" customHeight="1" thickBot="1">
      <c r="B35" s="837"/>
      <c r="C35" s="831"/>
      <c r="D35" s="831"/>
      <c r="E35" s="831"/>
      <c r="F35" s="831"/>
      <c r="G35" s="849"/>
    </row>
    <row r="36" spans="2:7" ht="19.5" customHeight="1" thickTop="1">
      <c r="B36" s="837"/>
      <c r="C36" s="831"/>
      <c r="D36" s="831"/>
      <c r="E36" s="850" t="s">
        <v>600</v>
      </c>
      <c r="F36" s="831"/>
      <c r="G36" s="851">
        <f>SUM(G32:G35)</f>
        <v>2289950.46</v>
      </c>
    </row>
    <row r="37" spans="2:7">
      <c r="B37" s="837"/>
      <c r="C37" s="831"/>
      <c r="D37" s="831"/>
      <c r="E37" s="831" t="s">
        <v>545</v>
      </c>
      <c r="F37" s="832">
        <f>+G37/$G$36</f>
        <v>7.0641266187042315E-3</v>
      </c>
      <c r="G37" s="833">
        <f>'Gestion del proyecto'!I21</f>
        <v>16176.5</v>
      </c>
    </row>
    <row r="38" spans="2:7">
      <c r="B38" s="837"/>
      <c r="C38" s="831"/>
      <c r="D38" s="831"/>
      <c r="E38" s="831" t="s">
        <v>547</v>
      </c>
      <c r="F38" s="832">
        <f>+G38/$G$36</f>
        <v>4.0233970825726941E-3</v>
      </c>
      <c r="G38" s="833">
        <f>'G. Liquidacion'!H21</f>
        <v>9213.3799999999992</v>
      </c>
    </row>
    <row r="39" spans="2:7">
      <c r="B39" s="837"/>
      <c r="C39" s="831"/>
      <c r="D39" s="831"/>
      <c r="E39" s="831" t="s">
        <v>548</v>
      </c>
      <c r="F39" s="832">
        <f>+G39/$G$36</f>
        <v>5.0832890070469034E-3</v>
      </c>
      <c r="G39" s="833">
        <f>'G. Exp. Tecnico'!I21</f>
        <v>11640.48</v>
      </c>
    </row>
    <row r="40" spans="2:7" ht="5.25" customHeight="1" thickBot="1">
      <c r="B40" s="837"/>
      <c r="C40" s="831"/>
      <c r="D40" s="831"/>
      <c r="E40" s="831"/>
      <c r="F40" s="831"/>
      <c r="G40" s="843"/>
    </row>
    <row r="41" spans="2:7" ht="16.5" customHeight="1">
      <c r="B41" s="837"/>
      <c r="C41" s="831"/>
      <c r="D41" s="831"/>
      <c r="E41" s="850" t="s">
        <v>323</v>
      </c>
      <c r="F41" s="831"/>
      <c r="G41" s="851">
        <f>SUM(G36:G39)</f>
        <v>2326980.8199999998</v>
      </c>
    </row>
    <row r="42" spans="2:7">
      <c r="B42" s="837"/>
      <c r="C42" s="831"/>
      <c r="D42" s="831"/>
      <c r="E42" s="831"/>
      <c r="F42" s="831"/>
      <c r="G42" s="833"/>
    </row>
    <row r="43" spans="2:7">
      <c r="B43" s="837"/>
      <c r="C43" s="831"/>
      <c r="D43" s="831"/>
      <c r="E43" s="831"/>
      <c r="F43" s="831"/>
      <c r="G43" s="833"/>
    </row>
    <row r="44" spans="2:7" ht="12.6" thickBot="1">
      <c r="B44" s="852" t="s">
        <v>549</v>
      </c>
      <c r="C44" s="853" t="s">
        <v>601</v>
      </c>
      <c r="D44" s="842"/>
      <c r="E44" s="842"/>
      <c r="F44" s="842"/>
      <c r="G44" s="843"/>
    </row>
  </sheetData>
  <mergeCells count="3">
    <mergeCell ref="B4:G4"/>
    <mergeCell ref="D6:G7"/>
    <mergeCell ref="B17:C17"/>
  </mergeCells>
  <pageMargins left="1.4566929133858268" right="0.70866141732283472" top="0.74803149606299213" bottom="1.299212598425197" header="0.31496062992125984" footer="0.31496062992125984"/>
  <pageSetup paperSize="9" scale="72" orientation="landscape" horizontalDpi="4294967292" r:id="rId1"/>
  <headerFooter>
    <oddFooter>&amp;C&amp;G</oddFooter>
  </headerFooter>
  <colBreaks count="1" manualBreakCount="1">
    <brk id="7" max="1048575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  <pageSetUpPr fitToPage="1"/>
  </sheetPr>
  <dimension ref="B3:P316"/>
  <sheetViews>
    <sheetView showGridLines="0" view="pageBreakPreview" topLeftCell="A6" zoomScale="70" zoomScaleNormal="85" zoomScaleSheetLayoutView="70" zoomScalePageLayoutView="75" workbookViewId="0">
      <selection activeCell="D11" sqref="D11:D13"/>
    </sheetView>
  </sheetViews>
  <sheetFormatPr baseColWidth="10" defaultColWidth="11.44140625" defaultRowHeight="13.8"/>
  <cols>
    <col min="1" max="1" width="1.6640625" style="748" customWidth="1"/>
    <col min="2" max="2" width="7" style="860" customWidth="1"/>
    <col min="3" max="3" width="48.109375" style="746" customWidth="1"/>
    <col min="4" max="4" width="20.6640625" style="746" customWidth="1"/>
    <col min="5" max="5" width="15.109375" style="746" customWidth="1"/>
    <col min="6" max="6" width="10.44140625" style="747" customWidth="1"/>
    <col min="7" max="7" width="15.33203125" style="747" customWidth="1"/>
    <col min="8" max="8" width="13.44140625" style="746" customWidth="1"/>
    <col min="9" max="9" width="15.109375" style="746" customWidth="1"/>
    <col min="10" max="10" width="19.33203125" style="748" customWidth="1"/>
    <col min="11" max="11" width="11.44140625" style="748"/>
    <col min="12" max="12" width="14.44140625" style="748" customWidth="1"/>
    <col min="13" max="13" width="14.109375" style="748" customWidth="1"/>
    <col min="14" max="16384" width="11.44140625" style="748"/>
  </cols>
  <sheetData>
    <row r="3" spans="2:9" ht="28.8">
      <c r="C3" s="1073" t="s">
        <v>476</v>
      </c>
      <c r="D3" s="1073"/>
      <c r="E3" s="1073"/>
      <c r="F3" s="1073"/>
      <c r="G3" s="1073"/>
      <c r="H3" s="1073"/>
      <c r="I3" s="1073"/>
    </row>
    <row r="4" spans="2:9" ht="22.8">
      <c r="C4" s="1074" t="s">
        <v>477</v>
      </c>
      <c r="D4" s="1074"/>
      <c r="E4" s="1074"/>
      <c r="F4" s="1074"/>
      <c r="G4" s="1074"/>
      <c r="H4" s="1074"/>
      <c r="I4" s="1074"/>
    </row>
    <row r="5" spans="2:9" ht="21">
      <c r="C5" s="1075" t="s">
        <v>478</v>
      </c>
      <c r="D5" s="1075"/>
      <c r="E5" s="1075"/>
      <c r="F5" s="1075"/>
      <c r="G5" s="1075"/>
      <c r="H5" s="1075"/>
      <c r="I5" s="1075"/>
    </row>
    <row r="6" spans="2:9" ht="14.4" thickBot="1">
      <c r="B6" s="748"/>
      <c r="C6" s="1076" t="s">
        <v>595</v>
      </c>
      <c r="D6" s="1076"/>
      <c r="E6" s="1076"/>
      <c r="F6" s="1076"/>
      <c r="G6" s="1076"/>
      <c r="H6" s="1076"/>
      <c r="I6" s="1076"/>
    </row>
    <row r="7" spans="2:9">
      <c r="B7" s="861"/>
      <c r="C7" s="862"/>
      <c r="D7" s="862"/>
      <c r="E7" s="862"/>
      <c r="F7" s="862"/>
      <c r="G7" s="862"/>
      <c r="H7" s="862"/>
      <c r="I7" s="862"/>
    </row>
    <row r="8" spans="2:9" ht="27" customHeight="1">
      <c r="B8" s="1077" t="s">
        <v>557</v>
      </c>
      <c r="C8" s="1077"/>
      <c r="D8" s="1077"/>
      <c r="E8" s="1077"/>
      <c r="F8" s="1077"/>
      <c r="G8" s="1077"/>
      <c r="H8" s="1077"/>
      <c r="I8" s="1077"/>
    </row>
    <row r="9" spans="2:9" ht="19.5" customHeight="1">
      <c r="B9" s="863"/>
      <c r="C9" s="863"/>
      <c r="D9" s="863"/>
      <c r="E9" s="864"/>
      <c r="F9" s="865"/>
      <c r="G9" s="865"/>
      <c r="H9" s="863"/>
      <c r="I9" s="863"/>
    </row>
    <row r="10" spans="2:9" ht="18" customHeight="1">
      <c r="C10" s="866" t="s">
        <v>594</v>
      </c>
      <c r="D10" s="752"/>
      <c r="E10" s="752"/>
      <c r="F10" s="746"/>
      <c r="G10" s="746"/>
      <c r="I10" s="752" t="s">
        <v>1</v>
      </c>
    </row>
    <row r="11" spans="2:9" ht="18" customHeight="1">
      <c r="C11" s="866" t="str">
        <f>+'RESUMEN TOTAL'!B11</f>
        <v>Departamento</v>
      </c>
      <c r="D11" s="752" t="str">
        <f>+'RESUMEN TOTAL'!D11</f>
        <v>: APURIMAC</v>
      </c>
      <c r="E11" s="752"/>
      <c r="F11" s="746"/>
      <c r="G11" s="746"/>
      <c r="I11" s="752" t="s">
        <v>1</v>
      </c>
    </row>
    <row r="12" spans="2:9" ht="18" customHeight="1">
      <c r="C12" s="866" t="str">
        <f>+'RESUMEN TOTAL'!B12</f>
        <v>Provincia</v>
      </c>
      <c r="D12" s="752" t="str">
        <f>+'RESUMEN TOTAL'!D12</f>
        <v>: ANDAHUAYLAS</v>
      </c>
      <c r="E12" s="752"/>
      <c r="F12" s="746"/>
      <c r="G12" s="746"/>
      <c r="I12" s="752"/>
    </row>
    <row r="13" spans="2:9" ht="18" customHeight="1">
      <c r="C13" s="866" t="str">
        <f>+'RESUMEN TOTAL'!B13</f>
        <v>Distrito</v>
      </c>
      <c r="D13" s="752" t="str">
        <f>+'RESUMEN TOTAL'!D13</f>
        <v>: ANDAHUAYLAS</v>
      </c>
      <c r="E13" s="752"/>
      <c r="F13" s="746"/>
      <c r="G13" s="746"/>
      <c r="I13" s="752"/>
    </row>
    <row r="14" spans="2:9" ht="46.5" customHeight="1">
      <c r="C14" s="867" t="s">
        <v>467</v>
      </c>
      <c r="D14" s="1078" t="str">
        <f>+'RESUMEN TOTAL'!D6</f>
        <v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v>
      </c>
      <c r="E14" s="1078"/>
      <c r="F14" s="1078"/>
      <c r="G14" s="1078"/>
      <c r="H14" s="1078"/>
      <c r="I14" s="1078"/>
    </row>
    <row r="15" spans="2:9" s="870" customFormat="1" ht="17.25" customHeight="1" thickBot="1">
      <c r="B15" s="868"/>
      <c r="C15" s="869"/>
      <c r="D15" s="1078"/>
      <c r="E15" s="1078"/>
      <c r="F15" s="1078"/>
      <c r="G15" s="1078"/>
      <c r="H15" s="1078"/>
      <c r="I15" s="1078"/>
    </row>
    <row r="16" spans="2:9" s="874" customFormat="1" ht="20.25" customHeight="1" thickBot="1">
      <c r="B16" s="871"/>
      <c r="C16" s="872" t="s">
        <v>475</v>
      </c>
      <c r="D16" s="1079" t="s">
        <v>468</v>
      </c>
      <c r="E16" s="1079"/>
      <c r="F16" s="1079"/>
      <c r="G16" s="1079"/>
      <c r="H16" s="1079"/>
      <c r="I16" s="873" t="s">
        <v>558</v>
      </c>
    </row>
    <row r="17" spans="2:12" s="874" customFormat="1" ht="17.399999999999999" customHeight="1">
      <c r="B17" s="871"/>
      <c r="C17" s="875" t="str">
        <f>+[1]Resumen!B19</f>
        <v>2.6.2.3.99 3</v>
      </c>
      <c r="D17" s="876" t="s">
        <v>99</v>
      </c>
      <c r="E17" s="877"/>
      <c r="F17" s="877"/>
      <c r="G17" s="877"/>
      <c r="H17" s="878"/>
      <c r="I17" s="879">
        <f>+I27</f>
        <v>54228.58</v>
      </c>
    </row>
    <row r="18" spans="2:12" s="874" customFormat="1" ht="17.399999999999999" customHeight="1">
      <c r="B18" s="871"/>
      <c r="C18" s="875" t="str">
        <f>+[1]Resumen!B20</f>
        <v>2.6.2.3.99 4</v>
      </c>
      <c r="D18" s="880" t="s">
        <v>100</v>
      </c>
      <c r="E18" s="881"/>
      <c r="F18" s="881"/>
      <c r="G18" s="881"/>
      <c r="H18" s="882"/>
      <c r="I18" s="883">
        <f>+I167</f>
        <v>8323.5</v>
      </c>
    </row>
    <row r="19" spans="2:12" s="874" customFormat="1" ht="17.399999999999999" customHeight="1">
      <c r="B19" s="871"/>
      <c r="C19" s="875" t="str">
        <f>+[1]Resumen!B21</f>
        <v>2.6.2.3.99 5</v>
      </c>
      <c r="D19" s="880" t="s">
        <v>101</v>
      </c>
      <c r="E19" s="881"/>
      <c r="F19" s="881"/>
      <c r="G19" s="881"/>
      <c r="H19" s="882"/>
      <c r="I19" s="883">
        <f>+I258</f>
        <v>2080</v>
      </c>
    </row>
    <row r="20" spans="2:12" s="874" customFormat="1" ht="17.399999999999999" customHeight="1">
      <c r="B20" s="871"/>
      <c r="C20" s="875" t="str">
        <f>+[1]Resumen!B22</f>
        <v>2.6.2.3.99 6</v>
      </c>
      <c r="D20" s="880" t="s">
        <v>102</v>
      </c>
      <c r="E20" s="881"/>
      <c r="F20" s="881"/>
      <c r="G20" s="881"/>
      <c r="H20" s="882"/>
      <c r="I20" s="883">
        <v>0</v>
      </c>
    </row>
    <row r="21" spans="2:12" s="874" customFormat="1" ht="15.6" customHeight="1" thickBot="1">
      <c r="B21" s="871"/>
      <c r="C21" s="1080" t="s">
        <v>26</v>
      </c>
      <c r="D21" s="1081"/>
      <c r="E21" s="1081"/>
      <c r="F21" s="1081"/>
      <c r="G21" s="1081"/>
      <c r="H21" s="1081"/>
      <c r="I21" s="884">
        <f>SUM(I17:I20)</f>
        <v>64632.08</v>
      </c>
      <c r="J21" s="885"/>
      <c r="K21" s="886"/>
      <c r="L21" s="885"/>
    </row>
    <row r="22" spans="2:12" ht="18" customHeight="1">
      <c r="C22" s="887"/>
      <c r="D22" s="888"/>
      <c r="E22" s="888"/>
      <c r="F22" s="889"/>
    </row>
    <row r="23" spans="2:12" ht="27" customHeight="1">
      <c r="B23" s="1082" t="s">
        <v>479</v>
      </c>
      <c r="C23" s="1082"/>
      <c r="D23" s="1082"/>
      <c r="E23" s="1082"/>
      <c r="F23" s="1082"/>
      <c r="G23" s="1082"/>
      <c r="H23" s="1082"/>
      <c r="I23" s="1082"/>
    </row>
    <row r="24" spans="2:12" ht="10.95" customHeight="1">
      <c r="B24" s="890"/>
      <c r="C24" s="891"/>
      <c r="D24" s="892"/>
      <c r="E24" s="892"/>
      <c r="F24" s="893"/>
      <c r="G24" s="893"/>
      <c r="H24" s="891"/>
      <c r="I24" s="891"/>
    </row>
    <row r="25" spans="2:12" ht="15" customHeight="1">
      <c r="B25" s="1083" t="s">
        <v>469</v>
      </c>
      <c r="C25" s="1083"/>
      <c r="D25" s="1083"/>
      <c r="E25" s="1083"/>
      <c r="F25" s="1083"/>
      <c r="G25" s="1083"/>
      <c r="H25" s="1083"/>
      <c r="I25" s="1083"/>
    </row>
    <row r="26" spans="2:12" ht="13.5" customHeight="1">
      <c r="B26" s="749"/>
      <c r="C26" s="749"/>
      <c r="D26" s="894"/>
      <c r="E26" s="894"/>
      <c r="F26" s="895"/>
      <c r="G26" s="895"/>
      <c r="H26" s="749"/>
      <c r="I26" s="749"/>
    </row>
    <row r="27" spans="2:12" s="874" customFormat="1" ht="16.95" customHeight="1">
      <c r="B27" s="896" t="s">
        <v>559</v>
      </c>
      <c r="C27" s="897"/>
      <c r="D27" s="898"/>
      <c r="E27" s="898"/>
      <c r="F27" s="898"/>
      <c r="G27" s="899"/>
      <c r="H27" s="899" t="s">
        <v>0</v>
      </c>
      <c r="I27" s="900">
        <f>ROUND((I29+I50+I88+I126+I146),2)</f>
        <v>54228.58</v>
      </c>
      <c r="J27" s="901"/>
    </row>
    <row r="28" spans="2:12" s="903" customFormat="1" ht="13.5" customHeight="1">
      <c r="B28" s="902"/>
      <c r="D28" s="904"/>
      <c r="E28" s="904"/>
      <c r="F28" s="904"/>
      <c r="G28" s="905"/>
      <c r="H28" s="905"/>
      <c r="I28" s="906"/>
      <c r="J28" s="907"/>
    </row>
    <row r="29" spans="2:12" ht="13.5" customHeight="1">
      <c r="B29" s="908" t="s">
        <v>11</v>
      </c>
      <c r="C29" s="909" t="s">
        <v>10</v>
      </c>
      <c r="D29" s="910"/>
      <c r="E29" s="910"/>
      <c r="F29" s="911"/>
      <c r="G29" s="912"/>
      <c r="H29" s="913" t="s">
        <v>0</v>
      </c>
      <c r="I29" s="914">
        <f>+H47</f>
        <v>43500</v>
      </c>
    </row>
    <row r="30" spans="2:12" ht="13.5" customHeight="1">
      <c r="B30" s="915"/>
      <c r="C30" s="916"/>
      <c r="D30" s="917"/>
      <c r="E30" s="917"/>
      <c r="F30" s="918"/>
      <c r="G30" s="918"/>
      <c r="H30" s="917"/>
      <c r="I30" s="917"/>
    </row>
    <row r="31" spans="2:12" ht="13.5" customHeight="1">
      <c r="B31" s="919">
        <v>1.01</v>
      </c>
      <c r="C31" s="859" t="s">
        <v>12</v>
      </c>
      <c r="D31" s="917"/>
      <c r="E31" s="917"/>
      <c r="F31" s="918"/>
      <c r="G31" s="918"/>
      <c r="H31" s="920" t="s">
        <v>0</v>
      </c>
      <c r="I31" s="921">
        <f>+H47</f>
        <v>43500</v>
      </c>
    </row>
    <row r="32" spans="2:12" ht="13.5" customHeight="1">
      <c r="B32" s="922"/>
      <c r="C32" s="923"/>
      <c r="D32" s="917"/>
      <c r="E32" s="917"/>
      <c r="F32" s="918"/>
      <c r="G32" s="918"/>
      <c r="H32" s="917"/>
      <c r="I32" s="917"/>
    </row>
    <row r="33" spans="2:11" ht="13.5" customHeight="1">
      <c r="B33" s="749"/>
      <c r="C33" s="859" t="s">
        <v>553</v>
      </c>
      <c r="D33" s="923"/>
      <c r="E33" s="923"/>
      <c r="F33" s="924"/>
      <c r="G33" s="924"/>
      <c r="H33" s="923"/>
      <c r="I33" s="917"/>
    </row>
    <row r="34" spans="2:11" ht="13.5" customHeight="1">
      <c r="B34" s="749"/>
      <c r="C34" s="859"/>
      <c r="D34" s="923"/>
      <c r="E34" s="923"/>
      <c r="F34" s="924"/>
      <c r="G34" s="924"/>
      <c r="H34" s="923"/>
      <c r="I34" s="917"/>
    </row>
    <row r="35" spans="2:11" ht="13.5" customHeight="1">
      <c r="B35" s="925"/>
      <c r="C35" s="926" t="s">
        <v>30</v>
      </c>
      <c r="D35" s="927" t="s">
        <v>31</v>
      </c>
      <c r="E35" s="927" t="s">
        <v>291</v>
      </c>
      <c r="F35" s="927" t="s">
        <v>32</v>
      </c>
      <c r="G35" s="927" t="s">
        <v>13</v>
      </c>
      <c r="H35" s="927" t="s">
        <v>4</v>
      </c>
      <c r="I35" s="917"/>
    </row>
    <row r="36" spans="2:11" ht="13.5" customHeight="1">
      <c r="B36" s="928"/>
      <c r="C36" s="929" t="s">
        <v>236</v>
      </c>
      <c r="D36" s="858">
        <v>1</v>
      </c>
      <c r="E36" s="858">
        <v>1</v>
      </c>
      <c r="F36" s="858">
        <v>3</v>
      </c>
      <c r="G36" s="858">
        <v>4500</v>
      </c>
      <c r="H36" s="929">
        <f>PRODUCT(D36:G36)</f>
        <v>13500</v>
      </c>
      <c r="J36" s="886">
        <f>G36+G57+G75+G95+G113+G133+G153</f>
        <v>5674.833333333333</v>
      </c>
      <c r="K36" s="917"/>
    </row>
    <row r="37" spans="2:11" ht="13.5" hidden="1" customHeight="1">
      <c r="B37" s="928"/>
      <c r="C37" s="929" t="s">
        <v>528</v>
      </c>
      <c r="D37" s="858">
        <v>0</v>
      </c>
      <c r="E37" s="858">
        <v>0.5</v>
      </c>
      <c r="F37" s="858">
        <v>1</v>
      </c>
      <c r="G37" s="858">
        <v>5000</v>
      </c>
      <c r="H37" s="929">
        <f t="shared" ref="H37:H46" si="0">PRODUCT(D37:G37)</f>
        <v>0</v>
      </c>
      <c r="K37" s="917"/>
    </row>
    <row r="38" spans="2:11" ht="13.5" hidden="1" customHeight="1">
      <c r="B38" s="928"/>
      <c r="C38" s="929" t="s">
        <v>560</v>
      </c>
      <c r="D38" s="858">
        <v>0</v>
      </c>
      <c r="E38" s="858">
        <v>0.5</v>
      </c>
      <c r="F38" s="858">
        <v>1</v>
      </c>
      <c r="G38" s="858">
        <v>5000</v>
      </c>
      <c r="H38" s="929">
        <f>PRODUCT(D38:G38)</f>
        <v>0</v>
      </c>
      <c r="K38" s="917"/>
    </row>
    <row r="39" spans="2:11" ht="13.5" hidden="1" customHeight="1">
      <c r="B39" s="928"/>
      <c r="C39" s="929" t="s">
        <v>561</v>
      </c>
      <c r="D39" s="858">
        <v>0</v>
      </c>
      <c r="E39" s="858">
        <v>0.5</v>
      </c>
      <c r="F39" s="858">
        <v>5</v>
      </c>
      <c r="G39" s="858">
        <v>4500</v>
      </c>
      <c r="H39" s="929">
        <f>PRODUCT(D39:G39)</f>
        <v>0</v>
      </c>
      <c r="K39" s="917"/>
    </row>
    <row r="40" spans="2:11" ht="13.5" hidden="1" customHeight="1">
      <c r="B40" s="928"/>
      <c r="C40" s="929" t="s">
        <v>562</v>
      </c>
      <c r="D40" s="858">
        <v>0</v>
      </c>
      <c r="E40" s="858">
        <v>0.5</v>
      </c>
      <c r="F40" s="858">
        <v>5</v>
      </c>
      <c r="G40" s="858">
        <v>4500</v>
      </c>
      <c r="H40" s="929">
        <f>PRODUCT(D40:G40)</f>
        <v>0</v>
      </c>
      <c r="K40" s="917"/>
    </row>
    <row r="41" spans="2:11" ht="13.5" customHeight="1">
      <c r="B41" s="928"/>
      <c r="C41" s="929" t="s">
        <v>563</v>
      </c>
      <c r="D41" s="858">
        <v>1</v>
      </c>
      <c r="E41" s="858">
        <v>1</v>
      </c>
      <c r="F41" s="858">
        <v>3</v>
      </c>
      <c r="G41" s="858">
        <v>3350</v>
      </c>
      <c r="H41" s="929">
        <f t="shared" si="0"/>
        <v>10050</v>
      </c>
      <c r="J41" s="930"/>
      <c r="K41" s="917"/>
    </row>
    <row r="42" spans="2:11" ht="13.5" customHeight="1">
      <c r="B42" s="928"/>
      <c r="C42" s="929" t="s">
        <v>308</v>
      </c>
      <c r="D42" s="858">
        <v>1</v>
      </c>
      <c r="E42" s="858">
        <v>1</v>
      </c>
      <c r="F42" s="858">
        <v>3</v>
      </c>
      <c r="G42" s="858">
        <v>3500</v>
      </c>
      <c r="H42" s="929">
        <f t="shared" si="0"/>
        <v>10500</v>
      </c>
      <c r="K42" s="917"/>
    </row>
    <row r="43" spans="2:11" ht="13.5" hidden="1" customHeight="1">
      <c r="B43" s="928"/>
      <c r="C43" s="929" t="s">
        <v>564</v>
      </c>
      <c r="D43" s="858">
        <v>0</v>
      </c>
      <c r="E43" s="858">
        <v>1</v>
      </c>
      <c r="F43" s="858">
        <v>5</v>
      </c>
      <c r="G43" s="858">
        <v>4300</v>
      </c>
      <c r="H43" s="929">
        <f t="shared" si="0"/>
        <v>0</v>
      </c>
      <c r="I43" s="917"/>
    </row>
    <row r="44" spans="2:11" ht="13.5" hidden="1" customHeight="1">
      <c r="B44" s="928"/>
      <c r="C44" s="929" t="s">
        <v>565</v>
      </c>
      <c r="D44" s="858">
        <v>0</v>
      </c>
      <c r="E44" s="858">
        <v>0.5</v>
      </c>
      <c r="F44" s="858">
        <v>5</v>
      </c>
      <c r="G44" s="858">
        <v>4000</v>
      </c>
      <c r="H44" s="929">
        <f t="shared" si="0"/>
        <v>0</v>
      </c>
      <c r="I44" s="917"/>
    </row>
    <row r="45" spans="2:11" ht="13.5" hidden="1" customHeight="1">
      <c r="B45" s="928"/>
      <c r="C45" s="929" t="s">
        <v>566</v>
      </c>
      <c r="D45" s="858">
        <v>0</v>
      </c>
      <c r="E45" s="858">
        <v>1</v>
      </c>
      <c r="F45" s="858">
        <v>5</v>
      </c>
      <c r="G45" s="858">
        <v>4000</v>
      </c>
      <c r="H45" s="929">
        <f t="shared" si="0"/>
        <v>0</v>
      </c>
      <c r="I45" s="917"/>
    </row>
    <row r="46" spans="2:11" ht="13.5" customHeight="1">
      <c r="B46" s="928"/>
      <c r="C46" s="929" t="s">
        <v>567</v>
      </c>
      <c r="D46" s="858">
        <v>1</v>
      </c>
      <c r="E46" s="858">
        <v>1</v>
      </c>
      <c r="F46" s="858">
        <v>3</v>
      </c>
      <c r="G46" s="858">
        <v>3150</v>
      </c>
      <c r="H46" s="929">
        <f t="shared" si="0"/>
        <v>9450</v>
      </c>
      <c r="I46" s="917"/>
    </row>
    <row r="47" spans="2:11" ht="13.5" customHeight="1">
      <c r="B47" s="931"/>
      <c r="C47" s="1084" t="s">
        <v>3</v>
      </c>
      <c r="D47" s="1084"/>
      <c r="E47" s="1084"/>
      <c r="F47" s="1084"/>
      <c r="G47" s="1084"/>
      <c r="H47" s="932">
        <f>SUM(H36:H46)</f>
        <v>43500</v>
      </c>
      <c r="I47" s="923"/>
    </row>
    <row r="48" spans="2:11" ht="13.5" customHeight="1">
      <c r="B48" s="749"/>
      <c r="C48" s="917"/>
      <c r="D48" s="917"/>
      <c r="E48" s="917"/>
      <c r="F48" s="918"/>
      <c r="G48" s="918"/>
      <c r="H48" s="917"/>
      <c r="I48" s="917"/>
    </row>
    <row r="49" spans="2:9" ht="13.5" customHeight="1">
      <c r="B49" s="749"/>
      <c r="C49" s="917"/>
      <c r="D49" s="917"/>
      <c r="E49" s="917"/>
      <c r="F49" s="918"/>
      <c r="G49" s="918"/>
      <c r="H49" s="917"/>
      <c r="I49" s="917"/>
    </row>
    <row r="50" spans="2:9" ht="13.5" customHeight="1">
      <c r="B50" s="908">
        <v>2</v>
      </c>
      <c r="C50" s="909" t="s">
        <v>15</v>
      </c>
      <c r="D50" s="910"/>
      <c r="E50" s="910"/>
      <c r="F50" s="911"/>
      <c r="G50" s="912"/>
      <c r="H50" s="913" t="s">
        <v>0</v>
      </c>
      <c r="I50" s="914">
        <f>+H68+H86</f>
        <v>5241.75</v>
      </c>
    </row>
    <row r="51" spans="2:9" ht="13.5" customHeight="1">
      <c r="B51" s="915"/>
      <c r="C51" s="916"/>
      <c r="D51" s="917"/>
      <c r="E51" s="917"/>
      <c r="F51" s="918"/>
      <c r="G51" s="918"/>
      <c r="H51" s="917"/>
      <c r="I51" s="917"/>
    </row>
    <row r="52" spans="2:9" ht="13.5" customHeight="1">
      <c r="B52" s="919">
        <v>2.0099999999999998</v>
      </c>
      <c r="C52" s="859" t="s">
        <v>95</v>
      </c>
      <c r="D52" s="917"/>
      <c r="E52" s="917"/>
      <c r="F52" s="918"/>
      <c r="G52" s="918"/>
      <c r="H52" s="920" t="s">
        <v>0</v>
      </c>
      <c r="I52" s="921">
        <f>+H68</f>
        <v>3915</v>
      </c>
    </row>
    <row r="53" spans="2:9" ht="13.5" customHeight="1">
      <c r="B53" s="933"/>
      <c r="C53" s="859"/>
      <c r="D53" s="917"/>
      <c r="E53" s="917"/>
      <c r="F53" s="918"/>
      <c r="G53" s="918"/>
      <c r="H53" s="917"/>
      <c r="I53" s="917"/>
    </row>
    <row r="54" spans="2:9" ht="13.5" customHeight="1">
      <c r="B54" s="922"/>
      <c r="C54" s="859" t="s">
        <v>29</v>
      </c>
      <c r="D54" s="923"/>
      <c r="E54" s="923"/>
      <c r="F54" s="924"/>
      <c r="G54" s="924"/>
      <c r="H54" s="917"/>
      <c r="I54" s="917"/>
    </row>
    <row r="55" spans="2:9" ht="13.5" customHeight="1">
      <c r="B55" s="922"/>
      <c r="C55" s="859"/>
      <c r="D55" s="923"/>
      <c r="E55" s="923"/>
      <c r="F55" s="924"/>
      <c r="G55" s="924"/>
      <c r="H55" s="917"/>
      <c r="I55" s="917"/>
    </row>
    <row r="56" spans="2:9" ht="13.5" customHeight="1">
      <c r="B56" s="749"/>
      <c r="C56" s="926" t="s">
        <v>30</v>
      </c>
      <c r="D56" s="927" t="s">
        <v>31</v>
      </c>
      <c r="E56" s="927" t="str">
        <f t="shared" ref="E56:F67" si="1">+E35</f>
        <v>COEF. PARTIC.</v>
      </c>
      <c r="F56" s="927" t="s">
        <v>32</v>
      </c>
      <c r="G56" s="927" t="s">
        <v>13</v>
      </c>
      <c r="H56" s="927" t="s">
        <v>4</v>
      </c>
      <c r="I56" s="917"/>
    </row>
    <row r="57" spans="2:9">
      <c r="B57" s="749"/>
      <c r="C57" s="929" t="str">
        <f t="shared" ref="C57:D67" si="2">+C36</f>
        <v>RESIDENTE DE OBRA</v>
      </c>
      <c r="D57" s="858">
        <f t="shared" si="2"/>
        <v>1</v>
      </c>
      <c r="E57" s="858">
        <f t="shared" si="1"/>
        <v>1</v>
      </c>
      <c r="F57" s="858">
        <f t="shared" si="1"/>
        <v>3</v>
      </c>
      <c r="G57" s="858">
        <f>+G36*0.09</f>
        <v>405</v>
      </c>
      <c r="H57" s="929">
        <f>PRODUCT(D57:G57)</f>
        <v>1215</v>
      </c>
      <c r="I57" s="917"/>
    </row>
    <row r="58" spans="2:9" hidden="1">
      <c r="B58" s="749"/>
      <c r="C58" s="929" t="str">
        <f t="shared" si="2"/>
        <v>INGENIERO ESPECIALISTA EN ESTRUCTURAS</v>
      </c>
      <c r="D58" s="858">
        <f t="shared" si="2"/>
        <v>0</v>
      </c>
      <c r="E58" s="858">
        <f t="shared" si="1"/>
        <v>0.5</v>
      </c>
      <c r="F58" s="858">
        <f t="shared" si="1"/>
        <v>1</v>
      </c>
      <c r="G58" s="858">
        <f t="shared" ref="G58:G67" si="3">+G37*0.09</f>
        <v>450</v>
      </c>
      <c r="H58" s="929">
        <f t="shared" ref="H58:H67" si="4">PRODUCT(D58:G58)</f>
        <v>0</v>
      </c>
      <c r="I58" s="917"/>
    </row>
    <row r="59" spans="2:9" hidden="1">
      <c r="B59" s="749"/>
      <c r="C59" s="929" t="str">
        <f t="shared" si="2"/>
        <v>INGENIERO ESPECIALISTA EN GEOTECNIA</v>
      </c>
      <c r="D59" s="858">
        <f t="shared" si="2"/>
        <v>0</v>
      </c>
      <c r="E59" s="858">
        <f t="shared" si="1"/>
        <v>0.5</v>
      </c>
      <c r="F59" s="858">
        <f t="shared" si="1"/>
        <v>1</v>
      </c>
      <c r="G59" s="858">
        <f t="shared" si="3"/>
        <v>450</v>
      </c>
      <c r="H59" s="929">
        <f t="shared" si="4"/>
        <v>0</v>
      </c>
      <c r="I59" s="917"/>
    </row>
    <row r="60" spans="2:9" hidden="1">
      <c r="B60" s="749"/>
      <c r="C60" s="929" t="str">
        <f t="shared" si="2"/>
        <v>INGENIERO ESPECIALISTA EN SEGURIDAD Y SALUD</v>
      </c>
      <c r="D60" s="858">
        <v>0</v>
      </c>
      <c r="E60" s="858">
        <f t="shared" si="1"/>
        <v>0.5</v>
      </c>
      <c r="F60" s="858">
        <f t="shared" si="1"/>
        <v>5</v>
      </c>
      <c r="G60" s="858">
        <f t="shared" si="3"/>
        <v>405</v>
      </c>
      <c r="H60" s="929">
        <f>PRODUCT(D60:G60)</f>
        <v>0</v>
      </c>
      <c r="I60" s="917"/>
    </row>
    <row r="61" spans="2:9" hidden="1">
      <c r="B61" s="749"/>
      <c r="C61" s="929" t="str">
        <f t="shared" si="2"/>
        <v>ESPECIALISTA EN MITIGACIÓN AMBIENTAL</v>
      </c>
      <c r="D61" s="858">
        <f t="shared" si="2"/>
        <v>0</v>
      </c>
      <c r="E61" s="858">
        <f t="shared" si="1"/>
        <v>0.5</v>
      </c>
      <c r="F61" s="858">
        <f t="shared" si="1"/>
        <v>5</v>
      </c>
      <c r="G61" s="858">
        <f t="shared" si="3"/>
        <v>405</v>
      </c>
      <c r="H61" s="929">
        <f t="shared" si="4"/>
        <v>0</v>
      </c>
      <c r="I61" s="917"/>
    </row>
    <row r="62" spans="2:9">
      <c r="B62" s="749"/>
      <c r="C62" s="929" t="str">
        <f t="shared" si="2"/>
        <v>ASISTENTE TECNICO DE OBRA</v>
      </c>
      <c r="D62" s="858">
        <f t="shared" si="2"/>
        <v>1</v>
      </c>
      <c r="E62" s="858">
        <f t="shared" si="1"/>
        <v>1</v>
      </c>
      <c r="F62" s="858">
        <f t="shared" si="1"/>
        <v>3</v>
      </c>
      <c r="G62" s="858">
        <f t="shared" si="3"/>
        <v>301.5</v>
      </c>
      <c r="H62" s="929">
        <f t="shared" si="4"/>
        <v>904.5</v>
      </c>
      <c r="I62" s="917"/>
    </row>
    <row r="63" spans="2:9" ht="13.5" customHeight="1">
      <c r="B63" s="749"/>
      <c r="C63" s="929" t="str">
        <f t="shared" si="2"/>
        <v>ASISTENTE ADMINISTRATIVO</v>
      </c>
      <c r="D63" s="858">
        <f t="shared" si="2"/>
        <v>1</v>
      </c>
      <c r="E63" s="858">
        <f t="shared" si="1"/>
        <v>1</v>
      </c>
      <c r="F63" s="858">
        <f t="shared" si="1"/>
        <v>3</v>
      </c>
      <c r="G63" s="858">
        <f t="shared" si="3"/>
        <v>315</v>
      </c>
      <c r="H63" s="929">
        <f t="shared" si="4"/>
        <v>945</v>
      </c>
      <c r="I63" s="917"/>
    </row>
    <row r="64" spans="2:9" ht="13.5" hidden="1" customHeight="1">
      <c r="B64" s="749"/>
      <c r="C64" s="929" t="str">
        <f t="shared" si="2"/>
        <v xml:space="preserve">MAESTRO DE OBRA </v>
      </c>
      <c r="D64" s="858">
        <f t="shared" si="2"/>
        <v>0</v>
      </c>
      <c r="E64" s="858">
        <f t="shared" si="1"/>
        <v>1</v>
      </c>
      <c r="F64" s="858">
        <f t="shared" si="1"/>
        <v>5</v>
      </c>
      <c r="G64" s="858">
        <f t="shared" si="3"/>
        <v>387</v>
      </c>
      <c r="H64" s="929">
        <f t="shared" si="4"/>
        <v>0</v>
      </c>
      <c r="I64" s="917"/>
    </row>
    <row r="65" spans="2:10" ht="13.5" hidden="1" customHeight="1">
      <c r="B65" s="749"/>
      <c r="C65" s="929" t="str">
        <f t="shared" si="2"/>
        <v>TOPOGRAFO</v>
      </c>
      <c r="D65" s="858">
        <f t="shared" si="2"/>
        <v>0</v>
      </c>
      <c r="E65" s="858">
        <f t="shared" si="1"/>
        <v>0.5</v>
      </c>
      <c r="F65" s="858">
        <f t="shared" si="1"/>
        <v>5</v>
      </c>
      <c r="G65" s="858">
        <f t="shared" si="3"/>
        <v>360</v>
      </c>
      <c r="H65" s="929">
        <f>PRODUCT(D65:G65)</f>
        <v>0</v>
      </c>
      <c r="I65" s="917"/>
    </row>
    <row r="66" spans="2:10" ht="13.5" hidden="1" customHeight="1">
      <c r="B66" s="749"/>
      <c r="C66" s="929" t="str">
        <f t="shared" si="2"/>
        <v xml:space="preserve">ALMACENERO </v>
      </c>
      <c r="D66" s="858">
        <f t="shared" si="2"/>
        <v>0</v>
      </c>
      <c r="E66" s="858">
        <f t="shared" si="1"/>
        <v>1</v>
      </c>
      <c r="F66" s="858">
        <f t="shared" si="1"/>
        <v>5</v>
      </c>
      <c r="G66" s="858">
        <f t="shared" si="3"/>
        <v>360</v>
      </c>
      <c r="H66" s="929">
        <f t="shared" si="4"/>
        <v>0</v>
      </c>
      <c r="I66" s="917"/>
    </row>
    <row r="67" spans="2:10" ht="13.5" customHeight="1">
      <c r="B67" s="749"/>
      <c r="C67" s="929" t="str">
        <f t="shared" si="2"/>
        <v>GUARDIAN</v>
      </c>
      <c r="D67" s="858">
        <f t="shared" si="2"/>
        <v>1</v>
      </c>
      <c r="E67" s="858">
        <f t="shared" si="1"/>
        <v>1</v>
      </c>
      <c r="F67" s="858">
        <f t="shared" si="1"/>
        <v>3</v>
      </c>
      <c r="G67" s="858">
        <f t="shared" si="3"/>
        <v>283.5</v>
      </c>
      <c r="H67" s="929">
        <f t="shared" si="4"/>
        <v>850.5</v>
      </c>
      <c r="I67" s="917"/>
    </row>
    <row r="68" spans="2:10" ht="13.5" customHeight="1">
      <c r="B68" s="749"/>
      <c r="C68" s="1070" t="s">
        <v>3</v>
      </c>
      <c r="D68" s="1071"/>
      <c r="E68" s="1071"/>
      <c r="F68" s="1071"/>
      <c r="G68" s="1072"/>
      <c r="H68" s="932">
        <f>SUM(H57:H67)</f>
        <v>3915</v>
      </c>
      <c r="I68" s="917"/>
    </row>
    <row r="69" spans="2:10" ht="13.5" customHeight="1">
      <c r="B69" s="749"/>
      <c r="C69" s="934"/>
      <c r="D69" s="934"/>
      <c r="E69" s="934"/>
      <c r="F69" s="918"/>
      <c r="G69" s="918"/>
      <c r="H69" s="917"/>
      <c r="I69" s="917"/>
    </row>
    <row r="70" spans="2:10" ht="13.5" customHeight="1">
      <c r="B70" s="919">
        <v>2.02</v>
      </c>
      <c r="C70" s="859" t="s">
        <v>554</v>
      </c>
      <c r="D70" s="917"/>
      <c r="E70" s="917"/>
      <c r="F70" s="918"/>
      <c r="G70" s="918"/>
      <c r="H70" s="920" t="s">
        <v>0</v>
      </c>
      <c r="I70" s="921">
        <f>+H86</f>
        <v>1326.75</v>
      </c>
    </row>
    <row r="71" spans="2:10" ht="13.5" customHeight="1">
      <c r="B71" s="933"/>
      <c r="C71" s="859"/>
      <c r="D71" s="917"/>
      <c r="E71" s="917"/>
      <c r="F71" s="918"/>
      <c r="G71" s="918"/>
      <c r="H71" s="917"/>
      <c r="I71" s="917"/>
    </row>
    <row r="72" spans="2:10" ht="13.5" customHeight="1">
      <c r="B72" s="749"/>
      <c r="C72" s="859" t="s">
        <v>29</v>
      </c>
      <c r="D72" s="923"/>
      <c r="E72" s="923"/>
      <c r="F72" s="924"/>
      <c r="G72" s="924"/>
      <c r="H72" s="917"/>
      <c r="I72" s="917"/>
    </row>
    <row r="73" spans="2:10" ht="13.5" customHeight="1">
      <c r="B73" s="749"/>
      <c r="C73" s="859"/>
      <c r="D73" s="923"/>
      <c r="E73" s="923"/>
      <c r="F73" s="924"/>
      <c r="G73" s="924"/>
      <c r="H73" s="917"/>
      <c r="I73" s="917"/>
    </row>
    <row r="74" spans="2:10" ht="13.5" customHeight="1">
      <c r="B74" s="749"/>
      <c r="C74" s="926" t="s">
        <v>30</v>
      </c>
      <c r="D74" s="927" t="s">
        <v>31</v>
      </c>
      <c r="E74" s="927" t="str">
        <f t="shared" ref="E74:F85" si="5">+E35</f>
        <v>COEF. PARTIC.</v>
      </c>
      <c r="F74" s="927" t="s">
        <v>32</v>
      </c>
      <c r="G74" s="927" t="s">
        <v>13</v>
      </c>
      <c r="H74" s="927" t="s">
        <v>4</v>
      </c>
      <c r="I74" s="917"/>
    </row>
    <row r="75" spans="2:10" ht="13.5" customHeight="1">
      <c r="B75" s="749"/>
      <c r="C75" s="929" t="str">
        <f t="shared" ref="C75:D85" si="6">+C36</f>
        <v>RESIDENTE DE OBRA</v>
      </c>
      <c r="D75" s="858">
        <f t="shared" si="6"/>
        <v>1</v>
      </c>
      <c r="E75" s="858">
        <f t="shared" si="5"/>
        <v>1</v>
      </c>
      <c r="F75" s="858">
        <f t="shared" si="5"/>
        <v>3</v>
      </c>
      <c r="G75" s="858">
        <f>+G36*0.0305</f>
        <v>137.25</v>
      </c>
      <c r="H75" s="929">
        <f>PRODUCT(D75:G75)</f>
        <v>411.75</v>
      </c>
      <c r="I75" s="917"/>
      <c r="J75" s="886"/>
    </row>
    <row r="76" spans="2:10" ht="13.5" hidden="1" customHeight="1">
      <c r="B76" s="749"/>
      <c r="C76" s="929" t="str">
        <f t="shared" si="6"/>
        <v>INGENIERO ESPECIALISTA EN ESTRUCTURAS</v>
      </c>
      <c r="D76" s="858">
        <f t="shared" si="6"/>
        <v>0</v>
      </c>
      <c r="E76" s="858">
        <f t="shared" si="5"/>
        <v>0.5</v>
      </c>
      <c r="F76" s="858">
        <f t="shared" si="5"/>
        <v>1</v>
      </c>
      <c r="G76" s="858">
        <f t="shared" ref="G76:G85" si="7">+G37*0.0305</f>
        <v>152.5</v>
      </c>
      <c r="H76" s="929">
        <f t="shared" ref="H76:H85" si="8">PRODUCT(D76:G76)</f>
        <v>0</v>
      </c>
      <c r="I76" s="917"/>
      <c r="J76" s="886"/>
    </row>
    <row r="77" spans="2:10" ht="13.5" hidden="1" customHeight="1">
      <c r="B77" s="749"/>
      <c r="C77" s="929" t="str">
        <f t="shared" si="6"/>
        <v>INGENIERO ESPECIALISTA EN GEOTECNIA</v>
      </c>
      <c r="D77" s="858">
        <f t="shared" si="6"/>
        <v>0</v>
      </c>
      <c r="E77" s="858">
        <f t="shared" si="5"/>
        <v>0.5</v>
      </c>
      <c r="F77" s="858">
        <f t="shared" si="5"/>
        <v>1</v>
      </c>
      <c r="G77" s="858">
        <f t="shared" si="7"/>
        <v>152.5</v>
      </c>
      <c r="H77" s="929">
        <f t="shared" si="8"/>
        <v>0</v>
      </c>
      <c r="I77" s="917"/>
      <c r="J77" s="886"/>
    </row>
    <row r="78" spans="2:10" ht="13.5" hidden="1" customHeight="1">
      <c r="B78" s="749"/>
      <c r="C78" s="929" t="str">
        <f t="shared" si="6"/>
        <v>INGENIERO ESPECIALISTA EN SEGURIDAD Y SALUD</v>
      </c>
      <c r="D78" s="858">
        <f t="shared" si="6"/>
        <v>0</v>
      </c>
      <c r="E78" s="858">
        <f t="shared" si="5"/>
        <v>0.5</v>
      </c>
      <c r="F78" s="858">
        <f t="shared" si="5"/>
        <v>5</v>
      </c>
      <c r="G78" s="858">
        <f t="shared" si="7"/>
        <v>137.25</v>
      </c>
      <c r="H78" s="929">
        <f>PRODUCT(D78:G78)</f>
        <v>0</v>
      </c>
      <c r="I78" s="917"/>
      <c r="J78" s="886"/>
    </row>
    <row r="79" spans="2:10" ht="13.5" hidden="1" customHeight="1">
      <c r="B79" s="749"/>
      <c r="C79" s="929" t="str">
        <f t="shared" si="6"/>
        <v>ESPECIALISTA EN MITIGACIÓN AMBIENTAL</v>
      </c>
      <c r="D79" s="858">
        <f t="shared" si="6"/>
        <v>0</v>
      </c>
      <c r="E79" s="858">
        <f t="shared" si="5"/>
        <v>0.5</v>
      </c>
      <c r="F79" s="858">
        <f t="shared" si="5"/>
        <v>5</v>
      </c>
      <c r="G79" s="858">
        <f t="shared" si="7"/>
        <v>137.25</v>
      </c>
      <c r="H79" s="929">
        <f t="shared" si="8"/>
        <v>0</v>
      </c>
      <c r="I79" s="917"/>
      <c r="J79" s="886"/>
    </row>
    <row r="80" spans="2:10" ht="13.5" customHeight="1">
      <c r="B80" s="749"/>
      <c r="C80" s="929" t="str">
        <f t="shared" si="6"/>
        <v>ASISTENTE TECNICO DE OBRA</v>
      </c>
      <c r="D80" s="858">
        <f t="shared" si="6"/>
        <v>1</v>
      </c>
      <c r="E80" s="858">
        <f t="shared" si="5"/>
        <v>1</v>
      </c>
      <c r="F80" s="858">
        <f t="shared" si="5"/>
        <v>3</v>
      </c>
      <c r="G80" s="858">
        <f t="shared" si="7"/>
        <v>102.175</v>
      </c>
      <c r="H80" s="929">
        <f t="shared" si="8"/>
        <v>306.52499999999998</v>
      </c>
      <c r="I80" s="917"/>
      <c r="J80" s="886"/>
    </row>
    <row r="81" spans="2:10" ht="13.5" customHeight="1">
      <c r="B81" s="749"/>
      <c r="C81" s="929" t="str">
        <f t="shared" si="6"/>
        <v>ASISTENTE ADMINISTRATIVO</v>
      </c>
      <c r="D81" s="858">
        <f t="shared" si="6"/>
        <v>1</v>
      </c>
      <c r="E81" s="858">
        <f t="shared" si="5"/>
        <v>1</v>
      </c>
      <c r="F81" s="858">
        <f t="shared" si="5"/>
        <v>3</v>
      </c>
      <c r="G81" s="858">
        <f t="shared" si="7"/>
        <v>106.75</v>
      </c>
      <c r="H81" s="929">
        <f t="shared" si="8"/>
        <v>320.25</v>
      </c>
      <c r="I81" s="917"/>
      <c r="J81" s="886"/>
    </row>
    <row r="82" spans="2:10" ht="13.5" hidden="1" customHeight="1">
      <c r="B82" s="749"/>
      <c r="C82" s="929" t="str">
        <f t="shared" si="6"/>
        <v xml:space="preserve">MAESTRO DE OBRA </v>
      </c>
      <c r="D82" s="858">
        <f t="shared" si="6"/>
        <v>0</v>
      </c>
      <c r="E82" s="858">
        <f t="shared" si="5"/>
        <v>1</v>
      </c>
      <c r="F82" s="858">
        <f t="shared" si="5"/>
        <v>5</v>
      </c>
      <c r="G82" s="858">
        <f t="shared" si="7"/>
        <v>131.15</v>
      </c>
      <c r="H82" s="929">
        <f t="shared" si="8"/>
        <v>0</v>
      </c>
      <c r="I82" s="917"/>
      <c r="J82" s="886"/>
    </row>
    <row r="83" spans="2:10" ht="13.5" hidden="1" customHeight="1">
      <c r="B83" s="749"/>
      <c r="C83" s="929" t="str">
        <f t="shared" si="6"/>
        <v>TOPOGRAFO</v>
      </c>
      <c r="D83" s="858">
        <f t="shared" si="6"/>
        <v>0</v>
      </c>
      <c r="E83" s="858">
        <f t="shared" si="5"/>
        <v>0.5</v>
      </c>
      <c r="F83" s="858">
        <f t="shared" si="5"/>
        <v>5</v>
      </c>
      <c r="G83" s="858">
        <f t="shared" si="7"/>
        <v>122</v>
      </c>
      <c r="H83" s="929">
        <f>PRODUCT(D83:G83)</f>
        <v>0</v>
      </c>
      <c r="I83" s="917"/>
      <c r="J83" s="886"/>
    </row>
    <row r="84" spans="2:10" ht="13.5" hidden="1" customHeight="1">
      <c r="B84" s="749"/>
      <c r="C84" s="929" t="str">
        <f t="shared" si="6"/>
        <v xml:space="preserve">ALMACENERO </v>
      </c>
      <c r="D84" s="858">
        <f t="shared" si="6"/>
        <v>0</v>
      </c>
      <c r="E84" s="858">
        <f t="shared" si="5"/>
        <v>1</v>
      </c>
      <c r="F84" s="858">
        <f t="shared" si="5"/>
        <v>5</v>
      </c>
      <c r="G84" s="858">
        <f t="shared" si="7"/>
        <v>122</v>
      </c>
      <c r="H84" s="929">
        <f t="shared" si="8"/>
        <v>0</v>
      </c>
      <c r="I84" s="917"/>
      <c r="J84" s="886"/>
    </row>
    <row r="85" spans="2:10" ht="13.5" customHeight="1">
      <c r="B85" s="749"/>
      <c r="C85" s="929" t="str">
        <f t="shared" si="6"/>
        <v>GUARDIAN</v>
      </c>
      <c r="D85" s="858">
        <f t="shared" si="6"/>
        <v>1</v>
      </c>
      <c r="E85" s="858">
        <f t="shared" si="5"/>
        <v>1</v>
      </c>
      <c r="F85" s="858">
        <f t="shared" si="5"/>
        <v>3</v>
      </c>
      <c r="G85" s="858">
        <f t="shared" si="7"/>
        <v>96.075000000000003</v>
      </c>
      <c r="H85" s="929">
        <f t="shared" si="8"/>
        <v>288.22500000000002</v>
      </c>
      <c r="I85" s="917"/>
      <c r="J85" s="886"/>
    </row>
    <row r="86" spans="2:10" ht="13.5" customHeight="1">
      <c r="B86" s="749"/>
      <c r="C86" s="1070" t="s">
        <v>3</v>
      </c>
      <c r="D86" s="1071"/>
      <c r="E86" s="1071"/>
      <c r="F86" s="1071"/>
      <c r="G86" s="1072"/>
      <c r="H86" s="932">
        <f>SUM(H75:H85)</f>
        <v>1326.75</v>
      </c>
      <c r="I86" s="917"/>
    </row>
    <row r="87" spans="2:10" ht="13.5" customHeight="1">
      <c r="B87" s="749"/>
      <c r="C87" s="755"/>
      <c r="D87" s="755"/>
      <c r="E87" s="755"/>
      <c r="F87" s="755"/>
      <c r="G87" s="755"/>
      <c r="H87" s="917"/>
      <c r="I87" s="917"/>
    </row>
    <row r="88" spans="2:10" ht="13.5" customHeight="1">
      <c r="B88" s="908">
        <v>3</v>
      </c>
      <c r="C88" s="909" t="s">
        <v>16</v>
      </c>
      <c r="D88" s="910"/>
      <c r="E88" s="910"/>
      <c r="F88" s="911"/>
      <c r="G88" s="912"/>
      <c r="H88" s="913" t="s">
        <v>0</v>
      </c>
      <c r="I88" s="914">
        <f>+H106+H124</f>
        <v>3770.8333333333335</v>
      </c>
    </row>
    <row r="89" spans="2:10" ht="13.5" customHeight="1">
      <c r="B89" s="935"/>
      <c r="C89" s="936"/>
      <c r="D89" s="917"/>
      <c r="E89" s="917"/>
      <c r="F89" s="923"/>
      <c r="G89" s="937"/>
      <c r="H89" s="920"/>
      <c r="I89" s="921"/>
    </row>
    <row r="90" spans="2:10" ht="13.5" customHeight="1">
      <c r="B90" s="919">
        <v>3.01</v>
      </c>
      <c r="C90" s="859" t="s">
        <v>555</v>
      </c>
      <c r="D90" s="917"/>
      <c r="E90" s="917"/>
      <c r="F90" s="918"/>
      <c r="G90" s="918"/>
      <c r="H90" s="920" t="s">
        <v>0</v>
      </c>
      <c r="I90" s="921">
        <f>+H106</f>
        <v>3650</v>
      </c>
    </row>
    <row r="91" spans="2:10" ht="13.5" customHeight="1">
      <c r="B91" s="933"/>
      <c r="C91" s="859"/>
      <c r="D91" s="917"/>
      <c r="E91" s="917"/>
      <c r="F91" s="918"/>
      <c r="G91" s="918"/>
      <c r="H91" s="917"/>
      <c r="I91" s="917"/>
    </row>
    <row r="92" spans="2:10" ht="13.5" customHeight="1">
      <c r="B92" s="749"/>
      <c r="C92" s="938" t="s">
        <v>29</v>
      </c>
      <c r="D92" s="923"/>
      <c r="E92" s="923"/>
      <c r="F92" s="924"/>
      <c r="G92" s="924"/>
      <c r="H92" s="923"/>
      <c r="I92" s="918"/>
    </row>
    <row r="93" spans="2:10" ht="13.5" customHeight="1">
      <c r="B93" s="749"/>
      <c r="C93" s="938"/>
      <c r="D93" s="923"/>
      <c r="E93" s="923"/>
      <c r="F93" s="924"/>
      <c r="G93" s="924"/>
      <c r="H93" s="923"/>
      <c r="I93" s="918"/>
    </row>
    <row r="94" spans="2:10" ht="13.5" customHeight="1">
      <c r="B94" s="749"/>
      <c r="C94" s="926" t="s">
        <v>30</v>
      </c>
      <c r="D94" s="927" t="s">
        <v>31</v>
      </c>
      <c r="E94" s="927" t="str">
        <f t="shared" ref="E94:F105" si="9">+E35</f>
        <v>COEF. PARTIC.</v>
      </c>
      <c r="F94" s="927" t="s">
        <v>32</v>
      </c>
      <c r="G94" s="927" t="s">
        <v>13</v>
      </c>
      <c r="H94" s="927" t="s">
        <v>4</v>
      </c>
      <c r="I94" s="917"/>
    </row>
    <row r="95" spans="2:10" ht="13.5" customHeight="1">
      <c r="B95" s="749"/>
      <c r="C95" s="929" t="str">
        <f t="shared" ref="C95:D105" si="10">+C36</f>
        <v>RESIDENTE DE OBRA</v>
      </c>
      <c r="D95" s="858">
        <f t="shared" si="10"/>
        <v>1</v>
      </c>
      <c r="E95" s="858">
        <f t="shared" si="9"/>
        <v>1</v>
      </c>
      <c r="F95" s="858">
        <f t="shared" si="9"/>
        <v>3</v>
      </c>
      <c r="G95" s="858">
        <f>+(G36+G133/6)/12</f>
        <v>377.08333333333331</v>
      </c>
      <c r="H95" s="929">
        <f t="shared" ref="H95:H105" si="11">PRODUCT(D95:G95)</f>
        <v>1131.25</v>
      </c>
      <c r="I95" s="917"/>
    </row>
    <row r="96" spans="2:10" ht="13.5" hidden="1" customHeight="1">
      <c r="B96" s="749"/>
      <c r="C96" s="929" t="str">
        <f t="shared" si="10"/>
        <v>INGENIERO ESPECIALISTA EN ESTRUCTURAS</v>
      </c>
      <c r="D96" s="858">
        <f t="shared" si="10"/>
        <v>0</v>
      </c>
      <c r="E96" s="858">
        <f t="shared" si="9"/>
        <v>0.5</v>
      </c>
      <c r="F96" s="858">
        <f t="shared" si="9"/>
        <v>1</v>
      </c>
      <c r="G96" s="858">
        <f t="shared" ref="G96:G105" si="12">+(G37+H134/6)/12</f>
        <v>416.66666666666669</v>
      </c>
      <c r="H96" s="929">
        <f t="shared" si="11"/>
        <v>0</v>
      </c>
      <c r="I96" s="917"/>
    </row>
    <row r="97" spans="2:9" ht="13.5" hidden="1" customHeight="1">
      <c r="B97" s="749"/>
      <c r="C97" s="929" t="str">
        <f t="shared" si="10"/>
        <v>INGENIERO ESPECIALISTA EN GEOTECNIA</v>
      </c>
      <c r="D97" s="858">
        <f t="shared" si="10"/>
        <v>0</v>
      </c>
      <c r="E97" s="858">
        <f t="shared" si="9"/>
        <v>0.5</v>
      </c>
      <c r="F97" s="858">
        <f t="shared" si="9"/>
        <v>1</v>
      </c>
      <c r="G97" s="858">
        <f t="shared" si="12"/>
        <v>416.66666666666669</v>
      </c>
      <c r="H97" s="929">
        <f t="shared" si="11"/>
        <v>0</v>
      </c>
      <c r="I97" s="917"/>
    </row>
    <row r="98" spans="2:9" ht="13.5" hidden="1" customHeight="1">
      <c r="B98" s="749"/>
      <c r="C98" s="929" t="str">
        <f t="shared" si="10"/>
        <v>INGENIERO ESPECIALISTA EN SEGURIDAD Y SALUD</v>
      </c>
      <c r="D98" s="858">
        <f t="shared" si="10"/>
        <v>0</v>
      </c>
      <c r="E98" s="858">
        <f t="shared" si="9"/>
        <v>0.5</v>
      </c>
      <c r="F98" s="858">
        <f t="shared" si="9"/>
        <v>5</v>
      </c>
      <c r="G98" s="858">
        <f t="shared" si="12"/>
        <v>375</v>
      </c>
      <c r="H98" s="929">
        <f>PRODUCT(D98:G98)</f>
        <v>0</v>
      </c>
      <c r="I98" s="917"/>
    </row>
    <row r="99" spans="2:9" ht="13.5" hidden="1" customHeight="1">
      <c r="B99" s="749"/>
      <c r="C99" s="929" t="str">
        <f t="shared" si="10"/>
        <v>ESPECIALISTA EN MITIGACIÓN AMBIENTAL</v>
      </c>
      <c r="D99" s="858">
        <f t="shared" si="10"/>
        <v>0</v>
      </c>
      <c r="E99" s="858">
        <f t="shared" si="9"/>
        <v>0.5</v>
      </c>
      <c r="F99" s="858">
        <f t="shared" si="9"/>
        <v>5</v>
      </c>
      <c r="G99" s="858">
        <f t="shared" si="12"/>
        <v>375</v>
      </c>
      <c r="H99" s="929">
        <f t="shared" si="11"/>
        <v>0</v>
      </c>
      <c r="I99" s="917"/>
    </row>
    <row r="100" spans="2:9" ht="13.5" customHeight="1">
      <c r="B100" s="749"/>
      <c r="C100" s="929" t="str">
        <f t="shared" si="10"/>
        <v>ASISTENTE TECNICO DE OBRA</v>
      </c>
      <c r="D100" s="858">
        <f t="shared" si="10"/>
        <v>1</v>
      </c>
      <c r="E100" s="858">
        <f t="shared" si="9"/>
        <v>1</v>
      </c>
      <c r="F100" s="858">
        <f t="shared" si="9"/>
        <v>3</v>
      </c>
      <c r="G100" s="858">
        <f t="shared" si="12"/>
        <v>281.25</v>
      </c>
      <c r="H100" s="929">
        <f t="shared" si="11"/>
        <v>843.75</v>
      </c>
      <c r="I100" s="917"/>
    </row>
    <row r="101" spans="2:9" ht="13.5" customHeight="1">
      <c r="B101" s="749"/>
      <c r="C101" s="929" t="str">
        <f t="shared" si="10"/>
        <v>ASISTENTE ADMINISTRATIVO</v>
      </c>
      <c r="D101" s="858">
        <f t="shared" si="10"/>
        <v>1</v>
      </c>
      <c r="E101" s="858">
        <f t="shared" si="9"/>
        <v>1</v>
      </c>
      <c r="F101" s="858">
        <f t="shared" si="9"/>
        <v>3</v>
      </c>
      <c r="G101" s="858">
        <f t="shared" si="12"/>
        <v>293.75</v>
      </c>
      <c r="H101" s="929">
        <f t="shared" si="11"/>
        <v>881.25</v>
      </c>
      <c r="I101" s="917"/>
    </row>
    <row r="102" spans="2:9" ht="13.5" hidden="1" customHeight="1">
      <c r="B102" s="749"/>
      <c r="C102" s="929" t="str">
        <f t="shared" si="10"/>
        <v xml:space="preserve">MAESTRO DE OBRA </v>
      </c>
      <c r="D102" s="858">
        <f t="shared" si="10"/>
        <v>0</v>
      </c>
      <c r="E102" s="858">
        <f t="shared" si="9"/>
        <v>1</v>
      </c>
      <c r="F102" s="858">
        <f t="shared" si="9"/>
        <v>5</v>
      </c>
      <c r="G102" s="858">
        <f t="shared" si="12"/>
        <v>358.33333333333331</v>
      </c>
      <c r="H102" s="929">
        <f t="shared" si="11"/>
        <v>0</v>
      </c>
      <c r="I102" s="917"/>
    </row>
    <row r="103" spans="2:9" ht="13.5" hidden="1" customHeight="1">
      <c r="B103" s="749"/>
      <c r="C103" s="929" t="str">
        <f t="shared" si="10"/>
        <v>TOPOGRAFO</v>
      </c>
      <c r="D103" s="858">
        <f t="shared" si="10"/>
        <v>0</v>
      </c>
      <c r="E103" s="858">
        <f t="shared" si="9"/>
        <v>0.5</v>
      </c>
      <c r="F103" s="858">
        <f t="shared" si="9"/>
        <v>5</v>
      </c>
      <c r="G103" s="858">
        <f t="shared" si="12"/>
        <v>333.33333333333331</v>
      </c>
      <c r="H103" s="929">
        <f>PRODUCT(D103:G103)</f>
        <v>0</v>
      </c>
      <c r="I103" s="917"/>
    </row>
    <row r="104" spans="2:9" ht="13.5" hidden="1" customHeight="1">
      <c r="B104" s="749"/>
      <c r="C104" s="929" t="str">
        <f t="shared" si="10"/>
        <v xml:space="preserve">ALMACENERO </v>
      </c>
      <c r="D104" s="858">
        <f t="shared" si="10"/>
        <v>0</v>
      </c>
      <c r="E104" s="858">
        <f t="shared" si="9"/>
        <v>1</v>
      </c>
      <c r="F104" s="858">
        <f t="shared" si="9"/>
        <v>5</v>
      </c>
      <c r="G104" s="858">
        <f t="shared" si="12"/>
        <v>333.33333333333331</v>
      </c>
      <c r="H104" s="929">
        <f t="shared" si="11"/>
        <v>0</v>
      </c>
      <c r="I104" s="917"/>
    </row>
    <row r="105" spans="2:9" ht="13.5" customHeight="1">
      <c r="B105" s="749"/>
      <c r="C105" s="929" t="str">
        <f t="shared" si="10"/>
        <v>GUARDIAN</v>
      </c>
      <c r="D105" s="858">
        <f t="shared" si="10"/>
        <v>1</v>
      </c>
      <c r="E105" s="858">
        <f t="shared" si="9"/>
        <v>1</v>
      </c>
      <c r="F105" s="858">
        <f t="shared" si="9"/>
        <v>3</v>
      </c>
      <c r="G105" s="858">
        <f t="shared" si="12"/>
        <v>264.58333333333331</v>
      </c>
      <c r="H105" s="929">
        <f t="shared" si="11"/>
        <v>793.75</v>
      </c>
      <c r="I105" s="917"/>
    </row>
    <row r="106" spans="2:9" ht="13.5" customHeight="1">
      <c r="B106" s="749"/>
      <c r="C106" s="1070" t="s">
        <v>3</v>
      </c>
      <c r="D106" s="1071"/>
      <c r="E106" s="1071"/>
      <c r="F106" s="1071"/>
      <c r="G106" s="1072"/>
      <c r="H106" s="932">
        <f>SUM(H95:H105)</f>
        <v>3650</v>
      </c>
      <c r="I106" s="917"/>
    </row>
    <row r="107" spans="2:9" ht="13.5" customHeight="1">
      <c r="B107" s="749"/>
      <c r="C107" s="917"/>
      <c r="D107" s="917"/>
      <c r="E107" s="917"/>
      <c r="F107" s="918"/>
      <c r="G107" s="918"/>
      <c r="H107" s="917"/>
      <c r="I107" s="917"/>
    </row>
    <row r="108" spans="2:9" ht="13.5" customHeight="1">
      <c r="B108" s="919">
        <v>3.02</v>
      </c>
      <c r="C108" s="859" t="s">
        <v>97</v>
      </c>
      <c r="D108" s="917"/>
      <c r="E108" s="917"/>
      <c r="F108" s="918"/>
      <c r="G108" s="918"/>
      <c r="H108" s="920" t="s">
        <v>0</v>
      </c>
      <c r="I108" s="921">
        <f>+H124</f>
        <v>120.83333333333331</v>
      </c>
    </row>
    <row r="109" spans="2:9" ht="13.5" customHeight="1">
      <c r="B109" s="933"/>
      <c r="C109" s="859"/>
      <c r="D109" s="917"/>
      <c r="E109" s="917"/>
      <c r="F109" s="918"/>
      <c r="G109" s="918"/>
      <c r="H109" s="917"/>
      <c r="I109" s="917"/>
    </row>
    <row r="110" spans="2:9" ht="13.5" customHeight="1">
      <c r="B110" s="749"/>
      <c r="C110" s="938" t="s">
        <v>29</v>
      </c>
      <c r="D110" s="923"/>
      <c r="E110" s="923"/>
      <c r="F110" s="924"/>
      <c r="G110" s="924"/>
      <c r="H110" s="923"/>
      <c r="I110" s="918"/>
    </row>
    <row r="111" spans="2:9" ht="13.5" customHeight="1">
      <c r="B111" s="749"/>
      <c r="C111" s="938"/>
      <c r="D111" s="923"/>
      <c r="E111" s="923"/>
      <c r="F111" s="924"/>
      <c r="G111" s="924"/>
      <c r="H111" s="923"/>
      <c r="I111" s="918"/>
    </row>
    <row r="112" spans="2:9" ht="13.5" customHeight="1">
      <c r="B112" s="749"/>
      <c r="C112" s="926" t="s">
        <v>30</v>
      </c>
      <c r="D112" s="927" t="s">
        <v>31</v>
      </c>
      <c r="E112" s="927" t="str">
        <f t="shared" ref="E112:F123" si="13">+E35</f>
        <v>COEF. PARTIC.</v>
      </c>
      <c r="F112" s="927" t="s">
        <v>32</v>
      </c>
      <c r="G112" s="927" t="s">
        <v>13</v>
      </c>
      <c r="H112" s="927" t="s">
        <v>4</v>
      </c>
      <c r="I112" s="917"/>
    </row>
    <row r="113" spans="2:9" ht="13.5" customHeight="1">
      <c r="B113" s="749"/>
      <c r="C113" s="929" t="str">
        <f t="shared" ref="C113:D123" si="14">+C36</f>
        <v>RESIDENTE DE OBRA</v>
      </c>
      <c r="D113" s="858">
        <f t="shared" si="14"/>
        <v>1</v>
      </c>
      <c r="E113" s="858">
        <f t="shared" si="13"/>
        <v>1</v>
      </c>
      <c r="F113" s="858">
        <f t="shared" si="13"/>
        <v>3</v>
      </c>
      <c r="G113" s="858">
        <f>+G36/360</f>
        <v>12.5</v>
      </c>
      <c r="H113" s="929">
        <f t="shared" ref="H113:H123" si="15">PRODUCT(D113:G113)</f>
        <v>37.5</v>
      </c>
      <c r="I113" s="917"/>
    </row>
    <row r="114" spans="2:9" ht="13.5" hidden="1" customHeight="1">
      <c r="B114" s="749"/>
      <c r="C114" s="929" t="str">
        <f t="shared" si="14"/>
        <v>INGENIERO ESPECIALISTA EN ESTRUCTURAS</v>
      </c>
      <c r="D114" s="858">
        <f t="shared" si="14"/>
        <v>0</v>
      </c>
      <c r="E114" s="858">
        <f t="shared" si="13"/>
        <v>0.5</v>
      </c>
      <c r="F114" s="858">
        <f t="shared" si="13"/>
        <v>1</v>
      </c>
      <c r="G114" s="858">
        <f t="shared" ref="G114:G123" si="16">+G37/360</f>
        <v>13.888888888888889</v>
      </c>
      <c r="H114" s="929">
        <f t="shared" si="15"/>
        <v>0</v>
      </c>
      <c r="I114" s="917"/>
    </row>
    <row r="115" spans="2:9" ht="13.5" hidden="1" customHeight="1">
      <c r="B115" s="749"/>
      <c r="C115" s="929" t="str">
        <f t="shared" si="14"/>
        <v>INGENIERO ESPECIALISTA EN GEOTECNIA</v>
      </c>
      <c r="D115" s="858">
        <f t="shared" si="14"/>
        <v>0</v>
      </c>
      <c r="E115" s="858">
        <f t="shared" si="13"/>
        <v>0.5</v>
      </c>
      <c r="F115" s="858">
        <f t="shared" si="13"/>
        <v>1</v>
      </c>
      <c r="G115" s="858">
        <f t="shared" si="16"/>
        <v>13.888888888888889</v>
      </c>
      <c r="H115" s="929">
        <f t="shared" si="15"/>
        <v>0</v>
      </c>
      <c r="I115" s="917"/>
    </row>
    <row r="116" spans="2:9" ht="13.5" hidden="1" customHeight="1">
      <c r="B116" s="749"/>
      <c r="C116" s="929" t="str">
        <f t="shared" si="14"/>
        <v>INGENIERO ESPECIALISTA EN SEGURIDAD Y SALUD</v>
      </c>
      <c r="D116" s="858">
        <f t="shared" si="14"/>
        <v>0</v>
      </c>
      <c r="E116" s="858">
        <f t="shared" si="13"/>
        <v>0.5</v>
      </c>
      <c r="F116" s="858">
        <f t="shared" si="13"/>
        <v>5</v>
      </c>
      <c r="G116" s="858">
        <f t="shared" si="16"/>
        <v>12.5</v>
      </c>
      <c r="H116" s="929">
        <f>PRODUCT(D116:G116)</f>
        <v>0</v>
      </c>
      <c r="I116" s="917"/>
    </row>
    <row r="117" spans="2:9" ht="13.5" hidden="1" customHeight="1">
      <c r="B117" s="749"/>
      <c r="C117" s="929" t="str">
        <f t="shared" si="14"/>
        <v>ESPECIALISTA EN MITIGACIÓN AMBIENTAL</v>
      </c>
      <c r="D117" s="858">
        <f t="shared" si="14"/>
        <v>0</v>
      </c>
      <c r="E117" s="858">
        <f t="shared" si="13"/>
        <v>0.5</v>
      </c>
      <c r="F117" s="858">
        <f t="shared" si="13"/>
        <v>5</v>
      </c>
      <c r="G117" s="858">
        <f t="shared" si="16"/>
        <v>12.5</v>
      </c>
      <c r="H117" s="929">
        <f t="shared" si="15"/>
        <v>0</v>
      </c>
      <c r="I117" s="917"/>
    </row>
    <row r="118" spans="2:9" ht="13.5" customHeight="1">
      <c r="B118" s="749"/>
      <c r="C118" s="929" t="str">
        <f t="shared" si="14"/>
        <v>ASISTENTE TECNICO DE OBRA</v>
      </c>
      <c r="D118" s="858">
        <f t="shared" si="14"/>
        <v>1</v>
      </c>
      <c r="E118" s="858">
        <f t="shared" si="13"/>
        <v>1</v>
      </c>
      <c r="F118" s="858">
        <f t="shared" si="13"/>
        <v>3</v>
      </c>
      <c r="G118" s="858">
        <f t="shared" si="16"/>
        <v>9.3055555555555554</v>
      </c>
      <c r="H118" s="929">
        <f t="shared" si="15"/>
        <v>27.916666666666664</v>
      </c>
      <c r="I118" s="917"/>
    </row>
    <row r="119" spans="2:9" ht="13.5" customHeight="1">
      <c r="B119" s="749"/>
      <c r="C119" s="929" t="str">
        <f t="shared" si="14"/>
        <v>ASISTENTE ADMINISTRATIVO</v>
      </c>
      <c r="D119" s="858">
        <f t="shared" si="14"/>
        <v>1</v>
      </c>
      <c r="E119" s="858">
        <f t="shared" si="13"/>
        <v>1</v>
      </c>
      <c r="F119" s="858">
        <f t="shared" si="13"/>
        <v>3</v>
      </c>
      <c r="G119" s="858">
        <f t="shared" si="16"/>
        <v>9.7222222222222214</v>
      </c>
      <c r="H119" s="929">
        <f t="shared" si="15"/>
        <v>29.166666666666664</v>
      </c>
      <c r="I119" s="917"/>
    </row>
    <row r="120" spans="2:9" ht="13.5" hidden="1" customHeight="1">
      <c r="B120" s="749"/>
      <c r="C120" s="929" t="str">
        <f t="shared" si="14"/>
        <v xml:space="preserve">MAESTRO DE OBRA </v>
      </c>
      <c r="D120" s="858">
        <f t="shared" si="14"/>
        <v>0</v>
      </c>
      <c r="E120" s="858">
        <f t="shared" si="13"/>
        <v>1</v>
      </c>
      <c r="F120" s="858">
        <f t="shared" si="13"/>
        <v>5</v>
      </c>
      <c r="G120" s="858">
        <f t="shared" si="16"/>
        <v>11.944444444444445</v>
      </c>
      <c r="H120" s="929">
        <f t="shared" si="15"/>
        <v>0</v>
      </c>
      <c r="I120" s="917"/>
    </row>
    <row r="121" spans="2:9" ht="13.5" hidden="1" customHeight="1">
      <c r="B121" s="749"/>
      <c r="C121" s="929" t="str">
        <f t="shared" si="14"/>
        <v>TOPOGRAFO</v>
      </c>
      <c r="D121" s="858">
        <f t="shared" si="14"/>
        <v>0</v>
      </c>
      <c r="E121" s="858">
        <f t="shared" si="13"/>
        <v>0.5</v>
      </c>
      <c r="F121" s="858">
        <f t="shared" si="13"/>
        <v>5</v>
      </c>
      <c r="G121" s="858">
        <f t="shared" si="16"/>
        <v>11.111111111111111</v>
      </c>
      <c r="H121" s="929">
        <f>PRODUCT(D121:G121)</f>
        <v>0</v>
      </c>
      <c r="I121" s="917"/>
    </row>
    <row r="122" spans="2:9" ht="13.5" hidden="1" customHeight="1">
      <c r="B122" s="749"/>
      <c r="C122" s="929" t="str">
        <f t="shared" si="14"/>
        <v xml:space="preserve">ALMACENERO </v>
      </c>
      <c r="D122" s="858">
        <f t="shared" si="14"/>
        <v>0</v>
      </c>
      <c r="E122" s="858">
        <f t="shared" si="13"/>
        <v>1</v>
      </c>
      <c r="F122" s="858">
        <f t="shared" si="13"/>
        <v>5</v>
      </c>
      <c r="G122" s="858">
        <f t="shared" si="16"/>
        <v>11.111111111111111</v>
      </c>
      <c r="H122" s="929">
        <f t="shared" si="15"/>
        <v>0</v>
      </c>
      <c r="I122" s="917"/>
    </row>
    <row r="123" spans="2:9" ht="13.5" customHeight="1">
      <c r="B123" s="749"/>
      <c r="C123" s="929" t="str">
        <f t="shared" si="14"/>
        <v>GUARDIAN</v>
      </c>
      <c r="D123" s="858">
        <f t="shared" si="14"/>
        <v>1</v>
      </c>
      <c r="E123" s="858">
        <f t="shared" si="13"/>
        <v>1</v>
      </c>
      <c r="F123" s="858">
        <f t="shared" si="13"/>
        <v>3</v>
      </c>
      <c r="G123" s="858">
        <f t="shared" si="16"/>
        <v>8.75</v>
      </c>
      <c r="H123" s="929">
        <f t="shared" si="15"/>
        <v>26.25</v>
      </c>
      <c r="I123" s="917"/>
    </row>
    <row r="124" spans="2:9" ht="13.5" customHeight="1">
      <c r="B124" s="749"/>
      <c r="C124" s="1070" t="s">
        <v>3</v>
      </c>
      <c r="D124" s="1071"/>
      <c r="E124" s="1071"/>
      <c r="F124" s="1071"/>
      <c r="G124" s="1072"/>
      <c r="H124" s="932">
        <f>SUM(H113:H123)</f>
        <v>120.83333333333331</v>
      </c>
      <c r="I124" s="917"/>
    </row>
    <row r="125" spans="2:9" ht="13.5" customHeight="1">
      <c r="B125" s="749"/>
      <c r="C125" s="917"/>
      <c r="D125" s="917"/>
      <c r="E125" s="917"/>
      <c r="F125" s="918"/>
      <c r="G125" s="918"/>
      <c r="H125" s="917"/>
      <c r="I125" s="917"/>
    </row>
    <row r="126" spans="2:9" ht="13.5" customHeight="1">
      <c r="B126" s="908">
        <v>4</v>
      </c>
      <c r="C126" s="909" t="s">
        <v>214</v>
      </c>
      <c r="D126" s="910"/>
      <c r="E126" s="910"/>
      <c r="F126" s="911"/>
      <c r="G126" s="912"/>
      <c r="H126" s="913" t="s">
        <v>0</v>
      </c>
      <c r="I126" s="914">
        <f>+I128</f>
        <v>600</v>
      </c>
    </row>
    <row r="127" spans="2:9" ht="13.5" customHeight="1">
      <c r="B127" s="935"/>
      <c r="C127" s="936"/>
      <c r="D127" s="917"/>
      <c r="E127" s="917"/>
      <c r="F127" s="923"/>
      <c r="G127" s="937"/>
      <c r="H127" s="920"/>
      <c r="I127" s="921"/>
    </row>
    <row r="128" spans="2:9" ht="13.5" customHeight="1">
      <c r="B128" s="919">
        <v>4.01</v>
      </c>
      <c r="C128" s="859" t="s">
        <v>96</v>
      </c>
      <c r="D128" s="939">
        <v>300</v>
      </c>
      <c r="E128" s="939"/>
      <c r="F128" s="918"/>
      <c r="G128" s="918"/>
      <c r="H128" s="920" t="s">
        <v>0</v>
      </c>
      <c r="I128" s="921">
        <f>+H144</f>
        <v>600</v>
      </c>
    </row>
    <row r="129" spans="2:9" ht="13.5" customHeight="1">
      <c r="B129" s="933"/>
      <c r="C129" s="859"/>
      <c r="D129" s="917"/>
      <c r="E129" s="917"/>
      <c r="F129" s="918"/>
      <c r="G129" s="918"/>
      <c r="H129" s="917"/>
      <c r="I129" s="917"/>
    </row>
    <row r="130" spans="2:9" ht="13.5" customHeight="1">
      <c r="B130" s="749"/>
      <c r="C130" s="938" t="s">
        <v>29</v>
      </c>
      <c r="D130" s="923"/>
      <c r="E130" s="923"/>
      <c r="F130" s="924"/>
      <c r="G130" s="924"/>
      <c r="H130" s="923"/>
      <c r="I130" s="918"/>
    </row>
    <row r="131" spans="2:9" ht="13.5" customHeight="1">
      <c r="B131" s="749"/>
      <c r="C131" s="938"/>
      <c r="D131" s="923"/>
      <c r="E131" s="923"/>
      <c r="F131" s="924"/>
      <c r="G131" s="924"/>
      <c r="H131" s="923"/>
      <c r="I131" s="918"/>
    </row>
    <row r="132" spans="2:9" ht="13.5" customHeight="1">
      <c r="B132" s="749"/>
      <c r="C132" s="926" t="s">
        <v>30</v>
      </c>
      <c r="D132" s="927" t="s">
        <v>31</v>
      </c>
      <c r="E132" s="927" t="str">
        <f t="shared" ref="E132:F143" si="17">+E35</f>
        <v>COEF. PARTIC.</v>
      </c>
      <c r="F132" s="927" t="s">
        <v>32</v>
      </c>
      <c r="G132" s="940" t="s">
        <v>13</v>
      </c>
      <c r="H132" s="940" t="s">
        <v>4</v>
      </c>
      <c r="I132" s="917"/>
    </row>
    <row r="133" spans="2:9" ht="13.5" customHeight="1">
      <c r="B133" s="749"/>
      <c r="C133" s="929" t="str">
        <f t="shared" ref="C133:D143" si="18">+C36</f>
        <v>RESIDENTE DE OBRA</v>
      </c>
      <c r="D133" s="858">
        <f t="shared" si="18"/>
        <v>1</v>
      </c>
      <c r="E133" s="858">
        <f t="shared" si="17"/>
        <v>1</v>
      </c>
      <c r="F133" s="858">
        <f t="shared" si="17"/>
        <v>3</v>
      </c>
      <c r="G133" s="858">
        <f>($D$128*2)/12*(F133*E133)</f>
        <v>150</v>
      </c>
      <c r="H133" s="858">
        <f t="shared" ref="H133:H143" si="19">+D133*G133</f>
        <v>150</v>
      </c>
      <c r="I133" s="917"/>
    </row>
    <row r="134" spans="2:9" ht="13.5" hidden="1" customHeight="1">
      <c r="B134" s="749"/>
      <c r="C134" s="929" t="str">
        <f t="shared" si="18"/>
        <v>INGENIERO ESPECIALISTA EN ESTRUCTURAS</v>
      </c>
      <c r="D134" s="858">
        <f t="shared" si="18"/>
        <v>0</v>
      </c>
      <c r="E134" s="858">
        <f t="shared" si="17"/>
        <v>0.5</v>
      </c>
      <c r="F134" s="858">
        <f t="shared" si="17"/>
        <v>1</v>
      </c>
      <c r="G134" s="858">
        <f t="shared" ref="G134:G143" si="20">($D$128*2)/12*(F134*E134)</f>
        <v>25</v>
      </c>
      <c r="H134" s="858">
        <f t="shared" si="19"/>
        <v>0</v>
      </c>
      <c r="I134" s="917"/>
    </row>
    <row r="135" spans="2:9" ht="13.5" hidden="1" customHeight="1">
      <c r="B135" s="749"/>
      <c r="C135" s="929" t="str">
        <f t="shared" si="18"/>
        <v>INGENIERO ESPECIALISTA EN GEOTECNIA</v>
      </c>
      <c r="D135" s="858">
        <f t="shared" si="18"/>
        <v>0</v>
      </c>
      <c r="E135" s="858">
        <f t="shared" si="17"/>
        <v>0.5</v>
      </c>
      <c r="F135" s="858">
        <f t="shared" si="17"/>
        <v>1</v>
      </c>
      <c r="G135" s="858">
        <f t="shared" si="20"/>
        <v>25</v>
      </c>
      <c r="H135" s="858">
        <f>+D135*G135</f>
        <v>0</v>
      </c>
      <c r="I135" s="917"/>
    </row>
    <row r="136" spans="2:9" ht="13.5" hidden="1" customHeight="1">
      <c r="B136" s="749"/>
      <c r="C136" s="929" t="str">
        <f t="shared" si="18"/>
        <v>INGENIERO ESPECIALISTA EN SEGURIDAD Y SALUD</v>
      </c>
      <c r="D136" s="858">
        <f t="shared" si="18"/>
        <v>0</v>
      </c>
      <c r="E136" s="858">
        <f t="shared" si="17"/>
        <v>0.5</v>
      </c>
      <c r="F136" s="858">
        <f t="shared" si="17"/>
        <v>5</v>
      </c>
      <c r="G136" s="858">
        <f t="shared" si="20"/>
        <v>125</v>
      </c>
      <c r="H136" s="858">
        <f>+D136*G136</f>
        <v>0</v>
      </c>
      <c r="I136" s="917"/>
    </row>
    <row r="137" spans="2:9" ht="13.5" hidden="1" customHeight="1">
      <c r="B137" s="749"/>
      <c r="C137" s="929" t="str">
        <f t="shared" si="18"/>
        <v>ESPECIALISTA EN MITIGACIÓN AMBIENTAL</v>
      </c>
      <c r="D137" s="858">
        <f t="shared" si="18"/>
        <v>0</v>
      </c>
      <c r="E137" s="858">
        <f t="shared" si="17"/>
        <v>0.5</v>
      </c>
      <c r="F137" s="858">
        <f t="shared" si="17"/>
        <v>5</v>
      </c>
      <c r="G137" s="858">
        <f t="shared" si="20"/>
        <v>125</v>
      </c>
      <c r="H137" s="858">
        <f>+D137*G137</f>
        <v>0</v>
      </c>
      <c r="I137" s="917"/>
    </row>
    <row r="138" spans="2:9" ht="13.5" customHeight="1">
      <c r="B138" s="749"/>
      <c r="C138" s="929" t="str">
        <f t="shared" si="18"/>
        <v>ASISTENTE TECNICO DE OBRA</v>
      </c>
      <c r="D138" s="858">
        <f t="shared" si="18"/>
        <v>1</v>
      </c>
      <c r="E138" s="858">
        <f t="shared" si="17"/>
        <v>1</v>
      </c>
      <c r="F138" s="858">
        <f t="shared" si="17"/>
        <v>3</v>
      </c>
      <c r="G138" s="858">
        <f t="shared" si="20"/>
        <v>150</v>
      </c>
      <c r="H138" s="858">
        <f t="shared" si="19"/>
        <v>150</v>
      </c>
      <c r="I138" s="917"/>
    </row>
    <row r="139" spans="2:9" ht="13.5" customHeight="1">
      <c r="B139" s="749"/>
      <c r="C139" s="929" t="str">
        <f t="shared" si="18"/>
        <v>ASISTENTE ADMINISTRATIVO</v>
      </c>
      <c r="D139" s="858">
        <f t="shared" si="18"/>
        <v>1</v>
      </c>
      <c r="E139" s="858">
        <f t="shared" si="17"/>
        <v>1</v>
      </c>
      <c r="F139" s="858">
        <f t="shared" si="17"/>
        <v>3</v>
      </c>
      <c r="G139" s="858">
        <f t="shared" si="20"/>
        <v>150</v>
      </c>
      <c r="H139" s="858">
        <f t="shared" si="19"/>
        <v>150</v>
      </c>
      <c r="I139" s="917"/>
    </row>
    <row r="140" spans="2:9" ht="13.5" hidden="1" customHeight="1">
      <c r="B140" s="749"/>
      <c r="C140" s="929" t="str">
        <f t="shared" si="18"/>
        <v xml:space="preserve">MAESTRO DE OBRA </v>
      </c>
      <c r="D140" s="858">
        <f t="shared" si="18"/>
        <v>0</v>
      </c>
      <c r="E140" s="858">
        <f t="shared" si="17"/>
        <v>1</v>
      </c>
      <c r="F140" s="858">
        <f t="shared" si="17"/>
        <v>5</v>
      </c>
      <c r="G140" s="858">
        <f t="shared" si="20"/>
        <v>250</v>
      </c>
      <c r="H140" s="858">
        <f t="shared" si="19"/>
        <v>0</v>
      </c>
      <c r="I140" s="917"/>
    </row>
    <row r="141" spans="2:9" ht="13.5" hidden="1" customHeight="1">
      <c r="B141" s="749"/>
      <c r="C141" s="929" t="str">
        <f t="shared" si="18"/>
        <v>TOPOGRAFO</v>
      </c>
      <c r="D141" s="858">
        <f t="shared" si="18"/>
        <v>0</v>
      </c>
      <c r="E141" s="858">
        <f t="shared" si="17"/>
        <v>0.5</v>
      </c>
      <c r="F141" s="858">
        <f t="shared" si="17"/>
        <v>5</v>
      </c>
      <c r="G141" s="858">
        <f t="shared" si="20"/>
        <v>125</v>
      </c>
      <c r="H141" s="858">
        <f>+D141*G141</f>
        <v>0</v>
      </c>
      <c r="I141" s="917"/>
    </row>
    <row r="142" spans="2:9" ht="13.5" hidden="1" customHeight="1">
      <c r="B142" s="749"/>
      <c r="C142" s="929" t="str">
        <f t="shared" si="18"/>
        <v xml:space="preserve">ALMACENERO </v>
      </c>
      <c r="D142" s="858">
        <f t="shared" si="18"/>
        <v>0</v>
      </c>
      <c r="E142" s="858">
        <f t="shared" si="17"/>
        <v>1</v>
      </c>
      <c r="F142" s="858">
        <f t="shared" si="17"/>
        <v>5</v>
      </c>
      <c r="G142" s="858">
        <f t="shared" si="20"/>
        <v>250</v>
      </c>
      <c r="H142" s="858">
        <f t="shared" si="19"/>
        <v>0</v>
      </c>
      <c r="I142" s="917"/>
    </row>
    <row r="143" spans="2:9" ht="13.5" customHeight="1">
      <c r="B143" s="749"/>
      <c r="C143" s="929" t="str">
        <f t="shared" si="18"/>
        <v>GUARDIAN</v>
      </c>
      <c r="D143" s="858">
        <f t="shared" si="18"/>
        <v>1</v>
      </c>
      <c r="E143" s="858">
        <f t="shared" si="17"/>
        <v>1</v>
      </c>
      <c r="F143" s="858">
        <f t="shared" si="17"/>
        <v>3</v>
      </c>
      <c r="G143" s="858">
        <f t="shared" si="20"/>
        <v>150</v>
      </c>
      <c r="H143" s="858">
        <f t="shared" si="19"/>
        <v>150</v>
      </c>
      <c r="I143" s="917"/>
    </row>
    <row r="144" spans="2:9" ht="13.5" customHeight="1">
      <c r="B144" s="749"/>
      <c r="C144" s="1070" t="s">
        <v>3</v>
      </c>
      <c r="D144" s="1071"/>
      <c r="E144" s="1071"/>
      <c r="F144" s="1071"/>
      <c r="G144" s="1087"/>
      <c r="H144" s="941">
        <f>SUM(H133:H143)</f>
        <v>600</v>
      </c>
      <c r="I144" s="917"/>
    </row>
    <row r="145" spans="2:10" ht="13.5" customHeight="1">
      <c r="B145" s="749"/>
      <c r="C145" s="917"/>
      <c r="D145" s="917"/>
      <c r="E145" s="917"/>
      <c r="F145" s="918"/>
      <c r="G145" s="918"/>
      <c r="H145" s="917"/>
      <c r="I145" s="917"/>
    </row>
    <row r="146" spans="2:10" ht="13.5" customHeight="1">
      <c r="B146" s="908">
        <v>5</v>
      </c>
      <c r="C146" s="909" t="s">
        <v>417</v>
      </c>
      <c r="D146" s="910"/>
      <c r="E146" s="910"/>
      <c r="F146" s="911"/>
      <c r="G146" s="912"/>
      <c r="H146" s="913" t="s">
        <v>0</v>
      </c>
      <c r="I146" s="914">
        <f>+I148</f>
        <v>1116</v>
      </c>
    </row>
    <row r="147" spans="2:10" ht="13.5" customHeight="1">
      <c r="B147" s="935"/>
      <c r="C147" s="936"/>
      <c r="D147" s="917"/>
      <c r="E147" s="917"/>
      <c r="F147" s="923"/>
      <c r="G147" s="937"/>
      <c r="H147" s="920"/>
      <c r="I147" s="921"/>
    </row>
    <row r="148" spans="2:10" ht="13.5" customHeight="1">
      <c r="B148" s="919">
        <v>4.01</v>
      </c>
      <c r="C148" s="859" t="s">
        <v>418</v>
      </c>
      <c r="D148" s="939"/>
      <c r="E148" s="939"/>
      <c r="F148" s="918"/>
      <c r="G148" s="918"/>
      <c r="H148" s="920" t="s">
        <v>0</v>
      </c>
      <c r="I148" s="921">
        <f>+H164</f>
        <v>1116</v>
      </c>
    </row>
    <row r="149" spans="2:10" ht="13.5" customHeight="1">
      <c r="B149" s="933"/>
      <c r="C149" s="859"/>
      <c r="D149" s="917" t="s">
        <v>568</v>
      </c>
      <c r="E149" s="917"/>
      <c r="F149" s="918"/>
      <c r="G149" s="918"/>
      <c r="H149" s="917"/>
      <c r="I149" s="917"/>
    </row>
    <row r="150" spans="2:10" ht="13.5" customHeight="1">
      <c r="B150" s="749"/>
      <c r="C150" s="938" t="s">
        <v>29</v>
      </c>
      <c r="D150" s="923"/>
      <c r="E150" s="923"/>
      <c r="F150" s="924"/>
      <c r="G150" s="924"/>
      <c r="H150" s="923"/>
      <c r="I150" s="918"/>
    </row>
    <row r="151" spans="2:10" ht="13.5" customHeight="1">
      <c r="B151" s="749"/>
      <c r="C151" s="938"/>
      <c r="D151" s="923"/>
      <c r="E151" s="923"/>
      <c r="F151" s="924"/>
      <c r="G151" s="924"/>
      <c r="H151" s="923"/>
      <c r="I151" s="918"/>
    </row>
    <row r="152" spans="2:10" ht="13.5" customHeight="1">
      <c r="B152" s="749"/>
      <c r="C152" s="926" t="s">
        <v>30</v>
      </c>
      <c r="D152" s="927" t="s">
        <v>31</v>
      </c>
      <c r="E152" s="927" t="s">
        <v>291</v>
      </c>
      <c r="F152" s="927" t="s">
        <v>32</v>
      </c>
      <c r="G152" s="927" t="s">
        <v>13</v>
      </c>
      <c r="H152" s="927" t="s">
        <v>4</v>
      </c>
      <c r="I152" s="917"/>
    </row>
    <row r="153" spans="2:10" ht="13.5" customHeight="1">
      <c r="B153" s="749"/>
      <c r="C153" s="929" t="str">
        <f t="shared" ref="C153:F163" si="21">+C36</f>
        <v>RESIDENTE DE OBRA</v>
      </c>
      <c r="D153" s="858">
        <f t="shared" si="21"/>
        <v>1</v>
      </c>
      <c r="E153" s="858">
        <f t="shared" si="21"/>
        <v>1</v>
      </c>
      <c r="F153" s="858">
        <f t="shared" si="21"/>
        <v>3</v>
      </c>
      <c r="G153" s="858">
        <f>930/10</f>
        <v>93</v>
      </c>
      <c r="H153" s="929">
        <f t="shared" ref="H153:H163" si="22">PRODUCT(D153:G153)</f>
        <v>279</v>
      </c>
      <c r="I153" s="917"/>
      <c r="J153" s="886">
        <f>+G153+G133+G113+G95+G75+G57+G36</f>
        <v>5674.833333333333</v>
      </c>
    </row>
    <row r="154" spans="2:10" ht="13.5" hidden="1" customHeight="1">
      <c r="B154" s="749"/>
      <c r="C154" s="929" t="str">
        <f t="shared" si="21"/>
        <v>INGENIERO ESPECIALISTA EN ESTRUCTURAS</v>
      </c>
      <c r="D154" s="858">
        <f t="shared" si="21"/>
        <v>0</v>
      </c>
      <c r="E154" s="858">
        <f t="shared" si="21"/>
        <v>0.5</v>
      </c>
      <c r="F154" s="858">
        <f t="shared" si="21"/>
        <v>1</v>
      </c>
      <c r="G154" s="858">
        <f t="shared" ref="G154:G163" si="23">930/10</f>
        <v>93</v>
      </c>
      <c r="H154" s="929">
        <f t="shared" si="22"/>
        <v>0</v>
      </c>
      <c r="I154" s="917"/>
    </row>
    <row r="155" spans="2:10" ht="13.5" hidden="1" customHeight="1">
      <c r="B155" s="749"/>
      <c r="C155" s="929" t="str">
        <f t="shared" si="21"/>
        <v>INGENIERO ESPECIALISTA EN GEOTECNIA</v>
      </c>
      <c r="D155" s="858">
        <f t="shared" si="21"/>
        <v>0</v>
      </c>
      <c r="E155" s="858">
        <f t="shared" si="21"/>
        <v>0.5</v>
      </c>
      <c r="F155" s="858">
        <f t="shared" si="21"/>
        <v>1</v>
      </c>
      <c r="G155" s="858">
        <f t="shared" si="23"/>
        <v>93</v>
      </c>
      <c r="H155" s="929">
        <f t="shared" si="22"/>
        <v>0</v>
      </c>
      <c r="I155" s="917"/>
    </row>
    <row r="156" spans="2:10" ht="13.5" hidden="1" customHeight="1">
      <c r="B156" s="749"/>
      <c r="C156" s="929" t="str">
        <f t="shared" si="21"/>
        <v>INGENIERO ESPECIALISTA EN SEGURIDAD Y SALUD</v>
      </c>
      <c r="D156" s="858">
        <f t="shared" si="21"/>
        <v>0</v>
      </c>
      <c r="E156" s="858">
        <f t="shared" si="21"/>
        <v>0.5</v>
      </c>
      <c r="F156" s="858">
        <f t="shared" si="21"/>
        <v>5</v>
      </c>
      <c r="G156" s="858">
        <f t="shared" si="23"/>
        <v>93</v>
      </c>
      <c r="H156" s="929">
        <f>PRODUCT(D156:G156)</f>
        <v>0</v>
      </c>
      <c r="I156" s="917"/>
    </row>
    <row r="157" spans="2:10" ht="13.5" hidden="1" customHeight="1">
      <c r="B157" s="749"/>
      <c r="C157" s="929" t="str">
        <f t="shared" si="21"/>
        <v>ESPECIALISTA EN MITIGACIÓN AMBIENTAL</v>
      </c>
      <c r="D157" s="858">
        <f t="shared" si="21"/>
        <v>0</v>
      </c>
      <c r="E157" s="858">
        <f t="shared" si="21"/>
        <v>0.5</v>
      </c>
      <c r="F157" s="858">
        <f t="shared" si="21"/>
        <v>5</v>
      </c>
      <c r="G157" s="858">
        <f t="shared" si="23"/>
        <v>93</v>
      </c>
      <c r="H157" s="929">
        <f t="shared" si="22"/>
        <v>0</v>
      </c>
      <c r="I157" s="917"/>
    </row>
    <row r="158" spans="2:10" ht="13.5" customHeight="1">
      <c r="B158" s="749"/>
      <c r="C158" s="929" t="str">
        <f t="shared" si="21"/>
        <v>ASISTENTE TECNICO DE OBRA</v>
      </c>
      <c r="D158" s="858">
        <f t="shared" si="21"/>
        <v>1</v>
      </c>
      <c r="E158" s="858">
        <f t="shared" si="21"/>
        <v>1</v>
      </c>
      <c r="F158" s="858">
        <f t="shared" si="21"/>
        <v>3</v>
      </c>
      <c r="G158" s="858">
        <f t="shared" si="23"/>
        <v>93</v>
      </c>
      <c r="H158" s="929">
        <f t="shared" si="22"/>
        <v>279</v>
      </c>
      <c r="I158" s="917"/>
    </row>
    <row r="159" spans="2:10" ht="13.5" customHeight="1">
      <c r="B159" s="749"/>
      <c r="C159" s="929" t="str">
        <f t="shared" si="21"/>
        <v>ASISTENTE ADMINISTRATIVO</v>
      </c>
      <c r="D159" s="858">
        <f t="shared" si="21"/>
        <v>1</v>
      </c>
      <c r="E159" s="858">
        <f t="shared" si="21"/>
        <v>1</v>
      </c>
      <c r="F159" s="858">
        <f t="shared" si="21"/>
        <v>3</v>
      </c>
      <c r="G159" s="858">
        <f t="shared" si="23"/>
        <v>93</v>
      </c>
      <c r="H159" s="929">
        <f t="shared" si="22"/>
        <v>279</v>
      </c>
      <c r="I159" s="917"/>
    </row>
    <row r="160" spans="2:10" ht="13.5" hidden="1" customHeight="1">
      <c r="B160" s="749"/>
      <c r="C160" s="929" t="str">
        <f t="shared" si="21"/>
        <v xml:space="preserve">MAESTRO DE OBRA </v>
      </c>
      <c r="D160" s="858">
        <f t="shared" si="21"/>
        <v>0</v>
      </c>
      <c r="E160" s="858">
        <f t="shared" si="21"/>
        <v>1</v>
      </c>
      <c r="F160" s="858">
        <f t="shared" si="21"/>
        <v>5</v>
      </c>
      <c r="G160" s="858">
        <f t="shared" si="23"/>
        <v>93</v>
      </c>
      <c r="H160" s="929">
        <f t="shared" si="22"/>
        <v>0</v>
      </c>
      <c r="I160" s="917"/>
    </row>
    <row r="161" spans="2:10" ht="13.5" hidden="1" customHeight="1">
      <c r="B161" s="749"/>
      <c r="C161" s="929" t="str">
        <f t="shared" si="21"/>
        <v>TOPOGRAFO</v>
      </c>
      <c r="D161" s="858">
        <f t="shared" si="21"/>
        <v>0</v>
      </c>
      <c r="E161" s="858">
        <f t="shared" si="21"/>
        <v>0.5</v>
      </c>
      <c r="F161" s="858">
        <f t="shared" si="21"/>
        <v>5</v>
      </c>
      <c r="G161" s="858">
        <f t="shared" si="23"/>
        <v>93</v>
      </c>
      <c r="H161" s="929">
        <f>PRODUCT(D161:G161)</f>
        <v>0</v>
      </c>
      <c r="I161" s="917"/>
    </row>
    <row r="162" spans="2:10" ht="13.5" hidden="1" customHeight="1">
      <c r="B162" s="749"/>
      <c r="C162" s="929" t="str">
        <f t="shared" si="21"/>
        <v xml:space="preserve">ALMACENERO </v>
      </c>
      <c r="D162" s="858">
        <f t="shared" si="21"/>
        <v>0</v>
      </c>
      <c r="E162" s="858">
        <f t="shared" si="21"/>
        <v>1</v>
      </c>
      <c r="F162" s="858">
        <f t="shared" si="21"/>
        <v>5</v>
      </c>
      <c r="G162" s="858">
        <f t="shared" si="23"/>
        <v>93</v>
      </c>
      <c r="H162" s="929">
        <f t="shared" si="22"/>
        <v>0</v>
      </c>
      <c r="I162" s="917"/>
    </row>
    <row r="163" spans="2:10" ht="13.5" customHeight="1">
      <c r="B163" s="749"/>
      <c r="C163" s="929" t="str">
        <f t="shared" si="21"/>
        <v>GUARDIAN</v>
      </c>
      <c r="D163" s="858">
        <f t="shared" si="21"/>
        <v>1</v>
      </c>
      <c r="E163" s="858">
        <f t="shared" si="21"/>
        <v>1</v>
      </c>
      <c r="F163" s="858">
        <f t="shared" si="21"/>
        <v>3</v>
      </c>
      <c r="G163" s="858">
        <f t="shared" si="23"/>
        <v>93</v>
      </c>
      <c r="H163" s="929">
        <f t="shared" si="22"/>
        <v>279</v>
      </c>
      <c r="I163" s="917"/>
    </row>
    <row r="164" spans="2:10" ht="13.5" customHeight="1">
      <c r="B164" s="749"/>
      <c r="C164" s="1070" t="s">
        <v>3</v>
      </c>
      <c r="D164" s="1071"/>
      <c r="E164" s="1071"/>
      <c r="F164" s="1071"/>
      <c r="G164" s="1072"/>
      <c r="H164" s="932">
        <f>SUM(H153:H163)</f>
        <v>1116</v>
      </c>
      <c r="I164" s="917"/>
    </row>
    <row r="165" spans="2:10" ht="13.5" customHeight="1">
      <c r="B165" s="749"/>
      <c r="C165" s="917"/>
      <c r="D165" s="917"/>
      <c r="E165" s="917"/>
      <c r="F165" s="918"/>
      <c r="G165" s="918"/>
      <c r="H165" s="917"/>
      <c r="I165" s="917"/>
    </row>
    <row r="166" spans="2:10" ht="13.5" customHeight="1">
      <c r="B166" s="749"/>
      <c r="C166" s="917"/>
      <c r="D166" s="917"/>
      <c r="E166" s="917"/>
      <c r="F166" s="918"/>
      <c r="G166" s="918"/>
      <c r="H166" s="917"/>
      <c r="I166" s="917"/>
    </row>
    <row r="167" spans="2:10" s="874" customFormat="1" ht="13.5" customHeight="1">
      <c r="B167" s="942" t="s">
        <v>314</v>
      </c>
      <c r="C167" s="943"/>
      <c r="D167" s="898"/>
      <c r="E167" s="898"/>
      <c r="F167" s="898"/>
      <c r="G167" s="899"/>
      <c r="H167" s="899" t="s">
        <v>0</v>
      </c>
      <c r="I167" s="900">
        <f>+ROUND((I169+I188+I197+I216),2)</f>
        <v>8323.5</v>
      </c>
      <c r="J167" s="901"/>
    </row>
    <row r="168" spans="2:10" s="874" customFormat="1" ht="13.5" customHeight="1">
      <c r="B168" s="944"/>
      <c r="C168" s="945"/>
      <c r="D168" s="904"/>
      <c r="E168" s="904"/>
      <c r="F168" s="904"/>
      <c r="G168" s="905"/>
      <c r="H168" s="905"/>
      <c r="I168" s="906"/>
      <c r="J168" s="901"/>
    </row>
    <row r="169" spans="2:10" s="874" customFormat="1" ht="13.5" customHeight="1">
      <c r="B169" s="908">
        <v>1</v>
      </c>
      <c r="C169" s="909" t="s">
        <v>255</v>
      </c>
      <c r="D169" s="910"/>
      <c r="E169" s="910"/>
      <c r="F169" s="911"/>
      <c r="G169" s="912"/>
      <c r="H169" s="913" t="s">
        <v>0</v>
      </c>
      <c r="I169" s="914">
        <f>H186</f>
        <v>4035</v>
      </c>
      <c r="J169" s="901"/>
    </row>
    <row r="170" spans="2:10" s="874" customFormat="1" ht="13.5" customHeight="1">
      <c r="B170" s="944"/>
      <c r="C170" s="945"/>
      <c r="D170" s="904"/>
      <c r="E170" s="904"/>
      <c r="F170" s="904"/>
      <c r="G170" s="905"/>
      <c r="H170" s="905"/>
      <c r="I170" s="906"/>
      <c r="J170" s="901"/>
    </row>
    <row r="171" spans="2:10" ht="13.5" customHeight="1">
      <c r="B171" s="919">
        <v>1.01</v>
      </c>
      <c r="C171" s="859" t="s">
        <v>25</v>
      </c>
      <c r="D171" s="917"/>
      <c r="E171" s="917"/>
      <c r="F171" s="917"/>
      <c r="G171" s="918"/>
      <c r="H171" s="920" t="s">
        <v>0</v>
      </c>
      <c r="I171" s="946">
        <f>H186</f>
        <v>4035</v>
      </c>
    </row>
    <row r="172" spans="2:10" ht="13.5" customHeight="1">
      <c r="B172" s="933"/>
      <c r="C172" s="859"/>
      <c r="D172" s="917"/>
      <c r="E172" s="917"/>
      <c r="F172" s="917"/>
      <c r="G172" s="918"/>
      <c r="H172" s="917"/>
      <c r="I172" s="917"/>
      <c r="J172" s="886"/>
    </row>
    <row r="173" spans="2:10" ht="13.5" customHeight="1">
      <c r="B173" s="749"/>
      <c r="C173" s="947" t="s">
        <v>17</v>
      </c>
      <c r="D173" s="948" t="s">
        <v>2</v>
      </c>
      <c r="E173" s="948" t="s">
        <v>569</v>
      </c>
      <c r="F173" s="948" t="s">
        <v>570</v>
      </c>
      <c r="G173" s="949" t="s">
        <v>5</v>
      </c>
      <c r="H173" s="949" t="s">
        <v>4</v>
      </c>
      <c r="I173" s="755"/>
    </row>
    <row r="174" spans="2:10" ht="13.5" customHeight="1">
      <c r="B174" s="749"/>
      <c r="C174" s="929" t="s">
        <v>422</v>
      </c>
      <c r="D174" s="950" t="s">
        <v>2</v>
      </c>
      <c r="E174" s="951">
        <v>1</v>
      </c>
      <c r="F174" s="952">
        <v>2</v>
      </c>
      <c r="G174" s="953">
        <v>50</v>
      </c>
      <c r="H174" s="954">
        <f>PRODUCT(E174:G174)</f>
        <v>100</v>
      </c>
      <c r="I174" s="755"/>
    </row>
    <row r="175" spans="2:10" ht="13.5" customHeight="1">
      <c r="B175" s="749"/>
      <c r="C175" s="929" t="s">
        <v>571</v>
      </c>
      <c r="D175" s="950" t="s">
        <v>2</v>
      </c>
      <c r="E175" s="951">
        <v>1</v>
      </c>
      <c r="F175" s="952">
        <v>3</v>
      </c>
      <c r="G175" s="953">
        <v>15</v>
      </c>
      <c r="H175" s="954">
        <f t="shared" ref="H175:H185" si="24">PRODUCT(E175:G175)</f>
        <v>45</v>
      </c>
      <c r="I175" s="755"/>
    </row>
    <row r="176" spans="2:10" ht="13.5" customHeight="1">
      <c r="B176" s="749"/>
      <c r="C176" s="929" t="s">
        <v>596</v>
      </c>
      <c r="D176" s="950" t="s">
        <v>2</v>
      </c>
      <c r="E176" s="951">
        <v>1</v>
      </c>
      <c r="F176" s="952">
        <v>30</v>
      </c>
      <c r="G176" s="953">
        <v>18</v>
      </c>
      <c r="H176" s="954">
        <f t="shared" si="24"/>
        <v>540</v>
      </c>
      <c r="I176" s="755"/>
    </row>
    <row r="177" spans="2:16" ht="13.5" hidden="1" customHeight="1">
      <c r="B177" s="749"/>
      <c r="C177" s="929" t="s">
        <v>252</v>
      </c>
      <c r="D177" s="950" t="s">
        <v>2</v>
      </c>
      <c r="E177" s="951">
        <v>1</v>
      </c>
      <c r="F177" s="952">
        <v>0</v>
      </c>
      <c r="G177" s="953">
        <v>50</v>
      </c>
      <c r="H177" s="954">
        <f t="shared" si="24"/>
        <v>0</v>
      </c>
      <c r="I177" s="755"/>
    </row>
    <row r="178" spans="2:16" ht="13.5" customHeight="1">
      <c r="B178" s="749"/>
      <c r="C178" s="929" t="s">
        <v>423</v>
      </c>
      <c r="D178" s="950" t="s">
        <v>2</v>
      </c>
      <c r="E178" s="951">
        <v>1</v>
      </c>
      <c r="F178" s="952">
        <v>5</v>
      </c>
      <c r="G178" s="953">
        <v>100</v>
      </c>
      <c r="H178" s="954">
        <f t="shared" si="24"/>
        <v>500</v>
      </c>
      <c r="I178" s="755"/>
    </row>
    <row r="179" spans="2:16" ht="13.5" hidden="1" customHeight="1">
      <c r="B179" s="749"/>
      <c r="C179" s="929" t="s">
        <v>572</v>
      </c>
      <c r="D179" s="950" t="s">
        <v>2</v>
      </c>
      <c r="E179" s="951">
        <v>1</v>
      </c>
      <c r="F179" s="952">
        <v>0</v>
      </c>
      <c r="G179" s="953">
        <v>190</v>
      </c>
      <c r="H179" s="954">
        <f t="shared" si="24"/>
        <v>0</v>
      </c>
      <c r="I179" s="955"/>
      <c r="K179" s="748">
        <f>2*4*12</f>
        <v>96</v>
      </c>
    </row>
    <row r="180" spans="2:16" ht="13.5" hidden="1" customHeight="1">
      <c r="B180" s="749"/>
      <c r="C180" s="929" t="s">
        <v>573</v>
      </c>
      <c r="D180" s="950" t="s">
        <v>2</v>
      </c>
      <c r="E180" s="951">
        <v>1</v>
      </c>
      <c r="F180" s="952">
        <v>0</v>
      </c>
      <c r="G180" s="953">
        <v>200</v>
      </c>
      <c r="H180" s="954">
        <f t="shared" si="24"/>
        <v>0</v>
      </c>
      <c r="I180" s="955"/>
    </row>
    <row r="181" spans="2:16" ht="13.5" customHeight="1">
      <c r="B181" s="749"/>
      <c r="C181" s="929" t="s">
        <v>574</v>
      </c>
      <c r="D181" s="950" t="s">
        <v>8</v>
      </c>
      <c r="E181" s="951">
        <v>1</v>
      </c>
      <c r="F181" s="952">
        <v>15</v>
      </c>
      <c r="G181" s="953">
        <v>10</v>
      </c>
      <c r="H181" s="954">
        <f t="shared" si="24"/>
        <v>150</v>
      </c>
      <c r="I181" s="955"/>
    </row>
    <row r="182" spans="2:16" ht="13.5" customHeight="1">
      <c r="B182" s="749"/>
      <c r="C182" s="929" t="s">
        <v>575</v>
      </c>
      <c r="D182" s="950" t="s">
        <v>2</v>
      </c>
      <c r="E182" s="951">
        <v>1</v>
      </c>
      <c r="F182" s="952">
        <v>15</v>
      </c>
      <c r="G182" s="953">
        <v>50</v>
      </c>
      <c r="H182" s="954">
        <f t="shared" si="24"/>
        <v>750</v>
      </c>
      <c r="I182" s="955"/>
    </row>
    <row r="183" spans="2:16" ht="13.5" customHeight="1">
      <c r="B183" s="749"/>
      <c r="C183" s="929" t="s">
        <v>576</v>
      </c>
      <c r="D183" s="950" t="s">
        <v>2</v>
      </c>
      <c r="E183" s="951">
        <v>1</v>
      </c>
      <c r="F183" s="952">
        <v>10</v>
      </c>
      <c r="G183" s="953">
        <v>20</v>
      </c>
      <c r="H183" s="954">
        <f t="shared" si="24"/>
        <v>200</v>
      </c>
      <c r="I183" s="955"/>
    </row>
    <row r="184" spans="2:16" ht="13.5" customHeight="1">
      <c r="B184" s="749"/>
      <c r="C184" s="929" t="s">
        <v>254</v>
      </c>
      <c r="D184" s="950" t="s">
        <v>8</v>
      </c>
      <c r="E184" s="951">
        <v>1</v>
      </c>
      <c r="F184" s="952">
        <v>5</v>
      </c>
      <c r="G184" s="953">
        <v>350</v>
      </c>
      <c r="H184" s="929">
        <f t="shared" si="24"/>
        <v>1750</v>
      </c>
      <c r="I184" s="955"/>
    </row>
    <row r="185" spans="2:16" ht="13.5" hidden="1" customHeight="1">
      <c r="B185" s="749"/>
      <c r="C185" s="929" t="s">
        <v>577</v>
      </c>
      <c r="D185" s="858" t="s">
        <v>9</v>
      </c>
      <c r="E185" s="951">
        <v>1</v>
      </c>
      <c r="F185" s="952">
        <v>0</v>
      </c>
      <c r="G185" s="956">
        <v>1000</v>
      </c>
      <c r="H185" s="929">
        <f t="shared" si="24"/>
        <v>0</v>
      </c>
      <c r="I185" s="955"/>
    </row>
    <row r="186" spans="2:16" ht="13.5" customHeight="1">
      <c r="B186" s="749"/>
      <c r="C186" s="1086" t="s">
        <v>3</v>
      </c>
      <c r="D186" s="1086"/>
      <c r="E186" s="1086"/>
      <c r="F186" s="1086"/>
      <c r="G186" s="1085"/>
      <c r="H186" s="957">
        <f>SUM(H174:H185)</f>
        <v>4035</v>
      </c>
      <c r="I186" s="955"/>
      <c r="K186" s="748">
        <f>365-K179</f>
        <v>269</v>
      </c>
    </row>
    <row r="187" spans="2:16" ht="13.5" customHeight="1">
      <c r="B187" s="922"/>
      <c r="C187" s="755"/>
      <c r="D187" s="755"/>
      <c r="E187" s="755"/>
      <c r="F187" s="755"/>
      <c r="G187" s="755"/>
      <c r="H187" s="917"/>
      <c r="I187" s="923"/>
    </row>
    <row r="188" spans="2:16" ht="13.5" customHeight="1">
      <c r="B188" s="958">
        <v>2</v>
      </c>
      <c r="C188" s="909" t="s">
        <v>93</v>
      </c>
      <c r="D188" s="910"/>
      <c r="E188" s="910"/>
      <c r="F188" s="911"/>
      <c r="G188" s="912"/>
      <c r="H188" s="913" t="s">
        <v>0</v>
      </c>
      <c r="I188" s="914">
        <f>H195</f>
        <v>1325</v>
      </c>
    </row>
    <row r="189" spans="2:16" ht="13.5" customHeight="1">
      <c r="B189" s="944"/>
      <c r="C189" s="945"/>
      <c r="D189" s="904"/>
      <c r="E189" s="904"/>
      <c r="F189" s="904"/>
      <c r="G189" s="905"/>
      <c r="H189" s="905"/>
      <c r="I189" s="906"/>
    </row>
    <row r="190" spans="2:16" ht="13.5" customHeight="1">
      <c r="B190" s="919">
        <v>2.0099999999999998</v>
      </c>
      <c r="C190" s="859" t="s">
        <v>172</v>
      </c>
      <c r="D190" s="917"/>
      <c r="E190" s="917"/>
      <c r="F190" s="917"/>
      <c r="G190" s="918"/>
      <c r="H190" s="920" t="s">
        <v>0</v>
      </c>
      <c r="I190" s="946">
        <f>H195</f>
        <v>1325</v>
      </c>
    </row>
    <row r="191" spans="2:16" ht="13.5" customHeight="1">
      <c r="B191" s="933"/>
      <c r="C191" s="859"/>
      <c r="D191" s="917"/>
      <c r="E191" s="917"/>
      <c r="F191" s="917"/>
      <c r="G191" s="918"/>
      <c r="H191" s="917"/>
      <c r="I191" s="917"/>
    </row>
    <row r="192" spans="2:16" ht="13.5" customHeight="1">
      <c r="B192" s="749"/>
      <c r="C192" s="1088" t="s">
        <v>17</v>
      </c>
      <c r="D192" s="1088"/>
      <c r="E192" s="948" t="s">
        <v>2</v>
      </c>
      <c r="F192" s="948" t="s">
        <v>18</v>
      </c>
      <c r="G192" s="948" t="s">
        <v>5</v>
      </c>
      <c r="H192" s="948" t="s">
        <v>4</v>
      </c>
      <c r="I192" s="755"/>
      <c r="K192" s="959" t="s">
        <v>459</v>
      </c>
      <c r="L192" s="959" t="s">
        <v>460</v>
      </c>
      <c r="M192" s="959" t="s">
        <v>461</v>
      </c>
      <c r="N192" s="959" t="s">
        <v>462</v>
      </c>
      <c r="O192" s="959" t="s">
        <v>466</v>
      </c>
      <c r="P192" s="959" t="s">
        <v>463</v>
      </c>
    </row>
    <row r="193" spans="2:16" ht="13.5" customHeight="1">
      <c r="B193" s="749"/>
      <c r="C193" s="1089" t="s">
        <v>279</v>
      </c>
      <c r="D193" s="1089"/>
      <c r="E193" s="756" t="s">
        <v>6</v>
      </c>
      <c r="F193" s="951">
        <v>50</v>
      </c>
      <c r="G193" s="757">
        <v>13</v>
      </c>
      <c r="H193" s="960">
        <f>F193*G193</f>
        <v>650</v>
      </c>
      <c r="I193" s="755"/>
      <c r="K193" s="758">
        <v>1.5</v>
      </c>
      <c r="L193" s="758">
        <v>7</v>
      </c>
      <c r="M193" s="758">
        <v>2</v>
      </c>
      <c r="N193" s="758">
        <v>3</v>
      </c>
      <c r="O193" s="961">
        <v>5</v>
      </c>
      <c r="P193" s="758">
        <f>PRODUCT(K193:O193)</f>
        <v>315</v>
      </c>
    </row>
    <row r="194" spans="2:16" ht="13.5" customHeight="1">
      <c r="B194" s="749"/>
      <c r="C194" s="1089" t="s">
        <v>523</v>
      </c>
      <c r="D194" s="1089"/>
      <c r="E194" s="756" t="s">
        <v>6</v>
      </c>
      <c r="F194" s="951">
        <v>50</v>
      </c>
      <c r="G194" s="757">
        <v>13.5</v>
      </c>
      <c r="H194" s="960">
        <f>F194*G194</f>
        <v>675</v>
      </c>
      <c r="I194" s="755"/>
      <c r="K194" s="758">
        <v>1.5</v>
      </c>
      <c r="L194" s="758">
        <v>7</v>
      </c>
      <c r="M194" s="758">
        <v>2</v>
      </c>
      <c r="N194" s="758">
        <v>4</v>
      </c>
      <c r="O194" s="961">
        <v>5</v>
      </c>
      <c r="P194" s="758">
        <f>PRODUCT(K194:O194)</f>
        <v>420</v>
      </c>
    </row>
    <row r="195" spans="2:16" ht="13.5" customHeight="1">
      <c r="B195" s="749"/>
      <c r="C195" s="1086" t="s">
        <v>3</v>
      </c>
      <c r="D195" s="1086"/>
      <c r="E195" s="1086"/>
      <c r="F195" s="1086"/>
      <c r="G195" s="1086"/>
      <c r="H195" s="962">
        <f>SUM(H193:H194)</f>
        <v>1325</v>
      </c>
      <c r="I195" s="755"/>
    </row>
    <row r="196" spans="2:16" ht="13.5" customHeight="1">
      <c r="B196" s="922"/>
      <c r="C196" s="755"/>
      <c r="D196" s="755"/>
      <c r="E196" s="755"/>
      <c r="F196" s="755"/>
      <c r="G196" s="755"/>
      <c r="H196" s="917"/>
      <c r="I196" s="923"/>
    </row>
    <row r="197" spans="2:16" ht="13.5" customHeight="1">
      <c r="B197" s="963">
        <v>3</v>
      </c>
      <c r="C197" s="909" t="s">
        <v>292</v>
      </c>
      <c r="D197" s="910"/>
      <c r="E197" s="910"/>
      <c r="F197" s="910"/>
      <c r="G197" s="912"/>
      <c r="H197" s="913" t="s">
        <v>0</v>
      </c>
      <c r="I197" s="914">
        <f>+I199</f>
        <v>970</v>
      </c>
    </row>
    <row r="198" spans="2:16" ht="13.5" customHeight="1">
      <c r="B198" s="933"/>
      <c r="C198" s="859"/>
      <c r="D198" s="917"/>
      <c r="E198" s="917"/>
      <c r="F198" s="917"/>
      <c r="G198" s="918"/>
      <c r="H198" s="917"/>
      <c r="I198" s="917"/>
    </row>
    <row r="199" spans="2:16" ht="13.5" customHeight="1">
      <c r="B199" s="933">
        <v>3.01</v>
      </c>
      <c r="C199" s="859" t="s">
        <v>288</v>
      </c>
      <c r="D199" s="923"/>
      <c r="E199" s="923"/>
      <c r="F199" s="923"/>
      <c r="G199" s="924"/>
      <c r="H199" s="920" t="s">
        <v>0</v>
      </c>
      <c r="I199" s="964">
        <f>H213</f>
        <v>970</v>
      </c>
    </row>
    <row r="200" spans="2:16" ht="13.5" customHeight="1">
      <c r="B200" s="965"/>
      <c r="C200" s="966"/>
      <c r="D200" s="967"/>
      <c r="E200" s="967"/>
      <c r="F200" s="968"/>
      <c r="G200" s="967"/>
      <c r="H200" s="968"/>
    </row>
    <row r="201" spans="2:16" ht="13.5" customHeight="1">
      <c r="B201" s="965"/>
      <c r="C201" s="1088" t="s">
        <v>17</v>
      </c>
      <c r="D201" s="1088"/>
      <c r="E201" s="948" t="s">
        <v>2</v>
      </c>
      <c r="F201" s="948" t="s">
        <v>18</v>
      </c>
      <c r="G201" s="949" t="s">
        <v>5</v>
      </c>
      <c r="H201" s="969" t="s">
        <v>4</v>
      </c>
    </row>
    <row r="202" spans="2:16" ht="13.5" hidden="1" customHeight="1">
      <c r="B202" s="965"/>
      <c r="C202" s="970" t="s">
        <v>597</v>
      </c>
      <c r="D202" s="971"/>
      <c r="E202" s="972" t="s">
        <v>2</v>
      </c>
      <c r="F202" s="973">
        <v>0</v>
      </c>
      <c r="G202" s="974">
        <v>4000</v>
      </c>
      <c r="H202" s="975">
        <f>+F202*G202</f>
        <v>0</v>
      </c>
    </row>
    <row r="203" spans="2:16" ht="13.5" hidden="1" customHeight="1">
      <c r="B203" s="965"/>
      <c r="C203" s="976" t="s">
        <v>242</v>
      </c>
      <c r="D203" s="977"/>
      <c r="E203" s="974" t="s">
        <v>2</v>
      </c>
      <c r="F203" s="978">
        <v>0</v>
      </c>
      <c r="G203" s="974">
        <v>900</v>
      </c>
      <c r="H203" s="975">
        <f>+F203*G203</f>
        <v>0</v>
      </c>
    </row>
    <row r="204" spans="2:16" ht="13.5" hidden="1" customHeight="1">
      <c r="B204" s="965"/>
      <c r="C204" s="979" t="s">
        <v>293</v>
      </c>
      <c r="D204" s="980"/>
      <c r="E204" s="981" t="s">
        <v>2</v>
      </c>
      <c r="F204" s="982">
        <v>0</v>
      </c>
      <c r="G204" s="974">
        <v>1200</v>
      </c>
      <c r="H204" s="975">
        <f>+F204*G204</f>
        <v>0</v>
      </c>
    </row>
    <row r="205" spans="2:16" ht="13.5" hidden="1" customHeight="1">
      <c r="B205" s="965"/>
      <c r="C205" s="983" t="s">
        <v>426</v>
      </c>
      <c r="D205" s="984"/>
      <c r="E205" s="981" t="s">
        <v>2</v>
      </c>
      <c r="F205" s="982">
        <v>0</v>
      </c>
      <c r="G205" s="974">
        <v>350</v>
      </c>
      <c r="H205" s="975">
        <f t="shared" ref="H205:H212" si="25">+F205*G205</f>
        <v>0</v>
      </c>
    </row>
    <row r="206" spans="2:16" ht="13.5" customHeight="1">
      <c r="B206" s="965"/>
      <c r="C206" s="983" t="s">
        <v>425</v>
      </c>
      <c r="D206" s="984"/>
      <c r="E206" s="981" t="s">
        <v>2</v>
      </c>
      <c r="F206" s="982">
        <v>1</v>
      </c>
      <c r="G206" s="974">
        <v>300</v>
      </c>
      <c r="H206" s="975">
        <f t="shared" si="25"/>
        <v>300</v>
      </c>
    </row>
    <row r="207" spans="2:16" ht="13.5" customHeight="1">
      <c r="B207" s="965"/>
      <c r="C207" s="983" t="s">
        <v>424</v>
      </c>
      <c r="D207" s="984"/>
      <c r="E207" s="981" t="s">
        <v>2</v>
      </c>
      <c r="F207" s="982">
        <v>1</v>
      </c>
      <c r="G207" s="974">
        <v>250</v>
      </c>
      <c r="H207" s="975">
        <f t="shared" si="25"/>
        <v>250</v>
      </c>
    </row>
    <row r="208" spans="2:16" ht="13.5" customHeight="1">
      <c r="B208" s="965"/>
      <c r="C208" s="983" t="s">
        <v>427</v>
      </c>
      <c r="D208" s="984"/>
      <c r="E208" s="981" t="s">
        <v>2</v>
      </c>
      <c r="F208" s="982">
        <v>1</v>
      </c>
      <c r="G208" s="974">
        <v>150</v>
      </c>
      <c r="H208" s="975">
        <f t="shared" si="25"/>
        <v>150</v>
      </c>
    </row>
    <row r="209" spans="2:11" ht="13.5" customHeight="1">
      <c r="B209" s="965"/>
      <c r="C209" s="983" t="s">
        <v>428</v>
      </c>
      <c r="D209" s="984"/>
      <c r="E209" s="981" t="s">
        <v>2</v>
      </c>
      <c r="F209" s="982">
        <v>1</v>
      </c>
      <c r="G209" s="974">
        <v>150</v>
      </c>
      <c r="H209" s="975">
        <f t="shared" si="25"/>
        <v>150</v>
      </c>
    </row>
    <row r="210" spans="2:11" ht="13.5" hidden="1" customHeight="1">
      <c r="B210" s="965"/>
      <c r="C210" s="983" t="s">
        <v>429</v>
      </c>
      <c r="D210" s="984"/>
      <c r="E210" s="981" t="s">
        <v>2</v>
      </c>
      <c r="F210" s="982">
        <v>0</v>
      </c>
      <c r="G210" s="974">
        <v>360</v>
      </c>
      <c r="H210" s="975">
        <f t="shared" si="25"/>
        <v>0</v>
      </c>
    </row>
    <row r="211" spans="2:11" ht="13.5" hidden="1" customHeight="1">
      <c r="B211" s="965"/>
      <c r="C211" s="983" t="s">
        <v>430</v>
      </c>
      <c r="D211" s="984"/>
      <c r="E211" s="981" t="s">
        <v>2</v>
      </c>
      <c r="F211" s="982">
        <v>0</v>
      </c>
      <c r="G211" s="974">
        <v>450</v>
      </c>
      <c r="H211" s="975">
        <f t="shared" si="25"/>
        <v>0</v>
      </c>
    </row>
    <row r="212" spans="2:11" ht="13.5" customHeight="1">
      <c r="B212" s="965"/>
      <c r="C212" s="983" t="s">
        <v>431</v>
      </c>
      <c r="D212" s="984"/>
      <c r="E212" s="981" t="s">
        <v>2</v>
      </c>
      <c r="F212" s="982">
        <v>2</v>
      </c>
      <c r="G212" s="974">
        <v>60</v>
      </c>
      <c r="H212" s="975">
        <f t="shared" si="25"/>
        <v>120</v>
      </c>
    </row>
    <row r="213" spans="2:11" ht="13.5" customHeight="1">
      <c r="B213" s="985"/>
      <c r="C213" s="1085" t="s">
        <v>3</v>
      </c>
      <c r="D213" s="1085"/>
      <c r="E213" s="1086"/>
      <c r="F213" s="1086"/>
      <c r="G213" s="1085"/>
      <c r="H213" s="986">
        <f>SUM(H202:H212)</f>
        <v>970</v>
      </c>
    </row>
    <row r="214" spans="2:11" ht="13.5" customHeight="1">
      <c r="B214" s="922"/>
      <c r="C214" s="755"/>
      <c r="D214" s="755"/>
      <c r="E214" s="755"/>
      <c r="F214" s="755"/>
      <c r="G214" s="755"/>
      <c r="H214" s="917"/>
      <c r="I214" s="923"/>
    </row>
    <row r="215" spans="2:11" ht="13.5" customHeight="1">
      <c r="B215" s="922"/>
      <c r="C215" s="755"/>
      <c r="D215" s="755"/>
      <c r="E215" s="755"/>
      <c r="F215" s="755"/>
      <c r="G215" s="755"/>
      <c r="H215" s="917"/>
      <c r="I215" s="923"/>
    </row>
    <row r="216" spans="2:11" ht="13.5" customHeight="1">
      <c r="B216" s="908">
        <v>4</v>
      </c>
      <c r="C216" s="909" t="s">
        <v>92</v>
      </c>
      <c r="D216" s="910"/>
      <c r="E216" s="910"/>
      <c r="F216" s="911"/>
      <c r="G216" s="912"/>
      <c r="H216" s="913" t="s">
        <v>0</v>
      </c>
      <c r="I216" s="914">
        <f>+I218</f>
        <v>1993.5</v>
      </c>
    </row>
    <row r="217" spans="2:11" ht="13.5" customHeight="1">
      <c r="B217" s="935"/>
      <c r="C217" s="936"/>
      <c r="D217" s="917"/>
      <c r="E217" s="917"/>
      <c r="F217" s="918"/>
      <c r="G217" s="937"/>
      <c r="H217" s="920"/>
      <c r="I217" s="921"/>
    </row>
    <row r="218" spans="2:11" ht="13.5" customHeight="1">
      <c r="B218" s="919">
        <v>4.01</v>
      </c>
      <c r="C218" s="859" t="s">
        <v>36</v>
      </c>
      <c r="D218" s="917"/>
      <c r="E218" s="917"/>
      <c r="F218" s="918"/>
      <c r="G218" s="918"/>
      <c r="H218" s="920" t="s">
        <v>0</v>
      </c>
      <c r="I218" s="964">
        <f>+H256</f>
        <v>1993.5</v>
      </c>
    </row>
    <row r="219" spans="2:11" ht="13.5" customHeight="1">
      <c r="B219" s="933"/>
      <c r="C219" s="859"/>
      <c r="D219" s="917"/>
      <c r="E219" s="917"/>
      <c r="F219" s="918"/>
      <c r="G219" s="918"/>
      <c r="H219" s="917"/>
      <c r="I219" s="923"/>
    </row>
    <row r="220" spans="2:11" ht="13.5" customHeight="1">
      <c r="B220" s="749"/>
      <c r="C220" s="1070" t="s">
        <v>34</v>
      </c>
      <c r="D220" s="1072"/>
      <c r="E220" s="927" t="s">
        <v>44</v>
      </c>
      <c r="F220" s="987" t="s">
        <v>18</v>
      </c>
      <c r="G220" s="927" t="s">
        <v>5</v>
      </c>
      <c r="H220" s="927" t="s">
        <v>4</v>
      </c>
      <c r="I220" s="923"/>
    </row>
    <row r="221" spans="2:11" ht="13.5" customHeight="1">
      <c r="B221" s="749"/>
      <c r="C221" s="1090" t="s">
        <v>432</v>
      </c>
      <c r="D221" s="1091"/>
      <c r="E221" s="974" t="s">
        <v>2</v>
      </c>
      <c r="F221" s="951">
        <v>1</v>
      </c>
      <c r="G221" s="974">
        <v>350</v>
      </c>
      <c r="H221" s="975">
        <f>F221*G221</f>
        <v>350</v>
      </c>
      <c r="I221" s="923"/>
      <c r="J221" s="748" t="e">
        <f t="shared" ref="J221:J255" si="26">+E221*3</f>
        <v>#VALUE!</v>
      </c>
      <c r="K221" s="748">
        <f>60/18</f>
        <v>3.3333333333333335</v>
      </c>
    </row>
    <row r="222" spans="2:11" ht="13.5" customHeight="1">
      <c r="B222" s="749"/>
      <c r="C222" s="1090" t="s">
        <v>257</v>
      </c>
      <c r="D222" s="1091"/>
      <c r="E222" s="974" t="s">
        <v>258</v>
      </c>
      <c r="F222" s="951">
        <v>1</v>
      </c>
      <c r="G222" s="974">
        <v>350</v>
      </c>
      <c r="H222" s="975">
        <f t="shared" ref="H222:H255" si="27">F222*G222</f>
        <v>350</v>
      </c>
      <c r="I222" s="923"/>
      <c r="J222" s="748" t="e">
        <f t="shared" si="26"/>
        <v>#VALUE!</v>
      </c>
    </row>
    <row r="223" spans="2:11" ht="13.5" customHeight="1">
      <c r="B223" s="749"/>
      <c r="C223" s="1090" t="s">
        <v>259</v>
      </c>
      <c r="D223" s="1091"/>
      <c r="E223" s="974" t="s">
        <v>256</v>
      </c>
      <c r="F223" s="951">
        <v>1</v>
      </c>
      <c r="G223" s="974">
        <v>50</v>
      </c>
      <c r="H223" s="975">
        <f t="shared" si="27"/>
        <v>50</v>
      </c>
      <c r="I223" s="923"/>
      <c r="J223" s="748" t="e">
        <f t="shared" si="26"/>
        <v>#VALUE!</v>
      </c>
    </row>
    <row r="224" spans="2:11" ht="13.5" customHeight="1">
      <c r="B224" s="749"/>
      <c r="C224" s="1090" t="s">
        <v>260</v>
      </c>
      <c r="D224" s="1091"/>
      <c r="E224" s="974" t="s">
        <v>256</v>
      </c>
      <c r="F224" s="951">
        <v>1</v>
      </c>
      <c r="G224" s="974">
        <v>7</v>
      </c>
      <c r="H224" s="975">
        <f t="shared" si="27"/>
        <v>7</v>
      </c>
      <c r="I224" s="923"/>
      <c r="J224" s="748" t="e">
        <f t="shared" si="26"/>
        <v>#VALUE!</v>
      </c>
    </row>
    <row r="225" spans="2:10" ht="13.5" customHeight="1">
      <c r="B225" s="749"/>
      <c r="C225" s="1090" t="s">
        <v>261</v>
      </c>
      <c r="D225" s="1091"/>
      <c r="E225" s="974" t="s">
        <v>2</v>
      </c>
      <c r="F225" s="951">
        <v>1</v>
      </c>
      <c r="G225" s="974">
        <v>25</v>
      </c>
      <c r="H225" s="975">
        <f t="shared" si="27"/>
        <v>25</v>
      </c>
      <c r="I225" s="923"/>
      <c r="J225" s="748" t="e">
        <f t="shared" si="26"/>
        <v>#VALUE!</v>
      </c>
    </row>
    <row r="226" spans="2:10" ht="13.5" customHeight="1">
      <c r="B226" s="749"/>
      <c r="C226" s="1090" t="s">
        <v>269</v>
      </c>
      <c r="D226" s="1091"/>
      <c r="E226" s="974" t="s">
        <v>256</v>
      </c>
      <c r="F226" s="951">
        <v>2</v>
      </c>
      <c r="G226" s="974">
        <v>12</v>
      </c>
      <c r="H226" s="975">
        <f t="shared" si="27"/>
        <v>24</v>
      </c>
      <c r="I226" s="923"/>
      <c r="J226" s="748" t="e">
        <f t="shared" si="26"/>
        <v>#VALUE!</v>
      </c>
    </row>
    <row r="227" spans="2:10" ht="13.5" customHeight="1">
      <c r="B227" s="749"/>
      <c r="C227" s="1090" t="s">
        <v>40</v>
      </c>
      <c r="D227" s="1091"/>
      <c r="E227" s="974" t="s">
        <v>2</v>
      </c>
      <c r="F227" s="951">
        <v>15</v>
      </c>
      <c r="G227" s="974">
        <v>25</v>
      </c>
      <c r="H227" s="975">
        <f t="shared" si="27"/>
        <v>375</v>
      </c>
      <c r="I227" s="923"/>
      <c r="J227" s="748" t="e">
        <f t="shared" si="26"/>
        <v>#VALUE!</v>
      </c>
    </row>
    <row r="228" spans="2:10" ht="13.5" hidden="1" customHeight="1">
      <c r="B228" s="749"/>
      <c r="C228" s="1090" t="s">
        <v>71</v>
      </c>
      <c r="D228" s="1091"/>
      <c r="E228" s="974" t="s">
        <v>2</v>
      </c>
      <c r="F228" s="951">
        <v>0</v>
      </c>
      <c r="G228" s="974">
        <v>1</v>
      </c>
      <c r="H228" s="975">
        <f t="shared" si="27"/>
        <v>0</v>
      </c>
      <c r="I228" s="923"/>
      <c r="J228" s="748" t="e">
        <f t="shared" si="26"/>
        <v>#VALUE!</v>
      </c>
    </row>
    <row r="229" spans="2:10" ht="13.5" customHeight="1">
      <c r="B229" s="749"/>
      <c r="C229" s="1090" t="s">
        <v>69</v>
      </c>
      <c r="D229" s="1091"/>
      <c r="E229" s="974" t="s">
        <v>2</v>
      </c>
      <c r="F229" s="951">
        <v>1</v>
      </c>
      <c r="G229" s="974">
        <v>1</v>
      </c>
      <c r="H229" s="975">
        <f t="shared" si="27"/>
        <v>1</v>
      </c>
      <c r="I229" s="923"/>
      <c r="J229" s="748" t="e">
        <f t="shared" si="26"/>
        <v>#VALUE!</v>
      </c>
    </row>
    <row r="230" spans="2:10" ht="13.5" customHeight="1">
      <c r="B230" s="749"/>
      <c r="C230" s="1090" t="s">
        <v>79</v>
      </c>
      <c r="D230" s="1091"/>
      <c r="E230" s="974" t="s">
        <v>35</v>
      </c>
      <c r="F230" s="951">
        <v>1</v>
      </c>
      <c r="G230" s="974">
        <v>60</v>
      </c>
      <c r="H230" s="975">
        <f t="shared" si="27"/>
        <v>60</v>
      </c>
      <c r="I230" s="923"/>
      <c r="J230" s="748" t="e">
        <f t="shared" si="26"/>
        <v>#VALUE!</v>
      </c>
    </row>
    <row r="231" spans="2:10" ht="13.5" customHeight="1">
      <c r="B231" s="749"/>
      <c r="C231" s="1090" t="s">
        <v>59</v>
      </c>
      <c r="D231" s="1091"/>
      <c r="E231" s="974" t="s">
        <v>2</v>
      </c>
      <c r="F231" s="951">
        <v>1</v>
      </c>
      <c r="G231" s="974">
        <v>5</v>
      </c>
      <c r="H231" s="975">
        <f t="shared" si="27"/>
        <v>5</v>
      </c>
      <c r="I231" s="923"/>
      <c r="J231" s="748" t="e">
        <f t="shared" si="26"/>
        <v>#VALUE!</v>
      </c>
    </row>
    <row r="232" spans="2:10" ht="13.5" customHeight="1">
      <c r="B232" s="749"/>
      <c r="C232" s="1090" t="s">
        <v>67</v>
      </c>
      <c r="D232" s="1091"/>
      <c r="E232" s="974" t="s">
        <v>2</v>
      </c>
      <c r="F232" s="951">
        <v>2</v>
      </c>
      <c r="G232" s="974">
        <v>5</v>
      </c>
      <c r="H232" s="975">
        <f t="shared" si="27"/>
        <v>10</v>
      </c>
      <c r="I232" s="923"/>
      <c r="J232" s="748" t="e">
        <f t="shared" si="26"/>
        <v>#VALUE!</v>
      </c>
    </row>
    <row r="233" spans="2:10" ht="13.5" hidden="1" customHeight="1">
      <c r="B233" s="749"/>
      <c r="C233" s="1090" t="s">
        <v>38</v>
      </c>
      <c r="D233" s="1091"/>
      <c r="E233" s="974" t="s">
        <v>2</v>
      </c>
      <c r="F233" s="951">
        <v>0</v>
      </c>
      <c r="G233" s="974">
        <v>6</v>
      </c>
      <c r="H233" s="975">
        <f t="shared" si="27"/>
        <v>0</v>
      </c>
      <c r="I233" s="923"/>
      <c r="J233" s="748" t="e">
        <f t="shared" si="26"/>
        <v>#VALUE!</v>
      </c>
    </row>
    <row r="234" spans="2:10" ht="13.5" hidden="1" customHeight="1">
      <c r="B234" s="749"/>
      <c r="C234" s="1090" t="s">
        <v>39</v>
      </c>
      <c r="D234" s="1091"/>
      <c r="E234" s="974" t="s">
        <v>2</v>
      </c>
      <c r="F234" s="951">
        <v>0</v>
      </c>
      <c r="G234" s="974">
        <v>6</v>
      </c>
      <c r="H234" s="975">
        <f t="shared" si="27"/>
        <v>0</v>
      </c>
      <c r="I234" s="923"/>
      <c r="J234" s="748" t="e">
        <f t="shared" si="26"/>
        <v>#VALUE!</v>
      </c>
    </row>
    <row r="235" spans="2:10" ht="13.5" customHeight="1">
      <c r="B235" s="749"/>
      <c r="C235" s="1090" t="s">
        <v>86</v>
      </c>
      <c r="D235" s="1091"/>
      <c r="E235" s="974" t="s">
        <v>2</v>
      </c>
      <c r="F235" s="951">
        <v>1</v>
      </c>
      <c r="G235" s="974">
        <v>2</v>
      </c>
      <c r="H235" s="975">
        <f t="shared" si="27"/>
        <v>2</v>
      </c>
      <c r="I235" s="923"/>
      <c r="J235" s="748" t="e">
        <f t="shared" si="26"/>
        <v>#VALUE!</v>
      </c>
    </row>
    <row r="236" spans="2:10" ht="13.5" customHeight="1">
      <c r="B236" s="749"/>
      <c r="C236" s="1090" t="s">
        <v>578</v>
      </c>
      <c r="D236" s="1091"/>
      <c r="E236" s="974" t="s">
        <v>2</v>
      </c>
      <c r="F236" s="951">
        <v>1</v>
      </c>
      <c r="G236" s="974">
        <v>50</v>
      </c>
      <c r="H236" s="975">
        <f t="shared" si="27"/>
        <v>50</v>
      </c>
      <c r="I236" s="923"/>
      <c r="J236" s="748" t="e">
        <f t="shared" si="26"/>
        <v>#VALUE!</v>
      </c>
    </row>
    <row r="237" spans="2:10" ht="13.5" customHeight="1">
      <c r="B237" s="749"/>
      <c r="C237" s="1090" t="s">
        <v>579</v>
      </c>
      <c r="D237" s="1091"/>
      <c r="E237" s="974" t="s">
        <v>2</v>
      </c>
      <c r="F237" s="951">
        <v>1</v>
      </c>
      <c r="G237" s="974">
        <v>45</v>
      </c>
      <c r="H237" s="975">
        <f t="shared" si="27"/>
        <v>45</v>
      </c>
      <c r="I237" s="923"/>
      <c r="J237" s="748" t="e">
        <f t="shared" si="26"/>
        <v>#VALUE!</v>
      </c>
    </row>
    <row r="238" spans="2:10" ht="13.5" customHeight="1">
      <c r="B238" s="749"/>
      <c r="C238" s="1090" t="s">
        <v>580</v>
      </c>
      <c r="D238" s="1091"/>
      <c r="E238" s="974" t="s">
        <v>2</v>
      </c>
      <c r="F238" s="951">
        <v>1</v>
      </c>
      <c r="G238" s="974">
        <v>40</v>
      </c>
      <c r="H238" s="975">
        <f t="shared" si="27"/>
        <v>40</v>
      </c>
      <c r="I238" s="923"/>
      <c r="J238" s="748" t="e">
        <f t="shared" si="26"/>
        <v>#VALUE!</v>
      </c>
    </row>
    <row r="239" spans="2:10" ht="13.5" customHeight="1">
      <c r="B239" s="749"/>
      <c r="C239" s="1090" t="s">
        <v>232</v>
      </c>
      <c r="D239" s="1091"/>
      <c r="E239" s="974" t="s">
        <v>2</v>
      </c>
      <c r="F239" s="951">
        <v>1</v>
      </c>
      <c r="G239" s="974">
        <v>10</v>
      </c>
      <c r="H239" s="975">
        <f t="shared" si="27"/>
        <v>10</v>
      </c>
      <c r="I239" s="923"/>
      <c r="J239" s="748" t="e">
        <f t="shared" si="26"/>
        <v>#VALUE!</v>
      </c>
    </row>
    <row r="240" spans="2:10" ht="13.5" customHeight="1">
      <c r="B240" s="749"/>
      <c r="C240" s="1090" t="s">
        <v>80</v>
      </c>
      <c r="D240" s="1091"/>
      <c r="E240" s="974" t="s">
        <v>2</v>
      </c>
      <c r="F240" s="951">
        <v>1</v>
      </c>
      <c r="G240" s="974">
        <v>8</v>
      </c>
      <c r="H240" s="975">
        <f t="shared" si="27"/>
        <v>8</v>
      </c>
      <c r="I240" s="923"/>
      <c r="J240" s="748" t="e">
        <f t="shared" si="26"/>
        <v>#VALUE!</v>
      </c>
    </row>
    <row r="241" spans="2:12" ht="13.5" customHeight="1">
      <c r="B241" s="749"/>
      <c r="C241" s="1090" t="s">
        <v>81</v>
      </c>
      <c r="D241" s="1091"/>
      <c r="E241" s="974" t="s">
        <v>2</v>
      </c>
      <c r="F241" s="951">
        <v>1</v>
      </c>
      <c r="G241" s="974">
        <v>25</v>
      </c>
      <c r="H241" s="975">
        <f t="shared" si="27"/>
        <v>25</v>
      </c>
      <c r="I241" s="923"/>
      <c r="J241" s="748" t="e">
        <f t="shared" si="26"/>
        <v>#VALUE!</v>
      </c>
    </row>
    <row r="242" spans="2:12" ht="13.5" customHeight="1">
      <c r="B242" s="749"/>
      <c r="C242" s="1090" t="s">
        <v>58</v>
      </c>
      <c r="D242" s="1091"/>
      <c r="E242" s="974" t="s">
        <v>35</v>
      </c>
      <c r="F242" s="951">
        <v>1</v>
      </c>
      <c r="G242" s="974">
        <v>6</v>
      </c>
      <c r="H242" s="975">
        <f t="shared" si="27"/>
        <v>6</v>
      </c>
      <c r="I242" s="923"/>
      <c r="J242" s="748" t="e">
        <f t="shared" si="26"/>
        <v>#VALUE!</v>
      </c>
    </row>
    <row r="243" spans="2:12" ht="13.5" customHeight="1">
      <c r="B243" s="749"/>
      <c r="C243" s="1090" t="s">
        <v>57</v>
      </c>
      <c r="D243" s="1091"/>
      <c r="E243" s="974" t="s">
        <v>581</v>
      </c>
      <c r="F243" s="951">
        <v>1</v>
      </c>
      <c r="G243" s="974">
        <v>10</v>
      </c>
      <c r="H243" s="975">
        <f t="shared" si="27"/>
        <v>10</v>
      </c>
      <c r="I243" s="923"/>
      <c r="J243" s="748" t="e">
        <f t="shared" si="26"/>
        <v>#VALUE!</v>
      </c>
    </row>
    <row r="244" spans="2:12" ht="13.5" customHeight="1">
      <c r="B244" s="749"/>
      <c r="C244" s="1090" t="s">
        <v>72</v>
      </c>
      <c r="D244" s="1091"/>
      <c r="E244" s="974" t="s">
        <v>35</v>
      </c>
      <c r="F244" s="951">
        <v>1</v>
      </c>
      <c r="G244" s="974">
        <v>20</v>
      </c>
      <c r="H244" s="975">
        <f t="shared" si="27"/>
        <v>20</v>
      </c>
      <c r="I244" s="923"/>
      <c r="J244" s="748" t="e">
        <f t="shared" si="26"/>
        <v>#VALUE!</v>
      </c>
    </row>
    <row r="245" spans="2:12" ht="13.5" customHeight="1">
      <c r="B245" s="749"/>
      <c r="C245" s="1090" t="s">
        <v>43</v>
      </c>
      <c r="D245" s="1091"/>
      <c r="E245" s="974" t="s">
        <v>37</v>
      </c>
      <c r="F245" s="951">
        <v>8</v>
      </c>
      <c r="G245" s="974">
        <v>30</v>
      </c>
      <c r="H245" s="975">
        <f t="shared" si="27"/>
        <v>240</v>
      </c>
      <c r="I245" s="923"/>
      <c r="J245" s="748" t="e">
        <f t="shared" si="26"/>
        <v>#VALUE!</v>
      </c>
    </row>
    <row r="246" spans="2:12" ht="13.5" customHeight="1">
      <c r="B246" s="749"/>
      <c r="C246" s="1090" t="s">
        <v>582</v>
      </c>
      <c r="D246" s="1091"/>
      <c r="E246" s="974" t="s">
        <v>583</v>
      </c>
      <c r="F246" s="951">
        <v>1</v>
      </c>
      <c r="G246" s="974">
        <v>30</v>
      </c>
      <c r="H246" s="975">
        <f t="shared" si="27"/>
        <v>30</v>
      </c>
      <c r="I246" s="923"/>
      <c r="J246" s="748" t="e">
        <f t="shared" si="26"/>
        <v>#VALUE!</v>
      </c>
    </row>
    <row r="247" spans="2:12" ht="13.5" customHeight="1">
      <c r="B247" s="749"/>
      <c r="C247" s="1090" t="s">
        <v>584</v>
      </c>
      <c r="D247" s="1091"/>
      <c r="E247" s="974" t="s">
        <v>583</v>
      </c>
      <c r="F247" s="951">
        <v>1</v>
      </c>
      <c r="G247" s="974">
        <v>25</v>
      </c>
      <c r="H247" s="975">
        <f t="shared" si="27"/>
        <v>25</v>
      </c>
      <c r="I247" s="923"/>
      <c r="J247" s="748" t="e">
        <f t="shared" si="26"/>
        <v>#VALUE!</v>
      </c>
    </row>
    <row r="248" spans="2:12" ht="13.5" customHeight="1">
      <c r="B248" s="749"/>
      <c r="C248" s="1090" t="s">
        <v>585</v>
      </c>
      <c r="D248" s="1091"/>
      <c r="E248" s="974" t="s">
        <v>583</v>
      </c>
      <c r="F248" s="951">
        <v>1</v>
      </c>
      <c r="G248" s="974">
        <v>25</v>
      </c>
      <c r="H248" s="975">
        <f t="shared" si="27"/>
        <v>25</v>
      </c>
      <c r="I248" s="923"/>
      <c r="J248" s="748" t="e">
        <f t="shared" si="26"/>
        <v>#VALUE!</v>
      </c>
    </row>
    <row r="249" spans="2:12" ht="13.5" customHeight="1">
      <c r="B249" s="749"/>
      <c r="C249" s="1090" t="s">
        <v>586</v>
      </c>
      <c r="D249" s="1091"/>
      <c r="E249" s="974" t="s">
        <v>256</v>
      </c>
      <c r="F249" s="951">
        <v>1</v>
      </c>
      <c r="G249" s="974">
        <v>50</v>
      </c>
      <c r="H249" s="975">
        <f t="shared" si="27"/>
        <v>50</v>
      </c>
      <c r="I249" s="923"/>
      <c r="J249" s="748" t="e">
        <f t="shared" si="26"/>
        <v>#VALUE!</v>
      </c>
    </row>
    <row r="250" spans="2:12" ht="13.5" customHeight="1">
      <c r="B250" s="749"/>
      <c r="C250" s="1090" t="s">
        <v>65</v>
      </c>
      <c r="D250" s="1091"/>
      <c r="E250" s="974" t="s">
        <v>2</v>
      </c>
      <c r="F250" s="951">
        <v>2</v>
      </c>
      <c r="G250" s="974">
        <v>5</v>
      </c>
      <c r="H250" s="975">
        <f t="shared" si="27"/>
        <v>10</v>
      </c>
      <c r="I250" s="923"/>
      <c r="J250" s="748" t="e">
        <f t="shared" si="26"/>
        <v>#VALUE!</v>
      </c>
    </row>
    <row r="251" spans="2:12" ht="13.5" hidden="1" customHeight="1">
      <c r="B251" s="749"/>
      <c r="C251" s="1090" t="s">
        <v>82</v>
      </c>
      <c r="D251" s="1091"/>
      <c r="E251" s="974" t="s">
        <v>2</v>
      </c>
      <c r="F251" s="951">
        <v>0</v>
      </c>
      <c r="G251" s="974">
        <v>3</v>
      </c>
      <c r="H251" s="975">
        <f t="shared" si="27"/>
        <v>0</v>
      </c>
      <c r="I251" s="923"/>
      <c r="J251" s="748" t="e">
        <f t="shared" si="26"/>
        <v>#VALUE!</v>
      </c>
    </row>
    <row r="252" spans="2:12" ht="13.5" customHeight="1">
      <c r="B252" s="749"/>
      <c r="C252" s="1090" t="s">
        <v>61</v>
      </c>
      <c r="D252" s="1091"/>
      <c r="E252" s="974" t="s">
        <v>35</v>
      </c>
      <c r="F252" s="951">
        <v>1</v>
      </c>
      <c r="G252" s="974">
        <v>30</v>
      </c>
      <c r="H252" s="975">
        <f t="shared" si="27"/>
        <v>30</v>
      </c>
      <c r="I252" s="923"/>
      <c r="J252" s="748" t="e">
        <f t="shared" si="26"/>
        <v>#VALUE!</v>
      </c>
    </row>
    <row r="253" spans="2:12" ht="13.5" customHeight="1">
      <c r="B253" s="749"/>
      <c r="C253" s="1090" t="s">
        <v>63</v>
      </c>
      <c r="D253" s="1091"/>
      <c r="E253" s="974" t="s">
        <v>2</v>
      </c>
      <c r="F253" s="951">
        <v>2</v>
      </c>
      <c r="G253" s="974">
        <v>3</v>
      </c>
      <c r="H253" s="975">
        <f t="shared" si="27"/>
        <v>6</v>
      </c>
      <c r="I253" s="923"/>
      <c r="J253" s="748" t="e">
        <f t="shared" si="26"/>
        <v>#VALUE!</v>
      </c>
    </row>
    <row r="254" spans="2:12" ht="13.5" customHeight="1">
      <c r="B254" s="749"/>
      <c r="C254" s="1090" t="s">
        <v>66</v>
      </c>
      <c r="D254" s="1091"/>
      <c r="E254" s="974" t="s">
        <v>2</v>
      </c>
      <c r="F254" s="951">
        <v>1</v>
      </c>
      <c r="G254" s="974">
        <v>4.5</v>
      </c>
      <c r="H254" s="975">
        <f t="shared" si="27"/>
        <v>4.5</v>
      </c>
      <c r="I254" s="923"/>
      <c r="J254" s="748" t="e">
        <f t="shared" si="26"/>
        <v>#VALUE!</v>
      </c>
    </row>
    <row r="255" spans="2:12" ht="13.5" customHeight="1">
      <c r="B255" s="749"/>
      <c r="C255" s="1090" t="s">
        <v>41</v>
      </c>
      <c r="D255" s="1090"/>
      <c r="E255" s="988" t="s">
        <v>2</v>
      </c>
      <c r="F255" s="951">
        <v>4</v>
      </c>
      <c r="G255" s="974">
        <v>25</v>
      </c>
      <c r="H255" s="975">
        <f t="shared" si="27"/>
        <v>100</v>
      </c>
      <c r="I255" s="923"/>
      <c r="J255" s="748" t="e">
        <f t="shared" si="26"/>
        <v>#VALUE!</v>
      </c>
      <c r="L255" s="989">
        <v>7044.4</v>
      </c>
    </row>
    <row r="256" spans="2:12" ht="13.5" customHeight="1">
      <c r="B256" s="922"/>
      <c r="C256" s="1086" t="s">
        <v>3</v>
      </c>
      <c r="D256" s="1086"/>
      <c r="E256" s="1086"/>
      <c r="F256" s="1086"/>
      <c r="G256" s="1086"/>
      <c r="H256" s="932">
        <f>SUM(H221:H255)</f>
        <v>1993.5</v>
      </c>
      <c r="I256" s="923"/>
    </row>
    <row r="257" spans="2:11" ht="13.5" customHeight="1">
      <c r="B257" s="922"/>
      <c r="C257" s="755"/>
      <c r="D257" s="755"/>
      <c r="E257" s="755"/>
      <c r="F257" s="755"/>
      <c r="G257" s="755"/>
      <c r="H257" s="917"/>
      <c r="I257" s="923"/>
    </row>
    <row r="258" spans="2:11" s="874" customFormat="1" ht="13.5" customHeight="1">
      <c r="B258" s="942" t="s">
        <v>315</v>
      </c>
      <c r="C258" s="943"/>
      <c r="D258" s="898"/>
      <c r="E258" s="898"/>
      <c r="F258" s="898"/>
      <c r="G258" s="899"/>
      <c r="H258" s="899" t="s">
        <v>0</v>
      </c>
      <c r="I258" s="900">
        <f>+ROUND((I261+I272+I279),2)</f>
        <v>2080</v>
      </c>
      <c r="J258" s="901"/>
    </row>
    <row r="259" spans="2:11" s="903" customFormat="1" ht="13.5" customHeight="1">
      <c r="B259" s="944"/>
      <c r="C259" s="945"/>
      <c r="D259" s="904"/>
      <c r="E259" s="904"/>
      <c r="F259" s="904"/>
      <c r="G259" s="905"/>
      <c r="H259" s="905"/>
      <c r="I259" s="906"/>
      <c r="J259" s="907"/>
    </row>
    <row r="260" spans="2:11" ht="13.5" customHeight="1">
      <c r="B260" s="933"/>
      <c r="C260" s="859"/>
      <c r="D260" s="917"/>
      <c r="E260" s="917"/>
      <c r="F260" s="918"/>
      <c r="G260" s="918"/>
      <c r="H260" s="917"/>
      <c r="I260" s="923"/>
    </row>
    <row r="261" spans="2:11" ht="13.5" customHeight="1">
      <c r="B261" s="919">
        <v>1</v>
      </c>
      <c r="C261" s="859" t="s">
        <v>20</v>
      </c>
      <c r="D261" s="917"/>
      <c r="E261" s="917"/>
      <c r="F261" s="918"/>
      <c r="G261" s="918"/>
      <c r="H261" s="920" t="s">
        <v>0</v>
      </c>
      <c r="I261" s="921">
        <f>+H270</f>
        <v>1180</v>
      </c>
    </row>
    <row r="262" spans="2:11" ht="13.5" customHeight="1">
      <c r="B262" s="933"/>
      <c r="C262" s="859"/>
      <c r="D262" s="917"/>
      <c r="E262" s="917"/>
      <c r="F262" s="918"/>
      <c r="G262" s="918"/>
      <c r="H262" s="917"/>
      <c r="I262" s="923"/>
    </row>
    <row r="263" spans="2:11" ht="13.5" customHeight="1">
      <c r="B263" s="749"/>
      <c r="C263" s="1070" t="s">
        <v>34</v>
      </c>
      <c r="D263" s="1072"/>
      <c r="E263" s="927" t="s">
        <v>44</v>
      </c>
      <c r="F263" s="927" t="s">
        <v>18</v>
      </c>
      <c r="G263" s="940" t="s">
        <v>5</v>
      </c>
      <c r="H263" s="940" t="s">
        <v>4</v>
      </c>
      <c r="I263" s="923"/>
    </row>
    <row r="264" spans="2:11" ht="13.5" hidden="1" customHeight="1">
      <c r="B264" s="749"/>
      <c r="C264" s="1093" t="s">
        <v>587</v>
      </c>
      <c r="D264" s="1094"/>
      <c r="E264" s="992" t="s">
        <v>9</v>
      </c>
      <c r="F264" s="993">
        <v>0</v>
      </c>
      <c r="G264" s="858">
        <v>1500</v>
      </c>
      <c r="H264" s="994">
        <f t="shared" ref="H264:H269" si="28">F264*G264</f>
        <v>0</v>
      </c>
      <c r="I264" s="923"/>
    </row>
    <row r="265" spans="2:11" ht="13.5" hidden="1" customHeight="1">
      <c r="B265" s="749"/>
      <c r="C265" s="990" t="s">
        <v>588</v>
      </c>
      <c r="D265" s="991"/>
      <c r="E265" s="992" t="s">
        <v>9</v>
      </c>
      <c r="F265" s="993">
        <v>0</v>
      </c>
      <c r="G265" s="858">
        <v>1500</v>
      </c>
      <c r="H265" s="994">
        <f t="shared" si="28"/>
        <v>0</v>
      </c>
      <c r="I265" s="923"/>
    </row>
    <row r="266" spans="2:11" ht="13.5" customHeight="1">
      <c r="B266" s="749"/>
      <c r="C266" s="1093" t="s">
        <v>589</v>
      </c>
      <c r="D266" s="1094"/>
      <c r="E266" s="992" t="s">
        <v>2</v>
      </c>
      <c r="F266" s="993">
        <v>1</v>
      </c>
      <c r="G266" s="858">
        <v>90</v>
      </c>
      <c r="H266" s="994">
        <f t="shared" si="28"/>
        <v>90</v>
      </c>
      <c r="I266" s="923"/>
    </row>
    <row r="267" spans="2:11" ht="13.5" customHeight="1">
      <c r="B267" s="749"/>
      <c r="C267" s="1093" t="s">
        <v>590</v>
      </c>
      <c r="D267" s="1094"/>
      <c r="E267" s="992" t="s">
        <v>2</v>
      </c>
      <c r="F267" s="993">
        <v>1</v>
      </c>
      <c r="G267" s="858">
        <v>90</v>
      </c>
      <c r="H267" s="994">
        <f t="shared" si="28"/>
        <v>90</v>
      </c>
      <c r="I267" s="923"/>
    </row>
    <row r="268" spans="2:11" ht="13.5" customHeight="1">
      <c r="B268" s="749"/>
      <c r="C268" s="1093" t="s">
        <v>591</v>
      </c>
      <c r="D268" s="1094"/>
      <c r="E268" s="992" t="s">
        <v>2</v>
      </c>
      <c r="F268" s="993">
        <v>0</v>
      </c>
      <c r="G268" s="858">
        <v>90</v>
      </c>
      <c r="H268" s="994">
        <f t="shared" si="28"/>
        <v>0</v>
      </c>
      <c r="I268" s="923"/>
    </row>
    <row r="269" spans="2:11" ht="13.5" customHeight="1">
      <c r="B269" s="749"/>
      <c r="C269" s="990" t="s">
        <v>415</v>
      </c>
      <c r="D269" s="991"/>
      <c r="E269" s="992" t="s">
        <v>9</v>
      </c>
      <c r="F269" s="993">
        <v>1</v>
      </c>
      <c r="G269" s="858">
        <v>1000</v>
      </c>
      <c r="H269" s="994">
        <f t="shared" si="28"/>
        <v>1000</v>
      </c>
      <c r="I269" s="923"/>
    </row>
    <row r="270" spans="2:11" ht="13.5" customHeight="1">
      <c r="B270" s="922"/>
      <c r="C270" s="1086" t="s">
        <v>3</v>
      </c>
      <c r="D270" s="1086"/>
      <c r="E270" s="1086"/>
      <c r="F270" s="1086"/>
      <c r="G270" s="1085"/>
      <c r="H270" s="941">
        <f>SUM(H264:H269)</f>
        <v>1180</v>
      </c>
      <c r="I270" s="923"/>
      <c r="K270" s="748">
        <v>990</v>
      </c>
    </row>
    <row r="271" spans="2:11" ht="13.5" customHeight="1">
      <c r="B271" s="922"/>
      <c r="C271" s="755"/>
      <c r="D271" s="755"/>
      <c r="E271" s="755"/>
      <c r="F271" s="755"/>
      <c r="G271" s="755"/>
      <c r="H271" s="917"/>
      <c r="I271" s="923"/>
    </row>
    <row r="272" spans="2:11" ht="13.5" customHeight="1">
      <c r="B272" s="919">
        <v>2</v>
      </c>
      <c r="C272" s="859" t="s">
        <v>42</v>
      </c>
      <c r="D272" s="917"/>
      <c r="E272" s="917"/>
      <c r="F272" s="918"/>
      <c r="G272" s="918"/>
      <c r="H272" s="920" t="s">
        <v>0</v>
      </c>
      <c r="I272" s="921">
        <f>+H277</f>
        <v>900</v>
      </c>
    </row>
    <row r="273" spans="2:14" ht="13.5" customHeight="1">
      <c r="B273" s="933"/>
      <c r="C273" s="859"/>
      <c r="D273" s="917"/>
      <c r="E273" s="917"/>
      <c r="F273" s="918"/>
      <c r="G273" s="918"/>
      <c r="H273" s="917"/>
      <c r="I273" s="923"/>
    </row>
    <row r="274" spans="2:14" ht="13.5" customHeight="1">
      <c r="B274" s="749"/>
      <c r="C274" s="926" t="s">
        <v>34</v>
      </c>
      <c r="D274" s="927" t="s">
        <v>44</v>
      </c>
      <c r="E274" s="927" t="s">
        <v>18</v>
      </c>
      <c r="F274" s="927" t="s">
        <v>32</v>
      </c>
      <c r="G274" s="940" t="s">
        <v>5</v>
      </c>
      <c r="H274" s="940" t="s">
        <v>4</v>
      </c>
      <c r="I274" s="923"/>
    </row>
    <row r="275" spans="2:14" ht="13.5" customHeight="1">
      <c r="B275" s="749"/>
      <c r="C275" s="995" t="s">
        <v>249</v>
      </c>
      <c r="D275" s="996" t="s">
        <v>238</v>
      </c>
      <c r="E275" s="996">
        <v>1</v>
      </c>
      <c r="F275" s="997">
        <v>3</v>
      </c>
      <c r="G275" s="974">
        <v>150</v>
      </c>
      <c r="H275" s="994">
        <f>+E275*F275*G275</f>
        <v>450</v>
      </c>
      <c r="I275" s="923"/>
      <c r="K275" s="748">
        <v>1250</v>
      </c>
    </row>
    <row r="276" spans="2:14" ht="13.5" customHeight="1">
      <c r="B276" s="749"/>
      <c r="C276" s="995" t="s">
        <v>322</v>
      </c>
      <c r="D276" s="996" t="s">
        <v>238</v>
      </c>
      <c r="E276" s="996">
        <v>1</v>
      </c>
      <c r="F276" s="997">
        <v>3</v>
      </c>
      <c r="G276" s="974">
        <v>150</v>
      </c>
      <c r="H276" s="994">
        <f>+E276*F276*G276</f>
        <v>450</v>
      </c>
      <c r="I276" s="923"/>
    </row>
    <row r="277" spans="2:14" ht="13.5" customHeight="1">
      <c r="B277" s="749"/>
      <c r="C277" s="1086" t="s">
        <v>3</v>
      </c>
      <c r="D277" s="1086"/>
      <c r="E277" s="1086"/>
      <c r="F277" s="1086"/>
      <c r="G277" s="1085"/>
      <c r="H277" s="941">
        <f>SUM(H275:H276)</f>
        <v>900</v>
      </c>
      <c r="I277" s="923"/>
    </row>
    <row r="278" spans="2:14" ht="13.5" customHeight="1">
      <c r="B278" s="749"/>
      <c r="C278" s="755"/>
      <c r="D278" s="755"/>
      <c r="E278" s="755"/>
      <c r="F278" s="755"/>
      <c r="G278" s="755"/>
      <c r="H278" s="917"/>
      <c r="I278" s="923"/>
    </row>
    <row r="279" spans="2:14" ht="13.5" hidden="1" customHeight="1">
      <c r="B279" s="919">
        <v>3</v>
      </c>
      <c r="C279" s="859" t="s">
        <v>457</v>
      </c>
      <c r="D279" s="917"/>
      <c r="E279" s="917"/>
      <c r="F279" s="918"/>
      <c r="G279" s="918"/>
      <c r="H279" s="920" t="s">
        <v>0</v>
      </c>
      <c r="I279" s="921">
        <f>H283</f>
        <v>0</v>
      </c>
    </row>
    <row r="280" spans="2:14" ht="13.5" hidden="1" customHeight="1">
      <c r="B280" s="919"/>
      <c r="C280" s="859"/>
      <c r="D280" s="917"/>
      <c r="E280" s="917"/>
      <c r="F280" s="918"/>
      <c r="G280" s="918"/>
      <c r="H280" s="920"/>
      <c r="I280" s="921"/>
    </row>
    <row r="281" spans="2:14" ht="13.5" hidden="1" customHeight="1">
      <c r="B281" s="919"/>
      <c r="C281" s="926" t="s">
        <v>34</v>
      </c>
      <c r="D281" s="927" t="s">
        <v>44</v>
      </c>
      <c r="E281" s="927" t="s">
        <v>18</v>
      </c>
      <c r="F281" s="927" t="s">
        <v>458</v>
      </c>
      <c r="G281" s="927" t="s">
        <v>5</v>
      </c>
      <c r="H281" s="927" t="s">
        <v>4</v>
      </c>
      <c r="I281" s="921"/>
      <c r="K281" s="959" t="s">
        <v>464</v>
      </c>
      <c r="L281" s="959" t="s">
        <v>465</v>
      </c>
      <c r="M281" s="959" t="s">
        <v>466</v>
      </c>
      <c r="N281" s="959" t="s">
        <v>463</v>
      </c>
    </row>
    <row r="282" spans="2:14" ht="13.5" hidden="1" customHeight="1">
      <c r="B282" s="919"/>
      <c r="C282" s="995" t="s">
        <v>109</v>
      </c>
      <c r="D282" s="996" t="s">
        <v>122</v>
      </c>
      <c r="E282" s="996">
        <v>1</v>
      </c>
      <c r="F282" s="996">
        <v>0</v>
      </c>
      <c r="G282" s="996">
        <v>280</v>
      </c>
      <c r="H282" s="998">
        <f>+E282*F282*G282</f>
        <v>0</v>
      </c>
      <c r="I282" s="921"/>
      <c r="K282" s="758">
        <v>2</v>
      </c>
      <c r="L282" s="758">
        <v>4</v>
      </c>
      <c r="M282" s="961">
        <f>+O193</f>
        <v>5</v>
      </c>
      <c r="N282" s="758">
        <f>PRODUCT(K282:M282)</f>
        <v>40</v>
      </c>
    </row>
    <row r="283" spans="2:14" ht="13.5" hidden="1" customHeight="1">
      <c r="B283" s="919"/>
      <c r="C283" s="1070" t="s">
        <v>3</v>
      </c>
      <c r="D283" s="1071"/>
      <c r="E283" s="1071"/>
      <c r="F283" s="1071"/>
      <c r="G283" s="1072"/>
      <c r="H283" s="932">
        <f>SUM(H282:H282)</f>
        <v>0</v>
      </c>
      <c r="I283" s="921"/>
    </row>
    <row r="284" spans="2:14" ht="13.5" customHeight="1">
      <c r="B284" s="919"/>
      <c r="C284" s="859"/>
      <c r="D284" s="917"/>
      <c r="E284" s="917"/>
      <c r="F284" s="918"/>
      <c r="G284" s="918"/>
      <c r="H284" s="920"/>
      <c r="I284" s="921"/>
    </row>
    <row r="285" spans="2:14" ht="13.5" customHeight="1">
      <c r="B285" s="749"/>
      <c r="C285" s="755"/>
      <c r="D285" s="755"/>
      <c r="E285" s="755"/>
      <c r="F285" s="755"/>
      <c r="G285" s="755"/>
      <c r="H285" s="917"/>
      <c r="I285" s="923"/>
    </row>
    <row r="286" spans="2:14" ht="13.5" customHeight="1">
      <c r="B286" s="922"/>
      <c r="C286" s="755"/>
      <c r="D286" s="755"/>
      <c r="E286" s="755"/>
      <c r="F286" s="755"/>
      <c r="G286" s="755"/>
      <c r="H286" s="917"/>
      <c r="I286" s="923"/>
      <c r="L286" s="886"/>
    </row>
    <row r="287" spans="2:14" ht="13.5" customHeight="1">
      <c r="B287" s="1092" t="s">
        <v>26</v>
      </c>
      <c r="C287" s="1092"/>
      <c r="D287" s="1092"/>
      <c r="E287" s="1092"/>
      <c r="F287" s="1092"/>
      <c r="G287" s="1092"/>
      <c r="H287" s="920" t="s">
        <v>0</v>
      </c>
      <c r="I287" s="921">
        <f>+I21</f>
        <v>64632.08</v>
      </c>
    </row>
    <row r="288" spans="2:14" ht="13.5" customHeight="1"/>
    <row r="289" spans="9:9" ht="13.5" customHeight="1">
      <c r="I289" s="999"/>
    </row>
    <row r="290" spans="9:9" ht="13.5" customHeight="1">
      <c r="I290" s="921"/>
    </row>
    <row r="291" spans="9:9" ht="13.5" customHeight="1">
      <c r="I291" s="921"/>
    </row>
    <row r="292" spans="9:9" ht="13.5" customHeight="1">
      <c r="I292" s="921"/>
    </row>
    <row r="293" spans="9:9" ht="13.5" customHeight="1">
      <c r="I293" s="921"/>
    </row>
    <row r="294" spans="9:9" ht="13.5" customHeight="1"/>
    <row r="295" spans="9:9" ht="13.5" customHeight="1"/>
    <row r="296" spans="9:9" ht="13.5" customHeight="1"/>
    <row r="297" spans="9:9" ht="13.5" customHeight="1"/>
    <row r="298" spans="9:9" ht="13.5" customHeight="1"/>
    <row r="299" spans="9:9" ht="13.5" customHeight="1"/>
    <row r="300" spans="9:9" ht="13.5" customHeight="1"/>
    <row r="301" spans="9:9" ht="13.5" customHeight="1"/>
    <row r="302" spans="9:9" ht="13.5" customHeight="1"/>
    <row r="303" spans="9:9" ht="13.5" customHeight="1"/>
    <row r="304" spans="9:9" ht="13.5" customHeight="1"/>
    <row r="305" spans="2:9" ht="13.5" customHeight="1"/>
    <row r="306" spans="2:9" ht="13.5" customHeight="1"/>
    <row r="307" spans="2:9" ht="13.5" customHeight="1"/>
    <row r="308" spans="2:9" ht="13.5" customHeight="1"/>
    <row r="309" spans="2:9" ht="13.5" customHeight="1"/>
    <row r="310" spans="2:9" ht="13.5" customHeight="1"/>
    <row r="311" spans="2:9" ht="13.5" customHeight="1"/>
    <row r="312" spans="2:9" ht="12.75" customHeight="1"/>
    <row r="313" spans="2:9" ht="12.75" customHeight="1"/>
    <row r="314" spans="2:9" ht="12.75" customHeight="1"/>
    <row r="315" spans="2:9" ht="12.75" customHeight="1"/>
    <row r="316" spans="2:9" s="1000" customFormat="1" ht="18" customHeight="1">
      <c r="B316" s="860"/>
      <c r="C316" s="746"/>
      <c r="D316" s="746"/>
      <c r="E316" s="746"/>
      <c r="F316" s="747"/>
      <c r="G316" s="747"/>
      <c r="H316" s="746"/>
      <c r="I316" s="746"/>
    </row>
  </sheetData>
  <mergeCells count="70">
    <mergeCell ref="C270:G270"/>
    <mergeCell ref="C277:G277"/>
    <mergeCell ref="C283:G283"/>
    <mergeCell ref="B287:G287"/>
    <mergeCell ref="C256:G256"/>
    <mergeCell ref="C263:D263"/>
    <mergeCell ref="C264:D264"/>
    <mergeCell ref="C266:D266"/>
    <mergeCell ref="C267:D267"/>
    <mergeCell ref="C268:D268"/>
    <mergeCell ref="C255:D255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43:D243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31:D231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13:G213"/>
    <mergeCell ref="C86:G86"/>
    <mergeCell ref="C106:G106"/>
    <mergeCell ref="C124:G124"/>
    <mergeCell ref="C144:G144"/>
    <mergeCell ref="C164:G164"/>
    <mergeCell ref="C186:G186"/>
    <mergeCell ref="C192:D192"/>
    <mergeCell ref="C193:D193"/>
    <mergeCell ref="C194:D194"/>
    <mergeCell ref="C195:G195"/>
    <mergeCell ref="C201:D201"/>
    <mergeCell ref="C68:G68"/>
    <mergeCell ref="C3:I3"/>
    <mergeCell ref="C4:I4"/>
    <mergeCell ref="C5:I5"/>
    <mergeCell ref="C6:I6"/>
    <mergeCell ref="B8:I8"/>
    <mergeCell ref="D14:I15"/>
    <mergeCell ref="D16:H16"/>
    <mergeCell ref="C21:H21"/>
    <mergeCell ref="B23:I23"/>
    <mergeCell ref="B25:I25"/>
    <mergeCell ref="C47:G47"/>
  </mergeCells>
  <conditionalFormatting sqref="D14:E14">
    <cfRule type="aboveAverage" dxfId="3" priority="1" stopIfTrue="1" aboveAverage="0"/>
  </conditionalFormatting>
  <printOptions horizontalCentered="1"/>
  <pageMargins left="0.55118110236220474" right="0.70866141732283472" top="0.43307086614173229" bottom="1.3385826771653544" header="0" footer="0"/>
  <pageSetup paperSize="9" scale="62" fitToHeight="6" orientation="portrait" horizontalDpi="4294967293" r:id="rId1"/>
  <headerFooter alignWithMargins="0">
    <oddFooter>&amp;C&amp;G</oddFooter>
  </headerFooter>
  <rowBreaks count="4" manualBreakCount="4">
    <brk id="87" min="1" max="8" man="1"/>
    <brk id="145" min="1" max="8" man="1"/>
    <brk id="196" min="1" max="8" man="1"/>
    <brk id="257" min="1" max="8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B2:Q245"/>
  <sheetViews>
    <sheetView showGridLines="0" view="pageBreakPreview" topLeftCell="A4" zoomScale="70" zoomScaleNormal="85" zoomScaleSheetLayoutView="70" zoomScalePageLayoutView="75" workbookViewId="0">
      <selection activeCell="D11" sqref="D11:D13"/>
    </sheetView>
  </sheetViews>
  <sheetFormatPr baseColWidth="10" defaultColWidth="11.44140625" defaultRowHeight="13.8"/>
  <cols>
    <col min="1" max="1" width="1.44140625" style="161" customWidth="1"/>
    <col min="2" max="2" width="6.6640625" style="579" customWidth="1"/>
    <col min="3" max="3" width="38.44140625" style="580" customWidth="1"/>
    <col min="4" max="5" width="17.5546875" style="580" customWidth="1"/>
    <col min="6" max="7" width="17.5546875" style="581" customWidth="1"/>
    <col min="8" max="9" width="17.5546875" style="580" customWidth="1"/>
    <col min="10" max="10" width="5.109375" style="161" customWidth="1"/>
    <col min="11" max="16384" width="11.44140625" style="161"/>
  </cols>
  <sheetData>
    <row r="2" spans="2:9">
      <c r="C2" s="746"/>
      <c r="D2" s="746"/>
      <c r="E2" s="746"/>
      <c r="F2" s="747"/>
      <c r="G2" s="747"/>
      <c r="H2" s="746"/>
      <c r="I2" s="746"/>
    </row>
    <row r="3" spans="2:9" ht="28.8">
      <c r="B3" s="1073" t="s">
        <v>476</v>
      </c>
      <c r="C3" s="1073"/>
      <c r="D3" s="1073"/>
      <c r="E3" s="1073"/>
      <c r="F3" s="1073"/>
      <c r="G3" s="1073"/>
      <c r="H3" s="1073"/>
      <c r="I3" s="1073"/>
    </row>
    <row r="4" spans="2:9" ht="22.8">
      <c r="B4" s="1074" t="s">
        <v>477</v>
      </c>
      <c r="C4" s="1074"/>
      <c r="D4" s="1074"/>
      <c r="E4" s="1074"/>
      <c r="F4" s="1074"/>
      <c r="G4" s="1074"/>
      <c r="H4" s="1074"/>
      <c r="I4" s="1074"/>
    </row>
    <row r="5" spans="2:9" ht="21">
      <c r="B5" s="1075" t="s">
        <v>478</v>
      </c>
      <c r="C5" s="1075"/>
      <c r="D5" s="1075"/>
      <c r="E5" s="1075"/>
      <c r="F5" s="1075"/>
      <c r="G5" s="1075"/>
      <c r="H5" s="1075"/>
      <c r="I5" s="1075"/>
    </row>
    <row r="6" spans="2:9" ht="14.4" customHeight="1" thickBot="1">
      <c r="B6" s="1076" t="str">
        <f>+G.General!C6</f>
        <v>"Año de la Universalización de la Salud"</v>
      </c>
      <c r="C6" s="1076"/>
      <c r="D6" s="1076"/>
      <c r="E6" s="1076"/>
      <c r="F6" s="1076"/>
      <c r="G6" s="1076"/>
      <c r="H6" s="1076"/>
      <c r="I6" s="1076"/>
    </row>
    <row r="7" spans="2:9">
      <c r="B7" s="823"/>
      <c r="C7" s="823"/>
    </row>
    <row r="8" spans="2:9" ht="27" customHeight="1">
      <c r="B8" s="1077" t="s">
        <v>508</v>
      </c>
      <c r="C8" s="1077"/>
      <c r="D8" s="1077"/>
      <c r="E8" s="1077"/>
      <c r="F8" s="1077"/>
      <c r="G8" s="1077"/>
      <c r="H8" s="1077"/>
      <c r="I8" s="1077"/>
    </row>
    <row r="9" spans="2:9" ht="11.25" customHeight="1">
      <c r="B9" s="582"/>
      <c r="C9" s="583"/>
      <c r="D9" s="583"/>
      <c r="E9" s="583"/>
      <c r="F9" s="584"/>
      <c r="G9" s="584"/>
      <c r="H9" s="583"/>
      <c r="I9" s="583"/>
    </row>
    <row r="10" spans="2:9" ht="18" customHeight="1">
      <c r="C10" s="866" t="s">
        <v>594</v>
      </c>
      <c r="D10" s="752">
        <f>+'RESUMEN TOTAL'!D9</f>
        <v>0</v>
      </c>
      <c r="E10" s="586"/>
      <c r="F10" s="583"/>
      <c r="G10" s="584"/>
      <c r="H10" s="583"/>
      <c r="I10" s="583"/>
    </row>
    <row r="11" spans="2:9" ht="18" customHeight="1">
      <c r="C11" s="866" t="str">
        <f>+'RESUMEN TOTAL'!B11</f>
        <v>Departamento</v>
      </c>
      <c r="D11" s="752" t="str">
        <f>+'RESUMEN TOTAL'!D11</f>
        <v>: APURIMAC</v>
      </c>
      <c r="E11" s="752"/>
      <c r="F11" s="746"/>
      <c r="G11" s="747"/>
      <c r="H11" s="746"/>
      <c r="I11" s="752" t="s">
        <v>1</v>
      </c>
    </row>
    <row r="12" spans="2:9" ht="18" customHeight="1">
      <c r="C12" s="866" t="str">
        <f>+'RESUMEN TOTAL'!B12</f>
        <v>Provincia</v>
      </c>
      <c r="D12" s="752" t="str">
        <f>+'RESUMEN TOTAL'!D12</f>
        <v>: ANDAHUAYLAS</v>
      </c>
      <c r="E12" s="752"/>
      <c r="F12" s="746"/>
      <c r="G12" s="747"/>
      <c r="H12" s="746"/>
      <c r="I12" s="752"/>
    </row>
    <row r="13" spans="2:9" ht="18" customHeight="1">
      <c r="C13" s="866" t="str">
        <f>+'RESUMEN TOTAL'!B13</f>
        <v>Distrito</v>
      </c>
      <c r="D13" s="752" t="str">
        <f>+'RESUMEN TOTAL'!D13</f>
        <v>: ANDAHUAYLAS</v>
      </c>
      <c r="E13" s="752"/>
      <c r="F13" s="746"/>
      <c r="G13" s="747"/>
      <c r="H13" s="746"/>
      <c r="I13" s="752"/>
    </row>
    <row r="14" spans="2:9" ht="35.25" customHeight="1">
      <c r="C14" s="761" t="s">
        <v>467</v>
      </c>
      <c r="D14" s="1078" t="str">
        <f>+'RESUMEN TOTAL'!D6</f>
        <v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v>
      </c>
      <c r="E14" s="1078"/>
      <c r="F14" s="1078"/>
      <c r="G14" s="1078"/>
      <c r="H14" s="1078"/>
      <c r="I14" s="1078"/>
    </row>
    <row r="15" spans="2:9" ht="18" customHeight="1" thickBot="1">
      <c r="C15" s="585"/>
      <c r="D15" s="1078"/>
      <c r="E15" s="1078"/>
      <c r="F15" s="1078"/>
      <c r="G15" s="1078"/>
      <c r="H15" s="1078"/>
      <c r="I15" s="1078"/>
    </row>
    <row r="16" spans="2:9" s="168" customFormat="1" ht="20.25" customHeight="1" thickBot="1">
      <c r="B16" s="587"/>
      <c r="C16" s="759" t="s">
        <v>475</v>
      </c>
      <c r="D16" s="1108" t="s">
        <v>468</v>
      </c>
      <c r="E16" s="1108"/>
      <c r="F16" s="1108"/>
      <c r="G16" s="1108"/>
      <c r="H16" s="1108"/>
      <c r="I16" s="760" t="s">
        <v>513</v>
      </c>
    </row>
    <row r="17" spans="2:12" s="168" customFormat="1" ht="17.399999999999999" customHeight="1">
      <c r="B17" s="587"/>
      <c r="C17" s="588" t="s">
        <v>471</v>
      </c>
      <c r="D17" s="1112" t="s">
        <v>99</v>
      </c>
      <c r="E17" s="1112"/>
      <c r="F17" s="1112"/>
      <c r="G17" s="1112"/>
      <c r="H17" s="1112"/>
      <c r="I17" s="589">
        <f>+I27</f>
        <v>22864.58</v>
      </c>
    </row>
    <row r="18" spans="2:12" s="168" customFormat="1" ht="17.399999999999999" customHeight="1">
      <c r="B18" s="587"/>
      <c r="C18" s="698" t="s">
        <v>472</v>
      </c>
      <c r="D18" s="1113" t="s">
        <v>100</v>
      </c>
      <c r="E18" s="1113"/>
      <c r="F18" s="1113"/>
      <c r="G18" s="1113"/>
      <c r="H18" s="1113"/>
      <c r="I18" s="590">
        <f>+I120</f>
        <v>1903.8</v>
      </c>
    </row>
    <row r="19" spans="2:12" s="168" customFormat="1" ht="17.399999999999999" customHeight="1">
      <c r="B19" s="587"/>
      <c r="C19" s="698" t="s">
        <v>473</v>
      </c>
      <c r="D19" s="1113" t="s">
        <v>101</v>
      </c>
      <c r="E19" s="1113"/>
      <c r="F19" s="1113"/>
      <c r="G19" s="1113"/>
      <c r="H19" s="1113"/>
      <c r="I19" s="590">
        <f>+I196</f>
        <v>1050</v>
      </c>
    </row>
    <row r="20" spans="2:12" s="168" customFormat="1" ht="17.399999999999999" customHeight="1" thickBot="1">
      <c r="B20" s="587"/>
      <c r="C20" s="699" t="s">
        <v>474</v>
      </c>
      <c r="D20" s="1114" t="s">
        <v>102</v>
      </c>
      <c r="E20" s="1114"/>
      <c r="F20" s="1114"/>
      <c r="G20" s="1114"/>
      <c r="H20" s="1114"/>
      <c r="I20" s="700">
        <v>0</v>
      </c>
    </row>
    <row r="21" spans="2:12" s="168" customFormat="1" ht="20.25" customHeight="1" thickBot="1">
      <c r="B21" s="587"/>
      <c r="C21" s="1109" t="s">
        <v>51</v>
      </c>
      <c r="D21" s="1110"/>
      <c r="E21" s="1110"/>
      <c r="F21" s="1110"/>
      <c r="G21" s="1110"/>
      <c r="H21" s="1110"/>
      <c r="I21" s="701">
        <f>SUM(I17:I20)</f>
        <v>25818.38</v>
      </c>
      <c r="J21" s="170"/>
      <c r="K21" s="171">
        <f>+I21/18</f>
        <v>1434.3544444444444</v>
      </c>
      <c r="L21" s="170"/>
    </row>
    <row r="22" spans="2:12" ht="18" customHeight="1">
      <c r="C22" s="585"/>
      <c r="D22" s="592"/>
      <c r="E22" s="592"/>
      <c r="F22" s="593"/>
    </row>
    <row r="23" spans="2:12" ht="27" customHeight="1">
      <c r="B23" s="1082" t="s">
        <v>479</v>
      </c>
      <c r="C23" s="1082"/>
      <c r="D23" s="1082"/>
      <c r="E23" s="1082"/>
      <c r="F23" s="1082"/>
      <c r="G23" s="1082"/>
      <c r="H23" s="1082"/>
      <c r="I23" s="1082"/>
    </row>
    <row r="24" spans="2:12" ht="8.4" customHeight="1">
      <c r="B24" s="598"/>
      <c r="C24" s="599"/>
      <c r="D24" s="600"/>
      <c r="E24" s="600"/>
      <c r="F24" s="601"/>
      <c r="G24" s="601"/>
      <c r="H24" s="599"/>
      <c r="I24" s="599"/>
    </row>
    <row r="25" spans="2:12" ht="15.75" customHeight="1">
      <c r="B25" s="1111" t="s">
        <v>470</v>
      </c>
      <c r="C25" s="1111"/>
      <c r="D25" s="1111"/>
      <c r="E25" s="1111"/>
      <c r="F25" s="1111"/>
      <c r="G25" s="1111"/>
      <c r="H25" s="1111"/>
      <c r="I25" s="1111"/>
    </row>
    <row r="26" spans="2:12" ht="12.75" customHeight="1">
      <c r="B26" s="582"/>
      <c r="C26" s="582"/>
      <c r="D26" s="602"/>
      <c r="E26" s="602"/>
      <c r="F26" s="603"/>
      <c r="G26" s="603"/>
      <c r="H26" s="582"/>
      <c r="I26" s="582"/>
    </row>
    <row r="27" spans="2:12" s="168" customFormat="1" ht="13.5" customHeight="1">
      <c r="B27" s="604" t="s">
        <v>509</v>
      </c>
      <c r="C27" s="605"/>
      <c r="D27" s="606"/>
      <c r="E27" s="606"/>
      <c r="F27" s="606"/>
      <c r="G27" s="824"/>
      <c r="H27" s="607" t="s">
        <v>0</v>
      </c>
      <c r="I27" s="608">
        <f>ROUND((I29+I44+I69+I93+I106),2)</f>
        <v>22864.58</v>
      </c>
      <c r="J27" s="177"/>
    </row>
    <row r="28" spans="2:12" s="179" customFormat="1" ht="13.5" customHeight="1">
      <c r="B28" s="609"/>
      <c r="C28" s="610"/>
      <c r="D28" s="611"/>
      <c r="E28" s="611"/>
      <c r="F28" s="611"/>
      <c r="G28" s="825"/>
      <c r="H28" s="612"/>
      <c r="I28" s="613"/>
      <c r="J28" s="240"/>
    </row>
    <row r="29" spans="2:12" ht="13.5" customHeight="1">
      <c r="B29" s="614" t="s">
        <v>11</v>
      </c>
      <c r="C29" s="615" t="s">
        <v>10</v>
      </c>
      <c r="D29" s="616"/>
      <c r="E29" s="616"/>
      <c r="F29" s="617"/>
      <c r="G29" s="618"/>
      <c r="H29" s="619" t="s">
        <v>0</v>
      </c>
      <c r="I29" s="620">
        <f>+H40</f>
        <v>16350</v>
      </c>
    </row>
    <row r="30" spans="2:12" ht="13.5" customHeight="1">
      <c r="B30" s="621"/>
      <c r="C30" s="622"/>
      <c r="D30" s="623"/>
      <c r="E30" s="623"/>
      <c r="F30" s="624"/>
      <c r="G30" s="624"/>
      <c r="H30" s="623"/>
      <c r="I30" s="623"/>
    </row>
    <row r="31" spans="2:12" ht="13.5" customHeight="1">
      <c r="B31" s="625">
        <v>1.01</v>
      </c>
      <c r="C31" s="626" t="s">
        <v>12</v>
      </c>
      <c r="D31" s="623"/>
      <c r="E31" s="623"/>
      <c r="F31" s="624"/>
      <c r="G31" s="624"/>
      <c r="H31" s="627" t="s">
        <v>0</v>
      </c>
      <c r="I31" s="628">
        <f>+H40</f>
        <v>16350</v>
      </c>
    </row>
    <row r="32" spans="2:12" ht="13.5" customHeight="1">
      <c r="B32" s="629"/>
      <c r="C32" s="596"/>
      <c r="D32" s="623"/>
      <c r="E32" s="623"/>
      <c r="F32" s="624"/>
      <c r="G32" s="624"/>
      <c r="H32" s="623"/>
      <c r="I32" s="623"/>
    </row>
    <row r="33" spans="2:11" ht="13.5" customHeight="1">
      <c r="B33" s="582"/>
      <c r="C33" s="859" t="s">
        <v>553</v>
      </c>
      <c r="D33" s="596"/>
      <c r="E33" s="596"/>
      <c r="F33" s="630"/>
      <c r="G33" s="630"/>
      <c r="H33" s="596"/>
      <c r="I33" s="623"/>
    </row>
    <row r="34" spans="2:11" ht="13.5" customHeight="1">
      <c r="B34" s="582"/>
      <c r="C34" s="626"/>
      <c r="D34" s="596"/>
      <c r="E34" s="596"/>
      <c r="F34" s="630"/>
      <c r="G34" s="630"/>
      <c r="H34" s="596"/>
      <c r="I34" s="623"/>
    </row>
    <row r="35" spans="2:11" ht="13.5" customHeight="1">
      <c r="B35" s="631"/>
      <c r="C35" s="643" t="s">
        <v>30</v>
      </c>
      <c r="D35" s="633" t="s">
        <v>31</v>
      </c>
      <c r="E35" s="633" t="s">
        <v>291</v>
      </c>
      <c r="F35" s="633" t="s">
        <v>32</v>
      </c>
      <c r="G35" s="633" t="s">
        <v>13</v>
      </c>
      <c r="H35" s="633" t="s">
        <v>4</v>
      </c>
      <c r="I35" s="623"/>
    </row>
    <row r="36" spans="2:11" ht="13.5" hidden="1" customHeight="1">
      <c r="B36" s="634"/>
      <c r="C36" s="644" t="s">
        <v>274</v>
      </c>
      <c r="D36" s="645">
        <v>0</v>
      </c>
      <c r="E36" s="645">
        <v>1</v>
      </c>
      <c r="F36" s="645">
        <v>6</v>
      </c>
      <c r="G36" s="645">
        <v>7100</v>
      </c>
      <c r="H36" s="644">
        <f>PRODUCT(D36:G36)</f>
        <v>0</v>
      </c>
      <c r="K36" s="185"/>
    </row>
    <row r="37" spans="2:11" ht="13.5" customHeight="1">
      <c r="B37" s="634"/>
      <c r="C37" s="644" t="s">
        <v>305</v>
      </c>
      <c r="D37" s="645">
        <v>1</v>
      </c>
      <c r="E37" s="645">
        <v>1</v>
      </c>
      <c r="F37" s="645">
        <v>3</v>
      </c>
      <c r="G37" s="645">
        <v>5450</v>
      </c>
      <c r="H37" s="644">
        <f>PRODUCT(D37:G37)</f>
        <v>16350</v>
      </c>
      <c r="K37" s="185"/>
    </row>
    <row r="38" spans="2:11" ht="13.5" hidden="1" customHeight="1">
      <c r="B38" s="634"/>
      <c r="C38" s="644" t="s">
        <v>527</v>
      </c>
      <c r="D38" s="645">
        <v>0</v>
      </c>
      <c r="E38" s="645">
        <v>1</v>
      </c>
      <c r="F38" s="645">
        <v>5</v>
      </c>
      <c r="G38" s="645">
        <v>3350</v>
      </c>
      <c r="H38" s="644">
        <f>PRODUCT(D38:G38)</f>
        <v>0</v>
      </c>
      <c r="K38" s="185"/>
    </row>
    <row r="39" spans="2:11" ht="13.5" hidden="1" customHeight="1">
      <c r="B39" s="634"/>
      <c r="C39" s="644" t="s">
        <v>306</v>
      </c>
      <c r="D39" s="645">
        <v>0</v>
      </c>
      <c r="E39" s="645">
        <v>1</v>
      </c>
      <c r="F39" s="645">
        <v>5</v>
      </c>
      <c r="G39" s="645">
        <v>3350</v>
      </c>
      <c r="H39" s="644">
        <f>PRODUCT(D39:G39)</f>
        <v>0</v>
      </c>
      <c r="I39" s="623"/>
    </row>
    <row r="40" spans="2:11" ht="13.5" customHeight="1">
      <c r="C40" s="1095" t="s">
        <v>3</v>
      </c>
      <c r="D40" s="1095"/>
      <c r="E40" s="1095"/>
      <c r="F40" s="1095"/>
      <c r="G40" s="1095"/>
      <c r="H40" s="635">
        <f>SUM(H36:H39)</f>
        <v>16350</v>
      </c>
      <c r="I40" s="596"/>
    </row>
    <row r="41" spans="2:11" ht="13.5" customHeight="1">
      <c r="B41" s="582"/>
      <c r="C41" s="623"/>
      <c r="D41" s="623"/>
      <c r="E41" s="623"/>
      <c r="F41" s="624"/>
      <c r="G41" s="624"/>
      <c r="H41" s="623"/>
      <c r="I41" s="623"/>
    </row>
    <row r="42" spans="2:11" ht="13.5" customHeight="1">
      <c r="B42" s="621"/>
      <c r="C42" s="622"/>
      <c r="D42" s="623"/>
      <c r="E42" s="623"/>
      <c r="F42" s="624"/>
      <c r="G42" s="624"/>
      <c r="H42" s="623"/>
      <c r="I42" s="623"/>
    </row>
    <row r="43" spans="2:11" ht="13.5" customHeight="1">
      <c r="B43" s="582"/>
      <c r="C43" s="623"/>
      <c r="D43" s="623"/>
      <c r="E43" s="623"/>
      <c r="F43" s="624"/>
      <c r="G43" s="624"/>
      <c r="H43" s="623"/>
      <c r="I43" s="623"/>
    </row>
    <row r="44" spans="2:11" ht="13.5" customHeight="1">
      <c r="B44" s="614">
        <v>2</v>
      </c>
      <c r="C44" s="615" t="s">
        <v>15</v>
      </c>
      <c r="D44" s="616"/>
      <c r="E44" s="616"/>
      <c r="F44" s="617"/>
      <c r="G44" s="618"/>
      <c r="H44" s="619" t="s">
        <v>0</v>
      </c>
      <c r="I44" s="620">
        <f>+H55+H66</f>
        <v>1970.175</v>
      </c>
    </row>
    <row r="45" spans="2:11" ht="13.5" customHeight="1">
      <c r="B45" s="621"/>
      <c r="C45" s="622"/>
      <c r="D45" s="623"/>
      <c r="E45" s="623"/>
      <c r="F45" s="624"/>
      <c r="G45" s="624"/>
      <c r="H45" s="623"/>
      <c r="I45" s="623"/>
    </row>
    <row r="46" spans="2:11" ht="13.5" customHeight="1">
      <c r="B46" s="625">
        <v>2.0099999999999998</v>
      </c>
      <c r="C46" s="626" t="s">
        <v>95</v>
      </c>
      <c r="D46" s="623"/>
      <c r="E46" s="623"/>
      <c r="F46" s="624"/>
      <c r="G46" s="624"/>
      <c r="H46" s="627" t="s">
        <v>0</v>
      </c>
      <c r="I46" s="628">
        <f>+H55</f>
        <v>1471.5</v>
      </c>
    </row>
    <row r="47" spans="2:11" ht="13.5" customHeight="1">
      <c r="B47" s="648"/>
      <c r="C47" s="626"/>
      <c r="D47" s="623"/>
      <c r="E47" s="623"/>
      <c r="F47" s="624"/>
      <c r="G47" s="624"/>
      <c r="H47" s="623"/>
      <c r="I47" s="623"/>
    </row>
    <row r="48" spans="2:11" ht="13.5" customHeight="1">
      <c r="B48" s="629"/>
      <c r="C48" s="626" t="s">
        <v>29</v>
      </c>
      <c r="D48" s="596"/>
      <c r="E48" s="596"/>
      <c r="F48" s="630"/>
      <c r="G48" s="630"/>
      <c r="H48" s="623"/>
      <c r="I48" s="623"/>
    </row>
    <row r="49" spans="2:9" ht="13.5" customHeight="1">
      <c r="B49" s="629"/>
      <c r="C49" s="626"/>
      <c r="D49" s="596"/>
      <c r="E49" s="596"/>
      <c r="F49" s="630"/>
      <c r="G49" s="630"/>
      <c r="H49" s="623"/>
      <c r="I49" s="623"/>
    </row>
    <row r="50" spans="2:9" ht="13.5" customHeight="1">
      <c r="B50" s="582"/>
      <c r="C50" s="643" t="s">
        <v>30</v>
      </c>
      <c r="D50" s="633" t="s">
        <v>31</v>
      </c>
      <c r="E50" s="633" t="str">
        <f>+E35</f>
        <v>COEF. PARTIC.</v>
      </c>
      <c r="F50" s="633" t="s">
        <v>32</v>
      </c>
      <c r="G50" s="633" t="s">
        <v>13</v>
      </c>
      <c r="H50" s="633" t="s">
        <v>4</v>
      </c>
      <c r="I50" s="623"/>
    </row>
    <row r="51" spans="2:9" ht="13.5" hidden="1" customHeight="1">
      <c r="B51" s="582"/>
      <c r="C51" s="644" t="str">
        <f t="shared" ref="C51:D54" si="0">+C36</f>
        <v>COORDINADOR DE SUPERVISION</v>
      </c>
      <c r="D51" s="645">
        <f t="shared" si="0"/>
        <v>0</v>
      </c>
      <c r="E51" s="645">
        <f>+E36</f>
        <v>1</v>
      </c>
      <c r="F51" s="645">
        <f>+F36</f>
        <v>6</v>
      </c>
      <c r="G51" s="858">
        <f>+G36*0.09</f>
        <v>639</v>
      </c>
      <c r="H51" s="644">
        <f>PRODUCT(D51:G51)</f>
        <v>0</v>
      </c>
      <c r="I51" s="623"/>
    </row>
    <row r="52" spans="2:9" ht="13.5" customHeight="1">
      <c r="B52" s="582"/>
      <c r="C52" s="644" t="str">
        <f t="shared" si="0"/>
        <v>SUPERVISOR DE OBRA</v>
      </c>
      <c r="D52" s="645">
        <f t="shared" si="0"/>
        <v>1</v>
      </c>
      <c r="E52" s="645">
        <f>+E37</f>
        <v>1</v>
      </c>
      <c r="F52" s="645">
        <f>+F37</f>
        <v>3</v>
      </c>
      <c r="G52" s="858">
        <f>+G37*0.09</f>
        <v>490.5</v>
      </c>
      <c r="H52" s="644">
        <f>PRODUCT(D52:G52)</f>
        <v>1471.5</v>
      </c>
      <c r="I52" s="623"/>
    </row>
    <row r="53" spans="2:9" ht="13.5" hidden="1" customHeight="1">
      <c r="B53" s="582"/>
      <c r="C53" s="644" t="str">
        <f t="shared" si="0"/>
        <v>ASISTENTE DEL COORDINADOR</v>
      </c>
      <c r="D53" s="645">
        <f t="shared" si="0"/>
        <v>0</v>
      </c>
      <c r="E53" s="645">
        <f>+E38</f>
        <v>1</v>
      </c>
      <c r="F53" s="645">
        <f>+F38</f>
        <v>5</v>
      </c>
      <c r="G53" s="858">
        <f>+G38*0.09</f>
        <v>301.5</v>
      </c>
      <c r="H53" s="644">
        <f>PRODUCT(D53:G53)</f>
        <v>0</v>
      </c>
      <c r="I53" s="623"/>
    </row>
    <row r="54" spans="2:9" ht="13.5" hidden="1" customHeight="1">
      <c r="B54" s="582"/>
      <c r="C54" s="644" t="str">
        <f t="shared" si="0"/>
        <v>ASISTENTE DE SUPERVISOR</v>
      </c>
      <c r="D54" s="645">
        <f t="shared" si="0"/>
        <v>0</v>
      </c>
      <c r="E54" s="645">
        <f>+E39</f>
        <v>1</v>
      </c>
      <c r="F54" s="645">
        <f>+F39</f>
        <v>5</v>
      </c>
      <c r="G54" s="858">
        <f>+G39*0.09</f>
        <v>301.5</v>
      </c>
      <c r="H54" s="644">
        <f>PRODUCT(D54:G54)</f>
        <v>0</v>
      </c>
      <c r="I54" s="623"/>
    </row>
    <row r="55" spans="2:9" ht="13.5" customHeight="1">
      <c r="B55" s="582"/>
      <c r="C55" s="1105" t="s">
        <v>3</v>
      </c>
      <c r="D55" s="1106"/>
      <c r="E55" s="1106"/>
      <c r="F55" s="1106"/>
      <c r="G55" s="1107"/>
      <c r="H55" s="635">
        <f>SUM(H51:H54)</f>
        <v>1471.5</v>
      </c>
      <c r="I55" s="623"/>
    </row>
    <row r="56" spans="2:9" ht="13.5" customHeight="1">
      <c r="B56" s="582"/>
      <c r="C56" s="649"/>
      <c r="D56" s="649"/>
      <c r="E56" s="649"/>
      <c r="F56" s="624"/>
      <c r="G56" s="624"/>
      <c r="H56" s="623"/>
      <c r="I56" s="623"/>
    </row>
    <row r="57" spans="2:9" ht="13.5" customHeight="1">
      <c r="B57" s="625">
        <v>2.02</v>
      </c>
      <c r="C57" s="859" t="s">
        <v>554</v>
      </c>
      <c r="D57" s="623"/>
      <c r="E57" s="623"/>
      <c r="F57" s="624"/>
      <c r="G57" s="624"/>
      <c r="H57" s="627" t="s">
        <v>0</v>
      </c>
      <c r="I57" s="628">
        <f>+H66</f>
        <v>498.67499999999995</v>
      </c>
    </row>
    <row r="58" spans="2:9" ht="13.5" customHeight="1">
      <c r="B58" s="648"/>
      <c r="C58" s="626"/>
      <c r="D58" s="623"/>
      <c r="E58" s="623"/>
      <c r="F58" s="624"/>
      <c r="G58" s="624"/>
      <c r="H58" s="623"/>
      <c r="I58" s="623"/>
    </row>
    <row r="59" spans="2:9" ht="13.5" customHeight="1">
      <c r="B59" s="582"/>
      <c r="C59" s="626" t="s">
        <v>29</v>
      </c>
      <c r="D59" s="596"/>
      <c r="E59" s="596"/>
      <c r="F59" s="630"/>
      <c r="G59" s="630"/>
      <c r="H59" s="623"/>
      <c r="I59" s="623"/>
    </row>
    <row r="60" spans="2:9" ht="13.5" customHeight="1">
      <c r="B60" s="582"/>
      <c r="C60" s="626"/>
      <c r="D60" s="596"/>
      <c r="E60" s="596"/>
      <c r="F60" s="630"/>
      <c r="G60" s="630"/>
      <c r="H60" s="623"/>
      <c r="I60" s="623"/>
    </row>
    <row r="61" spans="2:9" ht="13.5" customHeight="1">
      <c r="B61" s="582"/>
      <c r="C61" s="643" t="s">
        <v>30</v>
      </c>
      <c r="D61" s="633" t="s">
        <v>31</v>
      </c>
      <c r="E61" s="633" t="str">
        <f>+E35</f>
        <v>COEF. PARTIC.</v>
      </c>
      <c r="F61" s="633" t="s">
        <v>32</v>
      </c>
      <c r="G61" s="633" t="s">
        <v>13</v>
      </c>
      <c r="H61" s="633" t="s">
        <v>4</v>
      </c>
      <c r="I61" s="623"/>
    </row>
    <row r="62" spans="2:9" ht="13.5" hidden="1" customHeight="1">
      <c r="B62" s="582"/>
      <c r="C62" s="644" t="str">
        <f t="shared" ref="C62:D65" si="1">+C36</f>
        <v>COORDINADOR DE SUPERVISION</v>
      </c>
      <c r="D62" s="645">
        <f t="shared" si="1"/>
        <v>0</v>
      </c>
      <c r="E62" s="645">
        <f>+E36</f>
        <v>1</v>
      </c>
      <c r="F62" s="645">
        <f>+F36</f>
        <v>6</v>
      </c>
      <c r="G62" s="858">
        <f>+G36*0.0305</f>
        <v>216.54999999999998</v>
      </c>
      <c r="H62" s="644">
        <f>PRODUCT(D62:G62)</f>
        <v>0</v>
      </c>
      <c r="I62" s="623"/>
    </row>
    <row r="63" spans="2:9" ht="13.5" customHeight="1">
      <c r="B63" s="582"/>
      <c r="C63" s="644" t="str">
        <f t="shared" si="1"/>
        <v>SUPERVISOR DE OBRA</v>
      </c>
      <c r="D63" s="645">
        <f t="shared" si="1"/>
        <v>1</v>
      </c>
      <c r="E63" s="645">
        <f>+E37</f>
        <v>1</v>
      </c>
      <c r="F63" s="645">
        <f>+F37</f>
        <v>3</v>
      </c>
      <c r="G63" s="858">
        <f>+G37*0.0305</f>
        <v>166.22499999999999</v>
      </c>
      <c r="H63" s="644">
        <f>PRODUCT(D63:G63)</f>
        <v>498.67499999999995</v>
      </c>
      <c r="I63" s="623"/>
    </row>
    <row r="64" spans="2:9" ht="13.5" hidden="1" customHeight="1">
      <c r="B64" s="582"/>
      <c r="C64" s="644" t="str">
        <f t="shared" si="1"/>
        <v>ASISTENTE DEL COORDINADOR</v>
      </c>
      <c r="D64" s="645">
        <f t="shared" si="1"/>
        <v>0</v>
      </c>
      <c r="E64" s="645">
        <f>+E38</f>
        <v>1</v>
      </c>
      <c r="F64" s="645">
        <f>+F38</f>
        <v>5</v>
      </c>
      <c r="G64" s="858">
        <f>+G38*0.0305</f>
        <v>102.175</v>
      </c>
      <c r="H64" s="644">
        <f>PRODUCT(D64:G64)</f>
        <v>0</v>
      </c>
      <c r="I64" s="623"/>
    </row>
    <row r="65" spans="2:9" ht="13.5" hidden="1" customHeight="1">
      <c r="B65" s="582"/>
      <c r="C65" s="644" t="str">
        <f t="shared" si="1"/>
        <v>ASISTENTE DE SUPERVISOR</v>
      </c>
      <c r="D65" s="645">
        <f t="shared" si="1"/>
        <v>0</v>
      </c>
      <c r="E65" s="645">
        <f>+E39</f>
        <v>1</v>
      </c>
      <c r="F65" s="645">
        <f>+F39</f>
        <v>5</v>
      </c>
      <c r="G65" s="858">
        <f>+G39*0.0305</f>
        <v>102.175</v>
      </c>
      <c r="H65" s="644">
        <f>PRODUCT(D65:G65)</f>
        <v>0</v>
      </c>
      <c r="I65" s="623"/>
    </row>
    <row r="66" spans="2:9" ht="13.5" customHeight="1">
      <c r="B66" s="582"/>
      <c r="C66" s="1105" t="s">
        <v>3</v>
      </c>
      <c r="D66" s="1106"/>
      <c r="E66" s="1106"/>
      <c r="F66" s="1106"/>
      <c r="G66" s="1107"/>
      <c r="H66" s="635">
        <f>SUM(H62:H65)</f>
        <v>498.67499999999995</v>
      </c>
      <c r="I66" s="623"/>
    </row>
    <row r="67" spans="2:9" ht="13.5" customHeight="1">
      <c r="B67" s="582"/>
      <c r="C67" s="640"/>
      <c r="D67" s="640"/>
      <c r="E67" s="640"/>
      <c r="F67" s="640"/>
      <c r="G67" s="640"/>
      <c r="H67" s="623"/>
      <c r="I67" s="623"/>
    </row>
    <row r="68" spans="2:9" ht="13.5" customHeight="1">
      <c r="B68" s="582"/>
      <c r="C68" s="623"/>
      <c r="D68" s="623"/>
      <c r="E68" s="623"/>
      <c r="F68" s="624"/>
      <c r="G68" s="624"/>
      <c r="H68" s="623"/>
      <c r="I68" s="623"/>
    </row>
    <row r="69" spans="2:9" ht="13.5" customHeight="1">
      <c r="B69" s="614">
        <v>3</v>
      </c>
      <c r="C69" s="615" t="s">
        <v>16</v>
      </c>
      <c r="D69" s="616"/>
      <c r="E69" s="616"/>
      <c r="F69" s="617"/>
      <c r="G69" s="618"/>
      <c r="H69" s="619" t="s">
        <v>0</v>
      </c>
      <c r="I69" s="620">
        <f>+H80+H91</f>
        <v>4115.3999999999996</v>
      </c>
    </row>
    <row r="70" spans="2:9" ht="13.5" customHeight="1">
      <c r="B70" s="650"/>
      <c r="C70" s="651"/>
      <c r="D70" s="623"/>
      <c r="E70" s="623"/>
      <c r="F70" s="596"/>
      <c r="G70" s="642"/>
      <c r="H70" s="627"/>
      <c r="I70" s="628"/>
    </row>
    <row r="71" spans="2:9" ht="13.5" customHeight="1">
      <c r="B71" s="625">
        <v>3.01</v>
      </c>
      <c r="C71" s="859" t="s">
        <v>555</v>
      </c>
      <c r="D71" s="623"/>
      <c r="E71" s="623"/>
      <c r="F71" s="624"/>
      <c r="G71" s="624"/>
      <c r="H71" s="627" t="s">
        <v>0</v>
      </c>
      <c r="I71" s="628">
        <f>+H80</f>
        <v>2452.5</v>
      </c>
    </row>
    <row r="72" spans="2:9" ht="13.5" customHeight="1">
      <c r="B72" s="648"/>
      <c r="C72" s="626"/>
      <c r="D72" s="623"/>
      <c r="E72" s="623"/>
      <c r="F72" s="624"/>
      <c r="G72" s="624"/>
      <c r="H72" s="623"/>
      <c r="I72" s="623"/>
    </row>
    <row r="73" spans="2:9" ht="13.5" customHeight="1">
      <c r="B73" s="582"/>
      <c r="C73" s="652" t="s">
        <v>29</v>
      </c>
      <c r="D73" s="596"/>
      <c r="E73" s="596"/>
      <c r="F73" s="630"/>
      <c r="G73" s="630"/>
      <c r="H73" s="596"/>
      <c r="I73" s="624"/>
    </row>
    <row r="74" spans="2:9" ht="13.5" customHeight="1">
      <c r="B74" s="582"/>
      <c r="C74" s="652"/>
      <c r="D74" s="596"/>
      <c r="E74" s="596"/>
      <c r="F74" s="630"/>
      <c r="G74" s="630"/>
      <c r="H74" s="596"/>
      <c r="I74" s="624"/>
    </row>
    <row r="75" spans="2:9" ht="13.5" customHeight="1">
      <c r="B75" s="582"/>
      <c r="C75" s="643" t="s">
        <v>30</v>
      </c>
      <c r="D75" s="633" t="s">
        <v>31</v>
      </c>
      <c r="E75" s="633" t="str">
        <f>+E35</f>
        <v>COEF. PARTIC.</v>
      </c>
      <c r="F75" s="633" t="s">
        <v>32</v>
      </c>
      <c r="G75" s="633" t="s">
        <v>13</v>
      </c>
      <c r="H75" s="633" t="s">
        <v>4</v>
      </c>
      <c r="I75" s="623"/>
    </row>
    <row r="76" spans="2:9" ht="13.5" hidden="1" customHeight="1">
      <c r="B76" s="582"/>
      <c r="C76" s="644" t="str">
        <f t="shared" ref="C76:D79" si="2">+C36</f>
        <v>COORDINADOR DE SUPERVISION</v>
      </c>
      <c r="D76" s="645">
        <f t="shared" si="2"/>
        <v>0</v>
      </c>
      <c r="E76" s="645">
        <f>+E36</f>
        <v>1</v>
      </c>
      <c r="F76" s="645">
        <f>+F36</f>
        <v>6</v>
      </c>
      <c r="G76" s="858">
        <f>+(G36+H114/6)/12</f>
        <v>595.54166666666663</v>
      </c>
      <c r="H76" s="644">
        <f>PRODUCT(D76:G76)</f>
        <v>0</v>
      </c>
      <c r="I76" s="623"/>
    </row>
    <row r="77" spans="2:9" ht="13.5" customHeight="1">
      <c r="B77" s="582"/>
      <c r="C77" s="644" t="str">
        <f t="shared" si="2"/>
        <v>SUPERVISOR DE OBRA</v>
      </c>
      <c r="D77" s="645">
        <f t="shared" si="2"/>
        <v>1</v>
      </c>
      <c r="E77" s="645">
        <f>+E37</f>
        <v>1</v>
      </c>
      <c r="F77" s="645">
        <f>+F37</f>
        <v>3</v>
      </c>
      <c r="G77" s="645">
        <f>+G37*0.15</f>
        <v>817.5</v>
      </c>
      <c r="H77" s="644">
        <f>PRODUCT(D77:G77)</f>
        <v>2452.5</v>
      </c>
      <c r="I77" s="623"/>
    </row>
    <row r="78" spans="2:9" ht="13.5" hidden="1" customHeight="1">
      <c r="B78" s="582"/>
      <c r="C78" s="644" t="str">
        <f t="shared" si="2"/>
        <v>ASISTENTE DEL COORDINADOR</v>
      </c>
      <c r="D78" s="645">
        <f t="shared" si="2"/>
        <v>0</v>
      </c>
      <c r="E78" s="645">
        <f>+E38</f>
        <v>1</v>
      </c>
      <c r="F78" s="645">
        <f>+F38</f>
        <v>5</v>
      </c>
      <c r="G78" s="645">
        <f>+G38*0.15</f>
        <v>502.5</v>
      </c>
      <c r="H78" s="644">
        <f>PRODUCT(D78:G78)</f>
        <v>0</v>
      </c>
      <c r="I78" s="623"/>
    </row>
    <row r="79" spans="2:9" ht="13.5" hidden="1" customHeight="1">
      <c r="B79" s="582"/>
      <c r="C79" s="644" t="str">
        <f t="shared" si="2"/>
        <v>ASISTENTE DE SUPERVISOR</v>
      </c>
      <c r="D79" s="645">
        <f t="shared" si="2"/>
        <v>0</v>
      </c>
      <c r="E79" s="645">
        <f>+E39</f>
        <v>1</v>
      </c>
      <c r="F79" s="645">
        <f>+F39</f>
        <v>5</v>
      </c>
      <c r="G79" s="645">
        <f>+G39*0.15</f>
        <v>502.5</v>
      </c>
      <c r="H79" s="644">
        <f>PRODUCT(D79:G79)</f>
        <v>0</v>
      </c>
      <c r="I79" s="623"/>
    </row>
    <row r="80" spans="2:9" ht="13.5" customHeight="1">
      <c r="B80" s="582"/>
      <c r="C80" s="1105" t="s">
        <v>3</v>
      </c>
      <c r="D80" s="1106"/>
      <c r="E80" s="1106"/>
      <c r="F80" s="1106"/>
      <c r="G80" s="1107"/>
      <c r="H80" s="635">
        <f>SUM(H76:H79)</f>
        <v>2452.5</v>
      </c>
      <c r="I80" s="623"/>
    </row>
    <row r="81" spans="2:9" ht="13.5" customHeight="1">
      <c r="B81" s="582"/>
      <c r="C81" s="623"/>
      <c r="D81" s="623"/>
      <c r="E81" s="623"/>
      <c r="F81" s="624"/>
      <c r="G81" s="624"/>
      <c r="H81" s="623"/>
      <c r="I81" s="623"/>
    </row>
    <row r="82" spans="2:9" ht="13.5" customHeight="1">
      <c r="B82" s="625">
        <v>3.02</v>
      </c>
      <c r="C82" s="859" t="s">
        <v>97</v>
      </c>
      <c r="D82" s="623"/>
      <c r="E82" s="623"/>
      <c r="F82" s="624"/>
      <c r="G82" s="624"/>
      <c r="H82" s="627" t="s">
        <v>0</v>
      </c>
      <c r="I82" s="628">
        <f>+H91</f>
        <v>1662.8999999999999</v>
      </c>
    </row>
    <row r="83" spans="2:9" ht="13.5" customHeight="1">
      <c r="B83" s="648"/>
      <c r="C83" s="626"/>
      <c r="D83" s="623"/>
      <c r="E83" s="623"/>
      <c r="F83" s="624"/>
      <c r="G83" s="624"/>
      <c r="H83" s="623"/>
      <c r="I83" s="623"/>
    </row>
    <row r="84" spans="2:9" ht="13.5" customHeight="1">
      <c r="B84" s="582"/>
      <c r="C84" s="652" t="s">
        <v>29</v>
      </c>
      <c r="D84" s="596"/>
      <c r="E84" s="596"/>
      <c r="F84" s="630"/>
      <c r="G84" s="630"/>
      <c r="H84" s="596"/>
      <c r="I84" s="624"/>
    </row>
    <row r="85" spans="2:9" ht="13.5" customHeight="1">
      <c r="B85" s="582"/>
      <c r="C85" s="652"/>
      <c r="D85" s="596"/>
      <c r="E85" s="596"/>
      <c r="F85" s="630"/>
      <c r="G85" s="630"/>
      <c r="H85" s="596"/>
      <c r="I85" s="624"/>
    </row>
    <row r="86" spans="2:9" ht="13.5" customHeight="1">
      <c r="B86" s="582"/>
      <c r="C86" s="643" t="s">
        <v>30</v>
      </c>
      <c r="D86" s="633" t="s">
        <v>31</v>
      </c>
      <c r="E86" s="633" t="str">
        <f>+E35</f>
        <v>COEF. PARTIC.</v>
      </c>
      <c r="F86" s="633" t="s">
        <v>32</v>
      </c>
      <c r="G86" s="633" t="s">
        <v>13</v>
      </c>
      <c r="H86" s="633" t="s">
        <v>4</v>
      </c>
      <c r="I86" s="623"/>
    </row>
    <row r="87" spans="2:9" ht="13.5" hidden="1" customHeight="1">
      <c r="B87" s="582"/>
      <c r="C87" s="644" t="str">
        <f t="shared" ref="C87:D89" si="3">+C36</f>
        <v>COORDINADOR DE SUPERVISION</v>
      </c>
      <c r="D87" s="645">
        <f t="shared" si="3"/>
        <v>0</v>
      </c>
      <c r="E87" s="645">
        <f>+E36</f>
        <v>1</v>
      </c>
      <c r="F87" s="645">
        <f>+F36</f>
        <v>6</v>
      </c>
      <c r="G87" s="645">
        <f>(+G36+G113)/10</f>
        <v>719.3</v>
      </c>
      <c r="H87" s="644">
        <f>PRODUCT(D87:G87)</f>
        <v>0</v>
      </c>
      <c r="I87" s="623"/>
    </row>
    <row r="88" spans="2:9" ht="13.5" customHeight="1">
      <c r="B88" s="582"/>
      <c r="C88" s="644" t="str">
        <f t="shared" si="3"/>
        <v>SUPERVISOR DE OBRA</v>
      </c>
      <c r="D88" s="645">
        <f t="shared" si="3"/>
        <v>1</v>
      </c>
      <c r="E88" s="645">
        <f>+E37</f>
        <v>1</v>
      </c>
      <c r="F88" s="645">
        <f>+F37</f>
        <v>3</v>
      </c>
      <c r="G88" s="645">
        <f>(+G37+G114)/10</f>
        <v>554.29999999999995</v>
      </c>
      <c r="H88" s="644">
        <f>PRODUCT(D88:G88)</f>
        <v>1662.8999999999999</v>
      </c>
      <c r="I88" s="623"/>
    </row>
    <row r="89" spans="2:9" ht="13.5" hidden="1" customHeight="1">
      <c r="B89" s="582"/>
      <c r="C89" s="644" t="str">
        <f t="shared" si="3"/>
        <v>ASISTENTE DEL COORDINADOR</v>
      </c>
      <c r="D89" s="645">
        <f t="shared" si="3"/>
        <v>0</v>
      </c>
      <c r="E89" s="645">
        <f>+E38</f>
        <v>1</v>
      </c>
      <c r="F89" s="645">
        <f>+F38</f>
        <v>5</v>
      </c>
      <c r="G89" s="645">
        <f>(+G38+G115)/10</f>
        <v>344.3</v>
      </c>
      <c r="H89" s="644">
        <f>PRODUCT(D89:G89)</f>
        <v>0</v>
      </c>
      <c r="I89" s="623"/>
    </row>
    <row r="90" spans="2:9" ht="13.5" hidden="1" customHeight="1">
      <c r="B90" s="582"/>
      <c r="C90" s="644" t="str">
        <f>+C39</f>
        <v>ASISTENTE DE SUPERVISOR</v>
      </c>
      <c r="D90" s="645">
        <f>+D54</f>
        <v>0</v>
      </c>
      <c r="E90" s="645">
        <f>+E39</f>
        <v>1</v>
      </c>
      <c r="F90" s="645">
        <f>+F54</f>
        <v>5</v>
      </c>
      <c r="G90" s="645">
        <f>(+G39+G116)/10</f>
        <v>344.3</v>
      </c>
      <c r="H90" s="644">
        <f>PRODUCT(D90:G90)</f>
        <v>0</v>
      </c>
      <c r="I90" s="623"/>
    </row>
    <row r="91" spans="2:9" ht="13.5" customHeight="1">
      <c r="B91" s="582"/>
      <c r="C91" s="1105" t="s">
        <v>3</v>
      </c>
      <c r="D91" s="1106"/>
      <c r="E91" s="1106"/>
      <c r="F91" s="1106"/>
      <c r="G91" s="1107"/>
      <c r="H91" s="635">
        <f>SUM(H87:H90)</f>
        <v>1662.8999999999999</v>
      </c>
      <c r="I91" s="623"/>
    </row>
    <row r="92" spans="2:9" ht="13.5" customHeight="1">
      <c r="B92" s="582"/>
      <c r="C92" s="623"/>
      <c r="D92" s="623"/>
      <c r="E92" s="623"/>
      <c r="F92" s="624"/>
      <c r="G92" s="624"/>
      <c r="H92" s="623"/>
      <c r="I92" s="623"/>
    </row>
    <row r="93" spans="2:9" ht="13.5" customHeight="1">
      <c r="B93" s="614">
        <v>4</v>
      </c>
      <c r="C93" s="615" t="s">
        <v>214</v>
      </c>
      <c r="D93" s="616"/>
      <c r="E93" s="616"/>
      <c r="F93" s="617"/>
      <c r="G93" s="618"/>
      <c r="H93" s="619" t="s">
        <v>0</v>
      </c>
      <c r="I93" s="620">
        <f>+I95</f>
        <v>150</v>
      </c>
    </row>
    <row r="94" spans="2:9" ht="13.5" customHeight="1">
      <c r="B94" s="650"/>
      <c r="C94" s="651"/>
      <c r="D94" s="623"/>
      <c r="E94" s="623"/>
      <c r="F94" s="596"/>
      <c r="G94" s="642"/>
      <c r="H94" s="627"/>
      <c r="I94" s="628"/>
    </row>
    <row r="95" spans="2:9" ht="13.5" customHeight="1">
      <c r="B95" s="625">
        <v>4.01</v>
      </c>
      <c r="C95" s="626" t="s">
        <v>96</v>
      </c>
      <c r="D95" s="653">
        <v>300</v>
      </c>
      <c r="E95" s="653"/>
      <c r="F95" s="624"/>
      <c r="G95" s="624"/>
      <c r="H95" s="627" t="s">
        <v>0</v>
      </c>
      <c r="I95" s="628">
        <f>+H104</f>
        <v>150</v>
      </c>
    </row>
    <row r="96" spans="2:9" ht="13.5" customHeight="1">
      <c r="B96" s="648"/>
      <c r="C96" s="626"/>
      <c r="D96" s="623"/>
      <c r="E96" s="623"/>
      <c r="F96" s="624"/>
      <c r="G96" s="624"/>
      <c r="H96" s="623"/>
      <c r="I96" s="623"/>
    </row>
    <row r="97" spans="2:9" ht="13.5" customHeight="1">
      <c r="B97" s="582"/>
      <c r="C97" s="652" t="s">
        <v>29</v>
      </c>
      <c r="D97" s="596"/>
      <c r="E97" s="596"/>
      <c r="F97" s="630"/>
      <c r="G97" s="630"/>
      <c r="H97" s="596"/>
      <c r="I97" s="624"/>
    </row>
    <row r="98" spans="2:9" ht="13.5" customHeight="1">
      <c r="B98" s="582"/>
      <c r="C98" s="652"/>
      <c r="D98" s="596"/>
      <c r="E98" s="596"/>
      <c r="F98" s="630"/>
      <c r="G98" s="630"/>
      <c r="H98" s="596"/>
      <c r="I98" s="624"/>
    </row>
    <row r="99" spans="2:9" ht="13.5" customHeight="1">
      <c r="B99" s="582"/>
      <c r="C99" s="643" t="s">
        <v>30</v>
      </c>
      <c r="D99" s="633" t="s">
        <v>31</v>
      </c>
      <c r="E99" s="633" t="str">
        <f>+E35</f>
        <v>COEF. PARTIC.</v>
      </c>
      <c r="F99" s="633" t="s">
        <v>32</v>
      </c>
      <c r="G99" s="687" t="s">
        <v>13</v>
      </c>
      <c r="H99" s="633" t="s">
        <v>4</v>
      </c>
      <c r="I99" s="623"/>
    </row>
    <row r="100" spans="2:9" ht="13.5" hidden="1" customHeight="1">
      <c r="B100" s="582"/>
      <c r="C100" s="644" t="str">
        <f t="shared" ref="C100:D103" si="4">+C36</f>
        <v>COORDINADOR DE SUPERVISION</v>
      </c>
      <c r="D100" s="645">
        <f t="shared" si="4"/>
        <v>0</v>
      </c>
      <c r="E100" s="645">
        <f>+E36</f>
        <v>1</v>
      </c>
      <c r="F100" s="645">
        <f>+F36</f>
        <v>6</v>
      </c>
      <c r="G100" s="645">
        <f>($D$95*2)/12*(F100*E100)</f>
        <v>300</v>
      </c>
      <c r="H100" s="692">
        <f>+D100*G100</f>
        <v>0</v>
      </c>
      <c r="I100" s="623"/>
    </row>
    <row r="101" spans="2:9" ht="13.5" customHeight="1">
      <c r="B101" s="582"/>
      <c r="C101" s="644" t="str">
        <f t="shared" si="4"/>
        <v>SUPERVISOR DE OBRA</v>
      </c>
      <c r="D101" s="645">
        <f t="shared" si="4"/>
        <v>1</v>
      </c>
      <c r="E101" s="645">
        <f>+E37</f>
        <v>1</v>
      </c>
      <c r="F101" s="645">
        <f>+F37</f>
        <v>3</v>
      </c>
      <c r="G101" s="645">
        <f>($D$95*2)/12*(F101*E101)</f>
        <v>150</v>
      </c>
      <c r="H101" s="692">
        <f>+D101*G101</f>
        <v>150</v>
      </c>
      <c r="I101" s="623"/>
    </row>
    <row r="102" spans="2:9" ht="13.5" hidden="1" customHeight="1">
      <c r="B102" s="582"/>
      <c r="C102" s="644" t="str">
        <f t="shared" si="4"/>
        <v>ASISTENTE DEL COORDINADOR</v>
      </c>
      <c r="D102" s="645">
        <f t="shared" si="4"/>
        <v>0</v>
      </c>
      <c r="E102" s="645">
        <f>+E38</f>
        <v>1</v>
      </c>
      <c r="F102" s="645">
        <f>+F38</f>
        <v>5</v>
      </c>
      <c r="G102" s="645">
        <f>($D$95*2)/12*(F102*E102)</f>
        <v>250</v>
      </c>
      <c r="H102" s="692">
        <f>+D102*G102</f>
        <v>0</v>
      </c>
      <c r="I102" s="623"/>
    </row>
    <row r="103" spans="2:9" ht="13.5" hidden="1" customHeight="1">
      <c r="B103" s="582"/>
      <c r="C103" s="644" t="str">
        <f t="shared" si="4"/>
        <v>ASISTENTE DE SUPERVISOR</v>
      </c>
      <c r="D103" s="645">
        <f t="shared" si="4"/>
        <v>0</v>
      </c>
      <c r="E103" s="645">
        <f>+E39</f>
        <v>1</v>
      </c>
      <c r="F103" s="645">
        <f>+F39</f>
        <v>5</v>
      </c>
      <c r="G103" s="645">
        <f>($D$95*2)/12*(F103*E103)</f>
        <v>250</v>
      </c>
      <c r="H103" s="692">
        <f>+D103*G103</f>
        <v>0</v>
      </c>
      <c r="I103" s="623"/>
    </row>
    <row r="104" spans="2:9" ht="13.5" customHeight="1">
      <c r="B104" s="582"/>
      <c r="C104" s="1102" t="s">
        <v>3</v>
      </c>
      <c r="D104" s="1103"/>
      <c r="E104" s="1103"/>
      <c r="F104" s="1103"/>
      <c r="G104" s="1104"/>
      <c r="H104" s="688">
        <f>SUM(H100:H103)</f>
        <v>150</v>
      </c>
      <c r="I104" s="623"/>
    </row>
    <row r="105" spans="2:9" ht="13.5" customHeight="1">
      <c r="B105" s="582"/>
      <c r="C105" s="640"/>
      <c r="D105" s="640"/>
      <c r="E105" s="640"/>
      <c r="F105" s="640"/>
      <c r="G105" s="640"/>
      <c r="H105" s="622"/>
      <c r="I105" s="623"/>
    </row>
    <row r="106" spans="2:9" ht="13.5" customHeight="1">
      <c r="B106" s="614">
        <v>5</v>
      </c>
      <c r="C106" s="615" t="s">
        <v>417</v>
      </c>
      <c r="D106" s="616"/>
      <c r="E106" s="616"/>
      <c r="F106" s="617"/>
      <c r="G106" s="618"/>
      <c r="H106" s="619" t="s">
        <v>0</v>
      </c>
      <c r="I106" s="620">
        <f>+I108</f>
        <v>279</v>
      </c>
    </row>
    <row r="107" spans="2:9" ht="13.5" customHeight="1">
      <c r="B107" s="650"/>
      <c r="C107" s="651"/>
      <c r="D107" s="623"/>
      <c r="E107" s="623"/>
      <c r="F107" s="596"/>
      <c r="G107" s="642"/>
      <c r="H107" s="627"/>
      <c r="I107" s="628"/>
    </row>
    <row r="108" spans="2:9" ht="13.5" customHeight="1">
      <c r="B108" s="625">
        <v>5.01</v>
      </c>
      <c r="C108" s="626" t="s">
        <v>418</v>
      </c>
      <c r="D108" s="653"/>
      <c r="E108" s="653"/>
      <c r="F108" s="624"/>
      <c r="G108" s="624"/>
      <c r="H108" s="627" t="s">
        <v>0</v>
      </c>
      <c r="I108" s="628">
        <f>+H117</f>
        <v>279</v>
      </c>
    </row>
    <row r="109" spans="2:9" ht="13.5" customHeight="1">
      <c r="B109" s="648"/>
      <c r="C109" s="626"/>
      <c r="D109" s="623"/>
      <c r="E109" s="623"/>
      <c r="F109" s="624"/>
      <c r="G109" s="624"/>
      <c r="H109" s="623"/>
      <c r="I109" s="623"/>
    </row>
    <row r="110" spans="2:9" ht="13.5" customHeight="1">
      <c r="B110" s="582"/>
      <c r="C110" s="652" t="s">
        <v>29</v>
      </c>
      <c r="D110" s="596"/>
      <c r="E110" s="596"/>
      <c r="F110" s="630"/>
      <c r="G110" s="630"/>
      <c r="H110" s="596"/>
      <c r="I110" s="624"/>
    </row>
    <row r="111" spans="2:9" ht="13.5" customHeight="1">
      <c r="B111" s="582"/>
      <c r="C111" s="652"/>
      <c r="D111" s="596"/>
      <c r="E111" s="596"/>
      <c r="F111" s="630"/>
      <c r="G111" s="630"/>
      <c r="H111" s="596"/>
      <c r="I111" s="624"/>
    </row>
    <row r="112" spans="2:9" ht="13.5" customHeight="1">
      <c r="B112" s="582"/>
      <c r="C112" s="643" t="s">
        <v>30</v>
      </c>
      <c r="D112" s="633" t="s">
        <v>31</v>
      </c>
      <c r="E112" s="633" t="s">
        <v>291</v>
      </c>
      <c r="F112" s="633" t="s">
        <v>32</v>
      </c>
      <c r="G112" s="687" t="s">
        <v>13</v>
      </c>
      <c r="H112" s="633" t="s">
        <v>4</v>
      </c>
      <c r="I112" s="624"/>
    </row>
    <row r="113" spans="2:10" ht="13.5" hidden="1" customHeight="1">
      <c r="B113" s="582"/>
      <c r="C113" s="644" t="str">
        <f t="shared" ref="C113:F116" si="5">C36</f>
        <v>COORDINADOR DE SUPERVISION</v>
      </c>
      <c r="D113" s="645">
        <f t="shared" si="5"/>
        <v>0</v>
      </c>
      <c r="E113" s="645">
        <f t="shared" si="5"/>
        <v>1</v>
      </c>
      <c r="F113" s="645">
        <f t="shared" si="5"/>
        <v>6</v>
      </c>
      <c r="G113" s="858">
        <f>930/10</f>
        <v>93</v>
      </c>
      <c r="H113" s="644">
        <f>PRODUCT(D113:G113)</f>
        <v>0</v>
      </c>
      <c r="I113" s="624"/>
    </row>
    <row r="114" spans="2:10" ht="13.5" customHeight="1">
      <c r="B114" s="582"/>
      <c r="C114" s="644" t="str">
        <f t="shared" si="5"/>
        <v>SUPERVISOR DE OBRA</v>
      </c>
      <c r="D114" s="645">
        <f t="shared" si="5"/>
        <v>1</v>
      </c>
      <c r="E114" s="645">
        <f t="shared" si="5"/>
        <v>1</v>
      </c>
      <c r="F114" s="645">
        <f t="shared" si="5"/>
        <v>3</v>
      </c>
      <c r="G114" s="858">
        <f>930/10</f>
        <v>93</v>
      </c>
      <c r="H114" s="644">
        <f>PRODUCT(D114:G114)</f>
        <v>279</v>
      </c>
      <c r="I114" s="624"/>
    </row>
    <row r="115" spans="2:10" ht="13.5" hidden="1" customHeight="1">
      <c r="B115" s="582"/>
      <c r="C115" s="644" t="str">
        <f t="shared" si="5"/>
        <v>ASISTENTE DEL COORDINADOR</v>
      </c>
      <c r="D115" s="645">
        <f t="shared" si="5"/>
        <v>0</v>
      </c>
      <c r="E115" s="645">
        <f t="shared" si="5"/>
        <v>1</v>
      </c>
      <c r="F115" s="645">
        <f t="shared" si="5"/>
        <v>5</v>
      </c>
      <c r="G115" s="858">
        <f>930/10</f>
        <v>93</v>
      </c>
      <c r="H115" s="644">
        <f>PRODUCT(D115:G115)</f>
        <v>0</v>
      </c>
      <c r="I115" s="624"/>
    </row>
    <row r="116" spans="2:10" ht="13.5" hidden="1" customHeight="1">
      <c r="B116" s="582"/>
      <c r="C116" s="644" t="str">
        <f t="shared" si="5"/>
        <v>ASISTENTE DE SUPERVISOR</v>
      </c>
      <c r="D116" s="645">
        <f t="shared" si="5"/>
        <v>0</v>
      </c>
      <c r="E116" s="645">
        <f t="shared" si="5"/>
        <v>1</v>
      </c>
      <c r="F116" s="645">
        <f t="shared" si="5"/>
        <v>5</v>
      </c>
      <c r="G116" s="858">
        <f>930/10</f>
        <v>93</v>
      </c>
      <c r="H116" s="692">
        <f>PRODUCT(D116:G116)</f>
        <v>0</v>
      </c>
      <c r="I116" s="623"/>
    </row>
    <row r="117" spans="2:10" ht="13.5" customHeight="1">
      <c r="B117" s="582"/>
      <c r="C117" s="1102" t="s">
        <v>3</v>
      </c>
      <c r="D117" s="1103"/>
      <c r="E117" s="1103"/>
      <c r="F117" s="1103"/>
      <c r="G117" s="1104"/>
      <c r="H117" s="688">
        <f>SUM(H113:H116)</f>
        <v>279</v>
      </c>
      <c r="I117" s="623"/>
    </row>
    <row r="118" spans="2:10" ht="13.5" customHeight="1">
      <c r="B118" s="582"/>
      <c r="C118" s="623"/>
      <c r="D118" s="623"/>
      <c r="E118" s="623"/>
      <c r="F118" s="624"/>
      <c r="G118" s="624"/>
      <c r="H118" s="623"/>
      <c r="I118" s="623"/>
    </row>
    <row r="119" spans="2:10" ht="13.5" customHeight="1">
      <c r="B119" s="582"/>
      <c r="C119" s="623"/>
      <c r="D119" s="623"/>
      <c r="E119" s="623"/>
      <c r="F119" s="624"/>
      <c r="G119" s="624"/>
      <c r="H119" s="623"/>
      <c r="I119" s="623"/>
    </row>
    <row r="120" spans="2:10" s="168" customFormat="1" ht="13.5" customHeight="1">
      <c r="B120" s="636" t="s">
        <v>510</v>
      </c>
      <c r="C120" s="637"/>
      <c r="D120" s="606"/>
      <c r="E120" s="606"/>
      <c r="F120" s="606"/>
      <c r="G120" s="824"/>
      <c r="H120" s="607" t="s">
        <v>0</v>
      </c>
      <c r="I120" s="608">
        <f>+I122+I134+I143+I159</f>
        <v>1903.8</v>
      </c>
      <c r="J120" s="177"/>
    </row>
    <row r="121" spans="2:10" s="168" customFormat="1" ht="13.5" customHeight="1">
      <c r="B121" s="638"/>
      <c r="C121" s="639"/>
      <c r="D121" s="611"/>
      <c r="E121" s="611"/>
      <c r="F121" s="611"/>
      <c r="G121" s="825"/>
      <c r="H121" s="612"/>
      <c r="I121" s="613"/>
      <c r="J121" s="177"/>
    </row>
    <row r="122" spans="2:10" s="168" customFormat="1" ht="13.5" customHeight="1">
      <c r="B122" s="614">
        <v>1</v>
      </c>
      <c r="C122" s="615" t="s">
        <v>255</v>
      </c>
      <c r="D122" s="616"/>
      <c r="E122" s="616"/>
      <c r="F122" s="617"/>
      <c r="G122" s="618"/>
      <c r="H122" s="619" t="s">
        <v>0</v>
      </c>
      <c r="I122" s="620">
        <f>H132</f>
        <v>624</v>
      </c>
      <c r="J122" s="177"/>
    </row>
    <row r="123" spans="2:10" s="168" customFormat="1" ht="13.5" customHeight="1">
      <c r="B123" s="638"/>
      <c r="C123" s="639"/>
      <c r="D123" s="611"/>
      <c r="E123" s="611"/>
      <c r="F123" s="611"/>
      <c r="G123" s="825"/>
      <c r="H123" s="612"/>
      <c r="I123" s="613"/>
      <c r="J123" s="177"/>
    </row>
    <row r="124" spans="2:10" ht="13.5" customHeight="1">
      <c r="B124" s="625">
        <v>1.01</v>
      </c>
      <c r="C124" s="626" t="s">
        <v>25</v>
      </c>
      <c r="D124" s="623"/>
      <c r="E124" s="623"/>
      <c r="F124" s="623"/>
      <c r="G124" s="624"/>
      <c r="H124" s="627" t="s">
        <v>0</v>
      </c>
      <c r="I124" s="654">
        <f>H132</f>
        <v>624</v>
      </c>
    </row>
    <row r="125" spans="2:10" ht="13.5" customHeight="1">
      <c r="B125" s="648"/>
      <c r="C125" s="626"/>
      <c r="D125" s="623"/>
      <c r="E125" s="623"/>
      <c r="F125" s="623"/>
      <c r="G125" s="624"/>
      <c r="H125" s="623"/>
      <c r="I125" s="623"/>
      <c r="J125" s="171"/>
    </row>
    <row r="126" spans="2:10" ht="13.5" customHeight="1">
      <c r="B126" s="582"/>
      <c r="C126" s="1097" t="s">
        <v>17</v>
      </c>
      <c r="D126" s="1098"/>
      <c r="E126" s="655" t="s">
        <v>2</v>
      </c>
      <c r="F126" s="655" t="s">
        <v>18</v>
      </c>
      <c r="G126" s="655" t="s">
        <v>5</v>
      </c>
      <c r="H126" s="655" t="s">
        <v>4</v>
      </c>
      <c r="I126" s="640"/>
    </row>
    <row r="127" spans="2:10" ht="13.5" customHeight="1">
      <c r="B127" s="582"/>
      <c r="C127" s="1096" t="s">
        <v>422</v>
      </c>
      <c r="D127" s="1096"/>
      <c r="E127" s="690" t="s">
        <v>2</v>
      </c>
      <c r="F127" s="663">
        <v>1</v>
      </c>
      <c r="G127" s="826">
        <v>50</v>
      </c>
      <c r="H127" s="644">
        <f>F127*G127</f>
        <v>50</v>
      </c>
      <c r="I127" s="640"/>
    </row>
    <row r="128" spans="2:10" ht="13.5" customHeight="1">
      <c r="B128" s="582"/>
      <c r="C128" s="1096" t="s">
        <v>598</v>
      </c>
      <c r="D128" s="1096"/>
      <c r="E128" s="690" t="s">
        <v>2</v>
      </c>
      <c r="F128" s="663">
        <v>8</v>
      </c>
      <c r="G128" s="826">
        <v>18</v>
      </c>
      <c r="H128" s="644">
        <f>F128*G128</f>
        <v>144</v>
      </c>
      <c r="I128" s="640"/>
    </row>
    <row r="129" spans="2:17" hidden="1">
      <c r="B129" s="582"/>
      <c r="C129" s="1096" t="s">
        <v>252</v>
      </c>
      <c r="D129" s="1096"/>
      <c r="E129" s="690" t="s">
        <v>2</v>
      </c>
      <c r="F129" s="663">
        <v>0</v>
      </c>
      <c r="G129" s="826">
        <v>50</v>
      </c>
      <c r="H129" s="644">
        <f>F129*G129</f>
        <v>0</v>
      </c>
      <c r="I129" s="640"/>
    </row>
    <row r="130" spans="2:17">
      <c r="B130" s="582"/>
      <c r="C130" s="1096" t="s">
        <v>423</v>
      </c>
      <c r="D130" s="1096"/>
      <c r="E130" s="690" t="s">
        <v>2</v>
      </c>
      <c r="F130" s="663">
        <v>1</v>
      </c>
      <c r="G130" s="826">
        <v>80</v>
      </c>
      <c r="H130" s="644">
        <f>F130*G130</f>
        <v>80</v>
      </c>
      <c r="I130" s="640"/>
    </row>
    <row r="131" spans="2:17" ht="13.5" customHeight="1">
      <c r="B131" s="582"/>
      <c r="C131" s="1096" t="s">
        <v>254</v>
      </c>
      <c r="D131" s="1096"/>
      <c r="E131" s="690" t="s">
        <v>8</v>
      </c>
      <c r="F131" s="663">
        <v>1</v>
      </c>
      <c r="G131" s="826">
        <v>350</v>
      </c>
      <c r="H131" s="644">
        <f>F131*G131</f>
        <v>350</v>
      </c>
      <c r="I131" s="640"/>
    </row>
    <row r="132" spans="2:17" ht="13.5" customHeight="1">
      <c r="B132" s="582"/>
      <c r="C132" s="1099" t="s">
        <v>3</v>
      </c>
      <c r="D132" s="1099"/>
      <c r="E132" s="1099"/>
      <c r="F132" s="1099"/>
      <c r="G132" s="1099"/>
      <c r="H132" s="660">
        <f>SUM(H127:H131)</f>
        <v>624</v>
      </c>
      <c r="I132" s="641"/>
      <c r="K132" s="161" t="e">
        <f>365-#REF!</f>
        <v>#REF!</v>
      </c>
    </row>
    <row r="133" spans="2:17" ht="13.5" customHeight="1">
      <c r="B133" s="629"/>
      <c r="C133" s="640"/>
      <c r="D133" s="640"/>
      <c r="E133" s="640"/>
      <c r="F133" s="640"/>
      <c r="G133" s="640"/>
      <c r="H133" s="623"/>
      <c r="I133" s="596"/>
    </row>
    <row r="134" spans="2:17" ht="13.5" hidden="1" customHeight="1">
      <c r="B134" s="661">
        <v>2</v>
      </c>
      <c r="C134" s="615" t="s">
        <v>93</v>
      </c>
      <c r="D134" s="616"/>
      <c r="E134" s="616"/>
      <c r="F134" s="617"/>
      <c r="G134" s="618"/>
      <c r="H134" s="619" t="s">
        <v>0</v>
      </c>
      <c r="I134" s="620">
        <f>H141</f>
        <v>0</v>
      </c>
    </row>
    <row r="135" spans="2:17" ht="13.5" hidden="1" customHeight="1">
      <c r="B135" s="638"/>
      <c r="C135" s="639"/>
      <c r="D135" s="611"/>
      <c r="E135" s="611"/>
      <c r="F135" s="611"/>
      <c r="G135" s="825"/>
      <c r="H135" s="612"/>
      <c r="I135" s="613"/>
    </row>
    <row r="136" spans="2:17" ht="13.5" hidden="1" customHeight="1">
      <c r="B136" s="625">
        <v>2.0099999999999998</v>
      </c>
      <c r="C136" s="626" t="s">
        <v>172</v>
      </c>
      <c r="D136" s="623"/>
      <c r="E136" s="623"/>
      <c r="F136" s="623"/>
      <c r="G136" s="624"/>
      <c r="H136" s="627" t="s">
        <v>0</v>
      </c>
      <c r="I136" s="654">
        <f>H141</f>
        <v>0</v>
      </c>
    </row>
    <row r="137" spans="2:17" ht="13.5" hidden="1" customHeight="1">
      <c r="B137" s="648"/>
      <c r="C137" s="626"/>
      <c r="D137" s="623"/>
      <c r="E137" s="623"/>
      <c r="F137" s="623"/>
      <c r="G137" s="624"/>
      <c r="H137" s="623"/>
      <c r="I137" s="623"/>
    </row>
    <row r="138" spans="2:17" ht="13.5" hidden="1" customHeight="1">
      <c r="B138" s="582"/>
      <c r="C138" s="1100" t="s">
        <v>17</v>
      </c>
      <c r="D138" s="1100"/>
      <c r="E138" s="655" t="s">
        <v>2</v>
      </c>
      <c r="F138" s="655" t="s">
        <v>18</v>
      </c>
      <c r="G138" s="655" t="s">
        <v>5</v>
      </c>
      <c r="H138" s="655" t="s">
        <v>4</v>
      </c>
      <c r="I138" s="640"/>
      <c r="L138" s="744" t="s">
        <v>459</v>
      </c>
      <c r="M138" s="744" t="s">
        <v>460</v>
      </c>
      <c r="N138" s="744" t="s">
        <v>461</v>
      </c>
      <c r="O138" s="744" t="s">
        <v>462</v>
      </c>
      <c r="P138" s="744" t="s">
        <v>466</v>
      </c>
      <c r="Q138" s="744" t="s">
        <v>463</v>
      </c>
    </row>
    <row r="139" spans="2:17" ht="13.5" hidden="1" customHeight="1">
      <c r="B139" s="582"/>
      <c r="C139" s="1096" t="s">
        <v>279</v>
      </c>
      <c r="D139" s="1096"/>
      <c r="E139" s="656" t="s">
        <v>6</v>
      </c>
      <c r="F139" s="663">
        <v>0</v>
      </c>
      <c r="G139" s="757">
        <v>13</v>
      </c>
      <c r="H139" s="658">
        <f>F139*G139</f>
        <v>0</v>
      </c>
      <c r="I139" s="640"/>
      <c r="L139" s="743">
        <v>1.5</v>
      </c>
      <c r="M139" s="743">
        <v>7.5</v>
      </c>
      <c r="N139" s="743">
        <v>2</v>
      </c>
      <c r="O139" s="743">
        <v>5</v>
      </c>
      <c r="P139" s="745">
        <v>5</v>
      </c>
      <c r="Q139" s="743">
        <f>PRODUCT(L139:P139)</f>
        <v>562.5</v>
      </c>
    </row>
    <row r="140" spans="2:17" s="748" customFormat="1" ht="13.5" hidden="1" customHeight="1">
      <c r="B140" s="749"/>
      <c r="C140" s="1096" t="s">
        <v>523</v>
      </c>
      <c r="D140" s="1096"/>
      <c r="E140" s="756" t="s">
        <v>6</v>
      </c>
      <c r="F140" s="663">
        <v>0</v>
      </c>
      <c r="G140" s="757">
        <v>13.5</v>
      </c>
      <c r="H140" s="658">
        <f>F140*G140</f>
        <v>0</v>
      </c>
      <c r="I140" s="755"/>
      <c r="K140" s="758"/>
      <c r="L140" s="758">
        <v>1.5</v>
      </c>
      <c r="M140" s="758">
        <v>7.5</v>
      </c>
      <c r="N140" s="758">
        <v>2</v>
      </c>
      <c r="O140" s="743">
        <v>5</v>
      </c>
      <c r="P140" s="745">
        <v>5</v>
      </c>
      <c r="Q140" s="743">
        <f>PRODUCT(L140:P140)</f>
        <v>562.5</v>
      </c>
    </row>
    <row r="141" spans="2:17" ht="13.5" hidden="1" customHeight="1">
      <c r="B141" s="582"/>
      <c r="C141" s="1099" t="s">
        <v>3</v>
      </c>
      <c r="D141" s="1099"/>
      <c r="E141" s="1099"/>
      <c r="F141" s="1099"/>
      <c r="G141" s="1099"/>
      <c r="H141" s="660">
        <f>SUM(H139:H140)</f>
        <v>0</v>
      </c>
      <c r="I141" s="640"/>
    </row>
    <row r="142" spans="2:17" ht="13.5" customHeight="1">
      <c r="B142" s="629"/>
      <c r="C142" s="640"/>
      <c r="D142" s="640"/>
      <c r="E142" s="640"/>
      <c r="F142" s="640"/>
      <c r="G142" s="640"/>
      <c r="H142" s="623"/>
      <c r="I142" s="596"/>
    </row>
    <row r="143" spans="2:17" ht="13.5" customHeight="1">
      <c r="B143" s="665">
        <v>2</v>
      </c>
      <c r="C143" s="615" t="s">
        <v>292</v>
      </c>
      <c r="D143" s="616"/>
      <c r="E143" s="616"/>
      <c r="F143" s="616"/>
      <c r="G143" s="618"/>
      <c r="H143" s="619" t="s">
        <v>0</v>
      </c>
      <c r="I143" s="620">
        <f>+I145</f>
        <v>610</v>
      </c>
    </row>
    <row r="144" spans="2:17" ht="13.5" customHeight="1">
      <c r="B144" s="648"/>
      <c r="C144" s="626"/>
      <c r="D144" s="623"/>
      <c r="E144" s="623"/>
      <c r="F144" s="623"/>
      <c r="G144" s="624"/>
      <c r="H144" s="623"/>
      <c r="I144" s="623"/>
    </row>
    <row r="145" spans="2:9" ht="13.5" customHeight="1">
      <c r="B145" s="648">
        <v>2.1</v>
      </c>
      <c r="C145" s="626" t="s">
        <v>288</v>
      </c>
      <c r="D145" s="596"/>
      <c r="E145" s="596"/>
      <c r="F145" s="596"/>
      <c r="G145" s="630"/>
      <c r="H145" s="627" t="s">
        <v>0</v>
      </c>
      <c r="I145" s="595">
        <f>H156</f>
        <v>610</v>
      </c>
    </row>
    <row r="146" spans="2:9" ht="13.5" customHeight="1">
      <c r="B146" s="666"/>
      <c r="C146" s="667"/>
      <c r="D146" s="668"/>
      <c r="E146" s="668"/>
      <c r="F146" s="669"/>
      <c r="G146" s="668"/>
      <c r="H146" s="669"/>
    </row>
    <row r="147" spans="2:9" ht="13.5" customHeight="1">
      <c r="B147" s="666"/>
      <c r="C147" s="1100" t="s">
        <v>17</v>
      </c>
      <c r="D147" s="1100"/>
      <c r="E147" s="655" t="s">
        <v>2</v>
      </c>
      <c r="F147" s="655" t="s">
        <v>18</v>
      </c>
      <c r="G147" s="655" t="s">
        <v>5</v>
      </c>
      <c r="H147" s="655" t="s">
        <v>4</v>
      </c>
    </row>
    <row r="148" spans="2:9" ht="13.5" customHeight="1">
      <c r="B148" s="666"/>
      <c r="C148" s="1118" t="s">
        <v>278</v>
      </c>
      <c r="D148" s="1119"/>
      <c r="E148" s="673" t="s">
        <v>2</v>
      </c>
      <c r="F148" s="674">
        <v>0</v>
      </c>
      <c r="G148" s="664">
        <v>4800</v>
      </c>
      <c r="H148" s="695">
        <f t="shared" ref="H148:H155" si="6">+F148*G148</f>
        <v>0</v>
      </c>
    </row>
    <row r="149" spans="2:9" ht="13.5" customHeight="1">
      <c r="B149" s="666"/>
      <c r="C149" s="1101" t="s">
        <v>242</v>
      </c>
      <c r="D149" s="1101"/>
      <c r="E149" s="676" t="s">
        <v>2</v>
      </c>
      <c r="F149" s="676">
        <v>0</v>
      </c>
      <c r="G149" s="676">
        <v>900</v>
      </c>
      <c r="H149" s="695">
        <f t="shared" si="6"/>
        <v>0</v>
      </c>
    </row>
    <row r="150" spans="2:9" ht="13.5" customHeight="1">
      <c r="B150" s="666"/>
      <c r="C150" s="1116" t="s">
        <v>293</v>
      </c>
      <c r="D150" s="1117"/>
      <c r="E150" s="679" t="s">
        <v>2</v>
      </c>
      <c r="F150" s="680">
        <v>0</v>
      </c>
      <c r="G150" s="681">
        <v>1200</v>
      </c>
      <c r="H150" s="695">
        <f t="shared" si="6"/>
        <v>0</v>
      </c>
    </row>
    <row r="151" spans="2:9" ht="13.5" customHeight="1">
      <c r="B151" s="666"/>
      <c r="C151" s="677" t="s">
        <v>426</v>
      </c>
      <c r="D151" s="678"/>
      <c r="E151" s="679" t="s">
        <v>2</v>
      </c>
      <c r="F151" s="680">
        <v>1</v>
      </c>
      <c r="G151" s="681">
        <v>300</v>
      </c>
      <c r="H151" s="695">
        <f t="shared" si="6"/>
        <v>300</v>
      </c>
    </row>
    <row r="152" spans="2:9" ht="13.5" customHeight="1">
      <c r="B152" s="666"/>
      <c r="C152" s="677" t="s">
        <v>425</v>
      </c>
      <c r="D152" s="678"/>
      <c r="E152" s="679" t="s">
        <v>2</v>
      </c>
      <c r="F152" s="680">
        <v>0</v>
      </c>
      <c r="G152" s="681">
        <v>300</v>
      </c>
      <c r="H152" s="695">
        <f t="shared" si="6"/>
        <v>0</v>
      </c>
    </row>
    <row r="153" spans="2:9" ht="13.5" customHeight="1">
      <c r="B153" s="666"/>
      <c r="C153" s="677" t="s">
        <v>424</v>
      </c>
      <c r="D153" s="678"/>
      <c r="E153" s="679" t="s">
        <v>2</v>
      </c>
      <c r="F153" s="680">
        <v>1</v>
      </c>
      <c r="G153" s="681">
        <v>250</v>
      </c>
      <c r="H153" s="695">
        <f t="shared" si="6"/>
        <v>250</v>
      </c>
    </row>
    <row r="154" spans="2:9" ht="13.5" customHeight="1">
      <c r="B154" s="666"/>
      <c r="C154" s="1101" t="s">
        <v>429</v>
      </c>
      <c r="D154" s="1101"/>
      <c r="E154" s="676" t="s">
        <v>2</v>
      </c>
      <c r="F154" s="676">
        <v>0</v>
      </c>
      <c r="G154" s="676">
        <v>360</v>
      </c>
      <c r="H154" s="695">
        <f t="shared" si="6"/>
        <v>0</v>
      </c>
    </row>
    <row r="155" spans="2:9" ht="13.5" customHeight="1">
      <c r="B155" s="666"/>
      <c r="C155" s="1101" t="s">
        <v>431</v>
      </c>
      <c r="D155" s="1101"/>
      <c r="E155" s="676" t="s">
        <v>2</v>
      </c>
      <c r="F155" s="676">
        <v>1</v>
      </c>
      <c r="G155" s="676">
        <v>60</v>
      </c>
      <c r="H155" s="695">
        <f t="shared" si="6"/>
        <v>60</v>
      </c>
    </row>
    <row r="156" spans="2:9" ht="13.5" customHeight="1">
      <c r="B156" s="682"/>
      <c r="C156" s="1099" t="s">
        <v>3</v>
      </c>
      <c r="D156" s="1099"/>
      <c r="E156" s="1099"/>
      <c r="F156" s="1099"/>
      <c r="G156" s="1099"/>
      <c r="H156" s="660">
        <f>SUM(H148:H155)</f>
        <v>610</v>
      </c>
    </row>
    <row r="157" spans="2:9" ht="13.5" customHeight="1">
      <c r="B157" s="629"/>
      <c r="C157" s="640"/>
      <c r="D157" s="640"/>
      <c r="E157" s="640"/>
      <c r="F157" s="640"/>
      <c r="G157" s="640"/>
      <c r="H157" s="623"/>
      <c r="I157" s="596"/>
    </row>
    <row r="158" spans="2:9" ht="13.5" customHeight="1">
      <c r="B158" s="629"/>
      <c r="C158" s="640"/>
      <c r="D158" s="640"/>
      <c r="E158" s="640"/>
      <c r="F158" s="640"/>
      <c r="G158" s="640"/>
      <c r="H158" s="623"/>
      <c r="I158" s="596"/>
    </row>
    <row r="159" spans="2:9" ht="13.5" customHeight="1">
      <c r="B159" s="614">
        <v>4</v>
      </c>
      <c r="C159" s="615" t="s">
        <v>92</v>
      </c>
      <c r="D159" s="616"/>
      <c r="E159" s="616"/>
      <c r="F159" s="617"/>
      <c r="G159" s="618"/>
      <c r="H159" s="619" t="s">
        <v>0</v>
      </c>
      <c r="I159" s="620">
        <f>+I161</f>
        <v>669.8</v>
      </c>
    </row>
    <row r="160" spans="2:9" ht="13.5" customHeight="1">
      <c r="B160" s="650"/>
      <c r="C160" s="651"/>
      <c r="D160" s="623"/>
      <c r="E160" s="623"/>
      <c r="F160" s="624"/>
      <c r="G160" s="642"/>
      <c r="H160" s="627"/>
      <c r="I160" s="628"/>
    </row>
    <row r="161" spans="2:10" ht="13.5" customHeight="1">
      <c r="B161" s="625">
        <v>4.01</v>
      </c>
      <c r="C161" s="626" t="s">
        <v>36</v>
      </c>
      <c r="D161" s="623"/>
      <c r="E161" s="623"/>
      <c r="F161" s="624"/>
      <c r="G161" s="624"/>
      <c r="H161" s="627" t="s">
        <v>0</v>
      </c>
      <c r="I161" s="595">
        <f>+H193</f>
        <v>669.8</v>
      </c>
    </row>
    <row r="162" spans="2:10" ht="13.5" customHeight="1">
      <c r="B162" s="648"/>
      <c r="C162" s="626"/>
      <c r="D162" s="623"/>
      <c r="E162" s="623"/>
      <c r="F162" s="624"/>
      <c r="G162" s="624"/>
      <c r="H162" s="623"/>
      <c r="I162" s="596"/>
    </row>
    <row r="163" spans="2:10" ht="13.5" customHeight="1">
      <c r="B163" s="582"/>
      <c r="C163" s="1105" t="s">
        <v>34</v>
      </c>
      <c r="D163" s="1107"/>
      <c r="E163" s="633" t="s">
        <v>44</v>
      </c>
      <c r="F163" s="632" t="s">
        <v>18</v>
      </c>
      <c r="G163" s="633" t="s">
        <v>5</v>
      </c>
      <c r="H163" s="633" t="s">
        <v>4</v>
      </c>
      <c r="I163" s="596"/>
    </row>
    <row r="164" spans="2:10" ht="13.5" customHeight="1">
      <c r="B164" s="582"/>
      <c r="C164" s="1096" t="s">
        <v>432</v>
      </c>
      <c r="D164" s="1096"/>
      <c r="E164" s="690" t="s">
        <v>2</v>
      </c>
      <c r="F164" s="663">
        <v>1</v>
      </c>
      <c r="G164" s="826">
        <v>250</v>
      </c>
      <c r="H164" s="644">
        <f>F164*G164</f>
        <v>250</v>
      </c>
      <c r="I164" s="596"/>
      <c r="J164" s="161">
        <f>+F164*3</f>
        <v>3</v>
      </c>
    </row>
    <row r="165" spans="2:10" ht="13.5" customHeight="1">
      <c r="B165" s="582"/>
      <c r="C165" s="1096" t="s">
        <v>257</v>
      </c>
      <c r="D165" s="1096"/>
      <c r="E165" s="690" t="s">
        <v>258</v>
      </c>
      <c r="F165" s="663">
        <v>0</v>
      </c>
      <c r="G165" s="826">
        <v>350</v>
      </c>
      <c r="H165" s="644">
        <f t="shared" ref="H165:H192" si="7">F165*G165</f>
        <v>0</v>
      </c>
      <c r="I165" s="596"/>
      <c r="J165" s="161">
        <f t="shared" ref="J165:J192" si="8">+F165*3</f>
        <v>0</v>
      </c>
    </row>
    <row r="166" spans="2:10" ht="13.5" customHeight="1">
      <c r="B166" s="582"/>
      <c r="C166" s="1096" t="s">
        <v>259</v>
      </c>
      <c r="D166" s="1096"/>
      <c r="E166" s="690" t="s">
        <v>256</v>
      </c>
      <c r="F166" s="663">
        <v>1</v>
      </c>
      <c r="G166" s="826">
        <v>10</v>
      </c>
      <c r="H166" s="644">
        <f t="shared" si="7"/>
        <v>10</v>
      </c>
      <c r="I166" s="596"/>
      <c r="J166" s="161">
        <f t="shared" si="8"/>
        <v>3</v>
      </c>
    </row>
    <row r="167" spans="2:10" ht="13.5" hidden="1" customHeight="1">
      <c r="B167" s="582"/>
      <c r="C167" s="1096" t="s">
        <v>260</v>
      </c>
      <c r="D167" s="1096"/>
      <c r="E167" s="690" t="s">
        <v>256</v>
      </c>
      <c r="F167" s="663">
        <v>0</v>
      </c>
      <c r="G167" s="826">
        <v>50</v>
      </c>
      <c r="H167" s="644">
        <f t="shared" si="7"/>
        <v>0</v>
      </c>
      <c r="I167" s="596"/>
      <c r="J167" s="161">
        <f t="shared" si="8"/>
        <v>0</v>
      </c>
    </row>
    <row r="168" spans="2:10" ht="13.5" customHeight="1">
      <c r="B168" s="582"/>
      <c r="C168" s="1096" t="s">
        <v>261</v>
      </c>
      <c r="D168" s="1096"/>
      <c r="E168" s="690" t="s">
        <v>2</v>
      </c>
      <c r="F168" s="663">
        <v>1</v>
      </c>
      <c r="G168" s="826">
        <v>25</v>
      </c>
      <c r="H168" s="644">
        <f t="shared" si="7"/>
        <v>25</v>
      </c>
      <c r="I168" s="596"/>
      <c r="J168" s="161">
        <f t="shared" si="8"/>
        <v>3</v>
      </c>
    </row>
    <row r="169" spans="2:10" ht="13.5" customHeight="1">
      <c r="B169" s="582"/>
      <c r="C169" s="1096" t="s">
        <v>269</v>
      </c>
      <c r="D169" s="1096"/>
      <c r="E169" s="690" t="s">
        <v>256</v>
      </c>
      <c r="F169" s="663">
        <v>1</v>
      </c>
      <c r="G169" s="826">
        <v>8</v>
      </c>
      <c r="H169" s="644">
        <f t="shared" si="7"/>
        <v>8</v>
      </c>
      <c r="I169" s="596"/>
      <c r="J169" s="161">
        <f t="shared" si="8"/>
        <v>3</v>
      </c>
    </row>
    <row r="170" spans="2:10" ht="13.5" customHeight="1">
      <c r="B170" s="582"/>
      <c r="C170" s="1096" t="s">
        <v>40</v>
      </c>
      <c r="D170" s="1096"/>
      <c r="E170" s="690" t="s">
        <v>2</v>
      </c>
      <c r="F170" s="663">
        <v>1</v>
      </c>
      <c r="G170" s="826">
        <v>25</v>
      </c>
      <c r="H170" s="644">
        <f t="shared" si="7"/>
        <v>25</v>
      </c>
      <c r="I170" s="596"/>
      <c r="J170" s="161">
        <f t="shared" si="8"/>
        <v>3</v>
      </c>
    </row>
    <row r="171" spans="2:10" ht="13.5" customHeight="1">
      <c r="B171" s="582"/>
      <c r="C171" s="1096" t="s">
        <v>71</v>
      </c>
      <c r="D171" s="1096"/>
      <c r="E171" s="690" t="s">
        <v>2</v>
      </c>
      <c r="F171" s="663">
        <v>0</v>
      </c>
      <c r="G171" s="826">
        <v>1</v>
      </c>
      <c r="H171" s="644">
        <f t="shared" si="7"/>
        <v>0</v>
      </c>
      <c r="I171" s="596"/>
      <c r="J171" s="161">
        <f t="shared" si="8"/>
        <v>0</v>
      </c>
    </row>
    <row r="172" spans="2:10" ht="13.5" customHeight="1">
      <c r="B172" s="582"/>
      <c r="C172" s="1096" t="s">
        <v>69</v>
      </c>
      <c r="D172" s="1096"/>
      <c r="E172" s="690" t="s">
        <v>2</v>
      </c>
      <c r="F172" s="663">
        <v>0</v>
      </c>
      <c r="G172" s="826">
        <v>1</v>
      </c>
      <c r="H172" s="644">
        <f t="shared" si="7"/>
        <v>0</v>
      </c>
      <c r="I172" s="596"/>
      <c r="J172" s="161">
        <f t="shared" si="8"/>
        <v>0</v>
      </c>
    </row>
    <row r="173" spans="2:10" ht="13.5" customHeight="1">
      <c r="B173" s="582"/>
      <c r="C173" s="1096" t="s">
        <v>79</v>
      </c>
      <c r="D173" s="1096"/>
      <c r="E173" s="690" t="s">
        <v>35</v>
      </c>
      <c r="F173" s="663">
        <v>1</v>
      </c>
      <c r="G173" s="826">
        <v>60</v>
      </c>
      <c r="H173" s="644">
        <f t="shared" si="7"/>
        <v>60</v>
      </c>
      <c r="I173" s="596"/>
      <c r="J173" s="161">
        <f t="shared" si="8"/>
        <v>3</v>
      </c>
    </row>
    <row r="174" spans="2:10" ht="13.5" customHeight="1">
      <c r="B174" s="582"/>
      <c r="C174" s="1096" t="s">
        <v>59</v>
      </c>
      <c r="D174" s="1096"/>
      <c r="E174" s="690" t="s">
        <v>2</v>
      </c>
      <c r="F174" s="663">
        <v>1</v>
      </c>
      <c r="G174" s="826">
        <v>5.5</v>
      </c>
      <c r="H174" s="644">
        <f t="shared" si="7"/>
        <v>5.5</v>
      </c>
      <c r="I174" s="596"/>
      <c r="J174" s="161">
        <f t="shared" si="8"/>
        <v>3</v>
      </c>
    </row>
    <row r="175" spans="2:10" ht="13.5" customHeight="1">
      <c r="B175" s="582"/>
      <c r="C175" s="1096" t="s">
        <v>67</v>
      </c>
      <c r="D175" s="1096"/>
      <c r="E175" s="690" t="s">
        <v>2</v>
      </c>
      <c r="F175" s="663">
        <v>1</v>
      </c>
      <c r="G175" s="826">
        <v>5</v>
      </c>
      <c r="H175" s="644">
        <f t="shared" si="7"/>
        <v>5</v>
      </c>
      <c r="I175" s="596"/>
      <c r="J175" s="161">
        <f t="shared" si="8"/>
        <v>3</v>
      </c>
    </row>
    <row r="176" spans="2:10" ht="13.5" customHeight="1">
      <c r="B176" s="582"/>
      <c r="C176" s="1096" t="s">
        <v>38</v>
      </c>
      <c r="D176" s="1096"/>
      <c r="E176" s="690" t="s">
        <v>2</v>
      </c>
      <c r="F176" s="663">
        <v>0</v>
      </c>
      <c r="G176" s="826">
        <v>6</v>
      </c>
      <c r="H176" s="644">
        <f t="shared" si="7"/>
        <v>0</v>
      </c>
      <c r="I176" s="596"/>
      <c r="J176" s="161">
        <f t="shared" si="8"/>
        <v>0</v>
      </c>
    </row>
    <row r="177" spans="2:10" ht="13.5" customHeight="1">
      <c r="B177" s="582"/>
      <c r="C177" s="1096" t="s">
        <v>39</v>
      </c>
      <c r="D177" s="1096"/>
      <c r="E177" s="690" t="s">
        <v>2</v>
      </c>
      <c r="F177" s="663">
        <v>0</v>
      </c>
      <c r="G177" s="826">
        <v>6</v>
      </c>
      <c r="H177" s="644">
        <f t="shared" si="7"/>
        <v>0</v>
      </c>
      <c r="I177" s="596"/>
      <c r="J177" s="161">
        <f t="shared" si="8"/>
        <v>0</v>
      </c>
    </row>
    <row r="178" spans="2:10" ht="13.5" customHeight="1">
      <c r="B178" s="582"/>
      <c r="C178" s="1096" t="s">
        <v>86</v>
      </c>
      <c r="D178" s="1096"/>
      <c r="E178" s="690" t="s">
        <v>2</v>
      </c>
      <c r="F178" s="663">
        <v>1</v>
      </c>
      <c r="G178" s="826">
        <v>1.5</v>
      </c>
      <c r="H178" s="644">
        <f t="shared" si="7"/>
        <v>1.5</v>
      </c>
      <c r="I178" s="596"/>
      <c r="J178" s="161">
        <f t="shared" si="8"/>
        <v>3</v>
      </c>
    </row>
    <row r="179" spans="2:10" ht="13.5" customHeight="1">
      <c r="B179" s="582"/>
      <c r="C179" s="1096" t="s">
        <v>232</v>
      </c>
      <c r="D179" s="1096"/>
      <c r="E179" s="690" t="s">
        <v>2</v>
      </c>
      <c r="F179" s="663">
        <v>0</v>
      </c>
      <c r="G179" s="826">
        <v>10</v>
      </c>
      <c r="H179" s="644">
        <f t="shared" si="7"/>
        <v>0</v>
      </c>
      <c r="I179" s="596"/>
      <c r="J179" s="161">
        <f t="shared" si="8"/>
        <v>0</v>
      </c>
    </row>
    <row r="180" spans="2:10" ht="13.5" customHeight="1">
      <c r="B180" s="582"/>
      <c r="C180" s="1096" t="s">
        <v>80</v>
      </c>
      <c r="D180" s="1096"/>
      <c r="E180" s="690" t="s">
        <v>2</v>
      </c>
      <c r="F180" s="663">
        <v>0</v>
      </c>
      <c r="G180" s="826">
        <v>8</v>
      </c>
      <c r="H180" s="644">
        <f t="shared" si="7"/>
        <v>0</v>
      </c>
      <c r="I180" s="596"/>
      <c r="J180" s="161">
        <f t="shared" si="8"/>
        <v>0</v>
      </c>
    </row>
    <row r="181" spans="2:10" ht="13.5" customHeight="1">
      <c r="B181" s="582"/>
      <c r="C181" s="1096" t="s">
        <v>81</v>
      </c>
      <c r="D181" s="1096"/>
      <c r="E181" s="690" t="s">
        <v>2</v>
      </c>
      <c r="F181" s="663">
        <v>1</v>
      </c>
      <c r="G181" s="826">
        <v>25</v>
      </c>
      <c r="H181" s="644">
        <f t="shared" si="7"/>
        <v>25</v>
      </c>
      <c r="I181" s="596"/>
      <c r="J181" s="161">
        <f t="shared" si="8"/>
        <v>3</v>
      </c>
    </row>
    <row r="182" spans="2:10" ht="13.5" customHeight="1">
      <c r="B182" s="582"/>
      <c r="C182" s="1096" t="s">
        <v>58</v>
      </c>
      <c r="D182" s="1096"/>
      <c r="E182" s="690" t="s">
        <v>35</v>
      </c>
      <c r="F182" s="663">
        <v>1</v>
      </c>
      <c r="G182" s="826">
        <v>6</v>
      </c>
      <c r="H182" s="644">
        <f t="shared" si="7"/>
        <v>6</v>
      </c>
      <c r="I182" s="596"/>
      <c r="J182" s="161">
        <f t="shared" si="8"/>
        <v>3</v>
      </c>
    </row>
    <row r="183" spans="2:10" ht="13.5" customHeight="1">
      <c r="B183" s="582"/>
      <c r="C183" s="1096" t="s">
        <v>57</v>
      </c>
      <c r="D183" s="1096"/>
      <c r="E183" s="690" t="s">
        <v>2</v>
      </c>
      <c r="F183" s="663">
        <v>1</v>
      </c>
      <c r="G183" s="826">
        <v>0.8</v>
      </c>
      <c r="H183" s="644">
        <f t="shared" si="7"/>
        <v>0.8</v>
      </c>
      <c r="I183" s="596"/>
      <c r="J183" s="161">
        <f t="shared" si="8"/>
        <v>3</v>
      </c>
    </row>
    <row r="184" spans="2:10" ht="13.5" customHeight="1">
      <c r="B184" s="582"/>
      <c r="C184" s="1096" t="s">
        <v>72</v>
      </c>
      <c r="D184" s="1096"/>
      <c r="E184" s="690" t="s">
        <v>35</v>
      </c>
      <c r="F184" s="663">
        <v>1</v>
      </c>
      <c r="G184" s="826">
        <v>30</v>
      </c>
      <c r="H184" s="644">
        <f t="shared" si="7"/>
        <v>30</v>
      </c>
      <c r="I184" s="596"/>
      <c r="J184" s="161">
        <f t="shared" si="8"/>
        <v>3</v>
      </c>
    </row>
    <row r="185" spans="2:10" ht="13.5" customHeight="1">
      <c r="B185" s="582"/>
      <c r="C185" s="1096" t="s">
        <v>68</v>
      </c>
      <c r="D185" s="1096"/>
      <c r="E185" s="690" t="s">
        <v>2</v>
      </c>
      <c r="F185" s="663">
        <v>0</v>
      </c>
      <c r="G185" s="826">
        <v>3.5</v>
      </c>
      <c r="H185" s="644">
        <f t="shared" si="7"/>
        <v>0</v>
      </c>
      <c r="I185" s="596"/>
      <c r="J185" s="161">
        <f t="shared" si="8"/>
        <v>0</v>
      </c>
    </row>
    <row r="186" spans="2:10" ht="13.5" customHeight="1">
      <c r="B186" s="582"/>
      <c r="C186" s="1096" t="s">
        <v>43</v>
      </c>
      <c r="D186" s="1096"/>
      <c r="E186" s="690" t="s">
        <v>37</v>
      </c>
      <c r="F186" s="663">
        <v>5</v>
      </c>
      <c r="G186" s="826">
        <v>30</v>
      </c>
      <c r="H186" s="644">
        <f t="shared" si="7"/>
        <v>150</v>
      </c>
      <c r="I186" s="596"/>
      <c r="J186" s="161">
        <f t="shared" si="8"/>
        <v>15</v>
      </c>
    </row>
    <row r="187" spans="2:10" ht="13.5" customHeight="1">
      <c r="B187" s="582"/>
      <c r="C187" s="1096" t="s">
        <v>65</v>
      </c>
      <c r="D187" s="1096"/>
      <c r="E187" s="690" t="s">
        <v>2</v>
      </c>
      <c r="F187" s="663">
        <v>1</v>
      </c>
      <c r="G187" s="826">
        <v>5</v>
      </c>
      <c r="H187" s="644">
        <f t="shared" si="7"/>
        <v>5</v>
      </c>
      <c r="I187" s="596"/>
      <c r="J187" s="161">
        <f t="shared" si="8"/>
        <v>3</v>
      </c>
    </row>
    <row r="188" spans="2:10" ht="13.5" customHeight="1">
      <c r="B188" s="582"/>
      <c r="C188" s="1096" t="s">
        <v>82</v>
      </c>
      <c r="D188" s="1096"/>
      <c r="E188" s="690" t="s">
        <v>2</v>
      </c>
      <c r="F188" s="663">
        <v>0</v>
      </c>
      <c r="G188" s="826">
        <v>1</v>
      </c>
      <c r="H188" s="644">
        <f t="shared" si="7"/>
        <v>0</v>
      </c>
      <c r="I188" s="596"/>
      <c r="J188" s="161">
        <f t="shared" si="8"/>
        <v>0</v>
      </c>
    </row>
    <row r="189" spans="2:10" ht="13.5" customHeight="1">
      <c r="B189" s="582"/>
      <c r="C189" s="1096" t="s">
        <v>61</v>
      </c>
      <c r="D189" s="1096"/>
      <c r="E189" s="690" t="s">
        <v>35</v>
      </c>
      <c r="F189" s="663">
        <v>1</v>
      </c>
      <c r="G189" s="826">
        <v>30</v>
      </c>
      <c r="H189" s="644">
        <f t="shared" si="7"/>
        <v>30</v>
      </c>
      <c r="I189" s="596"/>
      <c r="J189" s="161">
        <f t="shared" si="8"/>
        <v>3</v>
      </c>
    </row>
    <row r="190" spans="2:10" ht="13.5" customHeight="1">
      <c r="B190" s="582"/>
      <c r="C190" s="1096" t="s">
        <v>63</v>
      </c>
      <c r="D190" s="1096"/>
      <c r="E190" s="690" t="s">
        <v>2</v>
      </c>
      <c r="F190" s="663">
        <v>1</v>
      </c>
      <c r="G190" s="826">
        <v>3</v>
      </c>
      <c r="H190" s="644">
        <f t="shared" si="7"/>
        <v>3</v>
      </c>
      <c r="I190" s="596"/>
      <c r="J190" s="161">
        <f t="shared" si="8"/>
        <v>3</v>
      </c>
    </row>
    <row r="191" spans="2:10" ht="13.5" customHeight="1">
      <c r="B191" s="582"/>
      <c r="C191" s="1096" t="s">
        <v>66</v>
      </c>
      <c r="D191" s="1096"/>
      <c r="E191" s="690" t="s">
        <v>2</v>
      </c>
      <c r="F191" s="663">
        <v>1</v>
      </c>
      <c r="G191" s="826">
        <v>5</v>
      </c>
      <c r="H191" s="644">
        <f t="shared" si="7"/>
        <v>5</v>
      </c>
      <c r="I191" s="596"/>
      <c r="J191" s="161">
        <f t="shared" si="8"/>
        <v>3</v>
      </c>
    </row>
    <row r="192" spans="2:10" ht="13.5" customHeight="1">
      <c r="B192" s="582"/>
      <c r="C192" s="1096" t="s">
        <v>41</v>
      </c>
      <c r="D192" s="1096"/>
      <c r="E192" s="690" t="s">
        <v>2</v>
      </c>
      <c r="F192" s="663">
        <v>1</v>
      </c>
      <c r="G192" s="826">
        <v>25</v>
      </c>
      <c r="H192" s="644">
        <f t="shared" si="7"/>
        <v>25</v>
      </c>
      <c r="I192" s="596"/>
      <c r="J192" s="161">
        <f t="shared" si="8"/>
        <v>3</v>
      </c>
    </row>
    <row r="193" spans="2:11" ht="13.5" customHeight="1">
      <c r="B193" s="629"/>
      <c r="C193" s="1099" t="s">
        <v>3</v>
      </c>
      <c r="D193" s="1099"/>
      <c r="E193" s="1099"/>
      <c r="F193" s="1099"/>
      <c r="G193" s="1099"/>
      <c r="H193" s="635">
        <f>SUM(H164:H192)</f>
        <v>669.8</v>
      </c>
      <c r="I193" s="596"/>
      <c r="K193" s="161">
        <v>1814.2</v>
      </c>
    </row>
    <row r="194" spans="2:11" ht="13.5" customHeight="1">
      <c r="B194" s="629"/>
      <c r="C194" s="640"/>
      <c r="D194" s="640"/>
      <c r="E194" s="640"/>
      <c r="F194" s="640"/>
      <c r="G194" s="640"/>
      <c r="H194" s="623"/>
      <c r="I194" s="596"/>
    </row>
    <row r="195" spans="2:11" ht="13.5" customHeight="1">
      <c r="B195" s="629"/>
      <c r="C195" s="640"/>
      <c r="D195" s="640"/>
      <c r="E195" s="640"/>
      <c r="F195" s="640"/>
      <c r="G195" s="640"/>
      <c r="H195" s="623"/>
      <c r="I195" s="596"/>
    </row>
    <row r="196" spans="2:11" s="168" customFormat="1" ht="13.5" customHeight="1">
      <c r="B196" s="636" t="s">
        <v>511</v>
      </c>
      <c r="C196" s="637"/>
      <c r="D196" s="606"/>
      <c r="E196" s="606"/>
      <c r="F196" s="606"/>
      <c r="G196" s="824"/>
      <c r="H196" s="607" t="s">
        <v>0</v>
      </c>
      <c r="I196" s="608">
        <f>+I200+I208</f>
        <v>1050</v>
      </c>
      <c r="J196" s="177"/>
    </row>
    <row r="197" spans="2:11" s="179" customFormat="1" ht="13.5" customHeight="1">
      <c r="B197" s="638"/>
      <c r="C197" s="639"/>
      <c r="D197" s="611"/>
      <c r="E197" s="611"/>
      <c r="F197" s="611"/>
      <c r="G197" s="825"/>
      <c r="H197" s="612"/>
      <c r="I197" s="613"/>
      <c r="J197" s="240"/>
    </row>
    <row r="198" spans="2:11" ht="13.5" customHeight="1">
      <c r="B198" s="648"/>
      <c r="C198" s="626"/>
      <c r="D198" s="623"/>
      <c r="E198" s="623"/>
      <c r="F198" s="624"/>
      <c r="G198" s="624"/>
      <c r="H198" s="623"/>
      <c r="I198" s="596"/>
    </row>
    <row r="199" spans="2:11" ht="13.5" customHeight="1">
      <c r="B199" s="629"/>
      <c r="C199" s="640"/>
      <c r="D199" s="640"/>
      <c r="E199" s="640"/>
      <c r="F199" s="640"/>
      <c r="G199" s="640"/>
      <c r="H199" s="623"/>
      <c r="I199" s="596"/>
    </row>
    <row r="200" spans="2:11" ht="13.5" customHeight="1">
      <c r="B200" s="625">
        <v>1</v>
      </c>
      <c r="C200" s="626" t="s">
        <v>42</v>
      </c>
      <c r="D200" s="623"/>
      <c r="E200" s="623"/>
      <c r="F200" s="624"/>
      <c r="G200" s="624"/>
      <c r="H200" s="627" t="s">
        <v>0</v>
      </c>
      <c r="I200" s="628">
        <f>+H206</f>
        <v>1050</v>
      </c>
    </row>
    <row r="201" spans="2:11" ht="13.5" customHeight="1">
      <c r="B201" s="648"/>
      <c r="C201" s="626"/>
      <c r="D201" s="623"/>
      <c r="E201" s="623"/>
      <c r="F201" s="624"/>
      <c r="G201" s="624"/>
      <c r="H201" s="623"/>
      <c r="I201" s="596"/>
    </row>
    <row r="202" spans="2:11" ht="13.5" customHeight="1">
      <c r="B202" s="582"/>
      <c r="C202" s="643" t="s">
        <v>34</v>
      </c>
      <c r="D202" s="633" t="s">
        <v>44</v>
      </c>
      <c r="E202" s="633" t="s">
        <v>18</v>
      </c>
      <c r="F202" s="633" t="s">
        <v>32</v>
      </c>
      <c r="G202" s="633" t="s">
        <v>5</v>
      </c>
      <c r="H202" s="633" t="s">
        <v>4</v>
      </c>
      <c r="I202" s="596"/>
    </row>
    <row r="203" spans="2:11" ht="13.5" customHeight="1">
      <c r="B203" s="582"/>
      <c r="C203" s="686" t="s">
        <v>249</v>
      </c>
      <c r="D203" s="681" t="s">
        <v>238</v>
      </c>
      <c r="E203" s="681">
        <v>1</v>
      </c>
      <c r="F203" s="681">
        <v>3</v>
      </c>
      <c r="G203" s="681">
        <v>150</v>
      </c>
      <c r="H203" s="685">
        <f>+E203*F203*G203</f>
        <v>450</v>
      </c>
      <c r="I203" s="596"/>
    </row>
    <row r="204" spans="2:11" ht="13.5" customHeight="1">
      <c r="B204" s="582"/>
      <c r="C204" s="686" t="s">
        <v>94</v>
      </c>
      <c r="D204" s="681" t="s">
        <v>238</v>
      </c>
      <c r="E204" s="681">
        <v>1</v>
      </c>
      <c r="F204" s="681">
        <v>3</v>
      </c>
      <c r="G204" s="681">
        <v>50</v>
      </c>
      <c r="H204" s="685">
        <f>+E204*F204*G204</f>
        <v>150</v>
      </c>
      <c r="I204" s="596"/>
    </row>
    <row r="205" spans="2:11" ht="13.5" customHeight="1">
      <c r="B205" s="582"/>
      <c r="C205" s="686" t="s">
        <v>415</v>
      </c>
      <c r="D205" s="681" t="s">
        <v>238</v>
      </c>
      <c r="E205" s="681">
        <v>1</v>
      </c>
      <c r="F205" s="681">
        <v>1</v>
      </c>
      <c r="G205" s="681">
        <v>50</v>
      </c>
      <c r="H205" s="685">
        <v>450</v>
      </c>
      <c r="I205" s="596"/>
    </row>
    <row r="206" spans="2:11" ht="13.5" customHeight="1">
      <c r="B206" s="582"/>
      <c r="C206" s="1099" t="s">
        <v>3</v>
      </c>
      <c r="D206" s="1099"/>
      <c r="E206" s="1099"/>
      <c r="F206" s="1099"/>
      <c r="G206" s="1099"/>
      <c r="H206" s="635">
        <f>SUM(H203:H205)</f>
        <v>1050</v>
      </c>
      <c r="I206" s="596"/>
    </row>
    <row r="207" spans="2:11" ht="13.5" customHeight="1">
      <c r="B207" s="582"/>
      <c r="C207" s="640"/>
      <c r="D207" s="640"/>
      <c r="E207" s="640"/>
      <c r="F207" s="640"/>
      <c r="G207" s="640"/>
      <c r="H207" s="623"/>
      <c r="I207" s="596"/>
    </row>
    <row r="208" spans="2:11" ht="13.5" hidden="1" customHeight="1">
      <c r="B208" s="625">
        <v>2</v>
      </c>
      <c r="C208" s="626" t="s">
        <v>457</v>
      </c>
      <c r="D208" s="623"/>
      <c r="E208" s="623"/>
      <c r="F208" s="624"/>
      <c r="G208" s="624"/>
      <c r="H208" s="627" t="s">
        <v>0</v>
      </c>
      <c r="I208" s="628">
        <f>H212</f>
        <v>0</v>
      </c>
    </row>
    <row r="209" spans="2:14" ht="13.5" hidden="1" customHeight="1">
      <c r="B209" s="625"/>
      <c r="C209" s="626"/>
      <c r="D209" s="623"/>
      <c r="E209" s="623"/>
      <c r="F209" s="624"/>
      <c r="G209" s="624"/>
      <c r="H209" s="627"/>
      <c r="I209" s="628"/>
    </row>
    <row r="210" spans="2:14" ht="13.5" hidden="1" customHeight="1">
      <c r="B210" s="625"/>
      <c r="C210" s="643" t="s">
        <v>34</v>
      </c>
      <c r="D210" s="633" t="s">
        <v>44</v>
      </c>
      <c r="E210" s="633" t="s">
        <v>18</v>
      </c>
      <c r="F210" s="633" t="s">
        <v>458</v>
      </c>
      <c r="G210" s="633" t="s">
        <v>5</v>
      </c>
      <c r="H210" s="633" t="s">
        <v>4</v>
      </c>
      <c r="I210" s="628"/>
      <c r="K210" s="744" t="s">
        <v>464</v>
      </c>
      <c r="L210" s="744" t="s">
        <v>465</v>
      </c>
      <c r="M210" s="744" t="s">
        <v>466</v>
      </c>
      <c r="N210" s="744" t="s">
        <v>463</v>
      </c>
    </row>
    <row r="211" spans="2:14" ht="13.5" hidden="1" customHeight="1">
      <c r="B211" s="625"/>
      <c r="C211" s="686" t="s">
        <v>109</v>
      </c>
      <c r="D211" s="681" t="s">
        <v>122</v>
      </c>
      <c r="E211" s="681">
        <v>0</v>
      </c>
      <c r="F211" s="681">
        <f>+N211</f>
        <v>20</v>
      </c>
      <c r="G211" s="681">
        <v>280</v>
      </c>
      <c r="H211" s="685">
        <f>+E211*F211*G211</f>
        <v>0</v>
      </c>
      <c r="I211" s="628"/>
      <c r="K211" s="743">
        <v>2</v>
      </c>
      <c r="L211" s="743">
        <v>2</v>
      </c>
      <c r="M211" s="745">
        <v>5</v>
      </c>
      <c r="N211" s="743">
        <f>PRODUCT(K211:M211)</f>
        <v>20</v>
      </c>
    </row>
    <row r="212" spans="2:14" ht="13.5" hidden="1" customHeight="1">
      <c r="B212" s="625"/>
      <c r="C212" s="1105" t="s">
        <v>3</v>
      </c>
      <c r="D212" s="1106"/>
      <c r="E212" s="1106"/>
      <c r="F212" s="1106"/>
      <c r="G212" s="1107"/>
      <c r="H212" s="635">
        <f>SUM(H211:H211)</f>
        <v>0</v>
      </c>
      <c r="I212" s="628"/>
    </row>
    <row r="213" spans="2:14" ht="13.5" customHeight="1">
      <c r="B213" s="625"/>
      <c r="C213" s="626"/>
      <c r="D213" s="623"/>
      <c r="E213" s="623"/>
      <c r="F213" s="624"/>
      <c r="G213" s="624"/>
      <c r="H213" s="627"/>
      <c r="I213" s="628"/>
    </row>
    <row r="214" spans="2:14" ht="13.5" customHeight="1">
      <c r="B214" s="582"/>
      <c r="C214" s="640"/>
      <c r="D214" s="640"/>
      <c r="E214" s="640"/>
      <c r="F214" s="640"/>
      <c r="G214" s="640"/>
      <c r="H214" s="623"/>
      <c r="I214" s="596"/>
    </row>
    <row r="215" spans="2:14" ht="13.5" customHeight="1">
      <c r="B215" s="629"/>
      <c r="C215" s="640"/>
      <c r="D215" s="640"/>
      <c r="E215" s="640"/>
      <c r="F215" s="640"/>
      <c r="G215" s="640"/>
      <c r="H215" s="623"/>
      <c r="I215" s="596"/>
      <c r="L215" s="171"/>
    </row>
    <row r="216" spans="2:14" ht="13.5" customHeight="1">
      <c r="B216" s="1115" t="s">
        <v>51</v>
      </c>
      <c r="C216" s="1115"/>
      <c r="D216" s="1115"/>
      <c r="E216" s="1115"/>
      <c r="F216" s="1115"/>
      <c r="G216" s="1115"/>
      <c r="H216" s="627" t="s">
        <v>0</v>
      </c>
      <c r="I216" s="628">
        <f>+I21</f>
        <v>25818.38</v>
      </c>
    </row>
    <row r="217" spans="2:14" ht="13.5" customHeight="1"/>
    <row r="218" spans="2:14" ht="13.5" customHeight="1">
      <c r="I218" s="597"/>
    </row>
    <row r="219" spans="2:14" ht="13.5" customHeight="1">
      <c r="I219" s="628"/>
    </row>
    <row r="220" spans="2:14" ht="13.5" customHeight="1">
      <c r="I220" s="628"/>
    </row>
    <row r="221" spans="2:14" ht="13.5" customHeight="1">
      <c r="I221" s="628"/>
    </row>
    <row r="222" spans="2:14" ht="13.5" customHeight="1">
      <c r="I222" s="628"/>
    </row>
    <row r="223" spans="2:14" ht="13.5" customHeight="1"/>
    <row r="224" spans="2:14" ht="13.5" customHeight="1"/>
    <row r="225" spans="2:12" ht="13.5" customHeight="1"/>
    <row r="226" spans="2:12" ht="13.5" customHeight="1"/>
    <row r="227" spans="2:12" s="174" customFormat="1" ht="13.5" customHeight="1">
      <c r="B227" s="579"/>
      <c r="C227" s="580"/>
      <c r="D227" s="580"/>
      <c r="E227" s="580"/>
      <c r="F227" s="581"/>
      <c r="G227" s="581"/>
      <c r="H227" s="580"/>
      <c r="I227" s="580"/>
      <c r="J227" s="161"/>
      <c r="K227" s="161"/>
      <c r="L227" s="161"/>
    </row>
    <row r="228" spans="2:12" s="174" customFormat="1" ht="13.5" customHeight="1">
      <c r="B228" s="579"/>
      <c r="C228" s="580"/>
      <c r="D228" s="580"/>
      <c r="E228" s="580"/>
      <c r="F228" s="581"/>
      <c r="G228" s="581"/>
      <c r="H228" s="580"/>
      <c r="I228" s="580"/>
      <c r="J228" s="161"/>
      <c r="K228" s="161"/>
      <c r="L228" s="161"/>
    </row>
    <row r="229" spans="2:12" s="174" customFormat="1" ht="13.5" customHeight="1">
      <c r="B229" s="579"/>
      <c r="C229" s="580"/>
      <c r="D229" s="580"/>
      <c r="E229" s="580"/>
      <c r="F229" s="581"/>
      <c r="G229" s="581"/>
      <c r="H229" s="580"/>
      <c r="I229" s="580"/>
      <c r="J229" s="161"/>
      <c r="K229" s="161"/>
      <c r="L229" s="161"/>
    </row>
    <row r="230" spans="2:12" s="174" customFormat="1" ht="13.5" customHeight="1">
      <c r="B230" s="579"/>
      <c r="C230" s="580"/>
      <c r="D230" s="580"/>
      <c r="E230" s="580"/>
      <c r="F230" s="581"/>
      <c r="G230" s="581"/>
      <c r="H230" s="580"/>
      <c r="I230" s="580"/>
      <c r="J230" s="161"/>
      <c r="K230" s="161"/>
      <c r="L230" s="161"/>
    </row>
    <row r="231" spans="2:12" s="174" customFormat="1" ht="13.5" customHeight="1">
      <c r="B231" s="579"/>
      <c r="C231" s="580"/>
      <c r="D231" s="580"/>
      <c r="E231" s="580"/>
      <c r="F231" s="581"/>
      <c r="G231" s="581"/>
      <c r="H231" s="580"/>
      <c r="I231" s="580"/>
      <c r="J231" s="161"/>
      <c r="K231" s="161"/>
      <c r="L231" s="161"/>
    </row>
    <row r="232" spans="2:12" s="174" customFormat="1" ht="13.5" customHeight="1">
      <c r="B232" s="579"/>
      <c r="C232" s="580"/>
      <c r="D232" s="580"/>
      <c r="E232" s="580"/>
      <c r="F232" s="581"/>
      <c r="G232" s="581"/>
      <c r="H232" s="580"/>
      <c r="I232" s="580"/>
      <c r="J232" s="161"/>
      <c r="K232" s="161"/>
      <c r="L232" s="161"/>
    </row>
    <row r="233" spans="2:12" s="174" customFormat="1" ht="13.5" customHeight="1">
      <c r="B233" s="579"/>
      <c r="C233" s="580"/>
      <c r="D233" s="580"/>
      <c r="E233" s="580"/>
      <c r="F233" s="581"/>
      <c r="G233" s="581"/>
      <c r="H233" s="580"/>
      <c r="I233" s="580"/>
      <c r="J233" s="161"/>
      <c r="K233" s="161"/>
      <c r="L233" s="161"/>
    </row>
    <row r="234" spans="2:12" s="174" customFormat="1" ht="13.5" customHeight="1">
      <c r="B234" s="579"/>
      <c r="C234" s="580"/>
      <c r="D234" s="580"/>
      <c r="E234" s="580"/>
      <c r="F234" s="581"/>
      <c r="G234" s="581"/>
      <c r="H234" s="580"/>
      <c r="I234" s="580"/>
      <c r="J234" s="161"/>
      <c r="K234" s="161"/>
      <c r="L234" s="161"/>
    </row>
    <row r="235" spans="2:12" s="174" customFormat="1" ht="13.5" customHeight="1">
      <c r="B235" s="579"/>
      <c r="C235" s="580"/>
      <c r="D235" s="580"/>
      <c r="E235" s="580"/>
      <c r="F235" s="581"/>
      <c r="G235" s="581"/>
      <c r="H235" s="580"/>
      <c r="I235" s="580"/>
      <c r="J235" s="161"/>
      <c r="K235" s="161"/>
      <c r="L235" s="161"/>
    </row>
    <row r="236" spans="2:12" s="174" customFormat="1" ht="13.5" customHeight="1">
      <c r="B236" s="579"/>
      <c r="C236" s="580"/>
      <c r="D236" s="580"/>
      <c r="E236" s="580"/>
      <c r="F236" s="581"/>
      <c r="G236" s="581"/>
      <c r="H236" s="580"/>
      <c r="I236" s="580"/>
      <c r="J236" s="161"/>
      <c r="K236" s="161"/>
      <c r="L236" s="161"/>
    </row>
    <row r="237" spans="2:12" s="174" customFormat="1" ht="13.5" customHeight="1">
      <c r="B237" s="579"/>
      <c r="C237" s="580"/>
      <c r="D237" s="580"/>
      <c r="E237" s="580"/>
      <c r="F237" s="581"/>
      <c r="G237" s="581"/>
      <c r="H237" s="580"/>
      <c r="I237" s="580"/>
      <c r="J237" s="161"/>
      <c r="K237" s="161"/>
      <c r="L237" s="161"/>
    </row>
    <row r="238" spans="2:12" s="174" customFormat="1" ht="13.5" customHeight="1">
      <c r="B238" s="579"/>
      <c r="C238" s="580"/>
      <c r="D238" s="580"/>
      <c r="E238" s="580"/>
      <c r="F238" s="581"/>
      <c r="G238" s="581"/>
      <c r="H238" s="580"/>
      <c r="I238" s="580"/>
      <c r="J238" s="161"/>
      <c r="K238" s="161"/>
      <c r="L238" s="161"/>
    </row>
    <row r="239" spans="2:12" s="174" customFormat="1" ht="13.5" customHeight="1">
      <c r="B239" s="579"/>
      <c r="C239" s="580"/>
      <c r="D239" s="580"/>
      <c r="E239" s="580"/>
      <c r="F239" s="581"/>
      <c r="G239" s="581"/>
      <c r="H239" s="580"/>
      <c r="I239" s="580"/>
      <c r="J239" s="161"/>
      <c r="K239" s="161"/>
      <c r="L239" s="161"/>
    </row>
    <row r="240" spans="2:12" s="174" customFormat="1" ht="13.5" customHeight="1">
      <c r="B240" s="579"/>
      <c r="C240" s="580"/>
      <c r="D240" s="580"/>
      <c r="E240" s="580"/>
      <c r="F240" s="581"/>
      <c r="G240" s="581"/>
      <c r="H240" s="580"/>
      <c r="I240" s="580"/>
      <c r="J240" s="161"/>
      <c r="K240" s="161"/>
      <c r="L240" s="161"/>
    </row>
    <row r="241" spans="2:12" s="174" customFormat="1" ht="13.5" customHeight="1">
      <c r="B241" s="579"/>
      <c r="C241" s="580"/>
      <c r="D241" s="580"/>
      <c r="E241" s="580"/>
      <c r="F241" s="581"/>
      <c r="G241" s="581"/>
      <c r="H241" s="580"/>
      <c r="I241" s="580"/>
      <c r="J241" s="161"/>
      <c r="K241" s="161"/>
      <c r="L241" s="161"/>
    </row>
    <row r="242" spans="2:12" s="174" customFormat="1" ht="13.5" customHeight="1">
      <c r="B242" s="579"/>
      <c r="C242" s="580"/>
      <c r="D242" s="580"/>
      <c r="E242" s="580"/>
      <c r="F242" s="581"/>
      <c r="G242" s="581"/>
      <c r="H242" s="580"/>
      <c r="I242" s="580"/>
      <c r="J242" s="161"/>
      <c r="K242" s="161"/>
      <c r="L242" s="161"/>
    </row>
    <row r="243" spans="2:12" ht="13.5" customHeight="1"/>
    <row r="244" spans="2:12" ht="13.5" customHeight="1"/>
    <row r="245" spans="2:12" s="242" customFormat="1" ht="18" customHeight="1">
      <c r="B245" s="579"/>
      <c r="C245" s="580"/>
      <c r="D245" s="580"/>
      <c r="E245" s="580"/>
      <c r="F245" s="581"/>
      <c r="G245" s="581"/>
      <c r="H245" s="580"/>
      <c r="I245" s="580"/>
    </row>
  </sheetData>
  <mergeCells count="73">
    <mergeCell ref="C171:D171"/>
    <mergeCell ref="C128:D128"/>
    <mergeCell ref="C150:D150"/>
    <mergeCell ref="C163:D163"/>
    <mergeCell ref="C141:G141"/>
    <mergeCell ref="C147:D147"/>
    <mergeCell ref="C148:D148"/>
    <mergeCell ref="C155:D155"/>
    <mergeCell ref="C169:D169"/>
    <mergeCell ref="C164:D164"/>
    <mergeCell ref="C166:D166"/>
    <mergeCell ref="C168:D168"/>
    <mergeCell ref="C129:D129"/>
    <mergeCell ref="C132:G132"/>
    <mergeCell ref="C130:D130"/>
    <mergeCell ref="C131:D131"/>
    <mergeCell ref="B216:G216"/>
    <mergeCell ref="C178:D178"/>
    <mergeCell ref="C173:D173"/>
    <mergeCell ref="C191:D191"/>
    <mergeCell ref="C192:D192"/>
    <mergeCell ref="C181:D181"/>
    <mergeCell ref="C182:D182"/>
    <mergeCell ref="C183:D183"/>
    <mergeCell ref="C184:D184"/>
    <mergeCell ref="C185:D185"/>
    <mergeCell ref="C176:D176"/>
    <mergeCell ref="C177:D177"/>
    <mergeCell ref="C212:G212"/>
    <mergeCell ref="C193:G193"/>
    <mergeCell ref="C206:G206"/>
    <mergeCell ref="C186:D186"/>
    <mergeCell ref="D14:I15"/>
    <mergeCell ref="D16:H16"/>
    <mergeCell ref="C21:H21"/>
    <mergeCell ref="B23:I23"/>
    <mergeCell ref="B25:I25"/>
    <mergeCell ref="D17:H17"/>
    <mergeCell ref="D18:H18"/>
    <mergeCell ref="D19:H19"/>
    <mergeCell ref="D20:H20"/>
    <mergeCell ref="C117:G117"/>
    <mergeCell ref="C55:G55"/>
    <mergeCell ref="C66:G66"/>
    <mergeCell ref="C80:G80"/>
    <mergeCell ref="C91:G91"/>
    <mergeCell ref="C104:G104"/>
    <mergeCell ref="C138:D138"/>
    <mergeCell ref="C149:D149"/>
    <mergeCell ref="C165:D165"/>
    <mergeCell ref="C167:D167"/>
    <mergeCell ref="C154:D154"/>
    <mergeCell ref="B8:I8"/>
    <mergeCell ref="B3:I3"/>
    <mergeCell ref="B4:I4"/>
    <mergeCell ref="B5:I5"/>
    <mergeCell ref="B6:I6"/>
    <mergeCell ref="C40:G40"/>
    <mergeCell ref="C190:D190"/>
    <mergeCell ref="C174:D174"/>
    <mergeCell ref="C179:D179"/>
    <mergeCell ref="C180:D180"/>
    <mergeCell ref="C175:D175"/>
    <mergeCell ref="C140:D140"/>
    <mergeCell ref="C188:D188"/>
    <mergeCell ref="C189:D189"/>
    <mergeCell ref="C187:D187"/>
    <mergeCell ref="C172:D172"/>
    <mergeCell ref="C126:D126"/>
    <mergeCell ref="C127:D127"/>
    <mergeCell ref="C139:D139"/>
    <mergeCell ref="C156:G156"/>
    <mergeCell ref="C170:D170"/>
  </mergeCells>
  <conditionalFormatting sqref="D14:E14">
    <cfRule type="aboveAverage" dxfId="2" priority="1" stopIfTrue="1" aboveAverage="0"/>
  </conditionalFormatting>
  <printOptions horizontalCentered="1"/>
  <pageMargins left="0.27559055118110237" right="0" top="0.66" bottom="1.0629921259842521" header="0" footer="0"/>
  <pageSetup paperSize="9" scale="67" fitToHeight="5" orientation="portrait" horizontalDpi="4294967293" r:id="rId1"/>
  <headerFooter alignWithMargins="0">
    <oddFooter>&amp;C&amp;G</oddFooter>
  </headerFooter>
  <rowBreaks count="3" manualBreakCount="3">
    <brk id="81" min="1" max="8" man="1"/>
    <brk id="133" min="1" max="8" man="1"/>
    <brk id="195" min="1" max="8" man="1"/>
  </row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1135" t="s">
        <v>251</v>
      </c>
      <c r="B3" s="1135"/>
      <c r="C3" s="1135"/>
      <c r="D3" s="1135"/>
      <c r="E3" s="1135"/>
      <c r="F3" s="1135"/>
      <c r="G3" s="1135"/>
      <c r="H3" s="1135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76</v>
      </c>
      <c r="C10" s="1138" t="e">
        <f>#REF!</f>
        <v>#REF!</v>
      </c>
      <c r="D10" s="1138"/>
      <c r="E10" s="1138"/>
      <c r="F10" s="1138"/>
      <c r="G10" s="1138"/>
      <c r="H10" s="1138"/>
    </row>
    <row r="11" spans="1:8" ht="18" customHeight="1">
      <c r="B11" s="164"/>
      <c r="C11" s="1138"/>
      <c r="D11" s="1138"/>
      <c r="E11" s="1138"/>
      <c r="F11" s="1138"/>
      <c r="G11" s="1138"/>
      <c r="H11" s="1138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262" t="s">
        <v>23</v>
      </c>
      <c r="C13" s="1139" t="s">
        <v>24</v>
      </c>
      <c r="D13" s="1139"/>
      <c r="E13" s="1139"/>
      <c r="F13" s="1139"/>
      <c r="G13" s="1139"/>
      <c r="H13" s="263" t="s">
        <v>158</v>
      </c>
    </row>
    <row r="14" spans="1:8" s="168" customFormat="1" ht="20.25" customHeight="1">
      <c r="A14" s="167"/>
      <c r="B14" s="296" t="s">
        <v>262</v>
      </c>
      <c r="C14" s="1146" t="s">
        <v>99</v>
      </c>
      <c r="D14" s="1146"/>
      <c r="E14" s="1146"/>
      <c r="F14" s="1146"/>
      <c r="G14" s="1146"/>
      <c r="H14" s="297">
        <f>+H28</f>
        <v>1057641.3020833335</v>
      </c>
    </row>
    <row r="15" spans="1:8" s="168" customFormat="1" ht="20.25" customHeight="1">
      <c r="A15" s="167"/>
      <c r="B15" s="296" t="s">
        <v>263</v>
      </c>
      <c r="C15" s="1146" t="s">
        <v>100</v>
      </c>
      <c r="D15" s="1146"/>
      <c r="E15" s="1146"/>
      <c r="F15" s="1146"/>
      <c r="G15" s="1146"/>
      <c r="H15" s="298">
        <f>+H154</f>
        <v>153540.6</v>
      </c>
    </row>
    <row r="16" spans="1:8" s="168" customFormat="1" ht="20.25" customHeight="1">
      <c r="A16" s="167"/>
      <c r="B16" s="296" t="s">
        <v>264</v>
      </c>
      <c r="C16" s="1146" t="s">
        <v>101</v>
      </c>
      <c r="D16" s="1146"/>
      <c r="E16" s="1146"/>
      <c r="F16" s="1146"/>
      <c r="G16" s="1146"/>
      <c r="H16" s="298">
        <f>+H239</f>
        <v>155250</v>
      </c>
    </row>
    <row r="17" spans="1:11" s="168" customFormat="1" ht="20.25" customHeight="1">
      <c r="A17" s="167"/>
      <c r="B17" s="296" t="s">
        <v>265</v>
      </c>
      <c r="C17" s="1146" t="s">
        <v>102</v>
      </c>
      <c r="D17" s="1146"/>
      <c r="E17" s="1146"/>
      <c r="F17" s="1146"/>
      <c r="G17" s="1146"/>
      <c r="H17" s="298">
        <v>0</v>
      </c>
    </row>
    <row r="18" spans="1:11" s="168" customFormat="1" ht="20.25" customHeight="1" thickBot="1">
      <c r="A18" s="167"/>
      <c r="B18" s="1140" t="s">
        <v>51</v>
      </c>
      <c r="C18" s="1141"/>
      <c r="D18" s="1141"/>
      <c r="E18" s="1141"/>
      <c r="F18" s="1141"/>
      <c r="G18" s="1141"/>
      <c r="H18" s="169">
        <f>SUM(H14:H17)</f>
        <v>1366431.9020833336</v>
      </c>
      <c r="I18" s="170"/>
      <c r="J18" s="171"/>
      <c r="K18" s="170"/>
    </row>
    <row r="19" spans="1:11" ht="18" customHeight="1">
      <c r="B19" s="172"/>
      <c r="C19" s="172"/>
      <c r="D19" s="172"/>
      <c r="E19" s="172"/>
      <c r="F19" s="172"/>
      <c r="G19" s="173"/>
      <c r="H19" s="162"/>
    </row>
    <row r="20" spans="1:11" ht="18" customHeight="1">
      <c r="B20" s="172"/>
      <c r="C20" s="172"/>
      <c r="D20" s="172"/>
      <c r="E20" s="172"/>
      <c r="F20" s="172"/>
      <c r="G20" s="173"/>
      <c r="H20" s="162"/>
    </row>
    <row r="21" spans="1:11" ht="18" customHeight="1">
      <c r="B21" s="172"/>
      <c r="C21" s="172"/>
      <c r="D21" s="172"/>
      <c r="E21" s="172"/>
      <c r="F21" s="172"/>
      <c r="G21" s="173"/>
      <c r="H21" s="162"/>
    </row>
    <row r="22" spans="1:11" ht="18" customHeight="1">
      <c r="B22" s="172"/>
      <c r="C22" s="172"/>
      <c r="D22" s="172"/>
      <c r="E22" s="172"/>
      <c r="F22" s="172"/>
      <c r="G22" s="173"/>
      <c r="H22" s="162"/>
    </row>
    <row r="23" spans="1:11" ht="27" customHeight="1">
      <c r="A23" s="1150" t="s">
        <v>27</v>
      </c>
      <c r="B23" s="1151"/>
      <c r="C23" s="1151"/>
      <c r="D23" s="1151"/>
      <c r="E23" s="1151"/>
      <c r="F23" s="1151"/>
      <c r="G23" s="1151"/>
      <c r="H23" s="1151"/>
    </row>
    <row r="24" spans="1:11" ht="12" customHeight="1">
      <c r="A24" s="243"/>
      <c r="B24" s="244"/>
      <c r="C24" s="245"/>
      <c r="D24" s="245"/>
      <c r="E24" s="244"/>
      <c r="F24" s="246"/>
      <c r="G24" s="244"/>
      <c r="H24" s="244"/>
    </row>
    <row r="25" spans="1:11" ht="27" customHeight="1">
      <c r="A25" s="1150" t="s">
        <v>49</v>
      </c>
      <c r="B25" s="1150"/>
      <c r="C25" s="1150"/>
      <c r="D25" s="1150"/>
      <c r="E25" s="1150"/>
      <c r="F25" s="1150"/>
      <c r="G25" s="1150"/>
      <c r="H25" s="1150"/>
    </row>
    <row r="26" spans="1:11" ht="20.25" customHeight="1">
      <c r="A26" s="247"/>
      <c r="B26" s="247"/>
      <c r="C26" s="247"/>
      <c r="D26" s="247"/>
      <c r="E26" s="247"/>
      <c r="F26" s="247"/>
      <c r="G26" s="247"/>
      <c r="H26" s="247"/>
    </row>
    <row r="27" spans="1:11" ht="12.75" customHeight="1">
      <c r="A27" s="248"/>
      <c r="B27" s="248"/>
      <c r="C27" s="249"/>
      <c r="D27" s="249"/>
      <c r="E27" s="250"/>
      <c r="F27" s="251"/>
      <c r="G27" s="248"/>
      <c r="H27" s="248"/>
    </row>
    <row r="28" spans="1:11" s="168" customFormat="1" ht="15">
      <c r="A28" s="264" t="s">
        <v>268</v>
      </c>
      <c r="B28" s="265"/>
      <c r="C28" s="266"/>
      <c r="D28" s="266"/>
      <c r="E28" s="266"/>
      <c r="F28" s="267"/>
      <c r="G28" s="267" t="s">
        <v>0</v>
      </c>
      <c r="H28" s="268">
        <f>+H30+H52+H92+H132</f>
        <v>1057641.3020833335</v>
      </c>
      <c r="I28" s="177"/>
    </row>
    <row r="29" spans="1:11" s="168" customFormat="1" ht="15">
      <c r="A29" s="178"/>
      <c r="B29" s="179"/>
      <c r="C29" s="180"/>
      <c r="D29" s="180"/>
      <c r="E29" s="180"/>
      <c r="F29" s="181"/>
      <c r="G29" s="181"/>
      <c r="H29" s="182"/>
      <c r="I29" s="177"/>
      <c r="J29" s="170"/>
    </row>
    <row r="30" spans="1:11" ht="18" customHeight="1">
      <c r="A30" s="271">
        <v>1</v>
      </c>
      <c r="B30" s="272" t="s">
        <v>10</v>
      </c>
      <c r="C30" s="273"/>
      <c r="D30" s="273"/>
      <c r="E30" s="273"/>
      <c r="F30" s="274"/>
      <c r="G30" s="275" t="s">
        <v>0</v>
      </c>
      <c r="H30" s="276">
        <f>+H32</f>
        <v>821250</v>
      </c>
      <c r="J30" s="252"/>
    </row>
    <row r="31" spans="1:11" ht="12.75" customHeight="1">
      <c r="A31" s="183"/>
      <c r="B31" s="184"/>
      <c r="C31" s="185"/>
      <c r="D31" s="185"/>
      <c r="E31" s="185"/>
      <c r="F31" s="186"/>
      <c r="G31" s="185"/>
      <c r="H31" s="185"/>
    </row>
    <row r="32" spans="1:11" ht="12.75" customHeight="1">
      <c r="A32" s="187">
        <v>1.01</v>
      </c>
      <c r="B32" s="188" t="s">
        <v>12</v>
      </c>
      <c r="C32" s="185"/>
      <c r="D32" s="185"/>
      <c r="E32" s="185"/>
      <c r="F32" s="186"/>
      <c r="G32" s="231" t="s">
        <v>0</v>
      </c>
      <c r="H32" s="232">
        <f>+G49</f>
        <v>821250</v>
      </c>
    </row>
    <row r="33" spans="1:10" ht="12.75" customHeight="1">
      <c r="A33" s="189"/>
      <c r="B33" s="175"/>
      <c r="C33" s="185"/>
      <c r="D33" s="185"/>
      <c r="E33" s="185"/>
      <c r="F33" s="186"/>
      <c r="G33" s="185"/>
      <c r="H33" s="185"/>
    </row>
    <row r="34" spans="1:10" ht="12.75" customHeight="1">
      <c r="A34" s="190"/>
      <c r="B34" s="188" t="s">
        <v>29</v>
      </c>
      <c r="C34" s="175"/>
      <c r="D34" s="175"/>
      <c r="E34" s="175"/>
      <c r="F34" s="191"/>
      <c r="G34" s="175"/>
      <c r="H34" s="185"/>
    </row>
    <row r="35" spans="1:10" ht="12.75" customHeight="1">
      <c r="A35" s="190"/>
      <c r="B35" s="188"/>
      <c r="C35" s="175"/>
      <c r="D35" s="175"/>
      <c r="E35" s="175"/>
      <c r="F35" s="191"/>
      <c r="G35" s="175"/>
      <c r="H35" s="185"/>
    </row>
    <row r="36" spans="1:10" ht="12.75" customHeight="1">
      <c r="A36" s="189"/>
      <c r="B36" s="192" t="s">
        <v>30</v>
      </c>
      <c r="C36" s="193" t="s">
        <v>31</v>
      </c>
      <c r="D36" s="193" t="s">
        <v>287</v>
      </c>
      <c r="E36" s="193" t="s">
        <v>32</v>
      </c>
      <c r="F36" s="193" t="s">
        <v>13</v>
      </c>
      <c r="G36" s="193" t="s">
        <v>4</v>
      </c>
      <c r="H36" s="234" t="s">
        <v>243</v>
      </c>
      <c r="J36" s="253"/>
    </row>
    <row r="37" spans="1:10" ht="12.75" customHeight="1">
      <c r="A37" s="190"/>
      <c r="B37" s="194" t="s">
        <v>274</v>
      </c>
      <c r="C37" s="195">
        <v>1</v>
      </c>
      <c r="D37" s="195">
        <v>0.25</v>
      </c>
      <c r="E37" s="195">
        <v>25</v>
      </c>
      <c r="F37" s="195">
        <v>5000</v>
      </c>
      <c r="G37" s="234">
        <f>+C37*D37*E37*F37</f>
        <v>31250</v>
      </c>
      <c r="H37" s="1142" t="s">
        <v>244</v>
      </c>
    </row>
    <row r="38" spans="1:10" ht="12.75" customHeight="1">
      <c r="A38" s="190"/>
      <c r="B38" s="194" t="s">
        <v>275</v>
      </c>
      <c r="C38" s="195">
        <v>1</v>
      </c>
      <c r="D38" s="195">
        <v>1</v>
      </c>
      <c r="E38" s="195">
        <v>25</v>
      </c>
      <c r="F38" s="195">
        <v>4500</v>
      </c>
      <c r="G38" s="234">
        <f t="shared" ref="G38:G48" si="0">+C38*D38*E38*F38</f>
        <v>112500</v>
      </c>
      <c r="H38" s="1143"/>
    </row>
    <row r="39" spans="1:10" ht="12.75" customHeight="1">
      <c r="A39" s="190"/>
      <c r="B39" s="194" t="s">
        <v>280</v>
      </c>
      <c r="C39" s="195">
        <v>1</v>
      </c>
      <c r="D39" s="195">
        <v>0.5</v>
      </c>
      <c r="E39" s="195">
        <v>25</v>
      </c>
      <c r="F39" s="195">
        <v>5000</v>
      </c>
      <c r="G39" s="234">
        <f t="shared" si="0"/>
        <v>62500</v>
      </c>
      <c r="H39" s="1143"/>
    </row>
    <row r="40" spans="1:10" ht="12.75" customHeight="1">
      <c r="A40" s="190"/>
      <c r="B40" s="194" t="s">
        <v>301</v>
      </c>
      <c r="C40" s="195">
        <v>1</v>
      </c>
      <c r="D40" s="195">
        <v>0.5</v>
      </c>
      <c r="E40" s="195">
        <v>25</v>
      </c>
      <c r="F40" s="195">
        <v>5000</v>
      </c>
      <c r="G40" s="234">
        <f t="shared" si="0"/>
        <v>62500</v>
      </c>
      <c r="H40" s="1143"/>
    </row>
    <row r="41" spans="1:10" ht="12.75" customHeight="1">
      <c r="A41" s="190"/>
      <c r="B41" s="194" t="s">
        <v>281</v>
      </c>
      <c r="C41" s="195">
        <v>1</v>
      </c>
      <c r="D41" s="195">
        <v>0.5</v>
      </c>
      <c r="E41" s="195">
        <v>25</v>
      </c>
      <c r="F41" s="195">
        <v>5000</v>
      </c>
      <c r="G41" s="234">
        <f t="shared" si="0"/>
        <v>62500</v>
      </c>
      <c r="H41" s="1143"/>
    </row>
    <row r="42" spans="1:10" ht="12.75" customHeight="1">
      <c r="A42" s="190"/>
      <c r="B42" s="194" t="s">
        <v>282</v>
      </c>
      <c r="C42" s="195">
        <v>1</v>
      </c>
      <c r="D42" s="195">
        <v>0.3</v>
      </c>
      <c r="E42" s="195">
        <v>25</v>
      </c>
      <c r="F42" s="195">
        <v>5000</v>
      </c>
      <c r="G42" s="234">
        <f t="shared" si="0"/>
        <v>37500</v>
      </c>
      <c r="H42" s="1143"/>
    </row>
    <row r="43" spans="1:10" ht="12.75" customHeight="1">
      <c r="A43" s="190"/>
      <c r="B43" s="194" t="s">
        <v>283</v>
      </c>
      <c r="C43" s="195">
        <v>1</v>
      </c>
      <c r="D43" s="195">
        <v>0.3</v>
      </c>
      <c r="E43" s="195">
        <v>25</v>
      </c>
      <c r="F43" s="195">
        <v>5000</v>
      </c>
      <c r="G43" s="234">
        <f t="shared" si="0"/>
        <v>37500</v>
      </c>
      <c r="H43" s="1143"/>
    </row>
    <row r="44" spans="1:10" ht="12.75" customHeight="1">
      <c r="A44" s="190"/>
      <c r="B44" s="194" t="s">
        <v>284</v>
      </c>
      <c r="C44" s="195">
        <v>1</v>
      </c>
      <c r="D44" s="195">
        <v>1</v>
      </c>
      <c r="E44" s="195">
        <v>25</v>
      </c>
      <c r="F44" s="195">
        <v>5000</v>
      </c>
      <c r="G44" s="234">
        <f t="shared" si="0"/>
        <v>125000</v>
      </c>
      <c r="H44" s="1143"/>
    </row>
    <row r="45" spans="1:10" ht="12.75" customHeight="1">
      <c r="A45" s="190"/>
      <c r="B45" s="194" t="s">
        <v>285</v>
      </c>
      <c r="C45" s="195">
        <v>1</v>
      </c>
      <c r="D45" s="195">
        <v>0.5</v>
      </c>
      <c r="E45" s="195">
        <v>25</v>
      </c>
      <c r="F45" s="195">
        <v>5000</v>
      </c>
      <c r="G45" s="234">
        <f t="shared" si="0"/>
        <v>62500</v>
      </c>
      <c r="H45" s="1143"/>
    </row>
    <row r="46" spans="1:10" ht="12.75" customHeight="1">
      <c r="A46" s="190"/>
      <c r="B46" s="194" t="s">
        <v>286</v>
      </c>
      <c r="C46" s="195">
        <v>1</v>
      </c>
      <c r="D46" s="195">
        <v>1</v>
      </c>
      <c r="E46" s="195">
        <v>25</v>
      </c>
      <c r="F46" s="195">
        <v>5000</v>
      </c>
      <c r="G46" s="234">
        <f t="shared" si="0"/>
        <v>125000</v>
      </c>
      <c r="H46" s="1143"/>
    </row>
    <row r="47" spans="1:10" ht="12.75" customHeight="1">
      <c r="A47" s="190"/>
      <c r="B47" s="194" t="s">
        <v>237</v>
      </c>
      <c r="C47" s="195">
        <v>1</v>
      </c>
      <c r="D47" s="195">
        <v>1</v>
      </c>
      <c r="E47" s="195">
        <v>25</v>
      </c>
      <c r="F47" s="195">
        <v>2600</v>
      </c>
      <c r="G47" s="234">
        <f t="shared" si="0"/>
        <v>65000</v>
      </c>
      <c r="H47" s="1143"/>
    </row>
    <row r="48" spans="1:10" ht="12.75" customHeight="1">
      <c r="A48" s="190"/>
      <c r="B48" s="194" t="s">
        <v>276</v>
      </c>
      <c r="C48" s="195">
        <v>1</v>
      </c>
      <c r="D48" s="195">
        <v>0.5</v>
      </c>
      <c r="E48" s="195">
        <v>25</v>
      </c>
      <c r="F48" s="195">
        <v>3000</v>
      </c>
      <c r="G48" s="234">
        <f t="shared" si="0"/>
        <v>37500</v>
      </c>
      <c r="H48" s="1144"/>
    </row>
    <row r="49" spans="1:9" ht="12.75" customHeight="1">
      <c r="A49" s="174"/>
      <c r="B49" s="1137" t="s">
        <v>3</v>
      </c>
      <c r="C49" s="1137"/>
      <c r="D49" s="1137"/>
      <c r="E49" s="1137"/>
      <c r="F49" s="1137"/>
      <c r="G49" s="196">
        <f>SUM(G37:G48)</f>
        <v>821250</v>
      </c>
      <c r="H49" s="175"/>
    </row>
    <row r="50" spans="1:9" ht="12.75" customHeight="1">
      <c r="A50" s="190"/>
      <c r="B50" s="185"/>
      <c r="C50" s="185"/>
      <c r="D50" s="185"/>
      <c r="E50" s="185"/>
      <c r="F50" s="186"/>
      <c r="G50" s="185" t="s">
        <v>159</v>
      </c>
      <c r="H50" s="185"/>
    </row>
    <row r="51" spans="1:9" ht="15.75" customHeight="1">
      <c r="A51" s="190"/>
      <c r="B51" s="185"/>
      <c r="C51" s="185"/>
      <c r="D51" s="185"/>
      <c r="E51" s="185"/>
      <c r="F51" s="186"/>
      <c r="G51" s="185"/>
      <c r="H51" s="185"/>
    </row>
    <row r="52" spans="1:9" ht="18" customHeight="1">
      <c r="A52" s="277">
        <v>2</v>
      </c>
      <c r="B52" s="272" t="s">
        <v>15</v>
      </c>
      <c r="C52" s="273"/>
      <c r="D52" s="273"/>
      <c r="E52" s="273"/>
      <c r="F52" s="274"/>
      <c r="G52" s="275" t="s">
        <v>0</v>
      </c>
      <c r="H52" s="276">
        <f>+H54+H73</f>
        <v>90328.802083333328</v>
      </c>
    </row>
    <row r="53" spans="1:9" ht="12.75" customHeight="1">
      <c r="A53" s="183"/>
      <c r="B53" s="184"/>
      <c r="C53" s="185"/>
      <c r="D53" s="185"/>
      <c r="E53" s="185"/>
      <c r="F53" s="186"/>
      <c r="G53" s="185"/>
      <c r="H53" s="185"/>
      <c r="I53" s="171"/>
    </row>
    <row r="54" spans="1:9" ht="12.75" customHeight="1">
      <c r="A54" s="187">
        <v>2.0099999999999998</v>
      </c>
      <c r="B54" s="188" t="s">
        <v>95</v>
      </c>
      <c r="C54" s="185"/>
      <c r="D54" s="185"/>
      <c r="E54" s="185"/>
      <c r="F54" s="186"/>
      <c r="G54" s="231" t="s">
        <v>0</v>
      </c>
      <c r="H54" s="232">
        <f>+G71</f>
        <v>77161.875</v>
      </c>
    </row>
    <row r="55" spans="1:9" ht="12.75" customHeight="1">
      <c r="A55" s="187"/>
      <c r="B55" s="188"/>
      <c r="C55" s="185"/>
      <c r="D55" s="185"/>
      <c r="E55" s="185"/>
      <c r="F55" s="186"/>
      <c r="G55" s="185"/>
      <c r="H55" s="185"/>
    </row>
    <row r="56" spans="1:9" ht="12.75" customHeight="1">
      <c r="A56" s="189"/>
      <c r="B56" s="188" t="s">
        <v>29</v>
      </c>
      <c r="C56" s="175"/>
      <c r="D56" s="175"/>
      <c r="E56" s="175"/>
      <c r="F56" s="191"/>
      <c r="G56" s="185"/>
      <c r="H56" s="185"/>
    </row>
    <row r="57" spans="1:9" ht="12.75" customHeight="1">
      <c r="A57" s="189"/>
      <c r="B57" s="188"/>
      <c r="C57" s="175"/>
      <c r="D57" s="175"/>
      <c r="E57" s="175"/>
      <c r="F57" s="191"/>
      <c r="G57" s="185"/>
      <c r="H57" s="185"/>
    </row>
    <row r="58" spans="1:9" ht="12.75" customHeight="1">
      <c r="A58" s="190"/>
      <c r="B58" s="192" t="s">
        <v>30</v>
      </c>
      <c r="C58" s="193" t="s">
        <v>31</v>
      </c>
      <c r="D58" s="193" t="s">
        <v>287</v>
      </c>
      <c r="E58" s="193" t="s">
        <v>32</v>
      </c>
      <c r="F58" s="193" t="s">
        <v>13</v>
      </c>
      <c r="G58" s="193" t="s">
        <v>4</v>
      </c>
      <c r="H58" s="185"/>
    </row>
    <row r="59" spans="1:9" ht="12.75" customHeight="1">
      <c r="A59" s="190"/>
      <c r="B59" s="194" t="str">
        <f t="shared" ref="B59:E64" si="1">+B37</f>
        <v>COORDINADOR DE SUPERVISION</v>
      </c>
      <c r="C59" s="195">
        <f t="shared" si="1"/>
        <v>1</v>
      </c>
      <c r="D59" s="195">
        <f t="shared" si="1"/>
        <v>0.25</v>
      </c>
      <c r="E59" s="195">
        <f t="shared" si="1"/>
        <v>25</v>
      </c>
      <c r="F59" s="195">
        <f>+(F37+F118)*0.09</f>
        <v>487.5</v>
      </c>
      <c r="G59" s="234">
        <f>+C59*D59*E59*F59</f>
        <v>3046.875</v>
      </c>
      <c r="H59" s="185"/>
    </row>
    <row r="60" spans="1:9" ht="12.75" customHeight="1">
      <c r="A60" s="190"/>
      <c r="B60" s="194" t="str">
        <f t="shared" si="1"/>
        <v>SUPERVISOR GENERAL DE OBRA</v>
      </c>
      <c r="C60" s="195">
        <f t="shared" si="1"/>
        <v>1</v>
      </c>
      <c r="D60" s="195">
        <f t="shared" si="1"/>
        <v>1</v>
      </c>
      <c r="E60" s="195">
        <f t="shared" si="1"/>
        <v>25</v>
      </c>
      <c r="F60" s="195">
        <f>+(F38+F124)*0.09</f>
        <v>442.5</v>
      </c>
      <c r="G60" s="234">
        <f t="shared" ref="G60:G70" si="2">+C60*D60*E60*F60</f>
        <v>11062.5</v>
      </c>
      <c r="H60" s="185"/>
    </row>
    <row r="61" spans="1:9" ht="12.75" customHeight="1">
      <c r="A61" s="190"/>
      <c r="B61" s="194" t="str">
        <f t="shared" si="1"/>
        <v>ESPECIALISTA DE ESTRUCTURAS</v>
      </c>
      <c r="C61" s="195">
        <f t="shared" si="1"/>
        <v>1</v>
      </c>
      <c r="D61" s="195">
        <f t="shared" si="1"/>
        <v>0.5</v>
      </c>
      <c r="E61" s="195">
        <f t="shared" si="1"/>
        <v>25</v>
      </c>
      <c r="F61" s="195">
        <f>+(F39+F128)*0.09</f>
        <v>469.5</v>
      </c>
      <c r="G61" s="234">
        <f t="shared" si="2"/>
        <v>5868.75</v>
      </c>
      <c r="H61" s="185"/>
    </row>
    <row r="62" spans="1:9" ht="12.75" customHeight="1">
      <c r="A62" s="190"/>
      <c r="B62" s="194" t="str">
        <f t="shared" si="1"/>
        <v>ESPECIALISTA GEOTECNISTA</v>
      </c>
      <c r="C62" s="195">
        <f t="shared" si="1"/>
        <v>1</v>
      </c>
      <c r="D62" s="195">
        <f t="shared" si="1"/>
        <v>0.5</v>
      </c>
      <c r="E62" s="195">
        <f t="shared" si="1"/>
        <v>25</v>
      </c>
      <c r="F62" s="195">
        <f>+(F40+F129)*0.09</f>
        <v>472.5</v>
      </c>
      <c r="G62" s="234">
        <f>+C62*D62*E62*F62</f>
        <v>5906.25</v>
      </c>
      <c r="H62" s="185"/>
    </row>
    <row r="63" spans="1:9" ht="12.75" customHeight="1">
      <c r="A63" s="190"/>
      <c r="B63" s="194" t="str">
        <f t="shared" si="1"/>
        <v>ESPECIALISTA DE ARQUITECTURA</v>
      </c>
      <c r="C63" s="195">
        <f t="shared" si="1"/>
        <v>1</v>
      </c>
      <c r="D63" s="195">
        <f t="shared" si="1"/>
        <v>0.5</v>
      </c>
      <c r="E63" s="195">
        <f t="shared" si="1"/>
        <v>25</v>
      </c>
      <c r="F63" s="195">
        <f>+(F41+F129)*0.09</f>
        <v>472.5</v>
      </c>
      <c r="G63" s="234">
        <f t="shared" si="2"/>
        <v>5906.25</v>
      </c>
      <c r="H63" s="185"/>
    </row>
    <row r="64" spans="1:9" ht="12.75" customHeight="1">
      <c r="A64" s="190"/>
      <c r="B64" s="194" t="str">
        <f t="shared" si="1"/>
        <v>ESPECIALISTA EN INST. SANITARIAS</v>
      </c>
      <c r="C64" s="195">
        <f t="shared" si="1"/>
        <v>1</v>
      </c>
      <c r="D64" s="195">
        <f t="shared" si="1"/>
        <v>0.3</v>
      </c>
      <c r="E64" s="195">
        <f t="shared" si="1"/>
        <v>25</v>
      </c>
      <c r="F64" s="195">
        <f>+(F42+F130)*0.09</f>
        <v>450</v>
      </c>
      <c r="G64" s="234">
        <f t="shared" si="2"/>
        <v>3375</v>
      </c>
      <c r="H64" s="185"/>
    </row>
    <row r="65" spans="1:8" ht="12.75" customHeight="1">
      <c r="A65" s="190"/>
      <c r="B65" s="194" t="str">
        <f t="shared" ref="B65:B70" si="3">+B43</f>
        <v>ESPECIALISTA EN INST. ELECTRICAS</v>
      </c>
      <c r="C65" s="195">
        <f>+C39</f>
        <v>1</v>
      </c>
      <c r="D65" s="195">
        <f t="shared" ref="D65:E70" si="4">+D43</f>
        <v>0.3</v>
      </c>
      <c r="E65" s="195">
        <f t="shared" si="4"/>
        <v>25</v>
      </c>
      <c r="F65" s="195">
        <f>+(F39+F128)*0.09</f>
        <v>469.5</v>
      </c>
      <c r="G65" s="234">
        <f t="shared" si="2"/>
        <v>3521.25</v>
      </c>
      <c r="H65" s="185"/>
    </row>
    <row r="66" spans="1:8" ht="12.75" customHeight="1">
      <c r="A66" s="190"/>
      <c r="B66" s="194" t="str">
        <f t="shared" si="3"/>
        <v>ESPECIALISTA EN EQUIPOS Y MOBILIARIO EDUCATIVO</v>
      </c>
      <c r="C66" s="195">
        <f>+C41</f>
        <v>1</v>
      </c>
      <c r="D66" s="195">
        <f t="shared" si="4"/>
        <v>1</v>
      </c>
      <c r="E66" s="195">
        <f t="shared" si="4"/>
        <v>25</v>
      </c>
      <c r="F66" s="195">
        <f>+(F41+F129)*0.09</f>
        <v>472.5</v>
      </c>
      <c r="G66" s="234">
        <f t="shared" si="2"/>
        <v>11812.5</v>
      </c>
      <c r="H66" s="185"/>
    </row>
    <row r="67" spans="1:8" ht="12.75" customHeight="1">
      <c r="A67" s="190"/>
      <c r="B67" s="194" t="str">
        <f t="shared" si="3"/>
        <v>ESPECIALISTA EN GESTION DE CAPACITACIÓN</v>
      </c>
      <c r="C67" s="195">
        <f>+C42</f>
        <v>1</v>
      </c>
      <c r="D67" s="195">
        <f t="shared" si="4"/>
        <v>0.5</v>
      </c>
      <c r="E67" s="195">
        <f t="shared" si="4"/>
        <v>25</v>
      </c>
      <c r="F67" s="195">
        <f>+(F42+F130)*0.09</f>
        <v>450</v>
      </c>
      <c r="G67" s="234">
        <f t="shared" si="2"/>
        <v>5625</v>
      </c>
      <c r="H67" s="185"/>
    </row>
    <row r="68" spans="1:8" ht="12.75" customHeight="1">
      <c r="A68" s="190"/>
      <c r="B68" s="194" t="str">
        <f t="shared" si="3"/>
        <v>ESPECIALISTA EN MATERIAL PEDAGÓGICO</v>
      </c>
      <c r="C68" s="195">
        <f>+C43</f>
        <v>1</v>
      </c>
      <c r="D68" s="195">
        <f t="shared" si="4"/>
        <v>1</v>
      </c>
      <c r="E68" s="195">
        <f t="shared" si="4"/>
        <v>25</v>
      </c>
      <c r="F68" s="195">
        <f>+(F43+F131)*0.09</f>
        <v>450</v>
      </c>
      <c r="G68" s="234">
        <f t="shared" si="2"/>
        <v>11250</v>
      </c>
      <c r="H68" s="185"/>
    </row>
    <row r="69" spans="1:8" ht="12.75" customHeight="1">
      <c r="A69" s="190"/>
      <c r="B69" s="194" t="str">
        <f t="shared" si="3"/>
        <v>ASISTENTE TECNICO</v>
      </c>
      <c r="C69" s="195">
        <f>+C47</f>
        <v>1</v>
      </c>
      <c r="D69" s="195">
        <f t="shared" si="4"/>
        <v>1</v>
      </c>
      <c r="E69" s="195">
        <f t="shared" si="4"/>
        <v>25</v>
      </c>
      <c r="F69" s="195">
        <f>+(F47+F129)*0.09</f>
        <v>256.5</v>
      </c>
      <c r="G69" s="234">
        <f t="shared" si="2"/>
        <v>6412.5</v>
      </c>
      <c r="H69" s="185"/>
    </row>
    <row r="70" spans="1:8" ht="12.75" customHeight="1">
      <c r="A70" s="190"/>
      <c r="B70" s="194" t="str">
        <f t="shared" si="3"/>
        <v>ASISTENTE ADMINISTRATIVO DE PLANTA</v>
      </c>
      <c r="C70" s="195">
        <f>+C48</f>
        <v>1</v>
      </c>
      <c r="D70" s="195">
        <f t="shared" si="4"/>
        <v>0.5</v>
      </c>
      <c r="E70" s="195">
        <f t="shared" si="4"/>
        <v>25</v>
      </c>
      <c r="F70" s="195">
        <f>+(F48+F130)*0.09</f>
        <v>270</v>
      </c>
      <c r="G70" s="234">
        <f t="shared" si="2"/>
        <v>3375</v>
      </c>
      <c r="H70" s="185"/>
    </row>
    <row r="71" spans="1:8" ht="12.75" customHeight="1">
      <c r="A71" s="190"/>
      <c r="B71" s="1126" t="s">
        <v>3</v>
      </c>
      <c r="C71" s="1126"/>
      <c r="D71" s="1126"/>
      <c r="E71" s="1126"/>
      <c r="F71" s="1126"/>
      <c r="G71" s="196">
        <f>SUM(G59:G70)</f>
        <v>77161.875</v>
      </c>
      <c r="H71" s="185"/>
    </row>
    <row r="72" spans="1:8" ht="13.5" customHeight="1">
      <c r="A72" s="190"/>
      <c r="B72" s="197"/>
      <c r="C72" s="197"/>
      <c r="D72" s="197"/>
      <c r="E72" s="197"/>
      <c r="F72" s="186"/>
      <c r="G72" s="185"/>
      <c r="H72" s="185"/>
    </row>
    <row r="73" spans="1:8" ht="12.75" customHeight="1">
      <c r="A73" s="198">
        <v>2.02</v>
      </c>
      <c r="B73" s="188" t="s">
        <v>55</v>
      </c>
      <c r="C73" s="185"/>
      <c r="D73" s="185"/>
      <c r="E73" s="185"/>
      <c r="F73" s="186"/>
      <c r="G73" s="231" t="s">
        <v>0</v>
      </c>
      <c r="H73" s="232">
        <f>+G90</f>
        <v>13166.927083333334</v>
      </c>
    </row>
    <row r="74" spans="1:8" ht="12.75" customHeight="1">
      <c r="A74" s="187"/>
      <c r="B74" s="188"/>
      <c r="C74" s="185"/>
      <c r="D74" s="185"/>
      <c r="E74" s="185"/>
      <c r="F74" s="186"/>
      <c r="G74" s="185"/>
      <c r="H74" s="185"/>
    </row>
    <row r="75" spans="1:8" ht="12.75" customHeight="1">
      <c r="A75" s="190"/>
      <c r="B75" s="188" t="s">
        <v>29</v>
      </c>
      <c r="C75" s="175"/>
      <c r="D75" s="175"/>
      <c r="E75" s="175"/>
      <c r="F75" s="191"/>
      <c r="G75" s="185"/>
      <c r="H75" s="185"/>
    </row>
    <row r="76" spans="1:8" ht="12.75" customHeight="1">
      <c r="A76" s="190"/>
      <c r="B76" s="188"/>
      <c r="C76" s="175"/>
      <c r="D76" s="175"/>
      <c r="E76" s="175"/>
      <c r="F76" s="191"/>
      <c r="G76" s="185"/>
      <c r="H76" s="185"/>
    </row>
    <row r="77" spans="1:8" ht="12.75" customHeight="1">
      <c r="A77" s="190"/>
      <c r="B77" s="192" t="s">
        <v>30</v>
      </c>
      <c r="C77" s="193" t="s">
        <v>31</v>
      </c>
      <c r="D77" s="193" t="s">
        <v>287</v>
      </c>
      <c r="E77" s="193" t="s">
        <v>32</v>
      </c>
      <c r="F77" s="193" t="s">
        <v>13</v>
      </c>
      <c r="G77" s="193" t="s">
        <v>4</v>
      </c>
      <c r="H77" s="185"/>
    </row>
    <row r="78" spans="1:8" ht="12.75" customHeight="1">
      <c r="A78" s="190"/>
      <c r="B78" s="194" t="str">
        <f t="shared" ref="B78:D84" si="5">+B37</f>
        <v>COORDINADOR DE SUPERVISION</v>
      </c>
      <c r="C78" s="195">
        <f t="shared" si="5"/>
        <v>1</v>
      </c>
      <c r="D78" s="195">
        <f t="shared" si="5"/>
        <v>0.25</v>
      </c>
      <c r="E78" s="195">
        <f t="shared" ref="E78:E89" si="6">+E59</f>
        <v>25</v>
      </c>
      <c r="F78" s="195">
        <f>+(F37+F118)*0.0155</f>
        <v>83.958333333333343</v>
      </c>
      <c r="G78" s="234">
        <f>+C78*D78*E78*F78</f>
        <v>524.73958333333337</v>
      </c>
      <c r="H78" s="185"/>
    </row>
    <row r="79" spans="1:8" ht="12.75" customHeight="1">
      <c r="A79" s="190"/>
      <c r="B79" s="194" t="str">
        <f t="shared" si="5"/>
        <v>SUPERVISOR GENERAL DE OBRA</v>
      </c>
      <c r="C79" s="195">
        <f t="shared" si="5"/>
        <v>1</v>
      </c>
      <c r="D79" s="195">
        <f t="shared" si="5"/>
        <v>1</v>
      </c>
      <c r="E79" s="195">
        <f t="shared" si="6"/>
        <v>25</v>
      </c>
      <c r="F79" s="195">
        <f>+(F38+F124)*0.0155</f>
        <v>76.208333333333343</v>
      </c>
      <c r="G79" s="234">
        <f t="shared" ref="G79:G89" si="7">+C79*D79*E79*F79</f>
        <v>1905.2083333333335</v>
      </c>
      <c r="H79" s="185"/>
    </row>
    <row r="80" spans="1:8" ht="12.75" customHeight="1">
      <c r="A80" s="190"/>
      <c r="B80" s="194" t="str">
        <f t="shared" si="5"/>
        <v>ESPECIALISTA DE ESTRUCTURAS</v>
      </c>
      <c r="C80" s="195">
        <f t="shared" si="5"/>
        <v>1</v>
      </c>
      <c r="D80" s="195">
        <f t="shared" si="5"/>
        <v>0.5</v>
      </c>
      <c r="E80" s="195">
        <f t="shared" si="6"/>
        <v>25</v>
      </c>
      <c r="F80" s="195">
        <f>+(F39+F128)*0.0155</f>
        <v>80.858333333333334</v>
      </c>
      <c r="G80" s="234">
        <f t="shared" si="7"/>
        <v>1010.7291666666666</v>
      </c>
      <c r="H80" s="185"/>
    </row>
    <row r="81" spans="1:9" ht="12.75" customHeight="1">
      <c r="A81" s="190"/>
      <c r="B81" s="194" t="str">
        <f t="shared" si="5"/>
        <v>ESPECIALISTA GEOTECNISTA</v>
      </c>
      <c r="C81" s="195">
        <f t="shared" si="5"/>
        <v>1</v>
      </c>
      <c r="D81" s="195">
        <f t="shared" si="5"/>
        <v>0.5</v>
      </c>
      <c r="E81" s="195">
        <f t="shared" si="6"/>
        <v>25</v>
      </c>
      <c r="F81" s="195">
        <f>+(F40+F129)*0.0155</f>
        <v>81.375</v>
      </c>
      <c r="G81" s="234">
        <f>+C81*D81*E81*F81</f>
        <v>1017.1875</v>
      </c>
      <c r="H81" s="185"/>
    </row>
    <row r="82" spans="1:9" ht="12.75" customHeight="1">
      <c r="A82" s="190"/>
      <c r="B82" s="194" t="str">
        <f t="shared" si="5"/>
        <v>ESPECIALISTA DE ARQUITECTURA</v>
      </c>
      <c r="C82" s="195">
        <f t="shared" si="5"/>
        <v>1</v>
      </c>
      <c r="D82" s="195">
        <f t="shared" si="5"/>
        <v>0.5</v>
      </c>
      <c r="E82" s="195">
        <f t="shared" si="6"/>
        <v>25</v>
      </c>
      <c r="F82" s="195">
        <f t="shared" ref="F82:F87" si="8">+(F41+F129)*0.0155</f>
        <v>81.375</v>
      </c>
      <c r="G82" s="234">
        <f t="shared" si="7"/>
        <v>1017.1875</v>
      </c>
      <c r="H82" s="185"/>
    </row>
    <row r="83" spans="1:9" ht="12.75" customHeight="1">
      <c r="A83" s="190"/>
      <c r="B83" s="194" t="str">
        <f t="shared" si="5"/>
        <v>ESPECIALISTA EN INST. SANITARIAS</v>
      </c>
      <c r="C83" s="195">
        <f t="shared" si="5"/>
        <v>1</v>
      </c>
      <c r="D83" s="195">
        <f t="shared" si="5"/>
        <v>0.3</v>
      </c>
      <c r="E83" s="195">
        <f t="shared" si="6"/>
        <v>25</v>
      </c>
      <c r="F83" s="195">
        <f t="shared" si="8"/>
        <v>77.5</v>
      </c>
      <c r="G83" s="234">
        <f t="shared" si="7"/>
        <v>581.25</v>
      </c>
      <c r="H83" s="185"/>
    </row>
    <row r="84" spans="1:9" ht="12.75" customHeight="1">
      <c r="A84" s="190"/>
      <c r="B84" s="194" t="str">
        <f t="shared" si="5"/>
        <v>ESPECIALISTA EN INST. ELECTRICAS</v>
      </c>
      <c r="C84" s="195">
        <f t="shared" si="5"/>
        <v>1</v>
      </c>
      <c r="D84" s="195">
        <f t="shared" si="5"/>
        <v>0.3</v>
      </c>
      <c r="E84" s="195">
        <f t="shared" si="6"/>
        <v>25</v>
      </c>
      <c r="F84" s="195">
        <f t="shared" si="8"/>
        <v>77.5</v>
      </c>
      <c r="G84" s="234">
        <f t="shared" si="7"/>
        <v>581.25</v>
      </c>
      <c r="H84" s="185"/>
    </row>
    <row r="85" spans="1:9" ht="12.75" customHeight="1">
      <c r="A85" s="190"/>
      <c r="B85" s="194" t="str">
        <f t="shared" ref="B85:D89" si="9">+B44</f>
        <v>ESPECIALISTA EN EQUIPOS Y MOBILIARIO EDUCATIVO</v>
      </c>
      <c r="C85" s="195">
        <f t="shared" si="9"/>
        <v>1</v>
      </c>
      <c r="D85" s="195">
        <f t="shared" si="9"/>
        <v>1</v>
      </c>
      <c r="E85" s="195">
        <f t="shared" si="6"/>
        <v>25</v>
      </c>
      <c r="F85" s="195">
        <f t="shared" si="8"/>
        <v>77.5</v>
      </c>
      <c r="G85" s="234">
        <f t="shared" si="7"/>
        <v>1937.5</v>
      </c>
      <c r="H85" s="185"/>
    </row>
    <row r="86" spans="1:9" ht="12.75" customHeight="1">
      <c r="A86" s="190"/>
      <c r="B86" s="194" t="str">
        <f t="shared" si="9"/>
        <v>ESPECIALISTA EN GESTION DE CAPACITACIÓN</v>
      </c>
      <c r="C86" s="195">
        <f t="shared" si="9"/>
        <v>1</v>
      </c>
      <c r="D86" s="195">
        <f t="shared" si="9"/>
        <v>0.5</v>
      </c>
      <c r="E86" s="195">
        <f t="shared" si="6"/>
        <v>25</v>
      </c>
      <c r="F86" s="195">
        <f t="shared" si="8"/>
        <v>77.5</v>
      </c>
      <c r="G86" s="234">
        <f t="shared" si="7"/>
        <v>968.75</v>
      </c>
      <c r="H86" s="185"/>
    </row>
    <row r="87" spans="1:9" ht="12.75" customHeight="1">
      <c r="A87" s="190"/>
      <c r="B87" s="194" t="str">
        <f t="shared" si="9"/>
        <v>ESPECIALISTA EN MATERIAL PEDAGÓGICO</v>
      </c>
      <c r="C87" s="195">
        <f t="shared" si="9"/>
        <v>1</v>
      </c>
      <c r="D87" s="195">
        <f t="shared" si="9"/>
        <v>1</v>
      </c>
      <c r="E87" s="195">
        <f t="shared" si="6"/>
        <v>25</v>
      </c>
      <c r="F87" s="195">
        <f t="shared" si="8"/>
        <v>77.5</v>
      </c>
      <c r="G87" s="234">
        <f t="shared" si="7"/>
        <v>1937.5</v>
      </c>
      <c r="H87" s="185"/>
    </row>
    <row r="88" spans="1:9" ht="12.75" customHeight="1">
      <c r="A88" s="190"/>
      <c r="B88" s="194" t="str">
        <f t="shared" si="9"/>
        <v>ASISTENTE TECNICO</v>
      </c>
      <c r="C88" s="195">
        <f t="shared" si="9"/>
        <v>1</v>
      </c>
      <c r="D88" s="195">
        <f t="shared" si="9"/>
        <v>1</v>
      </c>
      <c r="E88" s="195">
        <f t="shared" si="6"/>
        <v>25</v>
      </c>
      <c r="F88" s="195">
        <f>+(F47+F129)*0.0155</f>
        <v>44.174999999999997</v>
      </c>
      <c r="G88" s="234">
        <f t="shared" si="7"/>
        <v>1104.375</v>
      </c>
      <c r="H88" s="185"/>
    </row>
    <row r="89" spans="1:9" ht="12.75" customHeight="1">
      <c r="A89" s="190"/>
      <c r="B89" s="194" t="str">
        <f t="shared" si="9"/>
        <v>ASISTENTE ADMINISTRATIVO DE PLANTA</v>
      </c>
      <c r="C89" s="195">
        <f t="shared" si="9"/>
        <v>1</v>
      </c>
      <c r="D89" s="195">
        <f t="shared" si="9"/>
        <v>0.5</v>
      </c>
      <c r="E89" s="195">
        <f t="shared" si="6"/>
        <v>25</v>
      </c>
      <c r="F89" s="195">
        <f>+(F48+F130)*0.0155</f>
        <v>46.5</v>
      </c>
      <c r="G89" s="234">
        <f t="shared" si="7"/>
        <v>581.25</v>
      </c>
      <c r="H89" s="185"/>
    </row>
    <row r="90" spans="1:9" ht="12.75" customHeight="1">
      <c r="A90" s="190"/>
      <c r="B90" s="1125" t="s">
        <v>3</v>
      </c>
      <c r="C90" s="1125"/>
      <c r="D90" s="1125"/>
      <c r="E90" s="1125"/>
      <c r="F90" s="1125"/>
      <c r="G90" s="196">
        <f>SUM(G78:G89)</f>
        <v>13166.927083333334</v>
      </c>
      <c r="H90" s="185"/>
    </row>
    <row r="91" spans="1:9" ht="12.75" customHeight="1">
      <c r="A91" s="190"/>
      <c r="B91" s="197"/>
      <c r="C91" s="185"/>
      <c r="D91" s="185"/>
      <c r="E91" s="197"/>
      <c r="F91" s="186"/>
      <c r="G91" s="185"/>
      <c r="H91" s="185"/>
    </row>
    <row r="92" spans="1:9" ht="18" customHeight="1">
      <c r="A92" s="271">
        <v>3</v>
      </c>
      <c r="B92" s="272" t="s">
        <v>16</v>
      </c>
      <c r="C92" s="273"/>
      <c r="D92" s="273"/>
      <c r="E92" s="273"/>
      <c r="F92" s="274"/>
      <c r="G92" s="275" t="s">
        <v>0</v>
      </c>
      <c r="H92" s="276">
        <f>+H94+H113</f>
        <v>136875</v>
      </c>
    </row>
    <row r="93" spans="1:9" ht="12.75" customHeight="1">
      <c r="A93" s="187"/>
      <c r="B93" s="188"/>
      <c r="C93" s="185"/>
      <c r="D93" s="185"/>
      <c r="E93" s="185"/>
      <c r="F93" s="186"/>
      <c r="G93" s="185"/>
      <c r="H93" s="185"/>
      <c r="I93" s="171"/>
    </row>
    <row r="94" spans="1:9" ht="12.75" customHeight="1">
      <c r="A94" s="198">
        <v>3.01</v>
      </c>
      <c r="B94" s="188" t="s">
        <v>98</v>
      </c>
      <c r="C94" s="185"/>
      <c r="D94" s="185"/>
      <c r="E94" s="185"/>
      <c r="F94" s="186"/>
      <c r="G94" s="231" t="s">
        <v>0</v>
      </c>
      <c r="H94" s="232">
        <f>+G111</f>
        <v>68437.5</v>
      </c>
    </row>
    <row r="95" spans="1:9" ht="12.75" customHeight="1">
      <c r="A95" s="189"/>
      <c r="B95" s="199"/>
      <c r="C95" s="185"/>
      <c r="D95" s="185"/>
      <c r="E95" s="185"/>
      <c r="F95" s="186"/>
      <c r="G95" s="185"/>
      <c r="H95" s="185"/>
    </row>
    <row r="96" spans="1:9" ht="12.75" customHeight="1">
      <c r="A96" s="190"/>
      <c r="B96" s="188" t="s">
        <v>29</v>
      </c>
      <c r="C96" s="175"/>
      <c r="D96" s="175"/>
      <c r="E96" s="175"/>
      <c r="F96" s="191"/>
      <c r="G96" s="175"/>
      <c r="H96" s="185"/>
    </row>
    <row r="97" spans="1:8" ht="12.75" customHeight="1">
      <c r="A97" s="190"/>
      <c r="B97" s="188"/>
      <c r="C97" s="175"/>
      <c r="D97" s="175"/>
      <c r="E97" s="175"/>
      <c r="F97" s="191"/>
      <c r="G97" s="175"/>
      <c r="H97" s="185"/>
    </row>
    <row r="98" spans="1:8" ht="12.75" customHeight="1">
      <c r="A98" s="190"/>
      <c r="B98" s="192" t="s">
        <v>30</v>
      </c>
      <c r="C98" s="193" t="s">
        <v>31</v>
      </c>
      <c r="D98" s="193" t="s">
        <v>287</v>
      </c>
      <c r="E98" s="193" t="s">
        <v>32</v>
      </c>
      <c r="F98" s="193" t="s">
        <v>13</v>
      </c>
      <c r="G98" s="193" t="s">
        <v>4</v>
      </c>
      <c r="H98" s="185"/>
    </row>
    <row r="99" spans="1:8" ht="12.75" customHeight="1">
      <c r="A99" s="174"/>
      <c r="B99" s="194" t="str">
        <f>+B37</f>
        <v>COORDINADOR DE SUPERVISION</v>
      </c>
      <c r="C99" s="195">
        <f>+C37</f>
        <v>1</v>
      </c>
      <c r="D99" s="195">
        <f>+D37</f>
        <v>0.25</v>
      </c>
      <c r="E99" s="195">
        <f t="shared" ref="E99:E110" si="10">+E78</f>
        <v>25</v>
      </c>
      <c r="F99" s="195">
        <f t="shared" ref="F99:F110" si="11">+F37/12</f>
        <v>416.66666666666669</v>
      </c>
      <c r="G99" s="234">
        <f>+C99*D99*E99*F99</f>
        <v>2604.166666666667</v>
      </c>
      <c r="H99" s="185"/>
    </row>
    <row r="100" spans="1:8" ht="12.75" customHeight="1">
      <c r="A100" s="174"/>
      <c r="B100" s="194" t="str">
        <f t="shared" ref="B100:B108" si="12">+B38</f>
        <v>SUPERVISOR GENERAL DE OBRA</v>
      </c>
      <c r="C100" s="195">
        <f t="shared" ref="C100:D105" si="13">+C38</f>
        <v>1</v>
      </c>
      <c r="D100" s="195">
        <f t="shared" si="13"/>
        <v>1</v>
      </c>
      <c r="E100" s="195">
        <f t="shared" si="10"/>
        <v>25</v>
      </c>
      <c r="F100" s="195">
        <f t="shared" si="11"/>
        <v>375</v>
      </c>
      <c r="G100" s="234">
        <f t="shared" ref="G100:G110" si="14">+C100*D100*E100*F100</f>
        <v>9375</v>
      </c>
      <c r="H100" s="185"/>
    </row>
    <row r="101" spans="1:8" ht="12.75" customHeight="1">
      <c r="A101" s="174"/>
      <c r="B101" s="194" t="str">
        <f t="shared" si="12"/>
        <v>ESPECIALISTA DE ESTRUCTURAS</v>
      </c>
      <c r="C101" s="195">
        <f t="shared" si="13"/>
        <v>1</v>
      </c>
      <c r="D101" s="195">
        <f t="shared" si="13"/>
        <v>0.5</v>
      </c>
      <c r="E101" s="195">
        <f t="shared" si="10"/>
        <v>25</v>
      </c>
      <c r="F101" s="195">
        <f t="shared" si="11"/>
        <v>416.66666666666669</v>
      </c>
      <c r="G101" s="234">
        <f t="shared" si="14"/>
        <v>5208.3333333333339</v>
      </c>
      <c r="H101" s="185"/>
    </row>
    <row r="102" spans="1:8" ht="12.75" customHeight="1">
      <c r="A102" s="174"/>
      <c r="B102" s="194" t="str">
        <f t="shared" si="12"/>
        <v>ESPECIALISTA GEOTECNISTA</v>
      </c>
      <c r="C102" s="195">
        <f t="shared" si="13"/>
        <v>1</v>
      </c>
      <c r="D102" s="195">
        <f t="shared" si="13"/>
        <v>0.5</v>
      </c>
      <c r="E102" s="195">
        <f t="shared" si="10"/>
        <v>25</v>
      </c>
      <c r="F102" s="195">
        <f t="shared" si="11"/>
        <v>416.66666666666669</v>
      </c>
      <c r="G102" s="234">
        <f>+C102*D102*E102*F102</f>
        <v>5208.3333333333339</v>
      </c>
      <c r="H102" s="185"/>
    </row>
    <row r="103" spans="1:8" ht="12.75" customHeight="1">
      <c r="A103" s="174"/>
      <c r="B103" s="194" t="str">
        <f t="shared" si="12"/>
        <v>ESPECIALISTA DE ARQUITECTURA</v>
      </c>
      <c r="C103" s="195">
        <f t="shared" si="13"/>
        <v>1</v>
      </c>
      <c r="D103" s="195">
        <f t="shared" si="13"/>
        <v>0.5</v>
      </c>
      <c r="E103" s="195">
        <f t="shared" si="10"/>
        <v>25</v>
      </c>
      <c r="F103" s="195">
        <f t="shared" si="11"/>
        <v>416.66666666666669</v>
      </c>
      <c r="G103" s="234">
        <f t="shared" si="14"/>
        <v>5208.3333333333339</v>
      </c>
      <c r="H103" s="185"/>
    </row>
    <row r="104" spans="1:8" ht="12.75" customHeight="1">
      <c r="A104" s="174"/>
      <c r="B104" s="194" t="str">
        <f t="shared" si="12"/>
        <v>ESPECIALISTA EN INST. SANITARIAS</v>
      </c>
      <c r="C104" s="195">
        <f t="shared" si="13"/>
        <v>1</v>
      </c>
      <c r="D104" s="195">
        <f t="shared" si="13"/>
        <v>0.3</v>
      </c>
      <c r="E104" s="195">
        <f t="shared" si="10"/>
        <v>25</v>
      </c>
      <c r="F104" s="195">
        <f t="shared" si="11"/>
        <v>416.66666666666669</v>
      </c>
      <c r="G104" s="234">
        <f t="shared" si="14"/>
        <v>3125</v>
      </c>
      <c r="H104" s="185"/>
    </row>
    <row r="105" spans="1:8" ht="12.75" customHeight="1">
      <c r="A105" s="174"/>
      <c r="B105" s="194" t="str">
        <f t="shared" si="12"/>
        <v>ESPECIALISTA EN INST. ELECTRICAS</v>
      </c>
      <c r="C105" s="195">
        <f t="shared" si="13"/>
        <v>1</v>
      </c>
      <c r="D105" s="195">
        <f t="shared" si="13"/>
        <v>0.3</v>
      </c>
      <c r="E105" s="195">
        <f t="shared" si="10"/>
        <v>25</v>
      </c>
      <c r="F105" s="195">
        <f t="shared" si="11"/>
        <v>416.66666666666669</v>
      </c>
      <c r="G105" s="234">
        <f t="shared" si="14"/>
        <v>3125</v>
      </c>
      <c r="H105" s="185"/>
    </row>
    <row r="106" spans="1:8" ht="12.75" customHeight="1">
      <c r="A106" s="174"/>
      <c r="B106" s="194" t="str">
        <f t="shared" si="12"/>
        <v>ESPECIALISTA EN EQUIPOS Y MOBILIARIO EDUCATIVO</v>
      </c>
      <c r="C106" s="195">
        <f t="shared" ref="C106:D108" si="15">+C44</f>
        <v>1</v>
      </c>
      <c r="D106" s="195">
        <f t="shared" si="15"/>
        <v>1</v>
      </c>
      <c r="E106" s="195">
        <f t="shared" si="10"/>
        <v>25</v>
      </c>
      <c r="F106" s="195">
        <f t="shared" si="11"/>
        <v>416.66666666666669</v>
      </c>
      <c r="G106" s="234">
        <f t="shared" si="14"/>
        <v>10416.666666666668</v>
      </c>
      <c r="H106" s="185"/>
    </row>
    <row r="107" spans="1:8" ht="12.75" customHeight="1">
      <c r="A107" s="174"/>
      <c r="B107" s="194" t="str">
        <f t="shared" si="12"/>
        <v>ESPECIALISTA EN GESTION DE CAPACITACIÓN</v>
      </c>
      <c r="C107" s="195">
        <f t="shared" si="15"/>
        <v>1</v>
      </c>
      <c r="D107" s="195">
        <f t="shared" si="15"/>
        <v>0.5</v>
      </c>
      <c r="E107" s="195">
        <f t="shared" si="10"/>
        <v>25</v>
      </c>
      <c r="F107" s="195">
        <f t="shared" si="11"/>
        <v>416.66666666666669</v>
      </c>
      <c r="G107" s="234">
        <f t="shared" si="14"/>
        <v>5208.3333333333339</v>
      </c>
      <c r="H107" s="185"/>
    </row>
    <row r="108" spans="1:8" ht="12.75" customHeight="1">
      <c r="A108" s="174"/>
      <c r="B108" s="194" t="str">
        <f t="shared" si="12"/>
        <v>ESPECIALISTA EN MATERIAL PEDAGÓGICO</v>
      </c>
      <c r="C108" s="195">
        <f t="shared" si="15"/>
        <v>1</v>
      </c>
      <c r="D108" s="195">
        <f t="shared" si="15"/>
        <v>1</v>
      </c>
      <c r="E108" s="195">
        <f t="shared" si="10"/>
        <v>25</v>
      </c>
      <c r="F108" s="195">
        <f t="shared" si="11"/>
        <v>416.66666666666669</v>
      </c>
      <c r="G108" s="234">
        <f t="shared" si="14"/>
        <v>10416.666666666668</v>
      </c>
      <c r="H108" s="185"/>
    </row>
    <row r="109" spans="1:8" ht="12.75" customHeight="1">
      <c r="A109" s="190"/>
      <c r="B109" s="194" t="str">
        <f t="shared" ref="B109:D110" si="16">+B47</f>
        <v>ASISTENTE TECNICO</v>
      </c>
      <c r="C109" s="195">
        <f t="shared" si="16"/>
        <v>1</v>
      </c>
      <c r="D109" s="195">
        <f t="shared" si="16"/>
        <v>1</v>
      </c>
      <c r="E109" s="195">
        <f t="shared" si="10"/>
        <v>25</v>
      </c>
      <c r="F109" s="195">
        <f t="shared" si="11"/>
        <v>216.66666666666666</v>
      </c>
      <c r="G109" s="234">
        <f t="shared" si="14"/>
        <v>5416.6666666666661</v>
      </c>
      <c r="H109" s="185"/>
    </row>
    <row r="110" spans="1:8" ht="12.75" customHeight="1">
      <c r="A110" s="190"/>
      <c r="B110" s="194" t="str">
        <f t="shared" si="16"/>
        <v>ASISTENTE ADMINISTRATIVO DE PLANTA</v>
      </c>
      <c r="C110" s="195">
        <f t="shared" si="16"/>
        <v>1</v>
      </c>
      <c r="D110" s="195">
        <f t="shared" si="16"/>
        <v>0.5</v>
      </c>
      <c r="E110" s="195">
        <f t="shared" si="10"/>
        <v>25</v>
      </c>
      <c r="F110" s="195">
        <f t="shared" si="11"/>
        <v>250</v>
      </c>
      <c r="G110" s="234">
        <f t="shared" si="14"/>
        <v>3125</v>
      </c>
      <c r="H110" s="185"/>
    </row>
    <row r="111" spans="1:8" ht="12.75" customHeight="1">
      <c r="A111" s="190"/>
      <c r="B111" s="1136" t="s">
        <v>3</v>
      </c>
      <c r="C111" s="1136"/>
      <c r="D111" s="1136"/>
      <c r="E111" s="1136"/>
      <c r="F111" s="1136"/>
      <c r="G111" s="196">
        <f>SUM(G99:G110)</f>
        <v>68437.5</v>
      </c>
      <c r="H111" s="185"/>
    </row>
    <row r="112" spans="1:8" ht="12.75" customHeight="1">
      <c r="A112" s="187"/>
      <c r="B112" s="188"/>
      <c r="C112" s="185"/>
      <c r="D112" s="185"/>
      <c r="E112" s="185"/>
      <c r="F112" s="186"/>
      <c r="G112" s="185"/>
      <c r="H112" s="185"/>
    </row>
    <row r="113" spans="1:8" ht="12.75" customHeight="1">
      <c r="A113" s="198">
        <v>3.02</v>
      </c>
      <c r="B113" s="188" t="s">
        <v>97</v>
      </c>
      <c r="C113" s="185"/>
      <c r="D113" s="185"/>
      <c r="E113" s="185"/>
      <c r="F113" s="186"/>
      <c r="G113" s="231" t="s">
        <v>0</v>
      </c>
      <c r="H113" s="232">
        <f>+G130</f>
        <v>68437.5</v>
      </c>
    </row>
    <row r="114" spans="1:8" ht="12.75" customHeight="1">
      <c r="A114" s="189"/>
      <c r="B114" s="199"/>
      <c r="C114" s="185"/>
      <c r="D114" s="185"/>
      <c r="E114" s="185"/>
      <c r="F114" s="186"/>
      <c r="G114" s="185"/>
      <c r="H114" s="185"/>
    </row>
    <row r="115" spans="1:8" ht="12.75" customHeight="1">
      <c r="A115" s="190"/>
      <c r="B115" s="188" t="s">
        <v>29</v>
      </c>
      <c r="C115" s="175"/>
      <c r="D115" s="175"/>
      <c r="E115" s="175"/>
      <c r="F115" s="191"/>
      <c r="G115" s="175"/>
      <c r="H115" s="185"/>
    </row>
    <row r="116" spans="1:8" ht="12.75" customHeight="1">
      <c r="A116" s="190"/>
      <c r="B116" s="188"/>
      <c r="C116" s="175"/>
      <c r="D116" s="175"/>
      <c r="E116" s="175"/>
      <c r="F116" s="191"/>
      <c r="G116" s="175"/>
      <c r="H116" s="185"/>
    </row>
    <row r="117" spans="1:8" ht="12.75" customHeight="1">
      <c r="A117" s="190"/>
      <c r="B117" s="192" t="s">
        <v>30</v>
      </c>
      <c r="C117" s="193" t="s">
        <v>31</v>
      </c>
      <c r="D117" s="193" t="s">
        <v>287</v>
      </c>
      <c r="E117" s="193" t="s">
        <v>32</v>
      </c>
      <c r="F117" s="193" t="s">
        <v>13</v>
      </c>
      <c r="G117" s="193" t="s">
        <v>4</v>
      </c>
      <c r="H117" s="185"/>
    </row>
    <row r="118" spans="1:8" ht="12.75" customHeight="1">
      <c r="A118" s="174"/>
      <c r="B118" s="194" t="str">
        <f t="shared" ref="B118:D123" si="17">+B37</f>
        <v>COORDINADOR DE SUPERVISION</v>
      </c>
      <c r="C118" s="195">
        <f t="shared" si="17"/>
        <v>1</v>
      </c>
      <c r="D118" s="195">
        <f t="shared" si="17"/>
        <v>0.25</v>
      </c>
      <c r="E118" s="195">
        <f t="shared" ref="E118:E129" si="18">+E99</f>
        <v>25</v>
      </c>
      <c r="F118" s="195">
        <f t="shared" ref="F118:F123" si="19">+F37/12</f>
        <v>416.66666666666669</v>
      </c>
      <c r="G118" s="234">
        <f>+C118*D118*E118*F118</f>
        <v>2604.166666666667</v>
      </c>
      <c r="H118" s="185"/>
    </row>
    <row r="119" spans="1:8" ht="12.75" customHeight="1">
      <c r="A119" s="174"/>
      <c r="B119" s="194" t="str">
        <f t="shared" si="17"/>
        <v>SUPERVISOR GENERAL DE OBRA</v>
      </c>
      <c r="C119" s="195">
        <f t="shared" si="17"/>
        <v>1</v>
      </c>
      <c r="D119" s="195">
        <f t="shared" si="17"/>
        <v>1</v>
      </c>
      <c r="E119" s="195">
        <f t="shared" si="18"/>
        <v>25</v>
      </c>
      <c r="F119" s="195">
        <f t="shared" si="19"/>
        <v>375</v>
      </c>
      <c r="G119" s="234">
        <f t="shared" ref="G119:G129" si="20">+C119*D119*E119*F119</f>
        <v>9375</v>
      </c>
      <c r="H119" s="185"/>
    </row>
    <row r="120" spans="1:8" ht="12.75" customHeight="1">
      <c r="A120" s="174"/>
      <c r="B120" s="194" t="str">
        <f t="shared" si="17"/>
        <v>ESPECIALISTA DE ESTRUCTURAS</v>
      </c>
      <c r="C120" s="195">
        <f t="shared" si="17"/>
        <v>1</v>
      </c>
      <c r="D120" s="195">
        <f t="shared" si="17"/>
        <v>0.5</v>
      </c>
      <c r="E120" s="195">
        <f t="shared" si="18"/>
        <v>25</v>
      </c>
      <c r="F120" s="195">
        <f t="shared" si="19"/>
        <v>416.66666666666669</v>
      </c>
      <c r="G120" s="234">
        <f t="shared" si="20"/>
        <v>5208.3333333333339</v>
      </c>
      <c r="H120" s="185"/>
    </row>
    <row r="121" spans="1:8" ht="12.75" customHeight="1">
      <c r="A121" s="174"/>
      <c r="B121" s="194" t="str">
        <f t="shared" si="17"/>
        <v>ESPECIALISTA GEOTECNISTA</v>
      </c>
      <c r="C121" s="195">
        <f t="shared" si="17"/>
        <v>1</v>
      </c>
      <c r="D121" s="195">
        <f t="shared" si="17"/>
        <v>0.5</v>
      </c>
      <c r="E121" s="195">
        <f t="shared" si="18"/>
        <v>25</v>
      </c>
      <c r="F121" s="195">
        <f t="shared" si="19"/>
        <v>416.66666666666669</v>
      </c>
      <c r="G121" s="234">
        <f>+C121*D121*E121*F121</f>
        <v>5208.3333333333339</v>
      </c>
      <c r="H121" s="185"/>
    </row>
    <row r="122" spans="1:8" ht="12.75" customHeight="1">
      <c r="A122" s="174"/>
      <c r="B122" s="194" t="str">
        <f t="shared" si="17"/>
        <v>ESPECIALISTA DE ARQUITECTURA</v>
      </c>
      <c r="C122" s="195">
        <f t="shared" si="17"/>
        <v>1</v>
      </c>
      <c r="D122" s="195">
        <f t="shared" si="17"/>
        <v>0.5</v>
      </c>
      <c r="E122" s="195">
        <f t="shared" si="18"/>
        <v>25</v>
      </c>
      <c r="F122" s="195">
        <f t="shared" si="19"/>
        <v>416.66666666666669</v>
      </c>
      <c r="G122" s="234">
        <f t="shared" si="20"/>
        <v>5208.3333333333339</v>
      </c>
      <c r="H122" s="185"/>
    </row>
    <row r="123" spans="1:8" ht="12.75" customHeight="1">
      <c r="A123" s="174"/>
      <c r="B123" s="194" t="str">
        <f t="shared" si="17"/>
        <v>ESPECIALISTA EN INST. SANITARIAS</v>
      </c>
      <c r="C123" s="195">
        <f t="shared" si="17"/>
        <v>1</v>
      </c>
      <c r="D123" s="195">
        <f t="shared" si="17"/>
        <v>0.3</v>
      </c>
      <c r="E123" s="195">
        <f t="shared" si="18"/>
        <v>25</v>
      </c>
      <c r="F123" s="195">
        <f t="shared" si="19"/>
        <v>416.66666666666669</v>
      </c>
      <c r="G123" s="234">
        <f t="shared" si="20"/>
        <v>3125</v>
      </c>
      <c r="H123" s="185"/>
    </row>
    <row r="124" spans="1:8" ht="12.75" customHeight="1">
      <c r="A124" s="174"/>
      <c r="B124" s="194" t="str">
        <f>+B39</f>
        <v>ESPECIALISTA DE ESTRUCTURAS</v>
      </c>
      <c r="C124" s="195">
        <f>+C39</f>
        <v>1</v>
      </c>
      <c r="D124" s="195">
        <f t="shared" ref="D124:D129" si="21">+D43</f>
        <v>0.3</v>
      </c>
      <c r="E124" s="195">
        <f t="shared" si="18"/>
        <v>25</v>
      </c>
      <c r="F124" s="195">
        <f>+F39/12</f>
        <v>416.66666666666669</v>
      </c>
      <c r="G124" s="234">
        <f t="shared" si="20"/>
        <v>3125</v>
      </c>
      <c r="H124" s="185"/>
    </row>
    <row r="125" spans="1:8" ht="12.75" customHeight="1">
      <c r="A125" s="174"/>
      <c r="B125" s="194" t="str">
        <f t="shared" ref="B125:C127" si="22">+B41</f>
        <v>ESPECIALISTA DE ARQUITECTURA</v>
      </c>
      <c r="C125" s="195">
        <f t="shared" si="22"/>
        <v>1</v>
      </c>
      <c r="D125" s="195">
        <f t="shared" si="21"/>
        <v>1</v>
      </c>
      <c r="E125" s="195">
        <f t="shared" si="18"/>
        <v>25</v>
      </c>
      <c r="F125" s="195">
        <f>+F41/12</f>
        <v>416.66666666666669</v>
      </c>
      <c r="G125" s="234">
        <f t="shared" si="20"/>
        <v>10416.666666666668</v>
      </c>
      <c r="H125" s="185"/>
    </row>
    <row r="126" spans="1:8" ht="12.75" customHeight="1">
      <c r="A126" s="174"/>
      <c r="B126" s="194" t="str">
        <f t="shared" si="22"/>
        <v>ESPECIALISTA EN INST. SANITARIAS</v>
      </c>
      <c r="C126" s="195">
        <f t="shared" si="22"/>
        <v>1</v>
      </c>
      <c r="D126" s="195">
        <f t="shared" si="21"/>
        <v>0.5</v>
      </c>
      <c r="E126" s="195">
        <f t="shared" si="18"/>
        <v>25</v>
      </c>
      <c r="F126" s="195">
        <f>+F42/12</f>
        <v>416.66666666666669</v>
      </c>
      <c r="G126" s="234">
        <f t="shared" si="20"/>
        <v>5208.3333333333339</v>
      </c>
      <c r="H126" s="185"/>
    </row>
    <row r="127" spans="1:8" ht="12.75" customHeight="1">
      <c r="A127" s="174"/>
      <c r="B127" s="194" t="str">
        <f t="shared" si="22"/>
        <v>ESPECIALISTA EN INST. ELECTRICAS</v>
      </c>
      <c r="C127" s="195">
        <f t="shared" si="22"/>
        <v>1</v>
      </c>
      <c r="D127" s="195">
        <f t="shared" si="21"/>
        <v>1</v>
      </c>
      <c r="E127" s="195">
        <f t="shared" si="18"/>
        <v>25</v>
      </c>
      <c r="F127" s="195">
        <f>+F43/12</f>
        <v>416.66666666666669</v>
      </c>
      <c r="G127" s="234">
        <f t="shared" si="20"/>
        <v>10416.666666666668</v>
      </c>
      <c r="H127" s="185"/>
    </row>
    <row r="128" spans="1:8" ht="12.75" customHeight="1">
      <c r="A128" s="190"/>
      <c r="B128" s="194" t="str">
        <f>+B47</f>
        <v>ASISTENTE TECNICO</v>
      </c>
      <c r="C128" s="195">
        <f>+C47</f>
        <v>1</v>
      </c>
      <c r="D128" s="195">
        <f t="shared" si="21"/>
        <v>1</v>
      </c>
      <c r="E128" s="195">
        <f t="shared" si="18"/>
        <v>25</v>
      </c>
      <c r="F128" s="195">
        <f>+F47/12</f>
        <v>216.66666666666666</v>
      </c>
      <c r="G128" s="234">
        <f t="shared" si="20"/>
        <v>5416.6666666666661</v>
      </c>
      <c r="H128" s="185"/>
    </row>
    <row r="129" spans="1:8" ht="12.75" customHeight="1">
      <c r="A129" s="190"/>
      <c r="B129" s="194" t="str">
        <f>+B48</f>
        <v>ASISTENTE ADMINISTRATIVO DE PLANTA</v>
      </c>
      <c r="C129" s="195">
        <f>+C48</f>
        <v>1</v>
      </c>
      <c r="D129" s="195">
        <f t="shared" si="21"/>
        <v>0.5</v>
      </c>
      <c r="E129" s="195">
        <f t="shared" si="18"/>
        <v>25</v>
      </c>
      <c r="F129" s="195">
        <f>+F48/12</f>
        <v>250</v>
      </c>
      <c r="G129" s="234">
        <f t="shared" si="20"/>
        <v>3125</v>
      </c>
      <c r="H129" s="185"/>
    </row>
    <row r="130" spans="1:8" ht="12.75" customHeight="1">
      <c r="A130" s="190"/>
      <c r="B130" s="1136" t="s">
        <v>3</v>
      </c>
      <c r="C130" s="1136"/>
      <c r="D130" s="1136"/>
      <c r="E130" s="1136"/>
      <c r="F130" s="1136"/>
      <c r="G130" s="196">
        <f>SUM(G118:G129)</f>
        <v>68437.5</v>
      </c>
      <c r="H130" s="185"/>
    </row>
    <row r="131" spans="1:8" ht="12.75" customHeight="1">
      <c r="A131" s="187"/>
      <c r="B131" s="188"/>
      <c r="C131" s="185"/>
      <c r="D131" s="185"/>
      <c r="E131" s="185"/>
      <c r="F131" s="186"/>
      <c r="G131" s="185"/>
      <c r="H131" s="185"/>
    </row>
    <row r="132" spans="1:8" ht="18" customHeight="1">
      <c r="A132" s="271">
        <v>4</v>
      </c>
      <c r="B132" s="272" t="s">
        <v>214</v>
      </c>
      <c r="C132" s="273"/>
      <c r="D132" s="273"/>
      <c r="E132" s="273"/>
      <c r="F132" s="274"/>
      <c r="G132" s="275" t="s">
        <v>0</v>
      </c>
      <c r="H132" s="276">
        <f>+H134</f>
        <v>9187.5</v>
      </c>
    </row>
    <row r="133" spans="1:8" ht="12.75" customHeight="1">
      <c r="A133" s="187"/>
      <c r="B133" s="188"/>
      <c r="C133" s="185"/>
      <c r="D133" s="185"/>
      <c r="E133" s="185"/>
      <c r="F133" s="186"/>
      <c r="G133" s="185"/>
      <c r="H133" s="185"/>
    </row>
    <row r="134" spans="1:8" ht="14.25" customHeight="1">
      <c r="A134" s="187">
        <v>4.01</v>
      </c>
      <c r="B134" s="188" t="s">
        <v>96</v>
      </c>
      <c r="C134" s="200">
        <v>300</v>
      </c>
      <c r="D134" s="200"/>
      <c r="E134" s="175"/>
      <c r="F134" s="191"/>
      <c r="G134" s="231" t="s">
        <v>0</v>
      </c>
      <c r="H134" s="232">
        <f>+G151</f>
        <v>9187.5</v>
      </c>
    </row>
    <row r="135" spans="1:8" ht="12.75" customHeight="1">
      <c r="A135" s="198"/>
      <c r="B135" s="188"/>
      <c r="C135" s="175"/>
      <c r="D135" s="175"/>
      <c r="E135" s="175"/>
      <c r="F135" s="191"/>
      <c r="G135" s="175"/>
      <c r="H135" s="185"/>
    </row>
    <row r="136" spans="1:8" ht="12.75" customHeight="1">
      <c r="A136" s="198"/>
      <c r="B136" s="188" t="s">
        <v>29</v>
      </c>
      <c r="C136" s="175"/>
      <c r="D136" s="175"/>
      <c r="E136" s="175"/>
      <c r="F136" s="191"/>
      <c r="G136" s="175"/>
      <c r="H136" s="185"/>
    </row>
    <row r="137" spans="1:8" ht="14.25" customHeight="1">
      <c r="A137" s="190"/>
      <c r="B137" s="188"/>
      <c r="C137" s="175"/>
      <c r="D137" s="175"/>
      <c r="E137" s="175"/>
      <c r="F137" s="191"/>
      <c r="G137" s="175"/>
      <c r="H137" s="185"/>
    </row>
    <row r="138" spans="1:8" ht="14.25" customHeight="1">
      <c r="A138" s="190"/>
      <c r="B138" s="192" t="s">
        <v>30</v>
      </c>
      <c r="C138" s="193" t="s">
        <v>31</v>
      </c>
      <c r="D138" s="193" t="s">
        <v>287</v>
      </c>
      <c r="E138" s="193" t="s">
        <v>32</v>
      </c>
      <c r="F138" s="193" t="s">
        <v>13</v>
      </c>
      <c r="G138" s="193" t="s">
        <v>4</v>
      </c>
      <c r="H138" s="185"/>
    </row>
    <row r="139" spans="1:8" ht="14.25" customHeight="1">
      <c r="A139" s="190"/>
      <c r="B139" s="234" t="str">
        <f t="shared" ref="B139:E140" si="23">+B37</f>
        <v>COORDINADOR DE SUPERVISION</v>
      </c>
      <c r="C139" s="279">
        <f t="shared" si="23"/>
        <v>1</v>
      </c>
      <c r="D139" s="279">
        <f t="shared" si="23"/>
        <v>0.25</v>
      </c>
      <c r="E139" s="279">
        <f t="shared" si="23"/>
        <v>25</v>
      </c>
      <c r="F139" s="279">
        <f>($C$134*2)/12*(E139*D139)</f>
        <v>312.5</v>
      </c>
      <c r="G139" s="234">
        <f>+C139*F139</f>
        <v>312.5</v>
      </c>
      <c r="H139" s="185"/>
    </row>
    <row r="140" spans="1:8" ht="14.25" customHeight="1">
      <c r="A140" s="190"/>
      <c r="B140" s="234" t="str">
        <f t="shared" si="23"/>
        <v>SUPERVISOR GENERAL DE OBRA</v>
      </c>
      <c r="C140" s="279">
        <f t="shared" si="23"/>
        <v>1</v>
      </c>
      <c r="D140" s="279">
        <f t="shared" si="23"/>
        <v>1</v>
      </c>
      <c r="E140" s="279">
        <f t="shared" si="23"/>
        <v>25</v>
      </c>
      <c r="F140" s="279">
        <f t="shared" ref="F140:F150" si="24">($C$134*2)/12*(E140*D140)</f>
        <v>1250</v>
      </c>
      <c r="G140" s="234">
        <f t="shared" ref="G140:G150" si="25">+C140*F140</f>
        <v>1250</v>
      </c>
      <c r="H140" s="185"/>
    </row>
    <row r="141" spans="1:8" ht="14.25" customHeight="1">
      <c r="A141" s="190"/>
      <c r="B141" s="234" t="str">
        <f t="shared" ref="B141:E142" si="26">+B39</f>
        <v>ESPECIALISTA DE ESTRUCTURAS</v>
      </c>
      <c r="C141" s="279">
        <f t="shared" si="26"/>
        <v>1</v>
      </c>
      <c r="D141" s="279">
        <f t="shared" si="26"/>
        <v>0.5</v>
      </c>
      <c r="E141" s="279">
        <f t="shared" si="26"/>
        <v>25</v>
      </c>
      <c r="F141" s="279">
        <f t="shared" si="24"/>
        <v>625</v>
      </c>
      <c r="G141" s="234">
        <f t="shared" si="25"/>
        <v>625</v>
      </c>
      <c r="H141" s="185"/>
    </row>
    <row r="142" spans="1:8" ht="14.25" customHeight="1">
      <c r="A142" s="190"/>
      <c r="B142" s="234" t="str">
        <f t="shared" si="26"/>
        <v>ESPECIALISTA GEOTECNISTA</v>
      </c>
      <c r="C142" s="279">
        <f t="shared" si="26"/>
        <v>1</v>
      </c>
      <c r="D142" s="279">
        <f t="shared" si="26"/>
        <v>0.5</v>
      </c>
      <c r="E142" s="279">
        <f t="shared" si="26"/>
        <v>25</v>
      </c>
      <c r="F142" s="279">
        <f>($C$134*2)/12*(E142*D142)</f>
        <v>625</v>
      </c>
      <c r="G142" s="234">
        <f>+C142*F142</f>
        <v>625</v>
      </c>
      <c r="H142" s="185"/>
    </row>
    <row r="143" spans="1:8" ht="14.25" customHeight="1">
      <c r="A143" s="190"/>
      <c r="B143" s="234" t="str">
        <f t="shared" ref="B143:E150" si="27">+B41</f>
        <v>ESPECIALISTA DE ARQUITECTURA</v>
      </c>
      <c r="C143" s="279">
        <f t="shared" si="27"/>
        <v>1</v>
      </c>
      <c r="D143" s="279">
        <f t="shared" si="27"/>
        <v>0.5</v>
      </c>
      <c r="E143" s="279">
        <f t="shared" si="27"/>
        <v>25</v>
      </c>
      <c r="F143" s="279">
        <f t="shared" si="24"/>
        <v>625</v>
      </c>
      <c r="G143" s="234">
        <f t="shared" si="25"/>
        <v>625</v>
      </c>
      <c r="H143" s="185"/>
    </row>
    <row r="144" spans="1:8" ht="14.25" customHeight="1">
      <c r="A144" s="190"/>
      <c r="B144" s="234" t="str">
        <f t="shared" si="27"/>
        <v>ESPECIALISTA EN INST. SANITARIAS</v>
      </c>
      <c r="C144" s="279">
        <f t="shared" si="27"/>
        <v>1</v>
      </c>
      <c r="D144" s="279">
        <f t="shared" si="27"/>
        <v>0.3</v>
      </c>
      <c r="E144" s="279">
        <f t="shared" si="27"/>
        <v>25</v>
      </c>
      <c r="F144" s="279">
        <f t="shared" si="24"/>
        <v>375</v>
      </c>
      <c r="G144" s="234">
        <f t="shared" si="25"/>
        <v>375</v>
      </c>
      <c r="H144" s="185"/>
    </row>
    <row r="145" spans="1:9" ht="14.25" customHeight="1">
      <c r="A145" s="190"/>
      <c r="B145" s="234" t="str">
        <f t="shared" si="27"/>
        <v>ESPECIALISTA EN INST. ELECTRICAS</v>
      </c>
      <c r="C145" s="279">
        <f t="shared" si="27"/>
        <v>1</v>
      </c>
      <c r="D145" s="279">
        <f t="shared" si="27"/>
        <v>0.3</v>
      </c>
      <c r="E145" s="279">
        <f t="shared" si="27"/>
        <v>25</v>
      </c>
      <c r="F145" s="279">
        <f t="shared" si="24"/>
        <v>375</v>
      </c>
      <c r="G145" s="234">
        <f t="shared" si="25"/>
        <v>375</v>
      </c>
      <c r="H145" s="185"/>
    </row>
    <row r="146" spans="1:9" ht="14.25" customHeight="1">
      <c r="A146" s="190"/>
      <c r="B146" s="234" t="str">
        <f t="shared" si="27"/>
        <v>ESPECIALISTA EN EQUIPOS Y MOBILIARIO EDUCATIVO</v>
      </c>
      <c r="C146" s="279">
        <f t="shared" si="27"/>
        <v>1</v>
      </c>
      <c r="D146" s="279">
        <f t="shared" si="27"/>
        <v>1</v>
      </c>
      <c r="E146" s="279">
        <f t="shared" si="27"/>
        <v>25</v>
      </c>
      <c r="F146" s="279">
        <f t="shared" si="24"/>
        <v>1250</v>
      </c>
      <c r="G146" s="234">
        <f t="shared" si="25"/>
        <v>1250</v>
      </c>
      <c r="H146" s="185"/>
    </row>
    <row r="147" spans="1:9" ht="14.25" customHeight="1">
      <c r="A147" s="190"/>
      <c r="B147" s="234" t="str">
        <f t="shared" si="27"/>
        <v>ESPECIALISTA EN GESTION DE CAPACITACIÓN</v>
      </c>
      <c r="C147" s="279">
        <f t="shared" si="27"/>
        <v>1</v>
      </c>
      <c r="D147" s="279">
        <f t="shared" si="27"/>
        <v>0.5</v>
      </c>
      <c r="E147" s="279">
        <f t="shared" si="27"/>
        <v>25</v>
      </c>
      <c r="F147" s="279">
        <f t="shared" si="24"/>
        <v>625</v>
      </c>
      <c r="G147" s="234">
        <f t="shared" si="25"/>
        <v>625</v>
      </c>
      <c r="H147" s="185"/>
    </row>
    <row r="148" spans="1:9" ht="14.25" customHeight="1">
      <c r="A148" s="190"/>
      <c r="B148" s="234" t="str">
        <f t="shared" si="27"/>
        <v>ESPECIALISTA EN MATERIAL PEDAGÓGICO</v>
      </c>
      <c r="C148" s="279">
        <f t="shared" si="27"/>
        <v>1</v>
      </c>
      <c r="D148" s="279">
        <f t="shared" si="27"/>
        <v>1</v>
      </c>
      <c r="E148" s="279">
        <f t="shared" si="27"/>
        <v>25</v>
      </c>
      <c r="F148" s="279">
        <f t="shared" si="24"/>
        <v>1250</v>
      </c>
      <c r="G148" s="234">
        <f t="shared" si="25"/>
        <v>1250</v>
      </c>
      <c r="H148" s="185"/>
    </row>
    <row r="149" spans="1:9" ht="12.75" customHeight="1">
      <c r="A149" s="190"/>
      <c r="B149" s="234" t="str">
        <f t="shared" si="27"/>
        <v>ASISTENTE TECNICO</v>
      </c>
      <c r="C149" s="279">
        <f t="shared" si="27"/>
        <v>1</v>
      </c>
      <c r="D149" s="279">
        <f t="shared" si="27"/>
        <v>1</v>
      </c>
      <c r="E149" s="279">
        <f t="shared" si="27"/>
        <v>25</v>
      </c>
      <c r="F149" s="279">
        <f t="shared" si="24"/>
        <v>1250</v>
      </c>
      <c r="G149" s="234">
        <f t="shared" si="25"/>
        <v>1250</v>
      </c>
      <c r="H149" s="185"/>
    </row>
    <row r="150" spans="1:9" ht="12.75" customHeight="1">
      <c r="A150" s="190"/>
      <c r="B150" s="234" t="str">
        <f t="shared" si="27"/>
        <v>ASISTENTE ADMINISTRATIVO DE PLANTA</v>
      </c>
      <c r="C150" s="279">
        <f t="shared" si="27"/>
        <v>1</v>
      </c>
      <c r="D150" s="279">
        <f t="shared" si="27"/>
        <v>0.5</v>
      </c>
      <c r="E150" s="279">
        <f t="shared" si="27"/>
        <v>25</v>
      </c>
      <c r="F150" s="279">
        <f t="shared" si="24"/>
        <v>625</v>
      </c>
      <c r="G150" s="234">
        <f t="shared" si="25"/>
        <v>625</v>
      </c>
      <c r="H150" s="185"/>
    </row>
    <row r="151" spans="1:9" ht="14.25" customHeight="1">
      <c r="A151" s="174"/>
      <c r="B151" s="1137" t="s">
        <v>3</v>
      </c>
      <c r="C151" s="1137"/>
      <c r="D151" s="1137"/>
      <c r="E151" s="1137"/>
      <c r="F151" s="1137"/>
      <c r="G151" s="196">
        <f>SUM(G139:G150)</f>
        <v>9187.5</v>
      </c>
      <c r="H151" s="185"/>
    </row>
    <row r="152" spans="1:9" ht="14.25" customHeight="1">
      <c r="A152" s="190"/>
      <c r="B152" s="185"/>
      <c r="C152" s="185"/>
      <c r="D152" s="185"/>
      <c r="E152" s="185"/>
      <c r="F152" s="186"/>
      <c r="G152" s="185"/>
      <c r="H152" s="185"/>
    </row>
    <row r="153" spans="1:9" ht="12.75" customHeight="1">
      <c r="A153" s="190"/>
      <c r="B153" s="254"/>
      <c r="C153" s="185"/>
      <c r="D153" s="185"/>
      <c r="E153" s="197"/>
      <c r="F153" s="186"/>
      <c r="G153" s="185"/>
      <c r="H153" s="185"/>
    </row>
    <row r="154" spans="1:9" s="168" customFormat="1" ht="15">
      <c r="A154" s="269" t="s">
        <v>266</v>
      </c>
      <c r="B154" s="270"/>
      <c r="C154" s="266"/>
      <c r="D154" s="266"/>
      <c r="E154" s="266"/>
      <c r="F154" s="267"/>
      <c r="G154" s="267" t="s">
        <v>0</v>
      </c>
      <c r="H154" s="268">
        <f>+H156+H200+H174+H166</f>
        <v>153540.6</v>
      </c>
      <c r="I154" s="177"/>
    </row>
    <row r="155" spans="1:9" s="168" customFormat="1" ht="15">
      <c r="A155" s="202"/>
      <c r="B155" s="203"/>
      <c r="C155" s="180"/>
      <c r="D155" s="180"/>
      <c r="E155" s="180"/>
      <c r="F155" s="181"/>
      <c r="G155" s="181"/>
      <c r="H155" s="182"/>
      <c r="I155" s="177"/>
    </row>
    <row r="156" spans="1:9" s="168" customFormat="1" ht="15">
      <c r="A156" s="271">
        <v>1</v>
      </c>
      <c r="B156" s="272" t="s">
        <v>255</v>
      </c>
      <c r="C156" s="273"/>
      <c r="D156" s="273"/>
      <c r="E156" s="278"/>
      <c r="F156" s="274"/>
      <c r="G156" s="275" t="s">
        <v>0</v>
      </c>
      <c r="H156" s="275">
        <f>G164</f>
        <v>44880</v>
      </c>
      <c r="I156" s="177"/>
    </row>
    <row r="157" spans="1:9" s="168" customFormat="1" ht="15">
      <c r="A157" s="202"/>
      <c r="B157" s="203"/>
      <c r="C157" s="180"/>
      <c r="D157" s="180"/>
      <c r="E157" s="180"/>
      <c r="F157" s="181"/>
      <c r="G157" s="181"/>
      <c r="H157" s="182"/>
      <c r="I157" s="177"/>
    </row>
    <row r="158" spans="1:9" ht="15.75" customHeight="1">
      <c r="A158" s="204">
        <v>1.01</v>
      </c>
      <c r="B158" s="188" t="s">
        <v>25</v>
      </c>
      <c r="C158" s="185"/>
      <c r="D158" s="185"/>
      <c r="E158" s="185"/>
      <c r="F158" s="186"/>
      <c r="G158" s="201" t="s">
        <v>0</v>
      </c>
      <c r="H158" s="205">
        <f>G164</f>
        <v>44880</v>
      </c>
    </row>
    <row r="159" spans="1:9" ht="12.75" customHeight="1">
      <c r="A159" s="187"/>
      <c r="B159" s="188"/>
      <c r="C159" s="185"/>
      <c r="D159" s="185"/>
      <c r="E159" s="185"/>
      <c r="F159" s="186"/>
      <c r="G159" s="185"/>
      <c r="H159" s="185"/>
      <c r="I159" s="171"/>
    </row>
    <row r="160" spans="1:9" ht="12.75" customHeight="1">
      <c r="A160" s="190"/>
      <c r="B160" s="1145" t="s">
        <v>17</v>
      </c>
      <c r="C160" s="1145"/>
      <c r="D160" s="206" t="s">
        <v>2</v>
      </c>
      <c r="E160" s="206" t="s">
        <v>18</v>
      </c>
      <c r="F160" s="206" t="s">
        <v>5</v>
      </c>
      <c r="G160" s="206" t="s">
        <v>4</v>
      </c>
      <c r="H160" s="207"/>
    </row>
    <row r="161" spans="1:11" ht="13.5" customHeight="1">
      <c r="A161" s="208"/>
      <c r="B161" s="1128" t="s">
        <v>74</v>
      </c>
      <c r="C161" s="1129"/>
      <c r="D161" s="281" t="s">
        <v>2</v>
      </c>
      <c r="E161" s="209">
        <f>11*8</f>
        <v>88</v>
      </c>
      <c r="F161" s="210">
        <v>50</v>
      </c>
      <c r="G161" s="194">
        <f>E161*F161</f>
        <v>4400</v>
      </c>
      <c r="H161" s="211"/>
    </row>
    <row r="162" spans="1:11" ht="12.75" customHeight="1">
      <c r="A162" s="190"/>
      <c r="B162" s="1122" t="s">
        <v>252</v>
      </c>
      <c r="C162" s="1123"/>
      <c r="D162" s="282" t="s">
        <v>2</v>
      </c>
      <c r="E162" s="209">
        <v>88</v>
      </c>
      <c r="F162" s="212">
        <v>80</v>
      </c>
      <c r="G162" s="213">
        <f>E162*F162</f>
        <v>7040</v>
      </c>
      <c r="H162" s="199"/>
    </row>
    <row r="163" spans="1:11" ht="12.75" customHeight="1">
      <c r="A163" s="190"/>
      <c r="B163" s="1130" t="s">
        <v>254</v>
      </c>
      <c r="C163" s="1131"/>
      <c r="D163" s="282" t="s">
        <v>8</v>
      </c>
      <c r="E163" s="209">
        <v>88</v>
      </c>
      <c r="F163" s="212">
        <v>380</v>
      </c>
      <c r="G163" s="213">
        <f>E163*F163</f>
        <v>33440</v>
      </c>
      <c r="H163" s="199"/>
    </row>
    <row r="164" spans="1:11" ht="12.75" customHeight="1">
      <c r="A164" s="190"/>
      <c r="B164" s="1127" t="s">
        <v>3</v>
      </c>
      <c r="C164" s="1127"/>
      <c r="D164" s="1125"/>
      <c r="E164" s="1125"/>
      <c r="F164" s="1125"/>
      <c r="G164" s="214">
        <f>SUM(G161:G163)</f>
        <v>44880</v>
      </c>
      <c r="H164" s="199"/>
    </row>
    <row r="165" spans="1:11" ht="12.75" customHeight="1">
      <c r="A165" s="190"/>
      <c r="B165" s="207"/>
      <c r="C165" s="207"/>
      <c r="D165" s="207"/>
      <c r="E165" s="207"/>
      <c r="F165" s="207"/>
      <c r="G165" s="215"/>
      <c r="H165" s="199"/>
    </row>
    <row r="166" spans="1:11" ht="12.75" customHeight="1">
      <c r="A166" s="271">
        <v>2</v>
      </c>
      <c r="B166" s="272" t="s">
        <v>270</v>
      </c>
      <c r="C166" s="273"/>
      <c r="D166" s="273"/>
      <c r="E166" s="273"/>
      <c r="F166" s="274"/>
      <c r="G166" s="275" t="s">
        <v>0</v>
      </c>
      <c r="H166" s="276">
        <f>+H168</f>
        <v>45965</v>
      </c>
    </row>
    <row r="167" spans="1:11" ht="12.75" customHeight="1">
      <c r="A167" s="187"/>
      <c r="B167" s="188"/>
      <c r="C167" s="185"/>
      <c r="D167" s="185"/>
      <c r="E167" s="185"/>
      <c r="F167" s="186"/>
      <c r="G167" s="185"/>
      <c r="H167" s="185"/>
    </row>
    <row r="168" spans="1:11" ht="12.75" customHeight="1">
      <c r="A168" s="187">
        <v>2.0099999999999998</v>
      </c>
      <c r="B168" s="188" t="s">
        <v>271</v>
      </c>
      <c r="C168" s="175"/>
      <c r="D168" s="175"/>
      <c r="E168" s="175"/>
      <c r="F168" s="191"/>
      <c r="G168" s="201" t="s">
        <v>0</v>
      </c>
      <c r="H168" s="205">
        <f>G172</f>
        <v>45965</v>
      </c>
    </row>
    <row r="169" spans="1:11" ht="12.75" customHeight="1">
      <c r="A169" s="216"/>
      <c r="B169" s="217"/>
      <c r="C169" s="218"/>
      <c r="D169" s="218"/>
      <c r="E169" s="219"/>
      <c r="F169" s="218"/>
      <c r="G169" s="219"/>
    </row>
    <row r="170" spans="1:11" ht="12.75" customHeight="1">
      <c r="A170" s="216"/>
      <c r="B170" s="1149" t="s">
        <v>17</v>
      </c>
      <c r="C170" s="1149"/>
      <c r="D170" s="206" t="s">
        <v>2</v>
      </c>
      <c r="E170" s="206" t="s">
        <v>18</v>
      </c>
      <c r="F170" s="206" t="s">
        <v>5</v>
      </c>
      <c r="G170" s="206" t="s">
        <v>4</v>
      </c>
    </row>
    <row r="171" spans="1:11" ht="12.75" customHeight="1">
      <c r="A171" s="216"/>
      <c r="B171" s="1147" t="s">
        <v>108</v>
      </c>
      <c r="C171" s="1147"/>
      <c r="D171" s="195" t="s">
        <v>6</v>
      </c>
      <c r="E171" s="221">
        <f>317*2*5</f>
        <v>3170</v>
      </c>
      <c r="F171" s="195">
        <v>14.5</v>
      </c>
      <c r="G171" s="222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23"/>
      <c r="B172" s="1125" t="s">
        <v>3</v>
      </c>
      <c r="C172" s="1125"/>
      <c r="D172" s="1125"/>
      <c r="E172" s="1125"/>
      <c r="F172" s="1125"/>
      <c r="G172" s="224">
        <f>SUM(G171:G171)</f>
        <v>45965</v>
      </c>
    </row>
    <row r="173" spans="1:11" ht="12.75" customHeight="1">
      <c r="A173" s="190"/>
      <c r="B173" s="207"/>
      <c r="C173" s="207"/>
      <c r="D173" s="207"/>
      <c r="E173" s="207"/>
      <c r="F173" s="207"/>
      <c r="G173" s="215"/>
      <c r="H173" s="199"/>
    </row>
    <row r="174" spans="1:11" ht="12.75" customHeight="1">
      <c r="A174" s="271">
        <v>3</v>
      </c>
      <c r="B174" s="272" t="s">
        <v>292</v>
      </c>
      <c r="C174" s="273"/>
      <c r="D174" s="273"/>
      <c r="E174" s="273"/>
      <c r="F174" s="274"/>
      <c r="G174" s="275" t="s">
        <v>0</v>
      </c>
      <c r="H174" s="276">
        <f>+H176</f>
        <v>17950</v>
      </c>
    </row>
    <row r="175" spans="1:11" ht="12.75" customHeight="1">
      <c r="A175" s="187"/>
      <c r="B175" s="188"/>
      <c r="C175" s="185"/>
      <c r="D175" s="185"/>
      <c r="E175" s="185"/>
      <c r="F175" s="186"/>
      <c r="G175" s="185"/>
      <c r="H175" s="185"/>
    </row>
    <row r="176" spans="1:11" ht="12.75" customHeight="1">
      <c r="A176" s="187">
        <v>3.01</v>
      </c>
      <c r="B176" s="188" t="s">
        <v>288</v>
      </c>
      <c r="C176" s="175"/>
      <c r="D176" s="175"/>
      <c r="E176" s="175"/>
      <c r="F176" s="191"/>
      <c r="G176" s="201" t="s">
        <v>0</v>
      </c>
      <c r="H176" s="205">
        <f>G198</f>
        <v>17950</v>
      </c>
    </row>
    <row r="177" spans="1:7" ht="12.75" customHeight="1">
      <c r="A177" s="216"/>
      <c r="B177" s="217"/>
      <c r="C177" s="218"/>
      <c r="D177" s="218"/>
      <c r="E177" s="219"/>
      <c r="F177" s="218"/>
      <c r="G177" s="219"/>
    </row>
    <row r="178" spans="1:7" ht="12.75" customHeight="1">
      <c r="A178" s="216"/>
      <c r="B178" s="1145" t="s">
        <v>17</v>
      </c>
      <c r="C178" s="1148"/>
      <c r="D178" s="283" t="s">
        <v>2</v>
      </c>
      <c r="E178" s="290" t="s">
        <v>18</v>
      </c>
      <c r="F178" s="283" t="s">
        <v>5</v>
      </c>
      <c r="G178" s="288" t="s">
        <v>4</v>
      </c>
    </row>
    <row r="179" spans="1:7" ht="12.75" customHeight="1">
      <c r="A179" s="216"/>
      <c r="B179" s="1128" t="s">
        <v>273</v>
      </c>
      <c r="C179" s="1129"/>
      <c r="D179" s="299" t="s">
        <v>2</v>
      </c>
      <c r="E179" s="284">
        <v>1</v>
      </c>
      <c r="F179" s="289">
        <v>11500</v>
      </c>
      <c r="G179" s="285">
        <f>+E179*F179</f>
        <v>11500</v>
      </c>
    </row>
    <row r="180" spans="1:7" ht="12.75" customHeight="1">
      <c r="A180" s="216"/>
      <c r="B180" s="1122" t="s">
        <v>250</v>
      </c>
      <c r="C180" s="1123"/>
      <c r="D180" s="291" t="s">
        <v>2</v>
      </c>
      <c r="E180" s="191">
        <v>1</v>
      </c>
      <c r="F180" s="228">
        <v>4500</v>
      </c>
      <c r="G180" s="286">
        <f>+E180*F180</f>
        <v>4500</v>
      </c>
    </row>
    <row r="181" spans="1:7" ht="12.75" customHeight="1">
      <c r="A181" s="216"/>
      <c r="B181" s="1122" t="s">
        <v>277</v>
      </c>
      <c r="C181" s="1123"/>
      <c r="D181" s="291" t="s">
        <v>2</v>
      </c>
      <c r="E181" s="191">
        <v>1</v>
      </c>
      <c r="F181" s="228">
        <v>750</v>
      </c>
      <c r="G181" s="286">
        <f>+E181*F181</f>
        <v>750</v>
      </c>
    </row>
    <row r="182" spans="1:7" ht="12.75" customHeight="1">
      <c r="A182" s="216"/>
      <c r="B182" s="1122" t="s">
        <v>293</v>
      </c>
      <c r="C182" s="1123"/>
      <c r="D182" s="291" t="s">
        <v>2</v>
      </c>
      <c r="E182" s="191">
        <v>1</v>
      </c>
      <c r="F182" s="228">
        <v>1200</v>
      </c>
      <c r="G182" s="286">
        <f>+E182*F182</f>
        <v>1200</v>
      </c>
    </row>
    <row r="183" spans="1:7" ht="12.75" customHeight="1">
      <c r="A183" s="216"/>
      <c r="B183" s="1120" t="s">
        <v>302</v>
      </c>
      <c r="C183" s="1121"/>
      <c r="D183" s="291"/>
      <c r="E183" s="191"/>
      <c r="F183" s="228"/>
      <c r="G183" s="286"/>
    </row>
    <row r="184" spans="1:7" ht="12.75" customHeight="1">
      <c r="A184" s="216"/>
      <c r="B184" s="1122" t="s">
        <v>296</v>
      </c>
      <c r="C184" s="1123" t="s">
        <v>44</v>
      </c>
      <c r="D184" s="291">
        <v>1</v>
      </c>
      <c r="E184" s="191"/>
      <c r="F184" s="228">
        <v>1260</v>
      </c>
      <c r="G184" s="286">
        <f>+F184*D184</f>
        <v>1260</v>
      </c>
    </row>
    <row r="185" spans="1:7" ht="12.75" customHeight="1">
      <c r="A185" s="216"/>
      <c r="B185" s="1122" t="s">
        <v>297</v>
      </c>
      <c r="C185" s="1123" t="s">
        <v>44</v>
      </c>
      <c r="D185" s="291">
        <v>1</v>
      </c>
      <c r="E185" s="191"/>
      <c r="F185" s="228">
        <v>3600</v>
      </c>
      <c r="G185" s="286">
        <f>+F185*D185</f>
        <v>3600</v>
      </c>
    </row>
    <row r="186" spans="1:7" ht="12.75" customHeight="1">
      <c r="A186" s="216"/>
      <c r="B186" s="1122" t="s">
        <v>298</v>
      </c>
      <c r="C186" s="1123" t="s">
        <v>44</v>
      </c>
      <c r="D186" s="291">
        <v>1</v>
      </c>
      <c r="E186" s="191"/>
      <c r="F186" s="228">
        <v>1569</v>
      </c>
      <c r="G186" s="286">
        <f>+F186*D186</f>
        <v>1569</v>
      </c>
    </row>
    <row r="187" spans="1:7" ht="12.75" customHeight="1">
      <c r="A187" s="216"/>
      <c r="B187" s="1122" t="s">
        <v>299</v>
      </c>
      <c r="C187" s="1123" t="s">
        <v>44</v>
      </c>
      <c r="D187" s="291">
        <v>1</v>
      </c>
      <c r="E187" s="191"/>
      <c r="F187" s="228">
        <v>10705.38</v>
      </c>
      <c r="G187" s="286">
        <f>+F187*D187</f>
        <v>10705.38</v>
      </c>
    </row>
    <row r="188" spans="1:7" ht="12.75" customHeight="1">
      <c r="A188" s="216"/>
      <c r="B188" s="1122" t="s">
        <v>300</v>
      </c>
      <c r="C188" s="1123" t="s">
        <v>44</v>
      </c>
      <c r="D188" s="291">
        <v>1</v>
      </c>
      <c r="E188" s="191"/>
      <c r="F188" s="228"/>
      <c r="G188" s="286"/>
    </row>
    <row r="189" spans="1:7" ht="12.75" customHeight="1">
      <c r="A189" s="216"/>
      <c r="B189" s="1122"/>
      <c r="C189" s="1123"/>
      <c r="D189" s="291"/>
      <c r="E189" s="191"/>
      <c r="F189" s="228"/>
      <c r="G189" s="286"/>
    </row>
    <row r="190" spans="1:7" ht="12.75" customHeight="1">
      <c r="A190" s="216"/>
      <c r="B190" s="1122"/>
      <c r="C190" s="1123"/>
      <c r="D190" s="291"/>
      <c r="E190" s="191"/>
      <c r="F190" s="228"/>
      <c r="G190" s="286"/>
    </row>
    <row r="191" spans="1:7" ht="12.75" customHeight="1">
      <c r="A191" s="216"/>
      <c r="B191" s="1122"/>
      <c r="C191" s="1123"/>
      <c r="D191" s="291"/>
      <c r="E191" s="191"/>
      <c r="F191" s="228"/>
      <c r="G191" s="286"/>
    </row>
    <row r="192" spans="1:7" ht="12.75" customHeight="1">
      <c r="A192" s="216"/>
      <c r="B192" s="1122"/>
      <c r="C192" s="1123"/>
      <c r="D192" s="291"/>
      <c r="E192" s="191"/>
      <c r="F192" s="228"/>
      <c r="G192" s="286"/>
    </row>
    <row r="193" spans="1:8" ht="12.75" customHeight="1">
      <c r="A193" s="216"/>
      <c r="B193" s="1122"/>
      <c r="C193" s="1123"/>
      <c r="D193" s="291"/>
      <c r="E193" s="191"/>
      <c r="F193" s="228"/>
      <c r="G193" s="286"/>
    </row>
    <row r="194" spans="1:8" ht="12.75" customHeight="1">
      <c r="A194" s="216"/>
      <c r="B194" s="1122"/>
      <c r="C194" s="1123"/>
      <c r="D194" s="291"/>
      <c r="E194" s="191"/>
      <c r="F194" s="228"/>
      <c r="G194" s="286"/>
    </row>
    <row r="195" spans="1:8" ht="12.75" customHeight="1">
      <c r="A195" s="216"/>
      <c r="B195" s="1122"/>
      <c r="C195" s="1123"/>
      <c r="D195" s="291"/>
      <c r="E195" s="191"/>
      <c r="F195" s="228"/>
      <c r="G195" s="286"/>
    </row>
    <row r="196" spans="1:8" ht="12.75" customHeight="1">
      <c r="A196" s="216"/>
      <c r="B196" s="1122"/>
      <c r="C196" s="1123"/>
      <c r="D196" s="291"/>
      <c r="E196" s="191"/>
      <c r="F196" s="228"/>
      <c r="G196" s="286"/>
    </row>
    <row r="197" spans="1:8" ht="12.75" customHeight="1">
      <c r="A197" s="216"/>
      <c r="B197" s="238"/>
      <c r="C197" s="301"/>
      <c r="D197" s="300"/>
      <c r="E197" s="287"/>
      <c r="F197" s="241"/>
      <c r="G197" s="286"/>
    </row>
    <row r="198" spans="1:8" ht="12.75" customHeight="1">
      <c r="A198" s="223"/>
      <c r="B198" s="1127" t="s">
        <v>3</v>
      </c>
      <c r="C198" s="1127"/>
      <c r="D198" s="1125"/>
      <c r="E198" s="1125"/>
      <c r="F198" s="1125"/>
      <c r="G198" s="224">
        <f>SUM(G179:G182)</f>
        <v>17950</v>
      </c>
    </row>
    <row r="199" spans="1:8" ht="12.75" customHeight="1">
      <c r="A199" s="190"/>
      <c r="B199" s="207"/>
      <c r="C199" s="207"/>
      <c r="D199" s="207"/>
      <c r="E199" s="207"/>
      <c r="F199" s="207"/>
      <c r="G199" s="215"/>
      <c r="H199" s="199"/>
    </row>
    <row r="200" spans="1:8" ht="12.75" customHeight="1">
      <c r="A200" s="271">
        <v>4</v>
      </c>
      <c r="B200" s="272" t="s">
        <v>92</v>
      </c>
      <c r="C200" s="273"/>
      <c r="D200" s="273"/>
      <c r="E200" s="278"/>
      <c r="F200" s="274"/>
      <c r="G200" s="275" t="s">
        <v>0</v>
      </c>
      <c r="H200" s="276">
        <f>+H202</f>
        <v>44745.599999999999</v>
      </c>
    </row>
    <row r="201" spans="1:8" ht="12.75" customHeight="1">
      <c r="A201" s="225"/>
      <c r="B201" s="226"/>
      <c r="C201" s="185"/>
      <c r="D201" s="185"/>
      <c r="E201" s="186"/>
      <c r="F201" s="227"/>
      <c r="G201" s="201"/>
      <c r="H201" s="173"/>
    </row>
    <row r="202" spans="1:8" ht="12.75" customHeight="1">
      <c r="A202" s="204">
        <v>4.01</v>
      </c>
      <c r="B202" s="188" t="s">
        <v>36</v>
      </c>
      <c r="C202" s="185"/>
      <c r="D202" s="185"/>
      <c r="E202" s="186"/>
      <c r="F202" s="186"/>
      <c r="G202" s="201" t="s">
        <v>0</v>
      </c>
      <c r="H202" s="205">
        <f>+G230</f>
        <v>44745.599999999999</v>
      </c>
    </row>
    <row r="203" spans="1:8" ht="12.75" hidden="1" customHeight="1">
      <c r="A203" s="187">
        <v>1</v>
      </c>
      <c r="B203" s="188" t="s">
        <v>53</v>
      </c>
      <c r="C203" s="185"/>
      <c r="D203" s="185"/>
      <c r="E203" s="185"/>
      <c r="F203" s="186"/>
      <c r="G203" s="185"/>
      <c r="H203" s="175"/>
    </row>
    <row r="204" spans="1:8" ht="12.75" hidden="1" customHeight="1">
      <c r="A204" s="187"/>
      <c r="B204" s="188"/>
      <c r="C204" s="185"/>
      <c r="D204" s="185"/>
      <c r="E204" s="185"/>
      <c r="F204" s="186"/>
      <c r="G204" s="185"/>
      <c r="H204" s="175"/>
    </row>
    <row r="205" spans="1:8" ht="12.75" hidden="1" customHeight="1">
      <c r="A205" s="187"/>
      <c r="B205" s="192" t="s">
        <v>34</v>
      </c>
      <c r="C205" s="193" t="s">
        <v>44</v>
      </c>
      <c r="D205" s="193"/>
      <c r="E205" s="193" t="s">
        <v>18</v>
      </c>
      <c r="F205" s="193" t="s">
        <v>5</v>
      </c>
      <c r="G205" s="193" t="s">
        <v>4</v>
      </c>
      <c r="H205" s="175"/>
    </row>
    <row r="206" spans="1:8" ht="12.75" hidden="1" customHeight="1">
      <c r="A206" s="187"/>
      <c r="B206" s="235"/>
      <c r="C206" s="236"/>
      <c r="D206" s="236"/>
      <c r="E206" s="237">
        <v>0</v>
      </c>
      <c r="F206" s="236">
        <v>0</v>
      </c>
      <c r="G206" s="237">
        <f>+E206*F206</f>
        <v>0</v>
      </c>
      <c r="H206" s="175"/>
    </row>
    <row r="207" spans="1:8" ht="12.75" hidden="1" customHeight="1">
      <c r="A207" s="187"/>
      <c r="B207" s="1125" t="s">
        <v>3</v>
      </c>
      <c r="C207" s="1125"/>
      <c r="D207" s="1125"/>
      <c r="E207" s="1125"/>
      <c r="F207" s="1125"/>
      <c r="G207" s="234">
        <f>SUM(G206:G206)</f>
        <v>0</v>
      </c>
      <c r="H207" s="175"/>
    </row>
    <row r="208" spans="1:8" ht="12.75" hidden="1" customHeight="1">
      <c r="A208" s="187"/>
      <c r="B208" s="188"/>
      <c r="C208" s="185"/>
      <c r="D208" s="185"/>
      <c r="E208" s="185"/>
      <c r="F208" s="186"/>
      <c r="G208" s="185"/>
      <c r="H208" s="175"/>
    </row>
    <row r="209" spans="1:8" ht="12.75" customHeight="1">
      <c r="A209" s="187"/>
      <c r="B209" s="188"/>
      <c r="C209" s="185"/>
      <c r="D209" s="185"/>
      <c r="E209" s="185"/>
      <c r="F209" s="186"/>
      <c r="G209" s="185"/>
      <c r="H209" s="175"/>
    </row>
    <row r="210" spans="1:8" ht="12.75" customHeight="1">
      <c r="A210" s="190"/>
      <c r="B210" s="293" t="s">
        <v>34</v>
      </c>
      <c r="C210" s="193" t="s">
        <v>44</v>
      </c>
      <c r="D210" s="193" t="s">
        <v>18</v>
      </c>
      <c r="E210" s="302" t="s">
        <v>272</v>
      </c>
      <c r="F210" s="193" t="s">
        <v>5</v>
      </c>
      <c r="G210" s="193" t="s">
        <v>4</v>
      </c>
      <c r="H210" s="175"/>
    </row>
    <row r="211" spans="1:8">
      <c r="A211" s="190"/>
      <c r="B211" s="220" t="s">
        <v>71</v>
      </c>
      <c r="C211" s="291" t="s">
        <v>2</v>
      </c>
      <c r="D211" s="228">
        <v>15</v>
      </c>
      <c r="E211" s="160">
        <v>24</v>
      </c>
      <c r="F211" s="228">
        <v>1</v>
      </c>
      <c r="G211" s="229">
        <f>+F211*E211*D211</f>
        <v>360</v>
      </c>
      <c r="H211" s="175"/>
    </row>
    <row r="212" spans="1:8" ht="12.75" customHeight="1">
      <c r="A212" s="190"/>
      <c r="B212" s="294" t="s">
        <v>40</v>
      </c>
      <c r="C212" s="291" t="s">
        <v>2</v>
      </c>
      <c r="D212" s="228">
        <v>12</v>
      </c>
      <c r="E212" s="160">
        <v>24</v>
      </c>
      <c r="F212" s="228">
        <v>35</v>
      </c>
      <c r="G212" s="229">
        <f t="shared" ref="G212:G229" si="28">+F212*E212*D212</f>
        <v>10080</v>
      </c>
      <c r="H212" s="175"/>
    </row>
    <row r="213" spans="1:8">
      <c r="A213" s="190"/>
      <c r="B213" s="294" t="s">
        <v>69</v>
      </c>
      <c r="C213" s="291" t="s">
        <v>2</v>
      </c>
      <c r="D213" s="228">
        <v>4</v>
      </c>
      <c r="E213" s="160">
        <v>24</v>
      </c>
      <c r="F213" s="228">
        <v>1</v>
      </c>
      <c r="G213" s="229">
        <f t="shared" si="28"/>
        <v>96</v>
      </c>
      <c r="H213" s="175"/>
    </row>
    <row r="214" spans="1:8" ht="12.75" customHeight="1">
      <c r="A214" s="190"/>
      <c r="B214" s="294" t="s">
        <v>160</v>
      </c>
      <c r="C214" s="291" t="s">
        <v>2</v>
      </c>
      <c r="D214" s="228">
        <v>9</v>
      </c>
      <c r="E214" s="160">
        <v>24</v>
      </c>
      <c r="F214" s="228">
        <v>2</v>
      </c>
      <c r="G214" s="229">
        <f t="shared" si="28"/>
        <v>432</v>
      </c>
      <c r="H214" s="175"/>
    </row>
    <row r="215" spans="1:8">
      <c r="A215" s="190"/>
      <c r="B215" s="294" t="s">
        <v>84</v>
      </c>
      <c r="C215" s="291" t="s">
        <v>2</v>
      </c>
      <c r="D215" s="228">
        <v>9</v>
      </c>
      <c r="E215" s="160">
        <v>24</v>
      </c>
      <c r="F215" s="228">
        <v>3</v>
      </c>
      <c r="G215" s="229">
        <f t="shared" si="28"/>
        <v>648</v>
      </c>
      <c r="H215" s="175"/>
    </row>
    <row r="216" spans="1:8" ht="12.75" customHeight="1">
      <c r="A216" s="190"/>
      <c r="B216" s="294" t="s">
        <v>110</v>
      </c>
      <c r="C216" s="291" t="s">
        <v>2</v>
      </c>
      <c r="D216" s="228">
        <v>4</v>
      </c>
      <c r="E216" s="160">
        <v>24</v>
      </c>
      <c r="F216" s="228">
        <v>6</v>
      </c>
      <c r="G216" s="229">
        <f t="shared" si="28"/>
        <v>576</v>
      </c>
      <c r="H216" s="175"/>
    </row>
    <row r="217" spans="1:8">
      <c r="A217" s="190"/>
      <c r="B217" s="294" t="s">
        <v>67</v>
      </c>
      <c r="C217" s="291" t="s">
        <v>2</v>
      </c>
      <c r="D217" s="228">
        <v>4</v>
      </c>
      <c r="E217" s="160">
        <v>24</v>
      </c>
      <c r="F217" s="228">
        <v>4</v>
      </c>
      <c r="G217" s="229">
        <f t="shared" si="28"/>
        <v>384</v>
      </c>
      <c r="H217" s="175"/>
    </row>
    <row r="218" spans="1:8" ht="13.5" customHeight="1">
      <c r="A218" s="190"/>
      <c r="B218" s="294" t="s">
        <v>58</v>
      </c>
      <c r="C218" s="291" t="s">
        <v>35</v>
      </c>
      <c r="D218" s="228">
        <v>4</v>
      </c>
      <c r="E218" s="160">
        <v>24</v>
      </c>
      <c r="F218" s="228">
        <v>6</v>
      </c>
      <c r="G218" s="229">
        <f t="shared" si="28"/>
        <v>576</v>
      </c>
      <c r="H218" s="175"/>
    </row>
    <row r="219" spans="1:8" ht="13.5" customHeight="1">
      <c r="A219" s="190"/>
      <c r="B219" s="294" t="s">
        <v>57</v>
      </c>
      <c r="C219" s="291" t="s">
        <v>2</v>
      </c>
      <c r="D219" s="228">
        <v>8</v>
      </c>
      <c r="E219" s="160">
        <v>24</v>
      </c>
      <c r="F219" s="228">
        <v>0.8</v>
      </c>
      <c r="G219" s="229">
        <f t="shared" si="28"/>
        <v>153.60000000000002</v>
      </c>
      <c r="H219" s="175"/>
    </row>
    <row r="220" spans="1:8" ht="13.5" customHeight="1">
      <c r="A220" s="190"/>
      <c r="B220" s="294" t="s">
        <v>85</v>
      </c>
      <c r="C220" s="291" t="s">
        <v>240</v>
      </c>
      <c r="D220" s="228">
        <v>4</v>
      </c>
      <c r="E220" s="160">
        <v>24</v>
      </c>
      <c r="F220" s="228">
        <v>50</v>
      </c>
      <c r="G220" s="229">
        <f t="shared" si="28"/>
        <v>4800</v>
      </c>
      <c r="H220" s="175"/>
    </row>
    <row r="221" spans="1:8" ht="12.75" customHeight="1">
      <c r="A221" s="190"/>
      <c r="B221" s="294" t="s">
        <v>208</v>
      </c>
      <c r="C221" s="291" t="s">
        <v>2</v>
      </c>
      <c r="D221" s="228">
        <v>4</v>
      </c>
      <c r="E221" s="160">
        <v>24</v>
      </c>
      <c r="F221" s="228">
        <v>5</v>
      </c>
      <c r="G221" s="229">
        <f t="shared" si="28"/>
        <v>480</v>
      </c>
      <c r="H221" s="175"/>
    </row>
    <row r="222" spans="1:8" ht="12" customHeight="1">
      <c r="A222" s="190"/>
      <c r="B222" s="294" t="s">
        <v>43</v>
      </c>
      <c r="C222" s="291" t="s">
        <v>37</v>
      </c>
      <c r="D222" s="228">
        <v>6</v>
      </c>
      <c r="E222" s="160">
        <v>24</v>
      </c>
      <c r="F222" s="228">
        <v>35</v>
      </c>
      <c r="G222" s="229">
        <f t="shared" si="28"/>
        <v>5040</v>
      </c>
      <c r="H222" s="175"/>
    </row>
    <row r="223" spans="1:8">
      <c r="A223" s="190"/>
      <c r="B223" s="294" t="s">
        <v>65</v>
      </c>
      <c r="C223" s="291" t="s">
        <v>2</v>
      </c>
      <c r="D223" s="228">
        <v>6</v>
      </c>
      <c r="E223" s="160">
        <v>24</v>
      </c>
      <c r="F223" s="228">
        <v>4.5</v>
      </c>
      <c r="G223" s="229">
        <f t="shared" si="28"/>
        <v>648</v>
      </c>
      <c r="H223" s="175"/>
    </row>
    <row r="224" spans="1:8">
      <c r="A224" s="190"/>
      <c r="B224" s="294" t="s">
        <v>61</v>
      </c>
      <c r="C224" s="291" t="s">
        <v>2</v>
      </c>
      <c r="D224" s="228">
        <v>9</v>
      </c>
      <c r="E224" s="160">
        <v>24</v>
      </c>
      <c r="F224" s="228">
        <v>5</v>
      </c>
      <c r="G224" s="229">
        <f t="shared" si="28"/>
        <v>1080</v>
      </c>
      <c r="H224" s="175"/>
    </row>
    <row r="225" spans="1:11">
      <c r="A225" s="190"/>
      <c r="B225" s="294" t="s">
        <v>62</v>
      </c>
      <c r="C225" s="291" t="s">
        <v>2</v>
      </c>
      <c r="D225" s="228">
        <v>4</v>
      </c>
      <c r="E225" s="160">
        <v>24</v>
      </c>
      <c r="F225" s="228">
        <v>15</v>
      </c>
      <c r="G225" s="229">
        <f t="shared" si="28"/>
        <v>1440</v>
      </c>
      <c r="H225" s="175"/>
    </row>
    <row r="226" spans="1:11">
      <c r="A226" s="190"/>
      <c r="B226" s="294" t="s">
        <v>73</v>
      </c>
      <c r="C226" s="291" t="s">
        <v>54</v>
      </c>
      <c r="D226" s="228">
        <v>4</v>
      </c>
      <c r="E226" s="160">
        <v>24</v>
      </c>
      <c r="F226" s="228">
        <v>8</v>
      </c>
      <c r="G226" s="229">
        <f t="shared" si="28"/>
        <v>768</v>
      </c>
      <c r="H226" s="175"/>
    </row>
    <row r="227" spans="1:11">
      <c r="A227" s="190"/>
      <c r="B227" s="294" t="s">
        <v>63</v>
      </c>
      <c r="C227" s="291" t="s">
        <v>2</v>
      </c>
      <c r="D227" s="228">
        <v>4</v>
      </c>
      <c r="E227" s="160">
        <v>24</v>
      </c>
      <c r="F227" s="228">
        <v>1.5</v>
      </c>
      <c r="G227" s="229">
        <f t="shared" si="28"/>
        <v>144</v>
      </c>
      <c r="H227" s="175"/>
    </row>
    <row r="228" spans="1:11">
      <c r="A228" s="190"/>
      <c r="B228" s="294" t="s">
        <v>66</v>
      </c>
      <c r="C228" s="291" t="s">
        <v>2</v>
      </c>
      <c r="D228" s="228">
        <v>4</v>
      </c>
      <c r="E228" s="160">
        <v>24</v>
      </c>
      <c r="F228" s="228">
        <v>2.5</v>
      </c>
      <c r="G228" s="229">
        <f t="shared" si="28"/>
        <v>240</v>
      </c>
      <c r="H228" s="175"/>
    </row>
    <row r="229" spans="1:11">
      <c r="A229" s="190"/>
      <c r="B229" s="295" t="s">
        <v>52</v>
      </c>
      <c r="C229" s="292" t="s">
        <v>2</v>
      </c>
      <c r="D229" s="236">
        <v>2</v>
      </c>
      <c r="E229" s="160">
        <v>24</v>
      </c>
      <c r="F229" s="236">
        <v>350</v>
      </c>
      <c r="G229" s="229">
        <f t="shared" si="28"/>
        <v>16800</v>
      </c>
      <c r="H229" s="175"/>
    </row>
    <row r="230" spans="1:11" ht="12.75" customHeight="1">
      <c r="A230" s="189"/>
      <c r="B230" s="1127" t="s">
        <v>3</v>
      </c>
      <c r="C230" s="1127"/>
      <c r="D230" s="1125"/>
      <c r="E230" s="1125"/>
      <c r="F230" s="1125"/>
      <c r="G230" s="234">
        <f>SUM(G211:G229)</f>
        <v>44745.599999999999</v>
      </c>
      <c r="H230" s="175"/>
    </row>
    <row r="231" spans="1:11" ht="12.75" customHeight="1">
      <c r="A231" s="189"/>
      <c r="B231" s="207"/>
      <c r="C231" s="207"/>
      <c r="D231" s="207"/>
      <c r="E231" s="207"/>
      <c r="F231" s="207"/>
      <c r="G231" s="185"/>
      <c r="H231" s="175"/>
    </row>
    <row r="232" spans="1:11" ht="15" hidden="1" customHeight="1">
      <c r="A232" s="230">
        <v>3</v>
      </c>
      <c r="B232" s="233" t="s">
        <v>93</v>
      </c>
      <c r="C232" s="255"/>
      <c r="D232" s="255"/>
      <c r="E232" s="256"/>
      <c r="F232" s="257"/>
      <c r="G232" s="231" t="s">
        <v>0</v>
      </c>
      <c r="H232" s="232">
        <f>+G236</f>
        <v>0</v>
      </c>
    </row>
    <row r="233" spans="1:11" ht="12.75" hidden="1" customHeight="1">
      <c r="A233" s="216"/>
      <c r="B233" s="217"/>
      <c r="C233" s="218"/>
      <c r="D233" s="218"/>
      <c r="E233" s="219"/>
      <c r="F233" s="218"/>
      <c r="G233" s="219"/>
    </row>
    <row r="234" spans="1:11" ht="18" hidden="1" customHeight="1">
      <c r="A234" s="216"/>
      <c r="B234" s="206" t="s">
        <v>17</v>
      </c>
      <c r="C234" s="206" t="s">
        <v>2</v>
      </c>
      <c r="D234" s="206"/>
      <c r="E234" s="206" t="s">
        <v>18</v>
      </c>
      <c r="F234" s="206" t="s">
        <v>5</v>
      </c>
      <c r="G234" s="206" t="s">
        <v>4</v>
      </c>
      <c r="H234" s="258"/>
    </row>
    <row r="235" spans="1:11" ht="13.5" hidden="1" customHeight="1">
      <c r="A235" s="187"/>
      <c r="B235" s="220" t="s">
        <v>108</v>
      </c>
      <c r="C235" s="195" t="s">
        <v>6</v>
      </c>
      <c r="D235" s="280"/>
      <c r="E235" s="221">
        <v>0</v>
      </c>
      <c r="F235" s="195">
        <v>14.5</v>
      </c>
      <c r="G235" s="222">
        <f>F235*E235</f>
        <v>0</v>
      </c>
      <c r="H235" s="185"/>
      <c r="K235" s="171"/>
    </row>
    <row r="236" spans="1:11" ht="12.75" hidden="1" customHeight="1">
      <c r="A236" s="223"/>
      <c r="B236" s="1125" t="s">
        <v>3</v>
      </c>
      <c r="C236" s="1125"/>
      <c r="D236" s="1125"/>
      <c r="E236" s="1125"/>
      <c r="F236" s="1125"/>
      <c r="G236" s="259">
        <f>SUM(G235:G235)</f>
        <v>0</v>
      </c>
    </row>
    <row r="237" spans="1:11" ht="12.75" hidden="1" customHeight="1">
      <c r="A237" s="223"/>
      <c r="B237" s="260"/>
      <c r="C237" s="176"/>
      <c r="D237" s="176"/>
      <c r="E237" s="261"/>
      <c r="F237" s="176"/>
      <c r="G237" s="261"/>
    </row>
    <row r="238" spans="1:11" ht="16.5" customHeight="1">
      <c r="A238" s="230"/>
      <c r="B238" s="207"/>
      <c r="C238" s="207"/>
      <c r="D238" s="207"/>
      <c r="E238" s="207"/>
      <c r="F238" s="207"/>
      <c r="G238" s="185"/>
      <c r="H238" s="232"/>
    </row>
    <row r="239" spans="1:11" s="168" customFormat="1" ht="15">
      <c r="A239" s="269" t="s">
        <v>267</v>
      </c>
      <c r="B239" s="270"/>
      <c r="C239" s="266"/>
      <c r="D239" s="266"/>
      <c r="E239" s="266"/>
      <c r="F239" s="267"/>
      <c r="G239" s="267" t="s">
        <v>0</v>
      </c>
      <c r="H239" s="268">
        <f>+H241</f>
        <v>155250</v>
      </c>
      <c r="I239" s="177"/>
    </row>
    <row r="240" spans="1:11" ht="12.75" customHeight="1">
      <c r="A240" s="189"/>
      <c r="B240" s="207"/>
      <c r="C240" s="207"/>
      <c r="D240" s="207"/>
      <c r="E240" s="207"/>
      <c r="F240" s="207"/>
      <c r="G240" s="185"/>
      <c r="H240" s="175"/>
    </row>
    <row r="241" spans="1:8" ht="16.5" customHeight="1">
      <c r="A241" s="271">
        <v>1</v>
      </c>
      <c r="B241" s="272" t="s">
        <v>20</v>
      </c>
      <c r="C241" s="273"/>
      <c r="D241" s="273"/>
      <c r="E241" s="278"/>
      <c r="F241" s="274"/>
      <c r="G241" s="275" t="s">
        <v>0</v>
      </c>
      <c r="H241" s="275">
        <f>G254</f>
        <v>155250</v>
      </c>
    </row>
    <row r="242" spans="1:8" ht="16.5" customHeight="1">
      <c r="A242" s="230"/>
      <c r="B242" s="188"/>
      <c r="C242" s="185"/>
      <c r="D242" s="185"/>
      <c r="E242" s="185"/>
      <c r="F242" s="186"/>
      <c r="G242" s="185"/>
      <c r="H242" s="232"/>
    </row>
    <row r="243" spans="1:8" ht="16.5" customHeight="1">
      <c r="A243" s="230"/>
      <c r="B243" s="293" t="s">
        <v>34</v>
      </c>
      <c r="C243" s="193" t="s">
        <v>44</v>
      </c>
      <c r="D243" s="193" t="s">
        <v>18</v>
      </c>
      <c r="E243" s="193" t="s">
        <v>32</v>
      </c>
      <c r="F243" s="193" t="s">
        <v>5</v>
      </c>
      <c r="G243" s="193" t="s">
        <v>4</v>
      </c>
      <c r="H243" s="232"/>
    </row>
    <row r="244" spans="1:8" ht="16.5" hidden="1" customHeight="1">
      <c r="A244" s="230"/>
      <c r="B244" s="235" t="s">
        <v>109</v>
      </c>
      <c r="C244" s="236" t="s">
        <v>122</v>
      </c>
      <c r="D244" s="236">
        <v>0</v>
      </c>
      <c r="E244" s="161"/>
      <c r="F244" s="236">
        <v>250</v>
      </c>
      <c r="G244" s="237">
        <f>+D244*F244</f>
        <v>0</v>
      </c>
      <c r="H244" s="232"/>
    </row>
    <row r="245" spans="1:8" ht="16.5" customHeight="1">
      <c r="A245" s="230"/>
      <c r="B245" s="294" t="s">
        <v>289</v>
      </c>
      <c r="C245" s="236" t="s">
        <v>241</v>
      </c>
      <c r="D245" s="236">
        <v>1</v>
      </c>
      <c r="E245" s="236">
        <v>24</v>
      </c>
      <c r="F245" s="236">
        <v>250</v>
      </c>
      <c r="G245" s="237">
        <f>+D245*E245*F245</f>
        <v>6000</v>
      </c>
      <c r="H245" s="232"/>
    </row>
    <row r="246" spans="1:8" ht="16.5" customHeight="1">
      <c r="A246" s="230"/>
      <c r="B246" s="294" t="s">
        <v>94</v>
      </c>
      <c r="C246" s="236" t="s">
        <v>241</v>
      </c>
      <c r="D246" s="236">
        <v>1</v>
      </c>
      <c r="E246" s="236">
        <v>9</v>
      </c>
      <c r="F246" s="236">
        <v>250</v>
      </c>
      <c r="G246" s="237">
        <f>+D246*E246*F246</f>
        <v>2250</v>
      </c>
      <c r="H246" s="232"/>
    </row>
    <row r="247" spans="1:8" ht="16.5" customHeight="1">
      <c r="A247" s="230"/>
      <c r="B247" s="294" t="s">
        <v>290</v>
      </c>
      <c r="C247" s="236" t="s">
        <v>44</v>
      </c>
      <c r="D247" s="236">
        <v>1</v>
      </c>
      <c r="E247" s="236">
        <v>24</v>
      </c>
      <c r="F247" s="236">
        <v>6000</v>
      </c>
      <c r="G247" s="237">
        <f>+D247*E247*F247</f>
        <v>144000</v>
      </c>
      <c r="H247" s="232"/>
    </row>
    <row r="248" spans="1:8" ht="16.5" customHeight="1">
      <c r="A248" s="230"/>
      <c r="B248" s="294" t="s">
        <v>294</v>
      </c>
      <c r="C248" s="236" t="s">
        <v>44</v>
      </c>
      <c r="D248" s="236">
        <v>2</v>
      </c>
      <c r="E248" s="236" t="s">
        <v>295</v>
      </c>
      <c r="F248" s="236">
        <v>1500</v>
      </c>
      <c r="G248" s="237">
        <f>D248*F248</f>
        <v>3000</v>
      </c>
      <c r="H248" s="232"/>
    </row>
    <row r="249" spans="1:8" ht="16.5" customHeight="1">
      <c r="A249" s="230"/>
      <c r="B249" s="294"/>
      <c r="C249" s="236"/>
      <c r="D249" s="236"/>
      <c r="E249" s="236"/>
      <c r="F249" s="236"/>
      <c r="G249" s="237"/>
      <c r="H249" s="232"/>
    </row>
    <row r="250" spans="1:8" ht="16.5" customHeight="1">
      <c r="A250" s="230"/>
      <c r="B250" s="294"/>
      <c r="C250" s="236"/>
      <c r="D250" s="236"/>
      <c r="E250" s="236"/>
      <c r="F250" s="236"/>
      <c r="G250" s="237"/>
      <c r="H250" s="232"/>
    </row>
    <row r="251" spans="1:8" ht="16.5" customHeight="1">
      <c r="A251" s="230"/>
      <c r="B251" s="294"/>
      <c r="C251" s="236"/>
      <c r="D251" s="236"/>
      <c r="E251" s="236"/>
      <c r="F251" s="236"/>
      <c r="G251" s="237"/>
      <c r="H251" s="232"/>
    </row>
    <row r="252" spans="1:8" ht="16.5" customHeight="1">
      <c r="A252" s="230"/>
      <c r="B252" s="294"/>
      <c r="C252" s="236"/>
      <c r="D252" s="236"/>
      <c r="E252" s="236"/>
      <c r="F252" s="236"/>
      <c r="G252" s="237"/>
      <c r="H252" s="232"/>
    </row>
    <row r="253" spans="1:8" ht="16.5" customHeight="1">
      <c r="A253" s="230"/>
      <c r="B253" s="294"/>
      <c r="C253" s="236"/>
      <c r="D253" s="236"/>
      <c r="E253" s="236"/>
      <c r="F253" s="236"/>
      <c r="G253" s="237"/>
      <c r="H253" s="232"/>
    </row>
    <row r="254" spans="1:8" ht="16.5" customHeight="1">
      <c r="A254" s="230"/>
      <c r="B254" s="1132">
        <v>9</v>
      </c>
      <c r="C254" s="1133"/>
      <c r="D254" s="1133"/>
      <c r="E254" s="1133"/>
      <c r="F254" s="1134"/>
      <c r="G254" s="234">
        <f>SUM(G244:G248)</f>
        <v>155250</v>
      </c>
      <c r="H254" s="232"/>
    </row>
    <row r="255" spans="1:8" ht="16.5" customHeight="1">
      <c r="A255" s="230"/>
      <c r="B255" s="207"/>
      <c r="C255" s="207"/>
      <c r="D255" s="207"/>
      <c r="E255" s="207"/>
      <c r="F255" s="207"/>
      <c r="G255" s="185"/>
      <c r="H255" s="232"/>
    </row>
    <row r="256" spans="1:8" ht="15">
      <c r="A256" s="1124" t="s">
        <v>51</v>
      </c>
      <c r="B256" s="1124"/>
      <c r="C256" s="1124"/>
      <c r="D256" s="1124"/>
      <c r="E256" s="1124"/>
      <c r="F256" s="1124"/>
      <c r="G256" s="201" t="s">
        <v>0</v>
      </c>
      <c r="H256" s="239">
        <f>+H18</f>
        <v>1366431.9020833336</v>
      </c>
    </row>
    <row r="259" spans="7:8" ht="15">
      <c r="H259" s="239"/>
    </row>
    <row r="260" spans="7:8" ht="15">
      <c r="H260" s="239"/>
    </row>
    <row r="261" spans="7:8" ht="15">
      <c r="H261" s="239"/>
    </row>
    <row r="262" spans="7:8" ht="15">
      <c r="H262" s="239"/>
    </row>
    <row r="263" spans="7:8" ht="15">
      <c r="H263" s="239"/>
    </row>
    <row r="264" spans="7:8" ht="15">
      <c r="G264" s="211"/>
      <c r="H264" s="239"/>
    </row>
    <row r="265" spans="7:8" ht="15">
      <c r="H265" s="239"/>
    </row>
    <row r="266" spans="7:8" ht="15">
      <c r="H266" s="239"/>
    </row>
  </sheetData>
  <mergeCells count="50"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B170:C170"/>
    <mergeCell ref="B181:C181"/>
    <mergeCell ref="A23:H23"/>
    <mergeCell ref="A25:H25"/>
    <mergeCell ref="B230:F230"/>
    <mergeCell ref="A3:H3"/>
    <mergeCell ref="B236:F236"/>
    <mergeCell ref="B111:F111"/>
    <mergeCell ref="B151:F151"/>
    <mergeCell ref="C10:H11"/>
    <mergeCell ref="B49:F49"/>
    <mergeCell ref="B130:F130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B191:C191"/>
    <mergeCell ref="B192:C192"/>
    <mergeCell ref="A256:F256"/>
    <mergeCell ref="B90:F90"/>
    <mergeCell ref="B71:F71"/>
    <mergeCell ref="B164:F164"/>
    <mergeCell ref="B172:F172"/>
    <mergeCell ref="B161:C161"/>
    <mergeCell ref="B162:C162"/>
    <mergeCell ref="B163:C163"/>
    <mergeCell ref="B190:C190"/>
    <mergeCell ref="B193:C193"/>
    <mergeCell ref="B194:C194"/>
    <mergeCell ref="B254:F254"/>
    <mergeCell ref="B207:F207"/>
    <mergeCell ref="B188:C188"/>
    <mergeCell ref="B183:C183"/>
    <mergeCell ref="B184:C184"/>
    <mergeCell ref="B185:C185"/>
    <mergeCell ref="B186:C186"/>
    <mergeCell ref="B187:C187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1048" t="s">
        <v>118</v>
      </c>
      <c r="B1" s="1048"/>
      <c r="C1" s="1048"/>
      <c r="D1" s="1048"/>
      <c r="E1" s="1048"/>
      <c r="F1" s="1048"/>
      <c r="G1" s="1048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76</v>
      </c>
      <c r="C9" s="1049" t="e">
        <f>#REF!</f>
        <v>#REF!</v>
      </c>
      <c r="D9" s="1049"/>
      <c r="E9" s="1049"/>
      <c r="F9" s="1049"/>
      <c r="G9" s="1049"/>
    </row>
    <row r="10" spans="1:7" ht="18" customHeight="1">
      <c r="B10" s="6"/>
      <c r="C10" s="1049"/>
      <c r="D10" s="1049"/>
      <c r="E10" s="1049"/>
      <c r="F10" s="1049"/>
      <c r="G10" s="1049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1050" t="s">
        <v>24</v>
      </c>
      <c r="D13" s="1050"/>
      <c r="E13" s="1050"/>
      <c r="F13" s="1050"/>
      <c r="G13" s="129" t="s">
        <v>161</v>
      </c>
    </row>
    <row r="14" spans="1:7" s="101" customFormat="1" ht="20.25" customHeight="1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/>
    </row>
    <row r="18" spans="1:9" s="101" customFormat="1" ht="20.25" customHeight="1" thickBot="1">
      <c r="A18" s="102"/>
      <c r="B18" s="1051" t="s">
        <v>211</v>
      </c>
      <c r="C18" s="1052"/>
      <c r="D18" s="1052"/>
      <c r="E18" s="1052"/>
      <c r="F18" s="1052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1053" t="s">
        <v>27</v>
      </c>
      <c r="B22" s="1054"/>
      <c r="C22" s="1054"/>
      <c r="D22" s="1054"/>
      <c r="E22" s="1054"/>
      <c r="F22" s="1054"/>
      <c r="G22" s="1054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1053" t="s">
        <v>209</v>
      </c>
      <c r="B24" s="1053"/>
      <c r="C24" s="1053"/>
      <c r="D24" s="1053"/>
      <c r="E24" s="1053"/>
      <c r="F24" s="1053"/>
      <c r="G24" s="1053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154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10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11</v>
      </c>
      <c r="B30" s="39" t="s">
        <v>12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29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30</v>
      </c>
      <c r="C34" s="43" t="s">
        <v>31</v>
      </c>
      <c r="D34" s="43" t="s">
        <v>32</v>
      </c>
      <c r="E34" s="43" t="s">
        <v>13</v>
      </c>
      <c r="F34" s="43" t="s">
        <v>4</v>
      </c>
      <c r="G34" s="32"/>
    </row>
    <row r="35" spans="1:9" ht="12.75" customHeight="1">
      <c r="A35" s="40"/>
      <c r="B35" s="62" t="s">
        <v>119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1060" t="s">
        <v>3</v>
      </c>
      <c r="C37" s="1060"/>
      <c r="D37" s="1060"/>
      <c r="E37" s="1060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15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11</v>
      </c>
      <c r="B42" s="39" t="s">
        <v>95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29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30</v>
      </c>
      <c r="C46" s="43" t="s">
        <v>31</v>
      </c>
      <c r="D46" s="43" t="s">
        <v>32</v>
      </c>
      <c r="E46" s="43" t="s">
        <v>13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1062" t="s">
        <v>3</v>
      </c>
      <c r="C49" s="1062"/>
      <c r="D49" s="1062"/>
      <c r="E49" s="1062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14</v>
      </c>
      <c r="B52" s="39" t="s">
        <v>55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29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30</v>
      </c>
      <c r="C56" s="43" t="s">
        <v>31</v>
      </c>
      <c r="D56" s="43" t="s">
        <v>32</v>
      </c>
      <c r="E56" s="43" t="s">
        <v>13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1061" t="s">
        <v>3</v>
      </c>
      <c r="C59" s="1061"/>
      <c r="D59" s="1061"/>
      <c r="E59" s="1061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16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11</v>
      </c>
      <c r="B63" s="39" t="s">
        <v>98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29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30</v>
      </c>
      <c r="C67" s="43" t="s">
        <v>31</v>
      </c>
      <c r="D67" s="43" t="s">
        <v>32</v>
      </c>
      <c r="E67" s="43" t="s">
        <v>13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1152" t="s">
        <v>3</v>
      </c>
      <c r="C70" s="1152"/>
      <c r="D70" s="1152"/>
      <c r="E70" s="1152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14</v>
      </c>
      <c r="B72" s="39" t="s">
        <v>97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29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30</v>
      </c>
      <c r="C76" s="43" t="s">
        <v>31</v>
      </c>
      <c r="D76" s="43" t="s">
        <v>32</v>
      </c>
      <c r="E76" s="43" t="s">
        <v>13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1152" t="s">
        <v>3</v>
      </c>
      <c r="C79" s="1152"/>
      <c r="D79" s="1152"/>
      <c r="E79" s="1152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75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56</v>
      </c>
      <c r="B83" s="39" t="s">
        <v>96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29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30</v>
      </c>
      <c r="C87" s="43" t="s">
        <v>31</v>
      </c>
      <c r="D87" s="43" t="s">
        <v>32</v>
      </c>
      <c r="E87" s="43" t="s">
        <v>13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1060" t="s">
        <v>3</v>
      </c>
      <c r="C90" s="1060"/>
      <c r="D90" s="1060"/>
      <c r="E90" s="1060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155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162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17</v>
      </c>
      <c r="C97" s="76" t="s">
        <v>2</v>
      </c>
      <c r="D97" s="76" t="s">
        <v>18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163</v>
      </c>
      <c r="C98" s="100" t="s">
        <v>111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164</v>
      </c>
      <c r="C99" s="100" t="s">
        <v>111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165</v>
      </c>
      <c r="C100" s="100" t="s">
        <v>111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77</v>
      </c>
      <c r="C101" s="100" t="s">
        <v>104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166</v>
      </c>
      <c r="C102" s="100" t="s">
        <v>111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167</v>
      </c>
      <c r="C103" s="100" t="s">
        <v>111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168</v>
      </c>
      <c r="C104" s="100" t="s">
        <v>111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169</v>
      </c>
      <c r="C105" s="100" t="s">
        <v>111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170</v>
      </c>
      <c r="C106" s="100" t="s">
        <v>111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171</v>
      </c>
      <c r="C107" s="100" t="s">
        <v>111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172</v>
      </c>
      <c r="C108" s="100" t="s">
        <v>112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113</v>
      </c>
      <c r="C109" s="100" t="s">
        <v>103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173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174</v>
      </c>
      <c r="C111" s="100" t="s">
        <v>111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120</v>
      </c>
      <c r="C112" s="100" t="s">
        <v>121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175</v>
      </c>
      <c r="C113" s="100" t="s">
        <v>111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176</v>
      </c>
      <c r="C114" s="100" t="s">
        <v>111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177</v>
      </c>
      <c r="C115" s="100" t="s">
        <v>111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178</v>
      </c>
      <c r="C116" s="100" t="s">
        <v>111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179</v>
      </c>
      <c r="C117" s="100" t="s">
        <v>104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180</v>
      </c>
      <c r="C118" s="100" t="s">
        <v>111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181</v>
      </c>
      <c r="C119" s="100" t="s">
        <v>111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182</v>
      </c>
      <c r="C120" s="100" t="s">
        <v>111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183</v>
      </c>
      <c r="C121" s="100" t="s">
        <v>111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184</v>
      </c>
      <c r="C122" s="100" t="s">
        <v>111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185</v>
      </c>
      <c r="C123" s="100" t="s">
        <v>104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186</v>
      </c>
      <c r="C124" s="100" t="s">
        <v>111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115</v>
      </c>
      <c r="C125" s="100" t="s">
        <v>111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187</v>
      </c>
      <c r="C126" s="100" t="s">
        <v>111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188</v>
      </c>
      <c r="C127" s="100" t="s">
        <v>111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189</v>
      </c>
      <c r="C128" s="100" t="s">
        <v>111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116</v>
      </c>
      <c r="C129" s="100" t="s">
        <v>111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190</v>
      </c>
      <c r="C130" s="100" t="s">
        <v>111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117</v>
      </c>
      <c r="C131" s="100" t="s">
        <v>111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123</v>
      </c>
      <c r="C132" s="100" t="s">
        <v>111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124</v>
      </c>
      <c r="C133" s="100" t="s">
        <v>111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125</v>
      </c>
      <c r="C134" s="100" t="s">
        <v>111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126</v>
      </c>
      <c r="C135" s="100" t="s">
        <v>111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127</v>
      </c>
      <c r="C136" s="100" t="s">
        <v>128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129</v>
      </c>
      <c r="C137" s="100" t="s">
        <v>111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191</v>
      </c>
      <c r="C138" s="100" t="s">
        <v>111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130</v>
      </c>
      <c r="C139" s="100" t="s">
        <v>105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131</v>
      </c>
      <c r="C140" s="100" t="s">
        <v>111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132</v>
      </c>
      <c r="C141" s="100" t="s">
        <v>111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192</v>
      </c>
      <c r="C142" s="100" t="s">
        <v>111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193</v>
      </c>
      <c r="C143" s="100" t="s">
        <v>111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133</v>
      </c>
      <c r="C144" s="100" t="s">
        <v>111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134</v>
      </c>
      <c r="C145" s="100" t="s">
        <v>111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135</v>
      </c>
      <c r="C146" s="100" t="s">
        <v>111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136</v>
      </c>
      <c r="C147" s="100" t="s">
        <v>111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137</v>
      </c>
      <c r="C148" s="100" t="s">
        <v>111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194</v>
      </c>
      <c r="C149" s="100" t="s">
        <v>111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195</v>
      </c>
      <c r="C150" s="100" t="s">
        <v>111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196</v>
      </c>
      <c r="C151" s="100" t="s">
        <v>111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138</v>
      </c>
      <c r="C152" s="100" t="s">
        <v>111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139</v>
      </c>
      <c r="C153" s="100" t="s">
        <v>111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140</v>
      </c>
      <c r="C154" s="100" t="s">
        <v>111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141</v>
      </c>
      <c r="C155" s="100" t="s">
        <v>111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142</v>
      </c>
      <c r="C156" s="100" t="s">
        <v>111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197</v>
      </c>
      <c r="C157" s="100" t="s">
        <v>111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143</v>
      </c>
      <c r="C158" s="100" t="s">
        <v>111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144</v>
      </c>
      <c r="C159" s="100" t="s">
        <v>111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145</v>
      </c>
      <c r="C160" s="100" t="s">
        <v>111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146</v>
      </c>
      <c r="C161" s="100" t="s">
        <v>111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147</v>
      </c>
      <c r="C162" s="100" t="s">
        <v>111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198</v>
      </c>
      <c r="C163" s="100" t="s">
        <v>111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199</v>
      </c>
      <c r="C164" s="100" t="s">
        <v>111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200</v>
      </c>
      <c r="C165" s="100" t="s">
        <v>111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201</v>
      </c>
      <c r="C166" s="100" t="s">
        <v>111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148</v>
      </c>
      <c r="C167" s="100" t="s">
        <v>111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149</v>
      </c>
      <c r="C168" s="47" t="s">
        <v>111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150</v>
      </c>
      <c r="C169" s="47" t="s">
        <v>111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151</v>
      </c>
      <c r="C170" s="47" t="s">
        <v>111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152</v>
      </c>
      <c r="C171" s="47" t="s">
        <v>111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153</v>
      </c>
      <c r="C172" s="47" t="s">
        <v>111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202</v>
      </c>
      <c r="C173" s="47" t="s">
        <v>111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203</v>
      </c>
      <c r="C174" s="47" t="s">
        <v>111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204</v>
      </c>
      <c r="C175" s="47" t="s">
        <v>111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1061" t="s">
        <v>3</v>
      </c>
      <c r="C176" s="1061"/>
      <c r="D176" s="1061"/>
      <c r="E176" s="1061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156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18</v>
      </c>
      <c r="E182" s="43" t="s">
        <v>5</v>
      </c>
      <c r="F182" s="43" t="s">
        <v>4</v>
      </c>
      <c r="G182" s="26"/>
    </row>
    <row r="183" spans="1:8">
      <c r="A183" s="16"/>
      <c r="B183" s="14" t="s">
        <v>205</v>
      </c>
      <c r="C183" s="56" t="s">
        <v>122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206</v>
      </c>
      <c r="C184" s="56" t="s">
        <v>111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207</v>
      </c>
      <c r="C185" s="56" t="s">
        <v>111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1061" t="s">
        <v>3</v>
      </c>
      <c r="C186" s="1061"/>
      <c r="D186" s="1061"/>
      <c r="E186" s="1061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90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53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18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88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87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78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1056" t="s">
        <v>3</v>
      </c>
      <c r="C197" s="1057"/>
      <c r="D197" s="1057"/>
      <c r="E197" s="1058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1059" t="s">
        <v>210</v>
      </c>
      <c r="B200" s="1059"/>
      <c r="C200" s="1059"/>
      <c r="D200" s="1059"/>
      <c r="E200" s="1059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  <mergeCell ref="A24:G24"/>
    <mergeCell ref="A1:G1"/>
    <mergeCell ref="C9:G10"/>
    <mergeCell ref="C13:F13"/>
    <mergeCell ref="B18:F18"/>
    <mergeCell ref="A22:G22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indexed="43"/>
    <pageSetUpPr fitToPage="1"/>
  </sheetPr>
  <dimension ref="B2:P198"/>
  <sheetViews>
    <sheetView showGridLines="0" view="pageBreakPreview" zoomScale="70" zoomScaleNormal="85" zoomScaleSheetLayoutView="70" zoomScalePageLayoutView="75" workbookViewId="0">
      <selection activeCell="D11" sqref="D11:D13"/>
    </sheetView>
  </sheetViews>
  <sheetFormatPr baseColWidth="10" defaultColWidth="11.44140625" defaultRowHeight="13.8"/>
  <cols>
    <col min="1" max="1" width="2.109375" style="161" customWidth="1"/>
    <col min="2" max="2" width="8.44140625" style="579" customWidth="1"/>
    <col min="3" max="3" width="46.33203125" style="580" customWidth="1"/>
    <col min="4" max="4" width="20" style="580" customWidth="1"/>
    <col min="5" max="5" width="15.109375" style="580" customWidth="1"/>
    <col min="6" max="6" width="10.44140625" style="581" customWidth="1"/>
    <col min="7" max="7" width="15.33203125" style="581" customWidth="1"/>
    <col min="8" max="8" width="13.44140625" style="580" customWidth="1"/>
    <col min="9" max="9" width="14.5546875" style="580" customWidth="1"/>
    <col min="10" max="10" width="19.33203125" style="161" customWidth="1"/>
    <col min="11" max="11" width="33.44140625" style="161" customWidth="1"/>
    <col min="12" max="16384" width="11.44140625" style="161"/>
  </cols>
  <sheetData>
    <row r="2" spans="2:9">
      <c r="B2" s="161"/>
      <c r="C2" s="746"/>
      <c r="D2" s="746"/>
      <c r="E2" s="746"/>
      <c r="F2" s="747"/>
      <c r="G2" s="747"/>
      <c r="H2" s="746"/>
      <c r="I2" s="746"/>
    </row>
    <row r="3" spans="2:9" ht="28.8">
      <c r="B3" s="161"/>
      <c r="C3" s="1073" t="s">
        <v>476</v>
      </c>
      <c r="D3" s="1073"/>
      <c r="E3" s="1073"/>
      <c r="F3" s="1073"/>
      <c r="G3" s="1073"/>
      <c r="H3" s="1073"/>
      <c r="I3" s="1073"/>
    </row>
    <row r="4" spans="2:9" ht="22.8">
      <c r="B4" s="161"/>
      <c r="C4" s="1074" t="s">
        <v>477</v>
      </c>
      <c r="D4" s="1074"/>
      <c r="E4" s="1074"/>
      <c r="F4" s="1074"/>
      <c r="G4" s="1074"/>
      <c r="H4" s="1074"/>
      <c r="I4" s="1074"/>
    </row>
    <row r="5" spans="2:9" ht="21">
      <c r="B5" s="161"/>
      <c r="C5" s="1075" t="s">
        <v>478</v>
      </c>
      <c r="D5" s="1075"/>
      <c r="E5" s="1075"/>
      <c r="F5" s="1075"/>
      <c r="G5" s="1075"/>
      <c r="H5" s="1075"/>
      <c r="I5" s="1075"/>
    </row>
    <row r="6" spans="2:9" ht="21" customHeight="1" thickBot="1">
      <c r="B6" s="161"/>
      <c r="C6" s="1076" t="str">
        <f>+G.General!C6</f>
        <v>"Año de la Universalización de la Salud"</v>
      </c>
      <c r="D6" s="1076"/>
      <c r="E6" s="1076"/>
      <c r="F6" s="1076"/>
      <c r="G6" s="1076"/>
      <c r="H6" s="1076"/>
      <c r="I6" s="1076"/>
    </row>
    <row r="7" spans="2:9" ht="21" customHeight="1">
      <c r="B7" s="161"/>
      <c r="F7" s="580"/>
    </row>
    <row r="8" spans="2:9" ht="23.4" customHeight="1">
      <c r="B8" s="1077" t="s">
        <v>520</v>
      </c>
      <c r="C8" s="1077"/>
      <c r="D8" s="1077"/>
      <c r="E8" s="1077"/>
      <c r="F8" s="1077"/>
      <c r="G8" s="1077"/>
      <c r="H8" s="1077"/>
      <c r="I8" s="1077"/>
    </row>
    <row r="9" spans="2:9" ht="18" customHeight="1">
      <c r="B9" s="582"/>
      <c r="C9" s="583"/>
      <c r="D9" s="583"/>
      <c r="E9" s="583"/>
      <c r="F9" s="584"/>
      <c r="G9" s="584"/>
      <c r="H9" s="583"/>
      <c r="I9" s="583"/>
    </row>
    <row r="10" spans="2:9" ht="18" customHeight="1">
      <c r="C10" s="866" t="s">
        <v>594</v>
      </c>
      <c r="D10" s="752">
        <f>+'RESUMEN TOTAL'!D9</f>
        <v>0</v>
      </c>
      <c r="E10" s="586"/>
      <c r="F10" s="583"/>
      <c r="G10" s="583"/>
      <c r="H10" s="583"/>
      <c r="I10" s="583"/>
    </row>
    <row r="11" spans="2:9" ht="18" customHeight="1">
      <c r="C11" s="866" t="str">
        <f>+'RESUMEN TOTAL'!B11</f>
        <v>Departamento</v>
      </c>
      <c r="D11" s="752" t="str">
        <f>+'RESUMEN TOTAL'!D11</f>
        <v>: APURIMAC</v>
      </c>
      <c r="E11" s="752"/>
      <c r="F11" s="746"/>
      <c r="G11" s="746"/>
      <c r="H11" s="746"/>
      <c r="I11" s="752" t="s">
        <v>1</v>
      </c>
    </row>
    <row r="12" spans="2:9" ht="18" customHeight="1">
      <c r="C12" s="866" t="str">
        <f>+'RESUMEN TOTAL'!B12</f>
        <v>Provincia</v>
      </c>
      <c r="D12" s="752" t="str">
        <f>+'RESUMEN TOTAL'!D12</f>
        <v>: ANDAHUAYLAS</v>
      </c>
      <c r="E12" s="752"/>
      <c r="F12" s="746"/>
      <c r="G12" s="746"/>
      <c r="H12" s="746"/>
      <c r="I12" s="752"/>
    </row>
    <row r="13" spans="2:9" ht="18" customHeight="1">
      <c r="C13" s="866" t="str">
        <f>+'RESUMEN TOTAL'!B13</f>
        <v>Distrito</v>
      </c>
      <c r="D13" s="752" t="str">
        <f>+'RESUMEN TOTAL'!D13</f>
        <v>: ANDAHUAYLAS</v>
      </c>
      <c r="E13" s="752"/>
      <c r="F13" s="746"/>
      <c r="G13" s="746"/>
      <c r="H13" s="746"/>
      <c r="I13" s="752"/>
    </row>
    <row r="14" spans="2:9" ht="35.25" customHeight="1">
      <c r="C14" s="761" t="s">
        <v>467</v>
      </c>
      <c r="D14" s="1078" t="str">
        <f>'G. Liquidacion'!D14:H15</f>
        <v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v>
      </c>
      <c r="E14" s="1078"/>
      <c r="F14" s="1078"/>
      <c r="G14" s="1078"/>
      <c r="H14" s="1078"/>
      <c r="I14" s="1078"/>
    </row>
    <row r="15" spans="2:9" ht="18" customHeight="1" thickBot="1">
      <c r="C15" s="585"/>
      <c r="D15" s="1078"/>
      <c r="E15" s="1078"/>
      <c r="F15" s="1078"/>
      <c r="G15" s="1078"/>
      <c r="H15" s="1078"/>
      <c r="I15" s="1078"/>
    </row>
    <row r="16" spans="2:9" s="168" customFormat="1" ht="20.25" customHeight="1">
      <c r="B16" s="587"/>
      <c r="C16" s="696" t="s">
        <v>23</v>
      </c>
      <c r="D16" s="1153" t="s">
        <v>24</v>
      </c>
      <c r="E16" s="1153"/>
      <c r="F16" s="1153"/>
      <c r="G16" s="1153"/>
      <c r="H16" s="1153"/>
      <c r="I16" s="697" t="s">
        <v>445</v>
      </c>
    </row>
    <row r="17" spans="2:13" s="168" customFormat="1" ht="17.399999999999999" customHeight="1">
      <c r="B17" s="587"/>
      <c r="C17" s="820" t="s">
        <v>471</v>
      </c>
      <c r="D17" s="1159" t="s">
        <v>99</v>
      </c>
      <c r="E17" s="1159"/>
      <c r="F17" s="1159"/>
      <c r="G17" s="1159"/>
      <c r="H17" s="1159"/>
      <c r="I17" s="753">
        <f>+I27</f>
        <v>15605</v>
      </c>
    </row>
    <row r="18" spans="2:13" s="168" customFormat="1" ht="17.399999999999999" customHeight="1">
      <c r="B18" s="587"/>
      <c r="C18" s="820" t="s">
        <v>472</v>
      </c>
      <c r="D18" s="1159" t="s">
        <v>100</v>
      </c>
      <c r="E18" s="1159"/>
      <c r="F18" s="1159"/>
      <c r="G18" s="1159"/>
      <c r="H18" s="1159"/>
      <c r="I18" s="753">
        <f>+I105</f>
        <v>271.5</v>
      </c>
    </row>
    <row r="19" spans="2:13" s="168" customFormat="1" ht="17.399999999999999" customHeight="1">
      <c r="B19" s="587"/>
      <c r="C19" s="820" t="s">
        <v>473</v>
      </c>
      <c r="D19" s="1159" t="s">
        <v>101</v>
      </c>
      <c r="E19" s="1159"/>
      <c r="F19" s="1159"/>
      <c r="G19" s="1159"/>
      <c r="H19" s="1159"/>
      <c r="I19" s="753">
        <f>+I144</f>
        <v>300</v>
      </c>
    </row>
    <row r="20" spans="2:13" s="168" customFormat="1" ht="17.399999999999999" customHeight="1">
      <c r="B20" s="587"/>
      <c r="C20" s="820" t="s">
        <v>474</v>
      </c>
      <c r="D20" s="1159" t="s">
        <v>102</v>
      </c>
      <c r="E20" s="1159"/>
      <c r="F20" s="1159"/>
      <c r="G20" s="1159"/>
      <c r="H20" s="1159"/>
      <c r="I20" s="753">
        <v>0</v>
      </c>
    </row>
    <row r="21" spans="2:13" s="168" customFormat="1" ht="20.25" customHeight="1" thickBot="1">
      <c r="B21" s="587"/>
      <c r="C21" s="1154" t="s">
        <v>26</v>
      </c>
      <c r="D21" s="1155"/>
      <c r="E21" s="1155"/>
      <c r="F21" s="1155"/>
      <c r="G21" s="1155"/>
      <c r="H21" s="1155"/>
      <c r="I21" s="754">
        <f>SUM(I17:I20)</f>
        <v>16176.5</v>
      </c>
      <c r="J21" s="170"/>
      <c r="K21" s="171"/>
      <c r="L21" s="170"/>
    </row>
    <row r="22" spans="2:13" ht="18" customHeight="1">
      <c r="C22" s="585"/>
      <c r="D22" s="592"/>
      <c r="E22" s="592"/>
      <c r="F22" s="593"/>
    </row>
    <row r="23" spans="2:13" ht="27" customHeight="1">
      <c r="B23" s="1082" t="s">
        <v>479</v>
      </c>
      <c r="C23" s="1082"/>
      <c r="D23" s="1082"/>
      <c r="E23" s="1082"/>
      <c r="F23" s="1082"/>
      <c r="G23" s="1082"/>
      <c r="H23" s="1082"/>
      <c r="I23" s="1082"/>
    </row>
    <row r="24" spans="2:13" ht="10.95" customHeight="1">
      <c r="B24" s="598"/>
      <c r="C24" s="599"/>
      <c r="D24" s="600"/>
      <c r="E24" s="600"/>
      <c r="F24" s="601"/>
      <c r="G24" s="601"/>
      <c r="H24" s="599"/>
      <c r="I24" s="599"/>
    </row>
    <row r="25" spans="2:13" ht="19.95" customHeight="1">
      <c r="B25" s="1111" t="s">
        <v>519</v>
      </c>
      <c r="C25" s="1111"/>
      <c r="D25" s="1111"/>
      <c r="E25" s="1111"/>
      <c r="F25" s="1111"/>
      <c r="G25" s="1111"/>
      <c r="H25" s="1111"/>
      <c r="I25" s="1111"/>
    </row>
    <row r="26" spans="2:13" ht="13.5" customHeight="1">
      <c r="B26" s="582"/>
      <c r="C26" s="582"/>
      <c r="D26" s="602"/>
      <c r="E26" s="602"/>
      <c r="F26" s="603"/>
      <c r="G26" s="603"/>
      <c r="H26" s="582"/>
      <c r="I26" s="582"/>
    </row>
    <row r="27" spans="2:13" s="168" customFormat="1" ht="13.5" customHeight="1">
      <c r="B27" s="604" t="s">
        <v>313</v>
      </c>
      <c r="C27" s="605"/>
      <c r="D27" s="606"/>
      <c r="E27" s="606"/>
      <c r="F27" s="606"/>
      <c r="G27" s="607"/>
      <c r="H27" s="607" t="s">
        <v>0</v>
      </c>
      <c r="I27" s="608">
        <f>ROUND((I29+I41+I62+I82+I93),2)</f>
        <v>15605</v>
      </c>
      <c r="J27" s="177"/>
      <c r="K27" s="572" t="s">
        <v>446</v>
      </c>
      <c r="L27" s="572"/>
      <c r="M27" s="572"/>
    </row>
    <row r="28" spans="2:13" s="179" customFormat="1" ht="13.5" customHeight="1">
      <c r="B28" s="609"/>
      <c r="C28" s="610"/>
      <c r="D28" s="611"/>
      <c r="E28" s="611"/>
      <c r="F28" s="611"/>
      <c r="G28" s="612"/>
      <c r="H28" s="612"/>
      <c r="I28" s="613"/>
      <c r="J28" s="240"/>
      <c r="K28" s="573" t="s">
        <v>447</v>
      </c>
      <c r="L28" s="573" t="s">
        <v>448</v>
      </c>
      <c r="M28" s="573" t="s">
        <v>44</v>
      </c>
    </row>
    <row r="29" spans="2:13" ht="13.5" customHeight="1">
      <c r="B29" s="614" t="s">
        <v>11</v>
      </c>
      <c r="C29" s="615" t="s">
        <v>10</v>
      </c>
      <c r="D29" s="616"/>
      <c r="E29" s="616"/>
      <c r="F29" s="617"/>
      <c r="G29" s="618"/>
      <c r="H29" s="619" t="s">
        <v>0</v>
      </c>
      <c r="I29" s="620">
        <f>+H38</f>
        <v>11975</v>
      </c>
      <c r="K29" s="574" t="s">
        <v>449</v>
      </c>
      <c r="L29" s="575"/>
      <c r="M29" s="575"/>
    </row>
    <row r="30" spans="2:13" ht="13.5" customHeight="1">
      <c r="B30" s="621"/>
      <c r="C30" s="622"/>
      <c r="D30" s="623"/>
      <c r="E30" s="623"/>
      <c r="F30" s="624"/>
      <c r="G30" s="624"/>
      <c r="H30" s="623"/>
      <c r="I30" s="623"/>
      <c r="K30" s="1156" t="s">
        <v>450</v>
      </c>
      <c r="L30" s="576">
        <v>20</v>
      </c>
      <c r="M30" s="1157" t="s">
        <v>451</v>
      </c>
    </row>
    <row r="31" spans="2:13" ht="13.5" customHeight="1">
      <c r="B31" s="625">
        <v>1.01</v>
      </c>
      <c r="C31" s="626" t="s">
        <v>12</v>
      </c>
      <c r="D31" s="623"/>
      <c r="E31" s="623"/>
      <c r="F31" s="624"/>
      <c r="G31" s="624"/>
      <c r="H31" s="627" t="s">
        <v>0</v>
      </c>
      <c r="I31" s="628">
        <f>+H38</f>
        <v>11975</v>
      </c>
      <c r="K31" s="1156"/>
      <c r="L31" s="576"/>
      <c r="M31" s="1157"/>
    </row>
    <row r="32" spans="2:13" ht="13.5" customHeight="1">
      <c r="B32" s="629"/>
      <c r="C32" s="596"/>
      <c r="D32" s="623"/>
      <c r="E32" s="623"/>
      <c r="F32" s="624"/>
      <c r="G32" s="624"/>
      <c r="H32" s="623"/>
      <c r="I32" s="623"/>
      <c r="K32" s="1156" t="s">
        <v>452</v>
      </c>
      <c r="L32" s="576">
        <f>5*30</f>
        <v>150</v>
      </c>
      <c r="M32" s="1157" t="s">
        <v>451</v>
      </c>
    </row>
    <row r="33" spans="2:14" ht="13.5" customHeight="1">
      <c r="B33" s="582"/>
      <c r="C33" s="859" t="s">
        <v>553</v>
      </c>
      <c r="D33" s="596"/>
      <c r="E33" s="596"/>
      <c r="F33" s="630"/>
      <c r="G33" s="630"/>
      <c r="H33" s="596"/>
      <c r="I33" s="623"/>
      <c r="K33" s="1156"/>
      <c r="L33" s="576"/>
      <c r="M33" s="1157"/>
    </row>
    <row r="34" spans="2:14" ht="13.5" customHeight="1">
      <c r="B34" s="582"/>
      <c r="C34" s="626"/>
      <c r="D34" s="596"/>
      <c r="E34" s="596"/>
      <c r="F34" s="630"/>
      <c r="G34" s="630"/>
      <c r="H34" s="596"/>
      <c r="I34" s="623"/>
      <c r="K34" s="1156" t="s">
        <v>453</v>
      </c>
      <c r="L34" s="576">
        <v>20</v>
      </c>
      <c r="M34" s="1157" t="s">
        <v>451</v>
      </c>
    </row>
    <row r="35" spans="2:14" ht="13.5" customHeight="1">
      <c r="B35" s="631"/>
      <c r="C35" s="643" t="s">
        <v>30</v>
      </c>
      <c r="D35" s="633" t="s">
        <v>31</v>
      </c>
      <c r="E35" s="633" t="s">
        <v>291</v>
      </c>
      <c r="F35" s="633" t="s">
        <v>32</v>
      </c>
      <c r="G35" s="633" t="s">
        <v>13</v>
      </c>
      <c r="H35" s="633" t="s">
        <v>4</v>
      </c>
      <c r="I35" s="623"/>
      <c r="K35" s="1156"/>
      <c r="L35" s="576"/>
      <c r="M35" s="1157"/>
    </row>
    <row r="36" spans="2:14" ht="13.5" customHeight="1">
      <c r="B36" s="634"/>
      <c r="C36" s="644" t="s">
        <v>556</v>
      </c>
      <c r="D36" s="645">
        <v>1</v>
      </c>
      <c r="E36" s="645">
        <v>0.5</v>
      </c>
      <c r="F36" s="645">
        <v>3</v>
      </c>
      <c r="G36" s="645">
        <v>5750</v>
      </c>
      <c r="H36" s="644">
        <f>PRODUCT(D36:G36)</f>
        <v>8625</v>
      </c>
      <c r="K36" s="1156" t="s">
        <v>454</v>
      </c>
      <c r="L36" s="576">
        <v>540</v>
      </c>
      <c r="M36" s="1157" t="s">
        <v>451</v>
      </c>
      <c r="N36" s="161">
        <f>18*30</f>
        <v>540</v>
      </c>
    </row>
    <row r="37" spans="2:14" ht="13.5" customHeight="1">
      <c r="B37" s="634"/>
      <c r="C37" s="644" t="s">
        <v>308</v>
      </c>
      <c r="D37" s="645">
        <v>1</v>
      </c>
      <c r="E37" s="645">
        <v>0.5</v>
      </c>
      <c r="F37" s="645">
        <v>2</v>
      </c>
      <c r="G37" s="858">
        <v>3350</v>
      </c>
      <c r="H37" s="644">
        <f>PRODUCT(D37:G37)</f>
        <v>3350</v>
      </c>
      <c r="K37" s="1156"/>
      <c r="L37" s="576"/>
      <c r="M37" s="1157"/>
    </row>
    <row r="38" spans="2:14" ht="13.5" customHeight="1">
      <c r="B38" s="647"/>
      <c r="C38" s="1095" t="s">
        <v>3</v>
      </c>
      <c r="D38" s="1095"/>
      <c r="E38" s="1095"/>
      <c r="F38" s="1095"/>
      <c r="G38" s="1095"/>
      <c r="H38" s="635">
        <f>SUM(H36:H37)</f>
        <v>11975</v>
      </c>
      <c r="I38" s="596"/>
      <c r="K38" s="1156" t="s">
        <v>455</v>
      </c>
      <c r="L38" s="576">
        <v>25</v>
      </c>
      <c r="M38" s="1157" t="s">
        <v>451</v>
      </c>
    </row>
    <row r="39" spans="2:14" ht="13.5" customHeight="1">
      <c r="B39" s="582"/>
      <c r="C39" s="623"/>
      <c r="D39" s="623"/>
      <c r="E39" s="623"/>
      <c r="F39" s="624"/>
      <c r="G39" s="624"/>
      <c r="H39" s="623"/>
      <c r="I39" s="623"/>
      <c r="K39" s="1156"/>
      <c r="L39" s="576"/>
      <c r="M39" s="1157"/>
    </row>
    <row r="40" spans="2:14" ht="13.5" customHeight="1">
      <c r="B40" s="582"/>
      <c r="C40" s="623"/>
      <c r="D40" s="623"/>
      <c r="E40" s="623"/>
      <c r="F40" s="624"/>
      <c r="G40" s="624"/>
      <c r="H40" s="623"/>
      <c r="I40" s="623"/>
      <c r="K40" s="1156" t="s">
        <v>456</v>
      </c>
      <c r="L40" s="576">
        <v>60</v>
      </c>
      <c r="M40" s="1157" t="s">
        <v>451</v>
      </c>
    </row>
    <row r="41" spans="2:14" ht="13.5" customHeight="1">
      <c r="B41" s="614">
        <v>2</v>
      </c>
      <c r="C41" s="615" t="s">
        <v>15</v>
      </c>
      <c r="D41" s="616"/>
      <c r="E41" s="616"/>
      <c r="F41" s="617"/>
      <c r="G41" s="618"/>
      <c r="H41" s="619" t="s">
        <v>0</v>
      </c>
      <c r="I41" s="620">
        <f>+H50+H59</f>
        <v>1442.9875</v>
      </c>
      <c r="K41" s="1156"/>
      <c r="L41" s="576"/>
      <c r="M41" s="1157"/>
    </row>
    <row r="42" spans="2:14" ht="13.5" customHeight="1">
      <c r="B42" s="621"/>
      <c r="C42" s="622"/>
      <c r="D42" s="623"/>
      <c r="E42" s="623"/>
      <c r="F42" s="624"/>
      <c r="G42" s="624"/>
      <c r="H42" s="623"/>
      <c r="I42" s="623"/>
      <c r="K42" s="1158" t="s">
        <v>3</v>
      </c>
      <c r="L42" s="575">
        <f>SUM(L30:L41)</f>
        <v>815</v>
      </c>
      <c r="M42" s="575" t="s">
        <v>451</v>
      </c>
    </row>
    <row r="43" spans="2:14" ht="13.5" customHeight="1">
      <c r="B43" s="625">
        <v>2.0099999999999998</v>
      </c>
      <c r="C43" s="626" t="s">
        <v>95</v>
      </c>
      <c r="D43" s="623"/>
      <c r="E43" s="623"/>
      <c r="F43" s="624"/>
      <c r="G43" s="624"/>
      <c r="H43" s="627" t="s">
        <v>0</v>
      </c>
      <c r="I43" s="628">
        <f>+H50</f>
        <v>1077.75</v>
      </c>
      <c r="K43" s="1158"/>
      <c r="L43" s="577">
        <f>+L42/30</f>
        <v>27.166666666666668</v>
      </c>
      <c r="M43" s="575" t="s">
        <v>32</v>
      </c>
    </row>
    <row r="44" spans="2:14" ht="13.5" customHeight="1">
      <c r="B44" s="648"/>
      <c r="C44" s="626"/>
      <c r="D44" s="623"/>
      <c r="E44" s="623"/>
      <c r="F44" s="624"/>
      <c r="G44" s="624"/>
      <c r="H44" s="623"/>
      <c r="I44" s="623"/>
    </row>
    <row r="45" spans="2:14" ht="13.5" customHeight="1">
      <c r="B45" s="629"/>
      <c r="C45" s="626" t="s">
        <v>29</v>
      </c>
      <c r="D45" s="596"/>
      <c r="E45" s="596"/>
      <c r="F45" s="630"/>
      <c r="G45" s="630"/>
      <c r="H45" s="623"/>
      <c r="I45" s="623"/>
    </row>
    <row r="46" spans="2:14" ht="13.5" customHeight="1">
      <c r="B46" s="629"/>
      <c r="C46" s="626"/>
      <c r="D46" s="596"/>
      <c r="E46" s="596"/>
      <c r="F46" s="630"/>
      <c r="G46" s="630"/>
      <c r="H46" s="623"/>
      <c r="I46" s="623"/>
    </row>
    <row r="47" spans="2:14" ht="13.5" customHeight="1">
      <c r="B47" s="582"/>
      <c r="C47" s="643" t="s">
        <v>30</v>
      </c>
      <c r="D47" s="633" t="s">
        <v>31</v>
      </c>
      <c r="E47" s="633" t="str">
        <f>+E35</f>
        <v>COEF. PARTIC.</v>
      </c>
      <c r="F47" s="633" t="s">
        <v>32</v>
      </c>
      <c r="G47" s="633" t="s">
        <v>13</v>
      </c>
      <c r="H47" s="633" t="s">
        <v>4</v>
      </c>
      <c r="I47" s="623"/>
    </row>
    <row r="48" spans="2:14" ht="13.5" customHeight="1">
      <c r="B48" s="582"/>
      <c r="C48" s="644" t="str">
        <f>+C36</f>
        <v>COORDINADOR DE OBRAS (INGENIERO CIVIL O ARQUITECTO)</v>
      </c>
      <c r="D48" s="645">
        <f>+D36</f>
        <v>1</v>
      </c>
      <c r="E48" s="645">
        <f>+E36</f>
        <v>0.5</v>
      </c>
      <c r="F48" s="645">
        <f>+F36</f>
        <v>3</v>
      </c>
      <c r="G48" s="858">
        <f>+G36*0.09</f>
        <v>517.5</v>
      </c>
      <c r="H48" s="644">
        <f>PRODUCT(D48:G48)</f>
        <v>776.25</v>
      </c>
      <c r="I48" s="623"/>
    </row>
    <row r="49" spans="2:9" ht="13.5" customHeight="1">
      <c r="B49" s="582"/>
      <c r="C49" s="644" t="str">
        <f>+C37</f>
        <v>ASISTENTE ADMINISTRATIVO</v>
      </c>
      <c r="D49" s="645">
        <f>+D37</f>
        <v>1</v>
      </c>
      <c r="E49" s="645">
        <f>+E37</f>
        <v>0.5</v>
      </c>
      <c r="F49" s="645">
        <f>+F37</f>
        <v>2</v>
      </c>
      <c r="G49" s="858">
        <f>+G37*0.09</f>
        <v>301.5</v>
      </c>
      <c r="H49" s="644">
        <f>PRODUCT(D49:G49)</f>
        <v>301.5</v>
      </c>
      <c r="I49" s="623"/>
    </row>
    <row r="50" spans="2:9" ht="13.5" customHeight="1">
      <c r="B50" s="582"/>
      <c r="C50" s="1105" t="s">
        <v>3</v>
      </c>
      <c r="D50" s="1106"/>
      <c r="E50" s="1106"/>
      <c r="F50" s="1106"/>
      <c r="G50" s="1107"/>
      <c r="H50" s="635">
        <f>SUM(H48:H49)</f>
        <v>1077.75</v>
      </c>
      <c r="I50" s="623"/>
    </row>
    <row r="51" spans="2:9" ht="13.5" customHeight="1">
      <c r="B51" s="582"/>
      <c r="C51" s="649"/>
      <c r="D51" s="649"/>
      <c r="E51" s="649"/>
      <c r="F51" s="624"/>
      <c r="G51" s="624"/>
      <c r="H51" s="623"/>
      <c r="I51" s="623"/>
    </row>
    <row r="52" spans="2:9" ht="13.5" customHeight="1">
      <c r="B52" s="625">
        <v>2.02</v>
      </c>
      <c r="C52" s="859" t="s">
        <v>554</v>
      </c>
      <c r="D52" s="623"/>
      <c r="E52" s="623"/>
      <c r="F52" s="624"/>
      <c r="G52" s="624"/>
      <c r="H52" s="627" t="s">
        <v>0</v>
      </c>
      <c r="I52" s="628">
        <f>+H59</f>
        <v>365.23750000000001</v>
      </c>
    </row>
    <row r="53" spans="2:9" ht="13.5" customHeight="1">
      <c r="B53" s="648"/>
      <c r="C53" s="626"/>
      <c r="D53" s="623"/>
      <c r="E53" s="623"/>
      <c r="F53" s="624"/>
      <c r="G53" s="624"/>
      <c r="H53" s="623"/>
      <c r="I53" s="623"/>
    </row>
    <row r="54" spans="2:9" ht="13.5" customHeight="1">
      <c r="B54" s="582"/>
      <c r="C54" s="626" t="s">
        <v>29</v>
      </c>
      <c r="D54" s="596"/>
      <c r="E54" s="596"/>
      <c r="F54" s="630"/>
      <c r="G54" s="630"/>
      <c r="H54" s="623"/>
      <c r="I54" s="623"/>
    </row>
    <row r="55" spans="2:9" ht="13.5" customHeight="1">
      <c r="B55" s="582"/>
      <c r="C55" s="626"/>
      <c r="D55" s="596"/>
      <c r="E55" s="596"/>
      <c r="F55" s="630"/>
      <c r="G55" s="630"/>
      <c r="H55" s="623"/>
      <c r="I55" s="623"/>
    </row>
    <row r="56" spans="2:9" ht="13.5" customHeight="1">
      <c r="B56" s="582"/>
      <c r="C56" s="643" t="s">
        <v>30</v>
      </c>
      <c r="D56" s="633" t="s">
        <v>31</v>
      </c>
      <c r="E56" s="633" t="str">
        <f>+E35</f>
        <v>COEF. PARTIC.</v>
      </c>
      <c r="F56" s="633" t="s">
        <v>32</v>
      </c>
      <c r="G56" s="633" t="s">
        <v>13</v>
      </c>
      <c r="H56" s="633" t="s">
        <v>4</v>
      </c>
      <c r="I56" s="623"/>
    </row>
    <row r="57" spans="2:9" ht="13.5" customHeight="1">
      <c r="B57" s="582"/>
      <c r="C57" s="644" t="str">
        <f>+C36</f>
        <v>COORDINADOR DE OBRAS (INGENIERO CIVIL O ARQUITECTO)</v>
      </c>
      <c r="D57" s="645">
        <f>+D36</f>
        <v>1</v>
      </c>
      <c r="E57" s="645">
        <f>+E36</f>
        <v>0.5</v>
      </c>
      <c r="F57" s="645">
        <f>+F36</f>
        <v>3</v>
      </c>
      <c r="G57" s="645">
        <f>+G36*0.0305</f>
        <v>175.375</v>
      </c>
      <c r="H57" s="644">
        <f>PRODUCT(D57:G57)</f>
        <v>263.0625</v>
      </c>
      <c r="I57" s="623"/>
    </row>
    <row r="58" spans="2:9" ht="13.5" customHeight="1">
      <c r="B58" s="582"/>
      <c r="C58" s="644" t="str">
        <f>+C37</f>
        <v>ASISTENTE ADMINISTRATIVO</v>
      </c>
      <c r="D58" s="645">
        <f>+D37</f>
        <v>1</v>
      </c>
      <c r="E58" s="645">
        <f>+E37</f>
        <v>0.5</v>
      </c>
      <c r="F58" s="645">
        <f>+F37</f>
        <v>2</v>
      </c>
      <c r="G58" s="645">
        <f>+G37*0.0305</f>
        <v>102.175</v>
      </c>
      <c r="H58" s="644">
        <f>PRODUCT(D58:G58)</f>
        <v>102.175</v>
      </c>
      <c r="I58" s="623"/>
    </row>
    <row r="59" spans="2:9" ht="13.5" customHeight="1">
      <c r="B59" s="582"/>
      <c r="C59" s="1105" t="s">
        <v>3</v>
      </c>
      <c r="D59" s="1106"/>
      <c r="E59" s="1106"/>
      <c r="F59" s="1106"/>
      <c r="G59" s="1107"/>
      <c r="H59" s="635">
        <f>SUM(H57:H58)</f>
        <v>365.23750000000001</v>
      </c>
      <c r="I59" s="623"/>
    </row>
    <row r="60" spans="2:9" ht="13.5" customHeight="1">
      <c r="B60" s="582"/>
      <c r="C60" s="640"/>
      <c r="D60" s="640"/>
      <c r="E60" s="640"/>
      <c r="F60" s="640"/>
      <c r="G60" s="640"/>
      <c r="H60" s="623"/>
      <c r="I60" s="623"/>
    </row>
    <row r="61" spans="2:9" ht="13.5" customHeight="1">
      <c r="B61" s="582"/>
      <c r="C61" s="623"/>
      <c r="D61" s="623"/>
      <c r="E61" s="623"/>
      <c r="F61" s="624"/>
      <c r="G61" s="624"/>
      <c r="H61" s="623"/>
      <c r="I61" s="623"/>
    </row>
    <row r="62" spans="2:9" ht="13.5" customHeight="1">
      <c r="B62" s="614">
        <v>3</v>
      </c>
      <c r="C62" s="615" t="s">
        <v>16</v>
      </c>
      <c r="D62" s="616"/>
      <c r="E62" s="616"/>
      <c r="F62" s="617"/>
      <c r="G62" s="618"/>
      <c r="H62" s="619" t="s">
        <v>0</v>
      </c>
      <c r="I62" s="620">
        <f>+H71+H80</f>
        <v>1829.5138888888889</v>
      </c>
    </row>
    <row r="63" spans="2:9" ht="13.5" customHeight="1">
      <c r="B63" s="650"/>
      <c r="C63" s="651"/>
      <c r="D63" s="623"/>
      <c r="E63" s="623"/>
      <c r="F63" s="596"/>
      <c r="G63" s="642"/>
      <c r="H63" s="627"/>
      <c r="I63" s="628"/>
    </row>
    <row r="64" spans="2:9" ht="13.5" customHeight="1">
      <c r="B64" s="625">
        <v>3.01</v>
      </c>
      <c r="C64" s="626" t="s">
        <v>419</v>
      </c>
      <c r="D64" s="623"/>
      <c r="E64" s="623"/>
      <c r="F64" s="624"/>
      <c r="G64" s="624"/>
      <c r="H64" s="627" t="s">
        <v>0</v>
      </c>
      <c r="I64" s="628">
        <f>+H71</f>
        <v>1796.25</v>
      </c>
    </row>
    <row r="65" spans="2:9" ht="13.5" customHeight="1">
      <c r="B65" s="648"/>
      <c r="C65" s="626"/>
      <c r="D65" s="623"/>
      <c r="E65" s="623"/>
      <c r="F65" s="624"/>
      <c r="G65" s="624"/>
      <c r="H65" s="623"/>
      <c r="I65" s="623"/>
    </row>
    <row r="66" spans="2:9" ht="13.5" customHeight="1">
      <c r="B66" s="582"/>
      <c r="C66" s="652" t="s">
        <v>29</v>
      </c>
      <c r="D66" s="596"/>
      <c r="E66" s="596"/>
      <c r="F66" s="630"/>
      <c r="G66" s="630"/>
      <c r="H66" s="596"/>
      <c r="I66" s="624"/>
    </row>
    <row r="67" spans="2:9" ht="13.5" customHeight="1">
      <c r="B67" s="582"/>
      <c r="C67" s="652"/>
      <c r="D67" s="596"/>
      <c r="E67" s="596"/>
      <c r="F67" s="630"/>
      <c r="G67" s="630"/>
      <c r="H67" s="596"/>
      <c r="I67" s="624"/>
    </row>
    <row r="68" spans="2:9" ht="13.5" customHeight="1">
      <c r="B68" s="582"/>
      <c r="C68" s="643" t="s">
        <v>30</v>
      </c>
      <c r="D68" s="633" t="s">
        <v>31</v>
      </c>
      <c r="E68" s="633" t="str">
        <f>+E35</f>
        <v>COEF. PARTIC.</v>
      </c>
      <c r="F68" s="633" t="s">
        <v>32</v>
      </c>
      <c r="G68" s="633" t="s">
        <v>13</v>
      </c>
      <c r="H68" s="633" t="s">
        <v>4</v>
      </c>
      <c r="I68" s="623"/>
    </row>
    <row r="69" spans="2:9" ht="13.5" customHeight="1">
      <c r="B69" s="582"/>
      <c r="C69" s="644" t="str">
        <f>+C36</f>
        <v>COORDINADOR DE OBRAS (INGENIERO CIVIL O ARQUITECTO)</v>
      </c>
      <c r="D69" s="645">
        <f>+D36</f>
        <v>1</v>
      </c>
      <c r="E69" s="645">
        <f>+E36</f>
        <v>0.5</v>
      </c>
      <c r="F69" s="645">
        <f>+F36</f>
        <v>3</v>
      </c>
      <c r="G69" s="645">
        <f>+G36*0.15</f>
        <v>862.5</v>
      </c>
      <c r="H69" s="644">
        <f>PRODUCT(D69:G69)</f>
        <v>1293.75</v>
      </c>
      <c r="I69" s="623"/>
    </row>
    <row r="70" spans="2:9" ht="13.5" customHeight="1">
      <c r="B70" s="582"/>
      <c r="C70" s="644" t="str">
        <f>+C37</f>
        <v>ASISTENTE ADMINISTRATIVO</v>
      </c>
      <c r="D70" s="645">
        <f>+D37</f>
        <v>1</v>
      </c>
      <c r="E70" s="645">
        <f>+E37</f>
        <v>0.5</v>
      </c>
      <c r="F70" s="645">
        <f>+F37</f>
        <v>2</v>
      </c>
      <c r="G70" s="645">
        <f>+G37*0.15</f>
        <v>502.5</v>
      </c>
      <c r="H70" s="644">
        <f>PRODUCT(D70:G70)</f>
        <v>502.5</v>
      </c>
      <c r="I70" s="623"/>
    </row>
    <row r="71" spans="2:9" ht="13.5" customHeight="1">
      <c r="B71" s="582"/>
      <c r="C71" s="1105" t="s">
        <v>3</v>
      </c>
      <c r="D71" s="1106"/>
      <c r="E71" s="1106"/>
      <c r="F71" s="1106"/>
      <c r="G71" s="1107"/>
      <c r="H71" s="635">
        <f>SUM(H69:H70)</f>
        <v>1796.25</v>
      </c>
      <c r="I71" s="623"/>
    </row>
    <row r="72" spans="2:9" ht="13.5" customHeight="1">
      <c r="B72" s="582"/>
      <c r="C72" s="623"/>
      <c r="D72" s="623"/>
      <c r="E72" s="623"/>
      <c r="F72" s="624"/>
      <c r="G72" s="624"/>
      <c r="H72" s="623"/>
      <c r="I72" s="623"/>
    </row>
    <row r="73" spans="2:9" ht="13.5" customHeight="1">
      <c r="B73" s="625">
        <v>3.02</v>
      </c>
      <c r="C73" s="859" t="s">
        <v>97</v>
      </c>
      <c r="D73" s="623"/>
      <c r="E73" s="623"/>
      <c r="F73" s="624"/>
      <c r="G73" s="624"/>
      <c r="H73" s="627" t="s">
        <v>0</v>
      </c>
      <c r="I73" s="628">
        <f>+H80</f>
        <v>33.263888888888886</v>
      </c>
    </row>
    <row r="74" spans="2:9" ht="13.5" customHeight="1">
      <c r="B74" s="648"/>
      <c r="C74" s="626"/>
      <c r="D74" s="623"/>
      <c r="E74" s="623"/>
      <c r="F74" s="624"/>
      <c r="G74" s="624"/>
      <c r="H74" s="623"/>
      <c r="I74" s="623"/>
    </row>
    <row r="75" spans="2:9" ht="13.5" customHeight="1">
      <c r="B75" s="582"/>
      <c r="C75" s="652" t="s">
        <v>29</v>
      </c>
      <c r="D75" s="596"/>
      <c r="E75" s="596"/>
      <c r="F75" s="630"/>
      <c r="G75" s="630"/>
      <c r="H75" s="596"/>
      <c r="I75" s="624"/>
    </row>
    <row r="76" spans="2:9" ht="13.5" customHeight="1">
      <c r="B76" s="582"/>
      <c r="C76" s="652"/>
      <c r="D76" s="596"/>
      <c r="E76" s="596"/>
      <c r="F76" s="630"/>
      <c r="G76" s="630"/>
      <c r="H76" s="596"/>
      <c r="I76" s="624"/>
    </row>
    <row r="77" spans="2:9" ht="13.5" customHeight="1">
      <c r="B77" s="582"/>
      <c r="C77" s="643" t="s">
        <v>30</v>
      </c>
      <c r="D77" s="633" t="s">
        <v>31</v>
      </c>
      <c r="E77" s="633" t="str">
        <f>+E35</f>
        <v>COEF. PARTIC.</v>
      </c>
      <c r="F77" s="633" t="s">
        <v>32</v>
      </c>
      <c r="G77" s="633" t="s">
        <v>13</v>
      </c>
      <c r="H77" s="633" t="s">
        <v>4</v>
      </c>
      <c r="I77" s="623"/>
    </row>
    <row r="78" spans="2:9" ht="13.5" customHeight="1">
      <c r="B78" s="582"/>
      <c r="C78" s="644" t="str">
        <f>+C36</f>
        <v>COORDINADOR DE OBRAS (INGENIERO CIVIL O ARQUITECTO)</v>
      </c>
      <c r="D78" s="645">
        <f>+D36</f>
        <v>1</v>
      </c>
      <c r="E78" s="645">
        <f>+E36</f>
        <v>0.5</v>
      </c>
      <c r="F78" s="645">
        <f>+F36</f>
        <v>3</v>
      </c>
      <c r="G78" s="858">
        <f>+G36/360</f>
        <v>15.972222222222221</v>
      </c>
      <c r="H78" s="644">
        <f>PRODUCT(D78:G78)</f>
        <v>23.958333333333332</v>
      </c>
      <c r="I78" s="623"/>
    </row>
    <row r="79" spans="2:9" ht="13.5" customHeight="1">
      <c r="B79" s="582"/>
      <c r="C79" s="644" t="str">
        <f>+C37</f>
        <v>ASISTENTE ADMINISTRATIVO</v>
      </c>
      <c r="D79" s="645">
        <f>+D37</f>
        <v>1</v>
      </c>
      <c r="E79" s="645">
        <f>+E37</f>
        <v>0.5</v>
      </c>
      <c r="F79" s="645">
        <f>+F37</f>
        <v>2</v>
      </c>
      <c r="G79" s="858">
        <f>+G37/360</f>
        <v>9.3055555555555554</v>
      </c>
      <c r="H79" s="644">
        <f>PRODUCT(D79:G79)</f>
        <v>9.3055555555555554</v>
      </c>
      <c r="I79" s="623"/>
    </row>
    <row r="80" spans="2:9" ht="13.5" customHeight="1">
      <c r="B80" s="582"/>
      <c r="C80" s="1105" t="s">
        <v>3</v>
      </c>
      <c r="D80" s="1106"/>
      <c r="E80" s="1106"/>
      <c r="F80" s="1106"/>
      <c r="G80" s="1107"/>
      <c r="H80" s="635">
        <f>SUM(H78:H79)</f>
        <v>33.263888888888886</v>
      </c>
      <c r="I80" s="623"/>
    </row>
    <row r="81" spans="2:9" ht="13.5" customHeight="1">
      <c r="B81" s="582"/>
      <c r="C81" s="623"/>
      <c r="D81" s="623"/>
      <c r="E81" s="623"/>
      <c r="F81" s="624"/>
      <c r="G81" s="624"/>
      <c r="H81" s="623"/>
      <c r="I81" s="623"/>
    </row>
    <row r="82" spans="2:9" ht="13.5" customHeight="1">
      <c r="B82" s="614">
        <v>4</v>
      </c>
      <c r="C82" s="615" t="s">
        <v>214</v>
      </c>
      <c r="D82" s="616"/>
      <c r="E82" s="616"/>
      <c r="F82" s="617"/>
      <c r="G82" s="618"/>
      <c r="H82" s="619" t="s">
        <v>0</v>
      </c>
      <c r="I82" s="620">
        <f>+I84</f>
        <v>125</v>
      </c>
    </row>
    <row r="83" spans="2:9" ht="13.5" customHeight="1">
      <c r="B83" s="650"/>
      <c r="C83" s="651"/>
      <c r="D83" s="623"/>
      <c r="E83" s="623"/>
      <c r="F83" s="596"/>
      <c r="G83" s="642"/>
      <c r="H83" s="627"/>
      <c r="I83" s="628"/>
    </row>
    <row r="84" spans="2:9" ht="13.5" customHeight="1">
      <c r="B84" s="625">
        <v>4.01</v>
      </c>
      <c r="C84" s="626" t="s">
        <v>96</v>
      </c>
      <c r="D84" s="653">
        <v>300</v>
      </c>
      <c r="E84" s="653"/>
      <c r="F84" s="624"/>
      <c r="G84" s="624"/>
      <c r="H84" s="627" t="s">
        <v>0</v>
      </c>
      <c r="I84" s="628">
        <f>+H91</f>
        <v>125</v>
      </c>
    </row>
    <row r="85" spans="2:9" ht="13.5" customHeight="1">
      <c r="B85" s="648"/>
      <c r="C85" s="626"/>
      <c r="D85" s="623"/>
      <c r="E85" s="623"/>
      <c r="F85" s="624"/>
      <c r="G85" s="624"/>
      <c r="H85" s="623"/>
      <c r="I85" s="623"/>
    </row>
    <row r="86" spans="2:9" ht="13.5" customHeight="1">
      <c r="B86" s="582"/>
      <c r="C86" s="652" t="s">
        <v>29</v>
      </c>
      <c r="D86" s="596"/>
      <c r="E86" s="596"/>
      <c r="F86" s="630"/>
      <c r="G86" s="630"/>
      <c r="H86" s="596"/>
      <c r="I86" s="624"/>
    </row>
    <row r="87" spans="2:9" ht="13.5" customHeight="1">
      <c r="B87" s="582"/>
      <c r="C87" s="652"/>
      <c r="D87" s="596"/>
      <c r="E87" s="596"/>
      <c r="F87" s="630"/>
      <c r="G87" s="630"/>
      <c r="H87" s="596"/>
      <c r="I87" s="624"/>
    </row>
    <row r="88" spans="2:9" ht="13.5" customHeight="1">
      <c r="B88" s="582"/>
      <c r="C88" s="643" t="s">
        <v>30</v>
      </c>
      <c r="D88" s="633" t="s">
        <v>31</v>
      </c>
      <c r="E88" s="633" t="str">
        <f>+E35</f>
        <v>COEF. PARTIC.</v>
      </c>
      <c r="F88" s="633" t="s">
        <v>32</v>
      </c>
      <c r="G88" s="633" t="s">
        <v>13</v>
      </c>
      <c r="H88" s="633" t="s">
        <v>4</v>
      </c>
      <c r="I88" s="623"/>
    </row>
    <row r="89" spans="2:9" ht="13.5" customHeight="1">
      <c r="B89" s="582"/>
      <c r="C89" s="644" t="str">
        <f>+C36</f>
        <v>COORDINADOR DE OBRAS (INGENIERO CIVIL O ARQUITECTO)</v>
      </c>
      <c r="D89" s="645">
        <f>+D36</f>
        <v>1</v>
      </c>
      <c r="E89" s="645">
        <f>+E36</f>
        <v>0.5</v>
      </c>
      <c r="F89" s="645">
        <f>+F36</f>
        <v>3</v>
      </c>
      <c r="G89" s="645">
        <f>($D$84*2)/12*(F89*E89)</f>
        <v>75</v>
      </c>
      <c r="H89" s="692">
        <f>+D89*G89</f>
        <v>75</v>
      </c>
      <c r="I89" s="623"/>
    </row>
    <row r="90" spans="2:9" ht="13.5" customHeight="1">
      <c r="B90" s="582"/>
      <c r="C90" s="644" t="str">
        <f>+C37</f>
        <v>ASISTENTE ADMINISTRATIVO</v>
      </c>
      <c r="D90" s="645">
        <f>+D37</f>
        <v>1</v>
      </c>
      <c r="E90" s="645">
        <f>+E37</f>
        <v>0.5</v>
      </c>
      <c r="F90" s="645">
        <f>+F37</f>
        <v>2</v>
      </c>
      <c r="G90" s="645">
        <f>($D$84*2)/12*(F90*E90)</f>
        <v>50</v>
      </c>
      <c r="H90" s="692">
        <f>+D90*G90</f>
        <v>50</v>
      </c>
      <c r="I90" s="623"/>
    </row>
    <row r="91" spans="2:9" ht="13.5" customHeight="1">
      <c r="B91" s="582"/>
      <c r="C91" s="1105" t="s">
        <v>3</v>
      </c>
      <c r="D91" s="1106"/>
      <c r="E91" s="1106"/>
      <c r="F91" s="1106"/>
      <c r="G91" s="1107"/>
      <c r="H91" s="635">
        <f>SUM(H89:H90)</f>
        <v>125</v>
      </c>
      <c r="I91" s="623"/>
    </row>
    <row r="92" spans="2:9" ht="13.5" customHeight="1">
      <c r="B92" s="582"/>
      <c r="C92" s="623"/>
      <c r="D92" s="623"/>
      <c r="E92" s="623"/>
      <c r="F92" s="624"/>
      <c r="G92" s="624"/>
      <c r="H92" s="623"/>
      <c r="I92" s="623"/>
    </row>
    <row r="93" spans="2:9" ht="13.5" customHeight="1">
      <c r="B93" s="614">
        <v>5</v>
      </c>
      <c r="C93" s="615" t="s">
        <v>417</v>
      </c>
      <c r="D93" s="616"/>
      <c r="E93" s="616"/>
      <c r="F93" s="617"/>
      <c r="G93" s="618"/>
      <c r="H93" s="619" t="s">
        <v>0</v>
      </c>
      <c r="I93" s="620">
        <f>+I95</f>
        <v>232.5</v>
      </c>
    </row>
    <row r="94" spans="2:9" ht="13.5" customHeight="1">
      <c r="B94" s="650"/>
      <c r="C94" s="651"/>
      <c r="D94" s="623"/>
      <c r="E94" s="623"/>
      <c r="F94" s="596"/>
      <c r="G94" s="642"/>
      <c r="H94" s="627"/>
      <c r="I94" s="628"/>
    </row>
    <row r="95" spans="2:9" ht="13.5" customHeight="1">
      <c r="B95" s="625">
        <v>4.01</v>
      </c>
      <c r="C95" s="626" t="s">
        <v>418</v>
      </c>
      <c r="D95" s="653"/>
      <c r="E95" s="653"/>
      <c r="F95" s="624"/>
      <c r="G95" s="624"/>
      <c r="H95" s="627" t="s">
        <v>0</v>
      </c>
      <c r="I95" s="628">
        <f>+H102</f>
        <v>232.5</v>
      </c>
    </row>
    <row r="96" spans="2:9" ht="13.5" customHeight="1">
      <c r="B96" s="648"/>
      <c r="C96" s="626"/>
      <c r="D96" s="623"/>
      <c r="E96" s="623"/>
      <c r="F96" s="624"/>
      <c r="G96" s="624"/>
      <c r="H96" s="623"/>
      <c r="I96" s="623"/>
    </row>
    <row r="97" spans="2:16" ht="13.5" customHeight="1">
      <c r="B97" s="582"/>
      <c r="C97" s="652" t="s">
        <v>29</v>
      </c>
      <c r="D97" s="596"/>
      <c r="E97" s="596"/>
      <c r="F97" s="630"/>
      <c r="G97" s="630"/>
      <c r="H97" s="596"/>
      <c r="I97" s="624"/>
    </row>
    <row r="98" spans="2:16" ht="13.5" customHeight="1">
      <c r="B98" s="582"/>
      <c r="C98" s="652"/>
      <c r="D98" s="596"/>
      <c r="E98" s="596"/>
      <c r="F98" s="630"/>
      <c r="G98" s="630"/>
      <c r="H98" s="596"/>
      <c r="I98" s="624"/>
    </row>
    <row r="99" spans="2:16" ht="13.5" customHeight="1">
      <c r="B99" s="582"/>
      <c r="C99" s="643" t="s">
        <v>30</v>
      </c>
      <c r="D99" s="633" t="s">
        <v>31</v>
      </c>
      <c r="E99" s="633" t="s">
        <v>291</v>
      </c>
      <c r="F99" s="633" t="s">
        <v>32</v>
      </c>
      <c r="G99" s="633" t="s">
        <v>13</v>
      </c>
      <c r="H99" s="633" t="s">
        <v>4</v>
      </c>
      <c r="I99" s="623"/>
    </row>
    <row r="100" spans="2:16" ht="13.5" customHeight="1">
      <c r="B100" s="582"/>
      <c r="C100" s="644" t="str">
        <f t="shared" ref="C100:F101" si="0">+C36</f>
        <v>COORDINADOR DE OBRAS (INGENIERO CIVIL O ARQUITECTO)</v>
      </c>
      <c r="D100" s="645">
        <f t="shared" si="0"/>
        <v>1</v>
      </c>
      <c r="E100" s="645">
        <f t="shared" si="0"/>
        <v>0.5</v>
      </c>
      <c r="F100" s="645">
        <f t="shared" si="0"/>
        <v>3</v>
      </c>
      <c r="G100" s="858">
        <f>930/10</f>
        <v>93</v>
      </c>
      <c r="H100" s="644">
        <f>PRODUCT(D100:G100)</f>
        <v>139.5</v>
      </c>
      <c r="I100" s="623"/>
    </row>
    <row r="101" spans="2:16" ht="13.5" customHeight="1">
      <c r="B101" s="582"/>
      <c r="C101" s="644" t="str">
        <f t="shared" si="0"/>
        <v>ASISTENTE ADMINISTRATIVO</v>
      </c>
      <c r="D101" s="645">
        <f t="shared" si="0"/>
        <v>1</v>
      </c>
      <c r="E101" s="645">
        <f t="shared" si="0"/>
        <v>0.5</v>
      </c>
      <c r="F101" s="645">
        <f t="shared" si="0"/>
        <v>2</v>
      </c>
      <c r="G101" s="858">
        <f>930/10</f>
        <v>93</v>
      </c>
      <c r="H101" s="644">
        <f>PRODUCT(D101:G101)</f>
        <v>93</v>
      </c>
      <c r="I101" s="623"/>
    </row>
    <row r="102" spans="2:16" ht="13.5" customHeight="1">
      <c r="B102" s="582"/>
      <c r="C102" s="1105" t="s">
        <v>3</v>
      </c>
      <c r="D102" s="1106"/>
      <c r="E102" s="1106"/>
      <c r="F102" s="1106"/>
      <c r="G102" s="1107"/>
      <c r="H102" s="635">
        <f>SUM(H100:H101)</f>
        <v>232.5</v>
      </c>
      <c r="I102" s="623"/>
    </row>
    <row r="103" spans="2:16" ht="13.5" customHeight="1">
      <c r="B103" s="582"/>
      <c r="C103" s="623"/>
      <c r="D103" s="623"/>
      <c r="E103" s="623"/>
      <c r="F103" s="624"/>
      <c r="G103" s="624"/>
      <c r="H103" s="623"/>
      <c r="I103" s="623"/>
    </row>
    <row r="104" spans="2:16" ht="13.5" customHeight="1">
      <c r="B104" s="582"/>
      <c r="C104" s="623"/>
      <c r="D104" s="623"/>
      <c r="E104" s="623"/>
      <c r="F104" s="624"/>
      <c r="G104" s="624"/>
      <c r="H104" s="623"/>
      <c r="I104" s="623"/>
    </row>
    <row r="105" spans="2:16" ht="13.5" customHeight="1">
      <c r="B105" s="636" t="s">
        <v>314</v>
      </c>
      <c r="C105" s="637"/>
      <c r="D105" s="606"/>
      <c r="E105" s="606"/>
      <c r="F105" s="606"/>
      <c r="G105" s="607"/>
      <c r="H105" s="607" t="s">
        <v>0</v>
      </c>
      <c r="I105" s="608">
        <f>+ROUND((+I107+I115),2)</f>
        <v>271.5</v>
      </c>
    </row>
    <row r="106" spans="2:16" ht="13.5" customHeight="1">
      <c r="B106" s="638"/>
      <c r="C106" s="639"/>
      <c r="D106" s="611"/>
      <c r="E106" s="611"/>
      <c r="F106" s="611"/>
      <c r="G106" s="612"/>
      <c r="H106" s="612"/>
      <c r="I106" s="613"/>
    </row>
    <row r="107" spans="2:16" ht="13.5" hidden="1" customHeight="1">
      <c r="B107" s="661">
        <v>2</v>
      </c>
      <c r="C107" s="615" t="s">
        <v>93</v>
      </c>
      <c r="D107" s="616"/>
      <c r="E107" s="616"/>
      <c r="F107" s="617"/>
      <c r="G107" s="618"/>
      <c r="H107" s="619" t="s">
        <v>0</v>
      </c>
      <c r="I107" s="620">
        <f>H113</f>
        <v>0</v>
      </c>
    </row>
    <row r="108" spans="2:16" ht="13.5" hidden="1" customHeight="1">
      <c r="B108" s="638"/>
      <c r="C108" s="639"/>
      <c r="D108" s="611"/>
      <c r="E108" s="611"/>
      <c r="F108" s="611"/>
      <c r="G108" s="612"/>
      <c r="H108" s="612"/>
      <c r="I108" s="613"/>
    </row>
    <row r="109" spans="2:16" ht="13.5" hidden="1" customHeight="1">
      <c r="B109" s="625">
        <v>2.0099999999999998</v>
      </c>
      <c r="C109" s="626" t="s">
        <v>172</v>
      </c>
      <c r="D109" s="623"/>
      <c r="E109" s="623"/>
      <c r="F109" s="623"/>
      <c r="G109" s="624"/>
      <c r="H109" s="627" t="s">
        <v>0</v>
      </c>
      <c r="I109" s="654">
        <f>H113</f>
        <v>0</v>
      </c>
    </row>
    <row r="110" spans="2:16" ht="13.5" hidden="1" customHeight="1">
      <c r="B110" s="648"/>
      <c r="C110" s="626"/>
      <c r="D110" s="623"/>
      <c r="E110" s="623"/>
      <c r="F110" s="623"/>
      <c r="G110" s="624"/>
      <c r="H110" s="623"/>
      <c r="I110" s="623"/>
    </row>
    <row r="111" spans="2:16" ht="13.5" hidden="1" customHeight="1">
      <c r="B111" s="582"/>
      <c r="C111" s="1100" t="s">
        <v>17</v>
      </c>
      <c r="D111" s="1100"/>
      <c r="E111" s="655" t="s">
        <v>2</v>
      </c>
      <c r="F111" s="655" t="s">
        <v>18</v>
      </c>
      <c r="G111" s="655" t="s">
        <v>5</v>
      </c>
      <c r="H111" s="655" t="s">
        <v>4</v>
      </c>
      <c r="I111" s="640"/>
      <c r="K111" s="744" t="s">
        <v>459</v>
      </c>
      <c r="L111" s="744" t="s">
        <v>460</v>
      </c>
      <c r="M111" s="744" t="s">
        <v>461</v>
      </c>
      <c r="N111" s="744" t="s">
        <v>462</v>
      </c>
      <c r="O111" s="744" t="s">
        <v>466</v>
      </c>
      <c r="P111" s="744" t="s">
        <v>463</v>
      </c>
    </row>
    <row r="112" spans="2:16" s="168" customFormat="1" ht="13.5" hidden="1" customHeight="1">
      <c r="B112" s="582"/>
      <c r="C112" s="1096" t="s">
        <v>279</v>
      </c>
      <c r="D112" s="1096"/>
      <c r="E112" s="656" t="s">
        <v>6</v>
      </c>
      <c r="F112" s="663">
        <v>0</v>
      </c>
      <c r="G112" s="664">
        <v>13.5</v>
      </c>
      <c r="H112" s="644">
        <f>PRODUCT(F112:G112)</f>
        <v>0</v>
      </c>
      <c r="I112" s="640"/>
      <c r="J112" s="177"/>
      <c r="K112" s="743">
        <v>1.5</v>
      </c>
      <c r="L112" s="743">
        <v>3.5</v>
      </c>
      <c r="M112" s="743">
        <v>2</v>
      </c>
      <c r="N112" s="743">
        <v>2</v>
      </c>
      <c r="O112" s="745">
        <f>+F36</f>
        <v>3</v>
      </c>
      <c r="P112" s="743">
        <f>PRODUCT(K112:O112)</f>
        <v>63</v>
      </c>
    </row>
    <row r="113" spans="2:10" s="168" customFormat="1" ht="13.5" hidden="1" customHeight="1">
      <c r="B113" s="582"/>
      <c r="C113" s="1099" t="s">
        <v>3</v>
      </c>
      <c r="D113" s="1099"/>
      <c r="E113" s="1099"/>
      <c r="F113" s="1099"/>
      <c r="G113" s="1099"/>
      <c r="H113" s="660">
        <f>SUM(H112)</f>
        <v>0</v>
      </c>
      <c r="I113" s="640"/>
      <c r="J113" s="177"/>
    </row>
    <row r="114" spans="2:10" ht="13.5" customHeight="1">
      <c r="B114" s="629"/>
      <c r="C114" s="640"/>
      <c r="D114" s="640"/>
      <c r="E114" s="640"/>
      <c r="F114" s="640"/>
      <c r="G114" s="640"/>
      <c r="H114" s="623"/>
      <c r="I114" s="596"/>
    </row>
    <row r="115" spans="2:10" ht="13.5" customHeight="1">
      <c r="B115" s="614">
        <v>1</v>
      </c>
      <c r="C115" s="615" t="s">
        <v>92</v>
      </c>
      <c r="D115" s="616"/>
      <c r="E115" s="616"/>
      <c r="F115" s="617"/>
      <c r="G115" s="618"/>
      <c r="H115" s="619" t="s">
        <v>0</v>
      </c>
      <c r="I115" s="620">
        <f>+I117</f>
        <v>271.5</v>
      </c>
    </row>
    <row r="116" spans="2:10" ht="13.5" customHeight="1">
      <c r="B116" s="650"/>
      <c r="C116" s="651"/>
      <c r="D116" s="623"/>
      <c r="E116" s="623"/>
      <c r="F116" s="624"/>
      <c r="G116" s="642"/>
      <c r="H116" s="627"/>
      <c r="I116" s="628"/>
    </row>
    <row r="117" spans="2:10" ht="13.5" customHeight="1">
      <c r="B117" s="625">
        <v>1.01</v>
      </c>
      <c r="C117" s="626" t="s">
        <v>36</v>
      </c>
      <c r="D117" s="623"/>
      <c r="E117" s="623"/>
      <c r="F117" s="624"/>
      <c r="G117" s="624"/>
      <c r="H117" s="627" t="s">
        <v>0</v>
      </c>
      <c r="I117" s="595">
        <f>+H141</f>
        <v>271.5</v>
      </c>
    </row>
    <row r="118" spans="2:10" ht="13.5" customHeight="1">
      <c r="B118" s="648"/>
      <c r="C118" s="626"/>
      <c r="D118" s="623"/>
      <c r="E118" s="623"/>
      <c r="F118" s="624"/>
      <c r="G118" s="624"/>
      <c r="H118" s="623"/>
      <c r="I118" s="596"/>
    </row>
    <row r="119" spans="2:10" ht="13.5" customHeight="1">
      <c r="B119" s="582"/>
      <c r="C119" s="1105" t="s">
        <v>34</v>
      </c>
      <c r="D119" s="1107"/>
      <c r="E119" s="633" t="s">
        <v>44</v>
      </c>
      <c r="F119" s="684" t="s">
        <v>18</v>
      </c>
      <c r="G119" s="633" t="s">
        <v>5</v>
      </c>
      <c r="H119" s="633" t="s">
        <v>4</v>
      </c>
      <c r="I119" s="596"/>
    </row>
    <row r="120" spans="2:10" ht="13.5" customHeight="1">
      <c r="B120" s="582"/>
      <c r="C120" s="1118" t="s">
        <v>259</v>
      </c>
      <c r="D120" s="1119"/>
      <c r="E120" s="676" t="s">
        <v>256</v>
      </c>
      <c r="F120" s="663">
        <v>1</v>
      </c>
      <c r="G120" s="676">
        <v>10</v>
      </c>
      <c r="H120" s="644">
        <f>PRODUCT(F120:G120)</f>
        <v>10</v>
      </c>
      <c r="I120" s="596"/>
    </row>
    <row r="121" spans="2:10" ht="13.5" customHeight="1">
      <c r="B121" s="582"/>
      <c r="C121" s="1118" t="s">
        <v>260</v>
      </c>
      <c r="D121" s="1119"/>
      <c r="E121" s="676" t="s">
        <v>256</v>
      </c>
      <c r="F121" s="663">
        <v>0</v>
      </c>
      <c r="G121" s="676">
        <v>7</v>
      </c>
      <c r="H121" s="644">
        <f t="shared" ref="H121:H140" si="1">PRODUCT(F121:G121)</f>
        <v>0</v>
      </c>
      <c r="I121" s="596"/>
    </row>
    <row r="122" spans="2:10" ht="13.5" customHeight="1">
      <c r="B122" s="582"/>
      <c r="C122" s="1118" t="s">
        <v>261</v>
      </c>
      <c r="D122" s="1119"/>
      <c r="E122" s="676" t="s">
        <v>2</v>
      </c>
      <c r="F122" s="663">
        <v>1</v>
      </c>
      <c r="G122" s="676">
        <v>25</v>
      </c>
      <c r="H122" s="644">
        <f t="shared" si="1"/>
        <v>25</v>
      </c>
      <c r="I122" s="596"/>
    </row>
    <row r="123" spans="2:10" ht="13.5" customHeight="1">
      <c r="B123" s="582"/>
      <c r="C123" s="1118" t="s">
        <v>269</v>
      </c>
      <c r="D123" s="1119"/>
      <c r="E123" s="676" t="s">
        <v>256</v>
      </c>
      <c r="F123" s="663">
        <v>1</v>
      </c>
      <c r="G123" s="676">
        <v>8</v>
      </c>
      <c r="H123" s="644">
        <f t="shared" si="1"/>
        <v>8</v>
      </c>
      <c r="I123" s="596"/>
    </row>
    <row r="124" spans="2:10" ht="13.5" customHeight="1">
      <c r="B124" s="582"/>
      <c r="C124" s="1118" t="s">
        <v>40</v>
      </c>
      <c r="D124" s="1119"/>
      <c r="E124" s="676" t="s">
        <v>2</v>
      </c>
      <c r="F124" s="663">
        <v>4</v>
      </c>
      <c r="G124" s="676">
        <v>8</v>
      </c>
      <c r="H124" s="644">
        <f t="shared" si="1"/>
        <v>32</v>
      </c>
      <c r="I124" s="596"/>
    </row>
    <row r="125" spans="2:10" ht="13.5" customHeight="1">
      <c r="B125" s="582"/>
      <c r="C125" s="1118" t="s">
        <v>71</v>
      </c>
      <c r="D125" s="1119"/>
      <c r="E125" s="676" t="s">
        <v>2</v>
      </c>
      <c r="F125" s="663">
        <v>0</v>
      </c>
      <c r="G125" s="676">
        <v>1</v>
      </c>
      <c r="H125" s="644">
        <f t="shared" si="1"/>
        <v>0</v>
      </c>
      <c r="I125" s="596"/>
    </row>
    <row r="126" spans="2:10" ht="13.5" customHeight="1">
      <c r="B126" s="582"/>
      <c r="C126" s="1118" t="s">
        <v>69</v>
      </c>
      <c r="D126" s="1119"/>
      <c r="E126" s="676" t="s">
        <v>2</v>
      </c>
      <c r="F126" s="663">
        <v>1</v>
      </c>
      <c r="G126" s="676">
        <v>1</v>
      </c>
      <c r="H126" s="644">
        <f t="shared" si="1"/>
        <v>1</v>
      </c>
      <c r="I126" s="596"/>
    </row>
    <row r="127" spans="2:10" ht="13.5" customHeight="1">
      <c r="B127" s="582"/>
      <c r="C127" s="1118" t="s">
        <v>79</v>
      </c>
      <c r="D127" s="1119"/>
      <c r="E127" s="676" t="s">
        <v>35</v>
      </c>
      <c r="F127" s="663">
        <v>1</v>
      </c>
      <c r="G127" s="676">
        <v>60</v>
      </c>
      <c r="H127" s="644">
        <f t="shared" si="1"/>
        <v>60</v>
      </c>
      <c r="I127" s="596"/>
      <c r="J127" s="161" t="e">
        <f t="shared" ref="J127:J147" si="2">+E120*3</f>
        <v>#VALUE!</v>
      </c>
    </row>
    <row r="128" spans="2:10" ht="13.5" customHeight="1">
      <c r="B128" s="582"/>
      <c r="C128" s="1118" t="s">
        <v>59</v>
      </c>
      <c r="D128" s="1119"/>
      <c r="E128" s="676" t="s">
        <v>2</v>
      </c>
      <c r="F128" s="663">
        <v>1</v>
      </c>
      <c r="G128" s="676">
        <v>5.5</v>
      </c>
      <c r="H128" s="644">
        <f t="shared" si="1"/>
        <v>5.5</v>
      </c>
      <c r="I128" s="596"/>
      <c r="J128" s="161" t="e">
        <f t="shared" si="2"/>
        <v>#VALUE!</v>
      </c>
    </row>
    <row r="129" spans="2:10" ht="13.5" customHeight="1">
      <c r="B129" s="582"/>
      <c r="C129" s="1118" t="s">
        <v>67</v>
      </c>
      <c r="D129" s="1119"/>
      <c r="E129" s="676" t="s">
        <v>2</v>
      </c>
      <c r="F129" s="663">
        <v>1</v>
      </c>
      <c r="G129" s="676">
        <v>5</v>
      </c>
      <c r="H129" s="644">
        <f t="shared" si="1"/>
        <v>5</v>
      </c>
      <c r="I129" s="596"/>
      <c r="J129" s="161" t="e">
        <f t="shared" si="2"/>
        <v>#VALUE!</v>
      </c>
    </row>
    <row r="130" spans="2:10" ht="13.5" customHeight="1">
      <c r="B130" s="582"/>
      <c r="C130" s="1118" t="s">
        <v>80</v>
      </c>
      <c r="D130" s="1119"/>
      <c r="E130" s="676" t="s">
        <v>2</v>
      </c>
      <c r="F130" s="663">
        <v>0</v>
      </c>
      <c r="G130" s="676">
        <v>8</v>
      </c>
      <c r="H130" s="644">
        <f t="shared" si="1"/>
        <v>0</v>
      </c>
      <c r="I130" s="596"/>
      <c r="J130" s="161" t="e">
        <f t="shared" si="2"/>
        <v>#VALUE!</v>
      </c>
    </row>
    <row r="131" spans="2:10" ht="13.5" customHeight="1">
      <c r="B131" s="582"/>
      <c r="C131" s="1118" t="s">
        <v>81</v>
      </c>
      <c r="D131" s="1119"/>
      <c r="E131" s="676" t="s">
        <v>2</v>
      </c>
      <c r="F131" s="663">
        <v>1</v>
      </c>
      <c r="G131" s="676">
        <v>25</v>
      </c>
      <c r="H131" s="644">
        <f t="shared" si="1"/>
        <v>25</v>
      </c>
      <c r="I131" s="596"/>
      <c r="J131" s="161" t="e">
        <f t="shared" si="2"/>
        <v>#VALUE!</v>
      </c>
    </row>
    <row r="132" spans="2:10" ht="13.5" customHeight="1">
      <c r="B132" s="582"/>
      <c r="C132" s="1118" t="s">
        <v>58</v>
      </c>
      <c r="D132" s="1119"/>
      <c r="E132" s="676" t="s">
        <v>35</v>
      </c>
      <c r="F132" s="663">
        <v>1</v>
      </c>
      <c r="G132" s="676">
        <v>6</v>
      </c>
      <c r="H132" s="644">
        <f t="shared" si="1"/>
        <v>6</v>
      </c>
      <c r="I132" s="596"/>
      <c r="J132" s="161" t="e">
        <f t="shared" si="2"/>
        <v>#VALUE!</v>
      </c>
    </row>
    <row r="133" spans="2:10" ht="13.5" customHeight="1">
      <c r="B133" s="582"/>
      <c r="C133" s="1118" t="s">
        <v>57</v>
      </c>
      <c r="D133" s="1119"/>
      <c r="E133" s="676" t="s">
        <v>2</v>
      </c>
      <c r="F133" s="663">
        <v>0</v>
      </c>
      <c r="G133" s="676">
        <v>0.8</v>
      </c>
      <c r="H133" s="644">
        <f t="shared" si="1"/>
        <v>0</v>
      </c>
      <c r="I133" s="596"/>
      <c r="J133" s="161" t="e">
        <f t="shared" si="2"/>
        <v>#VALUE!</v>
      </c>
    </row>
    <row r="134" spans="2:10" ht="13.5" customHeight="1">
      <c r="B134" s="582"/>
      <c r="C134" s="1118" t="s">
        <v>72</v>
      </c>
      <c r="D134" s="1119"/>
      <c r="E134" s="676" t="s">
        <v>35</v>
      </c>
      <c r="F134" s="663">
        <v>1</v>
      </c>
      <c r="G134" s="676">
        <v>20</v>
      </c>
      <c r="H134" s="644">
        <f t="shared" si="1"/>
        <v>20</v>
      </c>
      <c r="I134" s="596"/>
      <c r="J134" s="161" t="e">
        <f t="shared" si="2"/>
        <v>#VALUE!</v>
      </c>
    </row>
    <row r="135" spans="2:10" ht="13.5" customHeight="1">
      <c r="B135" s="582"/>
      <c r="C135" s="1118" t="s">
        <v>43</v>
      </c>
      <c r="D135" s="1119"/>
      <c r="E135" s="676" t="s">
        <v>37</v>
      </c>
      <c r="F135" s="663">
        <v>2</v>
      </c>
      <c r="G135" s="676">
        <v>30</v>
      </c>
      <c r="H135" s="644">
        <f t="shared" si="1"/>
        <v>60</v>
      </c>
      <c r="I135" s="596"/>
      <c r="J135" s="161" t="e">
        <f t="shared" si="2"/>
        <v>#VALUE!</v>
      </c>
    </row>
    <row r="136" spans="2:10" ht="13.5" customHeight="1">
      <c r="B136" s="582"/>
      <c r="C136" s="1118" t="s">
        <v>65</v>
      </c>
      <c r="D136" s="1119"/>
      <c r="E136" s="676" t="s">
        <v>2</v>
      </c>
      <c r="F136" s="663">
        <v>1</v>
      </c>
      <c r="G136" s="676">
        <v>4.5</v>
      </c>
      <c r="H136" s="644">
        <f t="shared" si="1"/>
        <v>4.5</v>
      </c>
      <c r="I136" s="596"/>
      <c r="J136" s="161" t="e">
        <f t="shared" si="2"/>
        <v>#VALUE!</v>
      </c>
    </row>
    <row r="137" spans="2:10" ht="13.5" customHeight="1">
      <c r="B137" s="582"/>
      <c r="C137" s="1118" t="s">
        <v>82</v>
      </c>
      <c r="D137" s="1119"/>
      <c r="E137" s="676" t="s">
        <v>2</v>
      </c>
      <c r="F137" s="663">
        <v>0</v>
      </c>
      <c r="G137" s="676">
        <v>0.5</v>
      </c>
      <c r="H137" s="644">
        <f t="shared" si="1"/>
        <v>0</v>
      </c>
      <c r="I137" s="596"/>
      <c r="J137" s="161" t="e">
        <f t="shared" si="2"/>
        <v>#VALUE!</v>
      </c>
    </row>
    <row r="138" spans="2:10" ht="13.5" customHeight="1">
      <c r="B138" s="582"/>
      <c r="C138" s="1118" t="s">
        <v>61</v>
      </c>
      <c r="D138" s="1119"/>
      <c r="E138" s="676" t="s">
        <v>35</v>
      </c>
      <c r="F138" s="663">
        <v>1</v>
      </c>
      <c r="G138" s="676">
        <v>5</v>
      </c>
      <c r="H138" s="644">
        <f t="shared" si="1"/>
        <v>5</v>
      </c>
      <c r="I138" s="596"/>
      <c r="J138" s="161" t="e">
        <f t="shared" si="2"/>
        <v>#VALUE!</v>
      </c>
    </row>
    <row r="139" spans="2:10" ht="13.5" customHeight="1">
      <c r="B139" s="582"/>
      <c r="C139" s="1118" t="s">
        <v>63</v>
      </c>
      <c r="D139" s="1119"/>
      <c r="E139" s="676" t="s">
        <v>2</v>
      </c>
      <c r="F139" s="663">
        <v>0</v>
      </c>
      <c r="G139" s="676">
        <v>3</v>
      </c>
      <c r="H139" s="644">
        <f t="shared" si="1"/>
        <v>0</v>
      </c>
      <c r="I139" s="596"/>
      <c r="J139" s="161" t="e">
        <f t="shared" si="2"/>
        <v>#VALUE!</v>
      </c>
    </row>
    <row r="140" spans="2:10" ht="13.5" customHeight="1">
      <c r="B140" s="582"/>
      <c r="C140" s="1118" t="s">
        <v>66</v>
      </c>
      <c r="D140" s="1119"/>
      <c r="E140" s="676" t="s">
        <v>2</v>
      </c>
      <c r="F140" s="663">
        <v>1</v>
      </c>
      <c r="G140" s="676">
        <v>4.5</v>
      </c>
      <c r="H140" s="644">
        <f t="shared" si="1"/>
        <v>4.5</v>
      </c>
      <c r="I140" s="596"/>
      <c r="J140" s="161" t="e">
        <f t="shared" si="2"/>
        <v>#VALUE!</v>
      </c>
    </row>
    <row r="141" spans="2:10" ht="13.5" customHeight="1">
      <c r="B141" s="629"/>
      <c r="C141" s="1099" t="s">
        <v>3</v>
      </c>
      <c r="D141" s="1099"/>
      <c r="E141" s="1099"/>
      <c r="F141" s="1099"/>
      <c r="G141" s="1099"/>
      <c r="H141" s="635">
        <f>SUM(H120:H140)</f>
        <v>271.5</v>
      </c>
      <c r="I141" s="596"/>
      <c r="J141" s="161" t="e">
        <f t="shared" si="2"/>
        <v>#VALUE!</v>
      </c>
    </row>
    <row r="142" spans="2:10" ht="13.5" customHeight="1">
      <c r="B142" s="629"/>
      <c r="C142" s="640"/>
      <c r="D142" s="640"/>
      <c r="E142" s="640"/>
      <c r="F142" s="640"/>
      <c r="G142" s="640"/>
      <c r="H142" s="623"/>
      <c r="I142" s="596"/>
      <c r="J142" s="161" t="e">
        <f t="shared" si="2"/>
        <v>#VALUE!</v>
      </c>
    </row>
    <row r="143" spans="2:10" ht="13.5" customHeight="1">
      <c r="B143" s="629"/>
      <c r="C143" s="640"/>
      <c r="D143" s="640"/>
      <c r="E143" s="640"/>
      <c r="F143" s="640"/>
      <c r="G143" s="640"/>
      <c r="H143" s="623"/>
      <c r="I143" s="596"/>
      <c r="J143" s="161" t="e">
        <f t="shared" si="2"/>
        <v>#VALUE!</v>
      </c>
    </row>
    <row r="144" spans="2:10" ht="13.5" customHeight="1">
      <c r="B144" s="636" t="s">
        <v>315</v>
      </c>
      <c r="C144" s="637"/>
      <c r="D144" s="606"/>
      <c r="E144" s="606"/>
      <c r="F144" s="606"/>
      <c r="G144" s="607"/>
      <c r="H144" s="607" t="s">
        <v>0</v>
      </c>
      <c r="I144" s="608">
        <f>+ROUND((+I147+I154),2)</f>
        <v>300</v>
      </c>
      <c r="J144" s="161" t="e">
        <f t="shared" si="2"/>
        <v>#VALUE!</v>
      </c>
    </row>
    <row r="145" spans="2:14" ht="13.5" customHeight="1">
      <c r="B145" s="638"/>
      <c r="C145" s="639"/>
      <c r="D145" s="611"/>
      <c r="E145" s="611"/>
      <c r="F145" s="611"/>
      <c r="G145" s="612"/>
      <c r="H145" s="612"/>
      <c r="I145" s="613"/>
      <c r="J145" s="161" t="e">
        <f t="shared" si="2"/>
        <v>#VALUE!</v>
      </c>
    </row>
    <row r="146" spans="2:14" ht="13.5" customHeight="1">
      <c r="B146" s="648"/>
      <c r="C146" s="626"/>
      <c r="D146" s="623"/>
      <c r="E146" s="623"/>
      <c r="F146" s="624"/>
      <c r="G146" s="624"/>
      <c r="H146" s="623"/>
      <c r="I146" s="596"/>
      <c r="J146" s="161" t="e">
        <f t="shared" si="2"/>
        <v>#VALUE!</v>
      </c>
    </row>
    <row r="147" spans="2:14" ht="13.5" customHeight="1">
      <c r="B147" s="625">
        <v>1</v>
      </c>
      <c r="C147" s="626" t="s">
        <v>42</v>
      </c>
      <c r="D147" s="623"/>
      <c r="E147" s="623"/>
      <c r="F147" s="624"/>
      <c r="G147" s="624"/>
      <c r="H147" s="627" t="s">
        <v>0</v>
      </c>
      <c r="I147" s="628">
        <f>+H152</f>
        <v>300</v>
      </c>
      <c r="J147" s="161" t="e">
        <f t="shared" si="2"/>
        <v>#VALUE!</v>
      </c>
    </row>
    <row r="148" spans="2:14" ht="13.5" customHeight="1">
      <c r="B148" s="648"/>
      <c r="C148" s="626"/>
      <c r="D148" s="623"/>
      <c r="E148" s="623"/>
      <c r="F148" s="624"/>
      <c r="G148" s="624"/>
      <c r="H148" s="623"/>
      <c r="I148" s="596"/>
    </row>
    <row r="149" spans="2:14" ht="13.5" customHeight="1">
      <c r="B149" s="582"/>
      <c r="C149" s="643" t="s">
        <v>34</v>
      </c>
      <c r="D149" s="633" t="s">
        <v>44</v>
      </c>
      <c r="E149" s="633" t="s">
        <v>18</v>
      </c>
      <c r="F149" s="633" t="s">
        <v>32</v>
      </c>
      <c r="G149" s="633" t="s">
        <v>5</v>
      </c>
      <c r="H149" s="633" t="s">
        <v>4</v>
      </c>
      <c r="I149" s="596"/>
    </row>
    <row r="150" spans="2:14" ht="13.5" customHeight="1">
      <c r="B150" s="582"/>
      <c r="C150" s="686" t="s">
        <v>249</v>
      </c>
      <c r="D150" s="681" t="s">
        <v>238</v>
      </c>
      <c r="E150" s="681">
        <v>1</v>
      </c>
      <c r="F150" s="681">
        <v>3</v>
      </c>
      <c r="G150" s="681">
        <v>100</v>
      </c>
      <c r="H150" s="644">
        <f>PRODUCT(E150:G150)</f>
        <v>300</v>
      </c>
      <c r="I150" s="596"/>
    </row>
    <row r="151" spans="2:14" s="168" customFormat="1" ht="13.5" hidden="1" customHeight="1">
      <c r="B151" s="582"/>
      <c r="C151" s="686" t="s">
        <v>322</v>
      </c>
      <c r="D151" s="681" t="s">
        <v>238</v>
      </c>
      <c r="E151" s="681">
        <v>1</v>
      </c>
      <c r="F151" s="681">
        <v>0</v>
      </c>
      <c r="G151" s="681">
        <v>100</v>
      </c>
      <c r="H151" s="644">
        <f>PRODUCT(E151:G151)</f>
        <v>0</v>
      </c>
      <c r="I151" s="596"/>
      <c r="J151" s="177"/>
    </row>
    <row r="152" spans="2:14" s="179" customFormat="1" ht="13.5" customHeight="1">
      <c r="B152" s="582"/>
      <c r="C152" s="1099" t="s">
        <v>3</v>
      </c>
      <c r="D152" s="1099"/>
      <c r="E152" s="1099"/>
      <c r="F152" s="1099"/>
      <c r="G152" s="1099"/>
      <c r="H152" s="635">
        <f>SUM(H150:H151)</f>
        <v>300</v>
      </c>
      <c r="I152" s="596"/>
      <c r="J152" s="240"/>
    </row>
    <row r="153" spans="2:14" ht="13.5" customHeight="1">
      <c r="B153" s="582"/>
      <c r="C153" s="640"/>
      <c r="D153" s="640"/>
      <c r="E153" s="640"/>
      <c r="F153" s="640"/>
      <c r="G153" s="640"/>
      <c r="H153" s="623"/>
      <c r="I153" s="596"/>
    </row>
    <row r="154" spans="2:14" ht="13.5" hidden="1" customHeight="1">
      <c r="B154" s="625">
        <v>3</v>
      </c>
      <c r="C154" s="626" t="s">
        <v>457</v>
      </c>
      <c r="D154" s="623"/>
      <c r="E154" s="623"/>
      <c r="F154" s="624"/>
      <c r="G154" s="624"/>
      <c r="H154" s="627" t="s">
        <v>0</v>
      </c>
      <c r="I154" s="628">
        <f>H158</f>
        <v>0</v>
      </c>
    </row>
    <row r="155" spans="2:14" ht="13.5" hidden="1" customHeight="1">
      <c r="B155" s="625"/>
      <c r="C155" s="626"/>
      <c r="D155" s="623"/>
      <c r="E155" s="623"/>
      <c r="F155" s="624"/>
      <c r="G155" s="624"/>
      <c r="H155" s="627"/>
      <c r="I155" s="628"/>
    </row>
    <row r="156" spans="2:14" ht="13.5" hidden="1" customHeight="1">
      <c r="B156" s="625"/>
      <c r="C156" s="643" t="s">
        <v>34</v>
      </c>
      <c r="D156" s="633" t="s">
        <v>44</v>
      </c>
      <c r="E156" s="633" t="s">
        <v>18</v>
      </c>
      <c r="F156" s="633" t="s">
        <v>458</v>
      </c>
      <c r="G156" s="633" t="s">
        <v>5</v>
      </c>
      <c r="H156" s="633" t="s">
        <v>4</v>
      </c>
      <c r="I156" s="628"/>
      <c r="K156" s="744" t="s">
        <v>464</v>
      </c>
      <c r="L156" s="744" t="s">
        <v>465</v>
      </c>
      <c r="M156" s="744" t="s">
        <v>466</v>
      </c>
      <c r="N156" s="744" t="s">
        <v>463</v>
      </c>
    </row>
    <row r="157" spans="2:14" ht="13.5" hidden="1" customHeight="1">
      <c r="B157" s="625"/>
      <c r="C157" s="686" t="s">
        <v>109</v>
      </c>
      <c r="D157" s="681" t="s">
        <v>122</v>
      </c>
      <c r="E157" s="681">
        <v>0</v>
      </c>
      <c r="F157" s="681">
        <v>30</v>
      </c>
      <c r="G157" s="681">
        <v>280</v>
      </c>
      <c r="H157" s="644">
        <f>PRODUCT(E157:G157)</f>
        <v>0</v>
      </c>
      <c r="I157" s="628"/>
      <c r="K157" s="743">
        <v>2</v>
      </c>
      <c r="L157" s="743">
        <v>2</v>
      </c>
      <c r="M157" s="745">
        <f>+O112</f>
        <v>3</v>
      </c>
      <c r="N157" s="743">
        <f>PRODUCT(K157:M157)</f>
        <v>12</v>
      </c>
    </row>
    <row r="158" spans="2:14" ht="13.5" hidden="1" customHeight="1">
      <c r="B158" s="625"/>
      <c r="C158" s="1105" t="s">
        <v>3</v>
      </c>
      <c r="D158" s="1106"/>
      <c r="E158" s="1106"/>
      <c r="F158" s="1106"/>
      <c r="G158" s="1107"/>
      <c r="H158" s="635">
        <f>SUM(H157:H157)</f>
        <v>0</v>
      </c>
      <c r="I158" s="628"/>
    </row>
    <row r="159" spans="2:14" ht="13.5" customHeight="1">
      <c r="B159" s="625"/>
      <c r="C159" s="626"/>
      <c r="D159" s="623"/>
      <c r="E159" s="623"/>
      <c r="F159" s="624"/>
      <c r="G159" s="624"/>
      <c r="H159" s="627"/>
      <c r="I159" s="628"/>
    </row>
    <row r="160" spans="2:14" ht="13.5" customHeight="1">
      <c r="B160" s="582"/>
      <c r="C160" s="640"/>
      <c r="D160" s="640"/>
      <c r="E160" s="640"/>
      <c r="F160" s="640"/>
      <c r="G160" s="640"/>
      <c r="H160" s="623"/>
      <c r="I160" s="596"/>
    </row>
    <row r="161" spans="2:12" ht="13.5" customHeight="1">
      <c r="B161" s="629"/>
      <c r="C161" s="640"/>
      <c r="D161" s="640"/>
      <c r="E161" s="640"/>
      <c r="F161" s="640"/>
      <c r="G161" s="640"/>
      <c r="H161" s="623"/>
      <c r="I161" s="596"/>
    </row>
    <row r="162" spans="2:12" ht="13.5" customHeight="1">
      <c r="B162" s="1115" t="s">
        <v>26</v>
      </c>
      <c r="C162" s="1115"/>
      <c r="D162" s="1115"/>
      <c r="E162" s="1115"/>
      <c r="F162" s="1115"/>
      <c r="G162" s="1115"/>
      <c r="H162" s="627" t="s">
        <v>0</v>
      </c>
      <c r="I162" s="628">
        <f>+I21</f>
        <v>16176.5</v>
      </c>
    </row>
    <row r="163" spans="2:12" ht="13.5" customHeight="1"/>
    <row r="164" spans="2:12" ht="13.5" customHeight="1">
      <c r="I164" s="597"/>
    </row>
    <row r="165" spans="2:12" ht="13.5" customHeight="1">
      <c r="I165" s="628"/>
    </row>
    <row r="166" spans="2:12" ht="13.5" customHeight="1">
      <c r="I166" s="628"/>
    </row>
    <row r="167" spans="2:12" ht="13.5" customHeight="1">
      <c r="I167" s="628"/>
    </row>
    <row r="168" spans="2:12" ht="13.5" customHeight="1">
      <c r="I168" s="628"/>
      <c r="L168" s="171"/>
    </row>
    <row r="169" spans="2:12" ht="13.5" customHeight="1"/>
    <row r="170" spans="2:12" ht="13.5" customHeight="1"/>
    <row r="171" spans="2:12" ht="13.5" customHeight="1"/>
    <row r="172" spans="2:12" ht="13.5" customHeight="1"/>
    <row r="173" spans="2:12" ht="13.5" customHeight="1"/>
    <row r="174" spans="2:12" ht="13.5" customHeight="1"/>
    <row r="175" spans="2:12" ht="13.5" customHeight="1"/>
    <row r="176" spans="2:12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spans="2:9" ht="13.5" customHeight="1"/>
    <row r="194" spans="2:9" ht="12.75" customHeight="1"/>
    <row r="195" spans="2:9" ht="12.75" customHeight="1"/>
    <row r="196" spans="2:9" ht="12.75" customHeight="1"/>
    <row r="197" spans="2:9" ht="12.75" customHeight="1"/>
    <row r="198" spans="2:9" s="242" customFormat="1" ht="18" customHeight="1">
      <c r="B198" s="579"/>
      <c r="C198" s="580"/>
      <c r="D198" s="580"/>
      <c r="E198" s="580"/>
      <c r="F198" s="581"/>
      <c r="G198" s="581"/>
      <c r="H198" s="580"/>
      <c r="I198" s="580"/>
    </row>
  </sheetData>
  <mergeCells count="63">
    <mergeCell ref="M38:M39"/>
    <mergeCell ref="K40:K41"/>
    <mergeCell ref="M40:M41"/>
    <mergeCell ref="K42:K43"/>
    <mergeCell ref="D17:H17"/>
    <mergeCell ref="D18:H18"/>
    <mergeCell ref="D19:H19"/>
    <mergeCell ref="D20:H20"/>
    <mergeCell ref="M30:M31"/>
    <mergeCell ref="K32:K33"/>
    <mergeCell ref="M32:M33"/>
    <mergeCell ref="K34:K35"/>
    <mergeCell ref="M34:M35"/>
    <mergeCell ref="K36:K37"/>
    <mergeCell ref="M36:M37"/>
    <mergeCell ref="C152:G152"/>
    <mergeCell ref="C132:D132"/>
    <mergeCell ref="C133:D133"/>
    <mergeCell ref="C134:D134"/>
    <mergeCell ref="C135:D135"/>
    <mergeCell ref="C158:G158"/>
    <mergeCell ref="B162:G162"/>
    <mergeCell ref="K30:K31"/>
    <mergeCell ref="K38:K39"/>
    <mergeCell ref="C140:D140"/>
    <mergeCell ref="C141:G141"/>
    <mergeCell ref="C136:D136"/>
    <mergeCell ref="C137:D137"/>
    <mergeCell ref="C138:D138"/>
    <mergeCell ref="C139:D139"/>
    <mergeCell ref="C130:D130"/>
    <mergeCell ref="C131:D131"/>
    <mergeCell ref="C127:D127"/>
    <mergeCell ref="C128:D128"/>
    <mergeCell ref="C129:D129"/>
    <mergeCell ref="C121:D121"/>
    <mergeCell ref="C126:D126"/>
    <mergeCell ref="C119:D119"/>
    <mergeCell ref="C120:D120"/>
    <mergeCell ref="C111:D111"/>
    <mergeCell ref="C112:D112"/>
    <mergeCell ref="C113:G113"/>
    <mergeCell ref="C122:D122"/>
    <mergeCell ref="C123:D123"/>
    <mergeCell ref="C124:D124"/>
    <mergeCell ref="C125:D125"/>
    <mergeCell ref="D16:H16"/>
    <mergeCell ref="C21:H21"/>
    <mergeCell ref="B23:I23"/>
    <mergeCell ref="B25:I25"/>
    <mergeCell ref="C102:G102"/>
    <mergeCell ref="C38:G38"/>
    <mergeCell ref="C50:G50"/>
    <mergeCell ref="C59:G59"/>
    <mergeCell ref="C71:G71"/>
    <mergeCell ref="C80:G80"/>
    <mergeCell ref="C91:G91"/>
    <mergeCell ref="D14:I15"/>
    <mergeCell ref="C3:I3"/>
    <mergeCell ref="C4:I4"/>
    <mergeCell ref="C5:I5"/>
    <mergeCell ref="C6:I6"/>
    <mergeCell ref="B8:I8"/>
  </mergeCells>
  <conditionalFormatting sqref="D14:E14">
    <cfRule type="aboveAverage" dxfId="1" priority="1" stopIfTrue="1" aboveAverage="0"/>
  </conditionalFormatting>
  <printOptions horizontalCentered="1"/>
  <pageMargins left="0.94488188976377963" right="0.70866141732283472" top="0.69" bottom="1.17" header="0" footer="0"/>
  <pageSetup paperSize="9" scale="59" fitToHeight="5" orientation="portrait" horizontalDpi="4294967293" r:id="rId1"/>
  <headerFooter alignWithMargins="0">
    <oddFooter>&amp;C&amp;G</oddFooter>
  </headerFooter>
  <rowBreaks count="3" manualBreakCount="3">
    <brk id="61" min="1" max="8" man="1"/>
    <brk id="104" min="1" max="8" man="1"/>
    <brk id="143" min="1" max="8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21</vt:i4>
      </vt:variant>
    </vt:vector>
  </HeadingPairs>
  <TitlesOfParts>
    <vt:vector size="36" baseType="lpstr">
      <vt:lpstr>VARIABLES</vt:lpstr>
      <vt:lpstr>RESÚMEN</vt:lpstr>
      <vt:lpstr>Exp.Téc. </vt:lpstr>
      <vt:lpstr>RESUMEN TOTAL</vt:lpstr>
      <vt:lpstr>G.General</vt:lpstr>
      <vt:lpstr>G. Supervision</vt:lpstr>
      <vt:lpstr>Supervision</vt:lpstr>
      <vt:lpstr>Capacitacion Social</vt:lpstr>
      <vt:lpstr>Gestion del proyecto</vt:lpstr>
      <vt:lpstr>G. Liquidacion</vt:lpstr>
      <vt:lpstr>G. Exp. Tecnico</vt:lpstr>
      <vt:lpstr>IOARR</vt:lpstr>
      <vt:lpstr>Hoja1</vt:lpstr>
      <vt:lpstr>CONSOLIDADO</vt:lpstr>
      <vt:lpstr>Remuneraciones</vt:lpstr>
      <vt:lpstr>'Capacitacion Social'!Área_de_impresión</vt:lpstr>
      <vt:lpstr>CONSOLIDADO!Área_de_impresión</vt:lpstr>
      <vt:lpstr>'Exp.Téc. '!Área_de_impresión</vt:lpstr>
      <vt:lpstr>'G. Exp. Tecnico'!Área_de_impresión</vt:lpstr>
      <vt:lpstr>'G. Liquidacion'!Área_de_impresión</vt:lpstr>
      <vt:lpstr>'G. Supervision'!Área_de_impresión</vt:lpstr>
      <vt:lpstr>G.General!Área_de_impresión</vt:lpstr>
      <vt:lpstr>'Gestion del proyecto'!Área_de_impresión</vt:lpstr>
      <vt:lpstr>Remuneraciones!Área_de_impresión</vt:lpstr>
      <vt:lpstr>RESÚMEN!Área_de_impresión</vt:lpstr>
      <vt:lpstr>'RESUMEN TOTAL'!Área_de_impresión</vt:lpstr>
      <vt:lpstr>Supervision!Área_de_impresión</vt:lpstr>
      <vt:lpstr>VARIABLES!Área_de_impresión</vt:lpstr>
      <vt:lpstr>CABEZA</vt:lpstr>
      <vt:lpstr>SUSTENTO</vt:lpstr>
      <vt:lpstr>'G. Exp. Tecnico'!Títulos_a_imprimir</vt:lpstr>
      <vt:lpstr>'G. Liquidacion'!Títulos_a_imprimir</vt:lpstr>
      <vt:lpstr>'G. Supervision'!Títulos_a_imprimir</vt:lpstr>
      <vt:lpstr>G.General!Títulos_a_imprimir</vt:lpstr>
      <vt:lpstr>'Gestion del proyecto'!Títulos_a_imprimir</vt:lpstr>
      <vt:lpstr>VARIABLES!Títulos_a_imprimir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MEL</cp:lastModifiedBy>
  <cp:lastPrinted>2019-12-05T22:27:44Z</cp:lastPrinted>
  <dcterms:created xsi:type="dcterms:W3CDTF">2003-01-21T17:07:22Z</dcterms:created>
  <dcterms:modified xsi:type="dcterms:W3CDTF">2020-04-21T21:33:27Z</dcterms:modified>
</cp:coreProperties>
</file>