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EL\Desktop\IOARR HRGDV\Pres. y Crono. IOARR HRGDV\Pres. y Crono. IOARR HRGDV\"/>
    </mc:Choice>
  </mc:AlternateContent>
  <xr:revisionPtr revIDLastSave="0" documentId="13_ncr:1_{7EB6B322-3502-4155-94C9-59E8A0B4C353}" xr6:coauthVersionLast="45" xr6:coauthVersionMax="45" xr10:uidLastSave="{00000000-0000-0000-0000-000000000000}"/>
  <bookViews>
    <workbookView xWindow="96" yWindow="96" windowWidth="12888" windowHeight="11628" tabRatio="721" firstSheet="3" activeTab="3" xr2:uid="{00000000-000D-0000-FFFF-FFFF00000000}"/>
  </bookViews>
  <sheets>
    <sheet name="VARIABLES" sheetId="50" state="hidden" r:id="rId1"/>
    <sheet name="RESÚMEN" sheetId="48" state="hidden" r:id="rId2"/>
    <sheet name="Exp.Téc. " sheetId="22" state="hidden" r:id="rId3"/>
    <sheet name="RESUMEN TOTAL" sheetId="54" r:id="rId4"/>
    <sheet name="G.General" sheetId="55" r:id="rId5"/>
    <sheet name="G. Supervision" sheetId="46" r:id="rId6"/>
    <sheet name="Supervision" sheetId="12" state="hidden" r:id="rId7"/>
    <sheet name="Capacitacion Social" sheetId="21" state="hidden" r:id="rId8"/>
    <sheet name="Gestion del proyecto" sheetId="52" r:id="rId9"/>
    <sheet name="G. Liquidacion" sheetId="16" r:id="rId10"/>
    <sheet name="G. Exp. Tecnico" sheetId="39" r:id="rId11"/>
    <sheet name="Hoja2" sheetId="56" r:id="rId12"/>
    <sheet name="Hoja1" sheetId="53" state="hidden" r:id="rId13"/>
    <sheet name="CONSOLIDADO" sheetId="49" state="hidden" r:id="rId14"/>
    <sheet name="Remuneraciones" sheetId="51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7" hidden="1">'Capacitacion Social'!$B$33:$F$92</definedName>
    <definedName name="_xlnm._FilterDatabase" localSheetId="2" hidden="1">'Exp.Téc. '!#REF!</definedName>
    <definedName name="_xlnm._FilterDatabase" localSheetId="10" hidden="1">'G. Exp. Tecnico'!$C$34:$H$92</definedName>
    <definedName name="_xlnm._FilterDatabase" localSheetId="9" hidden="1">'G. Liquidacion'!$C$34:$G$105</definedName>
    <definedName name="_xlnm._FilterDatabase" localSheetId="5" hidden="1">'G. Supervision'!$C$34:$H$71</definedName>
    <definedName name="_xlnm._FilterDatabase" localSheetId="4" hidden="1">G.General!$C$34:$H$90</definedName>
    <definedName name="_xlnm._FilterDatabase" localSheetId="8" hidden="1">'Gestion del proyecto'!$C$34:$H$64</definedName>
    <definedName name="_xlnm._FilterDatabase" localSheetId="6" hidden="1">Supervision!$B$35:$G$153</definedName>
    <definedName name="´ññ" localSheetId="7">#REF!</definedName>
    <definedName name="´ññ" localSheetId="2">#REF!</definedName>
    <definedName name="´ññ" localSheetId="10">#REF!</definedName>
    <definedName name="´ññ" localSheetId="8">#REF!</definedName>
    <definedName name="´ññ">#REF!</definedName>
    <definedName name="_xlnm.Print_Area" localSheetId="7">'Capacitacion Social'!$A$1:$G$200</definedName>
    <definedName name="_xlnm.Print_Area" localSheetId="13">CONSOLIDADO!$A$1:$G$28</definedName>
    <definedName name="_xlnm.Print_Area" localSheetId="2">'Exp.Téc. '!$A$1:$H$180</definedName>
    <definedName name="_xlnm.Print_Area" localSheetId="10">'G. Exp. Tecnico'!$B$2:$I$260</definedName>
    <definedName name="_xlnm.Print_Area" localSheetId="9">'G. Liquidacion'!$B$2:$H$161</definedName>
    <definedName name="_xlnm.Print_Area" localSheetId="5">'G. Supervision'!$B$2:$I$217</definedName>
    <definedName name="_xlnm.Print_Area" localSheetId="4">G.General!$B$2:$I$288</definedName>
    <definedName name="_xlnm.Print_Area" localSheetId="8">'Gestion del proyecto'!$B$2:$I$163</definedName>
    <definedName name="_xlnm.Print_Area" localSheetId="14">Remuneraciones!$B$2:$N$38</definedName>
    <definedName name="_xlnm.Print_Area" localSheetId="1">RESÚMEN!$B$3:$G$37</definedName>
    <definedName name="_xlnm.Print_Area" localSheetId="3">'RESUMEN TOTAL'!$B$1:$G$65</definedName>
    <definedName name="_xlnm.Print_Area" localSheetId="6">Supervision!$A$1:$H$256</definedName>
    <definedName name="_xlnm.Print_Area" localSheetId="0">VARIABLES!$A$1:$H$36</definedName>
    <definedName name="BAJO_URUBAMBA" localSheetId="10">#REF!</definedName>
    <definedName name="BAJO_URUBAMBA" localSheetId="4">[1]Resumen!#REF!</definedName>
    <definedName name="BAJO_URUBAMBA" localSheetId="8">#REF!</definedName>
    <definedName name="BAJO_URUBAMBA">#REF!</definedName>
    <definedName name="_xlnm.Database" localSheetId="10">#REF!</definedName>
    <definedName name="_xlnm.Database" localSheetId="8">#REF!</definedName>
    <definedName name="_xlnm.Database">#REF!</definedName>
    <definedName name="BuiltIn_Print_Area" localSheetId="7">#REF!</definedName>
    <definedName name="BuiltIn_Print_Area" localSheetId="2">#REF!</definedName>
    <definedName name="BuiltIn_Print_Area" localSheetId="10">#REF!</definedName>
    <definedName name="BuiltIn_Print_Area" localSheetId="8">#REF!</definedName>
    <definedName name="BuiltIn_Print_Area">#REF!</definedName>
    <definedName name="BuiltIn_Print_Area___0" localSheetId="7">#REF!</definedName>
    <definedName name="BuiltIn_Print_Area___0" localSheetId="2">#REF!</definedName>
    <definedName name="BuiltIn_Print_Area___0" localSheetId="10">#REF!</definedName>
    <definedName name="BuiltIn_Print_Area___0" localSheetId="8">#REF!</definedName>
    <definedName name="BuiltIn_Print_Area___0">#REF!</definedName>
    <definedName name="CABEZA">VARIABLES!$B$1:$H$7</definedName>
    <definedName name="ECHARATI" localSheetId="10">#REF!</definedName>
    <definedName name="ECHARATI" localSheetId="4">[1]Resumen!#REF!</definedName>
    <definedName name="ECHARATI" localSheetId="8">#REF!</definedName>
    <definedName name="ECHARATI">#REF!</definedName>
    <definedName name="KITENI" localSheetId="10">#REF!</definedName>
    <definedName name="KITENI" localSheetId="4">[1]Resumen!#REF!</definedName>
    <definedName name="KITENI" localSheetId="8">#REF!</definedName>
    <definedName name="KITENI">#REF!</definedName>
    <definedName name="KK" localSheetId="8">#REF!</definedName>
    <definedName name="KK">#REF!</definedName>
    <definedName name="s" localSheetId="7">#REF!</definedName>
    <definedName name="s" localSheetId="2">#REF!</definedName>
    <definedName name="s" localSheetId="10">#REF!</definedName>
    <definedName name="s" localSheetId="8">#REF!</definedName>
    <definedName name="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USTENTO">VARIABLES!$B$4:$H$36</definedName>
    <definedName name="_xlnm.Print_Titles" localSheetId="10">'G. Exp. Tecnico'!$2:$25</definedName>
    <definedName name="_xlnm.Print_Titles" localSheetId="9">'G. Liquidacion'!$2:$25</definedName>
    <definedName name="_xlnm.Print_Titles" localSheetId="5">'G. Supervision'!$2:$25</definedName>
    <definedName name="_xlnm.Print_Titles" localSheetId="4">G.General!$2:$26</definedName>
    <definedName name="_xlnm.Print_Titles" localSheetId="8">'Gestion del proyecto'!$2:$25</definedName>
    <definedName name="_xlnm.Print_Titles" localSheetId="0">VARIABLES!$1:$5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54" l="1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G35" i="54"/>
  <c r="E49" i="54"/>
  <c r="D9" i="56" l="1"/>
  <c r="D5" i="56"/>
  <c r="H128" i="46" l="1"/>
  <c r="C6" i="39"/>
  <c r="B6" i="16"/>
  <c r="C6" i="52"/>
  <c r="B6" i="46"/>
  <c r="D13" i="39"/>
  <c r="C13" i="39"/>
  <c r="D12" i="39"/>
  <c r="C12" i="39"/>
  <c r="D11" i="39"/>
  <c r="C11" i="39"/>
  <c r="D10" i="39"/>
  <c r="D13" i="16"/>
  <c r="C13" i="16"/>
  <c r="D12" i="16"/>
  <c r="C12" i="16"/>
  <c r="D11" i="16"/>
  <c r="C11" i="16"/>
  <c r="D10" i="16"/>
  <c r="D13" i="52"/>
  <c r="C13" i="52"/>
  <c r="D12" i="52"/>
  <c r="C12" i="52"/>
  <c r="D11" i="52"/>
  <c r="C11" i="52"/>
  <c r="D10" i="52"/>
  <c r="D13" i="46"/>
  <c r="C13" i="46"/>
  <c r="D12" i="46"/>
  <c r="C12" i="46"/>
  <c r="D11" i="46"/>
  <c r="C11" i="46"/>
  <c r="D10" i="46"/>
  <c r="D11" i="55"/>
  <c r="D12" i="55"/>
  <c r="D13" i="55"/>
  <c r="D10" i="55"/>
  <c r="C11" i="55"/>
  <c r="C12" i="55"/>
  <c r="C13" i="55"/>
  <c r="D14" i="55"/>
  <c r="H282" i="55"/>
  <c r="H283" i="55"/>
  <c r="I279" i="55" s="1"/>
  <c r="M282" i="55"/>
  <c r="N282" i="55" s="1"/>
  <c r="H276" i="55"/>
  <c r="H275" i="55"/>
  <c r="H269" i="55"/>
  <c r="H268" i="55"/>
  <c r="H267" i="55"/>
  <c r="H266" i="55"/>
  <c r="H265" i="55"/>
  <c r="H264" i="55"/>
  <c r="J255" i="55"/>
  <c r="H255" i="55"/>
  <c r="J254" i="55"/>
  <c r="H254" i="55"/>
  <c r="J253" i="55"/>
  <c r="H253" i="55"/>
  <c r="J252" i="55"/>
  <c r="H252" i="55"/>
  <c r="J251" i="55"/>
  <c r="H251" i="55"/>
  <c r="J250" i="55"/>
  <c r="H250" i="55"/>
  <c r="J249" i="55"/>
  <c r="H249" i="55"/>
  <c r="J248" i="55"/>
  <c r="H248" i="55"/>
  <c r="J247" i="55"/>
  <c r="H247" i="55"/>
  <c r="J246" i="55"/>
  <c r="H246" i="55"/>
  <c r="J245" i="55"/>
  <c r="H245" i="55"/>
  <c r="J244" i="55"/>
  <c r="H244" i="55"/>
  <c r="J243" i="55"/>
  <c r="H243" i="55"/>
  <c r="J242" i="55"/>
  <c r="H242" i="55"/>
  <c r="J241" i="55"/>
  <c r="H241" i="55"/>
  <c r="J240" i="55"/>
  <c r="H240" i="55"/>
  <c r="J239" i="55"/>
  <c r="H239" i="55"/>
  <c r="J238" i="55"/>
  <c r="H238" i="55"/>
  <c r="J237" i="55"/>
  <c r="H237" i="55"/>
  <c r="J236" i="55"/>
  <c r="H236" i="55"/>
  <c r="J235" i="55"/>
  <c r="H235" i="55"/>
  <c r="J234" i="55"/>
  <c r="H234" i="55"/>
  <c r="J233" i="55"/>
  <c r="H233" i="55"/>
  <c r="J232" i="55"/>
  <c r="H232" i="55"/>
  <c r="J231" i="55"/>
  <c r="H231" i="55"/>
  <c r="J230" i="55"/>
  <c r="H230" i="55"/>
  <c r="J229" i="55"/>
  <c r="H229" i="55"/>
  <c r="J228" i="55"/>
  <c r="H228" i="55"/>
  <c r="J227" i="55"/>
  <c r="H227" i="55"/>
  <c r="J226" i="55"/>
  <c r="H226" i="55"/>
  <c r="J225" i="55"/>
  <c r="H225" i="55"/>
  <c r="J224" i="55"/>
  <c r="H224" i="55"/>
  <c r="J223" i="55"/>
  <c r="H223" i="55"/>
  <c r="J222" i="55"/>
  <c r="H222" i="55"/>
  <c r="K221" i="55"/>
  <c r="J221" i="55"/>
  <c r="H221" i="55"/>
  <c r="H212" i="55"/>
  <c r="H211" i="55"/>
  <c r="H210" i="55"/>
  <c r="H209" i="55"/>
  <c r="H208" i="55"/>
  <c r="H207" i="55"/>
  <c r="H206" i="55"/>
  <c r="H205" i="55"/>
  <c r="H204" i="55"/>
  <c r="H213" i="55" s="1"/>
  <c r="I199" i="55" s="1"/>
  <c r="I197" i="55" s="1"/>
  <c r="H203" i="55"/>
  <c r="H202" i="55"/>
  <c r="P194" i="55"/>
  <c r="H194" i="55"/>
  <c r="P193" i="55"/>
  <c r="H193" i="55"/>
  <c r="H195" i="55" s="1"/>
  <c r="H185" i="55"/>
  <c r="H184" i="55"/>
  <c r="H183" i="55"/>
  <c r="H182" i="55"/>
  <c r="H181" i="55"/>
  <c r="H180" i="55"/>
  <c r="K179" i="55"/>
  <c r="K186" i="55" s="1"/>
  <c r="H179" i="55"/>
  <c r="H178" i="55"/>
  <c r="H177" i="55"/>
  <c r="H176" i="55"/>
  <c r="H175" i="55"/>
  <c r="H174" i="55"/>
  <c r="G163" i="55"/>
  <c r="F163" i="55"/>
  <c r="E163" i="55"/>
  <c r="D163" i="55"/>
  <c r="H163" i="55" s="1"/>
  <c r="C163" i="55"/>
  <c r="G162" i="55"/>
  <c r="F162" i="55"/>
  <c r="E162" i="55"/>
  <c r="D162" i="55"/>
  <c r="C162" i="55"/>
  <c r="G161" i="55"/>
  <c r="F161" i="55"/>
  <c r="E161" i="55"/>
  <c r="D161" i="55"/>
  <c r="C161" i="55"/>
  <c r="G160" i="55"/>
  <c r="F160" i="55"/>
  <c r="E160" i="55"/>
  <c r="D160" i="55"/>
  <c r="C160" i="55"/>
  <c r="G159" i="55"/>
  <c r="F159" i="55"/>
  <c r="E159" i="55"/>
  <c r="D159" i="55"/>
  <c r="C159" i="55"/>
  <c r="G158" i="55"/>
  <c r="F158" i="55"/>
  <c r="E158" i="55"/>
  <c r="D158" i="55"/>
  <c r="C158" i="55"/>
  <c r="G157" i="55"/>
  <c r="F157" i="55"/>
  <c r="E157" i="55"/>
  <c r="D157" i="55"/>
  <c r="C157" i="55"/>
  <c r="G156" i="55"/>
  <c r="F156" i="55"/>
  <c r="E156" i="55"/>
  <c r="D156" i="55"/>
  <c r="C156" i="55"/>
  <c r="G155" i="55"/>
  <c r="F155" i="55"/>
  <c r="E155" i="55"/>
  <c r="D155" i="55"/>
  <c r="H155" i="55" s="1"/>
  <c r="C155" i="55"/>
  <c r="G154" i="55"/>
  <c r="F154" i="55"/>
  <c r="E154" i="55"/>
  <c r="D154" i="55"/>
  <c r="C154" i="55"/>
  <c r="G153" i="55"/>
  <c r="F153" i="55"/>
  <c r="E153" i="55"/>
  <c r="D153" i="55"/>
  <c r="C153" i="55"/>
  <c r="F143" i="55"/>
  <c r="E143" i="55"/>
  <c r="D143" i="55"/>
  <c r="C143" i="55"/>
  <c r="F142" i="55"/>
  <c r="E142" i="55"/>
  <c r="D142" i="55"/>
  <c r="C142" i="55"/>
  <c r="F141" i="55"/>
  <c r="E141" i="55"/>
  <c r="D141" i="55"/>
  <c r="C141" i="55"/>
  <c r="F140" i="55"/>
  <c r="G140" i="55" s="1"/>
  <c r="H140" i="55" s="1"/>
  <c r="G102" i="55" s="1"/>
  <c r="H102" i="55" s="1"/>
  <c r="E140" i="55"/>
  <c r="D140" i="55"/>
  <c r="C140" i="55"/>
  <c r="F139" i="55"/>
  <c r="E139" i="55"/>
  <c r="G139" i="55" s="1"/>
  <c r="D139" i="55"/>
  <c r="C139" i="55"/>
  <c r="F138" i="55"/>
  <c r="E138" i="55"/>
  <c r="D138" i="55"/>
  <c r="C138" i="55"/>
  <c r="F137" i="55"/>
  <c r="E137" i="55"/>
  <c r="D137" i="55"/>
  <c r="C137" i="55"/>
  <c r="F136" i="55"/>
  <c r="E136" i="55"/>
  <c r="D136" i="55"/>
  <c r="C136" i="55"/>
  <c r="F135" i="55"/>
  <c r="E135" i="55"/>
  <c r="G135" i="55" s="1"/>
  <c r="D135" i="55"/>
  <c r="C135" i="55"/>
  <c r="F134" i="55"/>
  <c r="E134" i="55"/>
  <c r="D134" i="55"/>
  <c r="C134" i="55"/>
  <c r="F133" i="55"/>
  <c r="E133" i="55"/>
  <c r="D133" i="55"/>
  <c r="C133" i="55"/>
  <c r="E132" i="55"/>
  <c r="G123" i="55"/>
  <c r="F123" i="55"/>
  <c r="E123" i="55"/>
  <c r="D123" i="55"/>
  <c r="C123" i="55"/>
  <c r="G122" i="55"/>
  <c r="F122" i="55"/>
  <c r="E122" i="55"/>
  <c r="D122" i="55"/>
  <c r="C122" i="55"/>
  <c r="G121" i="55"/>
  <c r="F121" i="55"/>
  <c r="E121" i="55"/>
  <c r="D121" i="55"/>
  <c r="C121" i="55"/>
  <c r="G120" i="55"/>
  <c r="F120" i="55"/>
  <c r="E120" i="55"/>
  <c r="D120" i="55"/>
  <c r="C120" i="55"/>
  <c r="G119" i="55"/>
  <c r="F119" i="55"/>
  <c r="E119" i="55"/>
  <c r="D119" i="55"/>
  <c r="H119" i="55" s="1"/>
  <c r="C119" i="55"/>
  <c r="G118" i="55"/>
  <c r="F118" i="55"/>
  <c r="E118" i="55"/>
  <c r="D118" i="55"/>
  <c r="C118" i="55"/>
  <c r="G117" i="55"/>
  <c r="F117" i="55"/>
  <c r="E117" i="55"/>
  <c r="D117" i="55"/>
  <c r="C117" i="55"/>
  <c r="G116" i="55"/>
  <c r="F116" i="55"/>
  <c r="E116" i="55"/>
  <c r="D116" i="55"/>
  <c r="C116" i="55"/>
  <c r="G115" i="55"/>
  <c r="F115" i="55"/>
  <c r="E115" i="55"/>
  <c r="D115" i="55"/>
  <c r="C115" i="55"/>
  <c r="G114" i="55"/>
  <c r="F114" i="55"/>
  <c r="E114" i="55"/>
  <c r="H114" i="55" s="1"/>
  <c r="D114" i="55"/>
  <c r="C114" i="55"/>
  <c r="G113" i="55"/>
  <c r="F113" i="55"/>
  <c r="E113" i="55"/>
  <c r="D113" i="55"/>
  <c r="C113" i="55"/>
  <c r="E112" i="55"/>
  <c r="F105" i="55"/>
  <c r="E105" i="55"/>
  <c r="D105" i="55"/>
  <c r="C105" i="55"/>
  <c r="F104" i="55"/>
  <c r="E104" i="55"/>
  <c r="D104" i="55"/>
  <c r="C104" i="55"/>
  <c r="F103" i="55"/>
  <c r="E103" i="55"/>
  <c r="D103" i="55"/>
  <c r="C103" i="55"/>
  <c r="F102" i="55"/>
  <c r="E102" i="55"/>
  <c r="D102" i="55"/>
  <c r="C102" i="55"/>
  <c r="F101" i="55"/>
  <c r="E101" i="55"/>
  <c r="D101" i="55"/>
  <c r="C101" i="55"/>
  <c r="F100" i="55"/>
  <c r="E100" i="55"/>
  <c r="D100" i="55"/>
  <c r="C100" i="55"/>
  <c r="F99" i="55"/>
  <c r="E99" i="55"/>
  <c r="D99" i="55"/>
  <c r="C99" i="55"/>
  <c r="F98" i="55"/>
  <c r="E98" i="55"/>
  <c r="D98" i="55"/>
  <c r="C98" i="55"/>
  <c r="F97" i="55"/>
  <c r="E97" i="55"/>
  <c r="D97" i="55"/>
  <c r="C97" i="55"/>
  <c r="F96" i="55"/>
  <c r="E96" i="55"/>
  <c r="D96" i="55"/>
  <c r="C96" i="55"/>
  <c r="F95" i="55"/>
  <c r="E95" i="55"/>
  <c r="D95" i="55"/>
  <c r="C95" i="55"/>
  <c r="E94" i="55"/>
  <c r="G85" i="55"/>
  <c r="F85" i="55"/>
  <c r="E85" i="55"/>
  <c r="H85" i="55" s="1"/>
  <c r="D85" i="55"/>
  <c r="C85" i="55"/>
  <c r="G84" i="55"/>
  <c r="F84" i="55"/>
  <c r="E84" i="55"/>
  <c r="D84" i="55"/>
  <c r="C84" i="55"/>
  <c r="G83" i="55"/>
  <c r="F83" i="55"/>
  <c r="E83" i="55"/>
  <c r="D83" i="55"/>
  <c r="C83" i="55"/>
  <c r="G82" i="55"/>
  <c r="F82" i="55"/>
  <c r="E82" i="55"/>
  <c r="D82" i="55"/>
  <c r="C82" i="55"/>
  <c r="G81" i="55"/>
  <c r="F81" i="55"/>
  <c r="E81" i="55"/>
  <c r="D81" i="55"/>
  <c r="C81" i="55"/>
  <c r="G80" i="55"/>
  <c r="F80" i="55"/>
  <c r="E80" i="55"/>
  <c r="D80" i="55"/>
  <c r="C80" i="55"/>
  <c r="G79" i="55"/>
  <c r="F79" i="55"/>
  <c r="E79" i="55"/>
  <c r="D79" i="55"/>
  <c r="C79" i="55"/>
  <c r="G78" i="55"/>
  <c r="F78" i="55"/>
  <c r="E78" i="55"/>
  <c r="D78" i="55"/>
  <c r="C78" i="55"/>
  <c r="G77" i="55"/>
  <c r="F77" i="55"/>
  <c r="E77" i="55"/>
  <c r="D77" i="55"/>
  <c r="C77" i="55"/>
  <c r="G76" i="55"/>
  <c r="F76" i="55"/>
  <c r="E76" i="55"/>
  <c r="D76" i="55"/>
  <c r="C76" i="55"/>
  <c r="G75" i="55"/>
  <c r="F75" i="55"/>
  <c r="E75" i="55"/>
  <c r="D75" i="55"/>
  <c r="C75" i="55"/>
  <c r="E74" i="55"/>
  <c r="G67" i="55"/>
  <c r="F67" i="55"/>
  <c r="E67" i="55"/>
  <c r="D67" i="55"/>
  <c r="C67" i="55"/>
  <c r="G66" i="55"/>
  <c r="F66" i="55"/>
  <c r="E66" i="55"/>
  <c r="D66" i="55"/>
  <c r="C66" i="55"/>
  <c r="G65" i="55"/>
  <c r="F65" i="55"/>
  <c r="E65" i="55"/>
  <c r="D65" i="55"/>
  <c r="C65" i="55"/>
  <c r="G64" i="55"/>
  <c r="F64" i="55"/>
  <c r="E64" i="55"/>
  <c r="D64" i="55"/>
  <c r="C64" i="55"/>
  <c r="G63" i="55"/>
  <c r="F63" i="55"/>
  <c r="E63" i="55"/>
  <c r="D63" i="55"/>
  <c r="C63" i="55"/>
  <c r="G62" i="55"/>
  <c r="F62" i="55"/>
  <c r="E62" i="55"/>
  <c r="D62" i="55"/>
  <c r="C62" i="55"/>
  <c r="G61" i="55"/>
  <c r="F61" i="55"/>
  <c r="E61" i="55"/>
  <c r="D61" i="55"/>
  <c r="H61" i="55" s="1"/>
  <c r="C61" i="55"/>
  <c r="G60" i="55"/>
  <c r="F60" i="55"/>
  <c r="E60" i="55"/>
  <c r="C60" i="55"/>
  <c r="G59" i="55"/>
  <c r="F59" i="55"/>
  <c r="E59" i="55"/>
  <c r="D59" i="55"/>
  <c r="C59" i="55"/>
  <c r="G58" i="55"/>
  <c r="F58" i="55"/>
  <c r="E58" i="55"/>
  <c r="D58" i="55"/>
  <c r="C58" i="55"/>
  <c r="G57" i="55"/>
  <c r="F57" i="55"/>
  <c r="E57" i="55"/>
  <c r="D57" i="55"/>
  <c r="C57" i="55"/>
  <c r="E56" i="55"/>
  <c r="H46" i="55"/>
  <c r="H45" i="55"/>
  <c r="H44" i="55"/>
  <c r="H43" i="55"/>
  <c r="H42" i="55"/>
  <c r="H41" i="55"/>
  <c r="H40" i="55"/>
  <c r="H39" i="55"/>
  <c r="H38" i="55"/>
  <c r="H37" i="55"/>
  <c r="H36" i="55"/>
  <c r="H47" i="55" s="1"/>
  <c r="I29" i="55" s="1"/>
  <c r="C20" i="55"/>
  <c r="C19" i="55"/>
  <c r="C18" i="55"/>
  <c r="C17" i="55"/>
  <c r="F101" i="16"/>
  <c r="F100" i="16"/>
  <c r="F79" i="16"/>
  <c r="F78" i="16"/>
  <c r="F70" i="16"/>
  <c r="F69" i="16"/>
  <c r="F59" i="16"/>
  <c r="F58" i="16"/>
  <c r="F49" i="16"/>
  <c r="F48" i="16"/>
  <c r="G101" i="52"/>
  <c r="G100" i="52"/>
  <c r="G79" i="52"/>
  <c r="G78" i="52"/>
  <c r="G58" i="52"/>
  <c r="G57" i="52"/>
  <c r="G49" i="52"/>
  <c r="G48" i="52"/>
  <c r="G114" i="46"/>
  <c r="G115" i="46"/>
  <c r="G89" i="46" s="1"/>
  <c r="G116" i="46"/>
  <c r="G90" i="46" s="1"/>
  <c r="G113" i="46"/>
  <c r="G87" i="46" s="1"/>
  <c r="G63" i="46"/>
  <c r="G64" i="46"/>
  <c r="G65" i="46"/>
  <c r="G62" i="46"/>
  <c r="G52" i="46"/>
  <c r="G53" i="46"/>
  <c r="H53" i="46" s="1"/>
  <c r="G54" i="46"/>
  <c r="G51" i="46"/>
  <c r="Q140" i="46"/>
  <c r="H140" i="46"/>
  <c r="F48" i="52"/>
  <c r="F49" i="52"/>
  <c r="D14" i="46"/>
  <c r="D14" i="39" s="1"/>
  <c r="D14" i="16" s="1"/>
  <c r="D14" i="52" s="1"/>
  <c r="G48" i="54"/>
  <c r="H223" i="39"/>
  <c r="C158" i="39"/>
  <c r="D158" i="39"/>
  <c r="E158" i="39"/>
  <c r="F158" i="39"/>
  <c r="G158" i="39"/>
  <c r="G118" i="39" s="1"/>
  <c r="C138" i="39"/>
  <c r="D138" i="39"/>
  <c r="E138" i="39"/>
  <c r="F138" i="39"/>
  <c r="C118" i="39"/>
  <c r="D118" i="39"/>
  <c r="E118" i="39"/>
  <c r="F118" i="39"/>
  <c r="C100" i="39"/>
  <c r="D100" i="39"/>
  <c r="E100" i="39"/>
  <c r="F100" i="39"/>
  <c r="G100" i="39"/>
  <c r="H100" i="39" s="1"/>
  <c r="C79" i="39"/>
  <c r="D79" i="39"/>
  <c r="E79" i="39"/>
  <c r="F79" i="39"/>
  <c r="C61" i="39"/>
  <c r="D61" i="39"/>
  <c r="E61" i="39"/>
  <c r="F61" i="39"/>
  <c r="H39" i="39"/>
  <c r="H37" i="46"/>
  <c r="H38" i="46"/>
  <c r="G120" i="16"/>
  <c r="G121" i="16"/>
  <c r="G124" i="16"/>
  <c r="G243" i="39"/>
  <c r="G249" i="39"/>
  <c r="G250" i="39" s="1"/>
  <c r="I246" i="39" s="1"/>
  <c r="AY11" i="53"/>
  <c r="AZ11" i="53" s="1"/>
  <c r="AV11" i="53"/>
  <c r="AW11" i="53" s="1"/>
  <c r="AS11" i="53"/>
  <c r="AT11" i="53" s="1"/>
  <c r="AT12" i="53" s="1"/>
  <c r="AP11" i="53"/>
  <c r="AQ11" i="53" s="1"/>
  <c r="AM11" i="53"/>
  <c r="AJ11" i="53"/>
  <c r="AG11" i="53"/>
  <c r="AD11" i="53"/>
  <c r="AE11" i="53" s="1"/>
  <c r="AA11" i="53"/>
  <c r="AB11" i="53" s="1"/>
  <c r="X11" i="53"/>
  <c r="Y11" i="53"/>
  <c r="U11" i="53"/>
  <c r="V11" i="53" s="1"/>
  <c r="R11" i="53"/>
  <c r="S11" i="53" s="1"/>
  <c r="O11" i="53"/>
  <c r="P11" i="53" s="1"/>
  <c r="L11" i="53"/>
  <c r="M11" i="53" s="1"/>
  <c r="I11" i="53"/>
  <c r="F11" i="53"/>
  <c r="C11" i="53"/>
  <c r="D11" i="53" s="1"/>
  <c r="AZ10" i="53"/>
  <c r="AW10" i="53"/>
  <c r="AT10" i="53"/>
  <c r="AQ10" i="53"/>
  <c r="AN10" i="53"/>
  <c r="AK10" i="53"/>
  <c r="AH10" i="53"/>
  <c r="AE10" i="53"/>
  <c r="AB10" i="53"/>
  <c r="Y10" i="53"/>
  <c r="V10" i="53"/>
  <c r="S10" i="53"/>
  <c r="P10" i="53"/>
  <c r="M10" i="53"/>
  <c r="J10" i="53"/>
  <c r="G10" i="53"/>
  <c r="D10" i="53"/>
  <c r="AY8" i="53"/>
  <c r="AY13" i="53" s="1"/>
  <c r="AV8" i="53"/>
  <c r="AS8" i="53"/>
  <c r="AP8" i="53"/>
  <c r="AP13" i="53" s="1"/>
  <c r="AM8" i="53"/>
  <c r="AJ8" i="53"/>
  <c r="AG8" i="53"/>
  <c r="AG13" i="53" s="1"/>
  <c r="AD8" i="53"/>
  <c r="AA8" i="53"/>
  <c r="AA12" i="53" s="1"/>
  <c r="X8" i="53"/>
  <c r="U8" i="53"/>
  <c r="R8" i="53"/>
  <c r="R14" i="53" s="1"/>
  <c r="O8" i="53"/>
  <c r="O13" i="53" s="1"/>
  <c r="L8" i="53"/>
  <c r="L13" i="53" s="1"/>
  <c r="I8" i="53"/>
  <c r="I12" i="53" s="1"/>
  <c r="F8" i="53"/>
  <c r="C8" i="53"/>
  <c r="AZ7" i="53"/>
  <c r="AW7" i="53"/>
  <c r="AT7" i="53"/>
  <c r="AQ7" i="53"/>
  <c r="AN7" i="53"/>
  <c r="AK7" i="53"/>
  <c r="AH7" i="53"/>
  <c r="AE7" i="53"/>
  <c r="AB7" i="53"/>
  <c r="Y7" i="53"/>
  <c r="V7" i="53"/>
  <c r="S7" i="53"/>
  <c r="P7" i="53"/>
  <c r="M7" i="53"/>
  <c r="J7" i="53"/>
  <c r="G7" i="53"/>
  <c r="D7" i="53"/>
  <c r="BC6" i="53"/>
  <c r="BD6" i="53" s="1"/>
  <c r="AZ6" i="53"/>
  <c r="AW6" i="53"/>
  <c r="AT6" i="53"/>
  <c r="AQ6" i="53"/>
  <c r="AN6" i="53"/>
  <c r="AK6" i="53"/>
  <c r="AH6" i="53"/>
  <c r="AE6" i="53"/>
  <c r="AB6" i="53"/>
  <c r="Y6" i="53"/>
  <c r="V6" i="53"/>
  <c r="S6" i="53"/>
  <c r="P6" i="53"/>
  <c r="M6" i="53"/>
  <c r="J6" i="53"/>
  <c r="G6" i="53"/>
  <c r="D6" i="53"/>
  <c r="A6" i="53"/>
  <c r="A7" i="53" s="1"/>
  <c r="A8" i="53"/>
  <c r="A9" i="53" s="1"/>
  <c r="A10" i="53" s="1"/>
  <c r="A11" i="53" s="1"/>
  <c r="A12" i="53" s="1"/>
  <c r="A13" i="53" s="1"/>
  <c r="A14" i="53" s="1"/>
  <c r="A15" i="53" s="1"/>
  <c r="BC5" i="53"/>
  <c r="BD5" i="53" s="1"/>
  <c r="AZ5" i="53"/>
  <c r="AW5" i="53"/>
  <c r="AT5" i="53"/>
  <c r="AQ5" i="53"/>
  <c r="AN5" i="53"/>
  <c r="AK5" i="53"/>
  <c r="AH5" i="53"/>
  <c r="AE5" i="53"/>
  <c r="AB5" i="53"/>
  <c r="AB8" i="53" s="1"/>
  <c r="AB13" i="53" s="1"/>
  <c r="Y5" i="53"/>
  <c r="V5" i="53"/>
  <c r="S5" i="53"/>
  <c r="P5" i="53"/>
  <c r="M5" i="53"/>
  <c r="M8" i="53"/>
  <c r="J5" i="53"/>
  <c r="G5" i="53"/>
  <c r="G8" i="53" s="1"/>
  <c r="D5" i="53"/>
  <c r="X14" i="53"/>
  <c r="AA13" i="53"/>
  <c r="AK8" i="53"/>
  <c r="AV12" i="53"/>
  <c r="O14" i="53"/>
  <c r="AA14" i="53"/>
  <c r="L32" i="52"/>
  <c r="L42" i="52" s="1"/>
  <c r="L43" i="52" s="1"/>
  <c r="N211" i="46"/>
  <c r="F211" i="46" s="1"/>
  <c r="H211" i="46" s="1"/>
  <c r="H212" i="46" s="1"/>
  <c r="I208" i="46" s="1"/>
  <c r="F115" i="46"/>
  <c r="E115" i="46"/>
  <c r="D115" i="46"/>
  <c r="C115" i="46"/>
  <c r="F102" i="46"/>
  <c r="G102" i="46" s="1"/>
  <c r="H102" i="46" s="1"/>
  <c r="E102" i="46"/>
  <c r="D102" i="46"/>
  <c r="C102" i="46"/>
  <c r="F89" i="46"/>
  <c r="E89" i="46"/>
  <c r="D89" i="46"/>
  <c r="C89" i="46"/>
  <c r="G78" i="46"/>
  <c r="F78" i="46"/>
  <c r="E78" i="46"/>
  <c r="D78" i="46"/>
  <c r="C78" i="46"/>
  <c r="F64" i="46"/>
  <c r="E64" i="46"/>
  <c r="D64" i="46"/>
  <c r="C64" i="46"/>
  <c r="F53" i="46"/>
  <c r="E53" i="46"/>
  <c r="D53" i="46"/>
  <c r="C53" i="46"/>
  <c r="H39" i="46"/>
  <c r="H36" i="46"/>
  <c r="H121" i="52"/>
  <c r="H122" i="52"/>
  <c r="H123" i="52"/>
  <c r="H124" i="52"/>
  <c r="H125" i="52"/>
  <c r="H126" i="52"/>
  <c r="H127" i="52"/>
  <c r="H128" i="52"/>
  <c r="H129" i="52"/>
  <c r="H130" i="52"/>
  <c r="H131" i="52"/>
  <c r="H132" i="52"/>
  <c r="H133" i="52"/>
  <c r="H134" i="52"/>
  <c r="H135" i="52"/>
  <c r="H136" i="52"/>
  <c r="H137" i="52"/>
  <c r="H138" i="52"/>
  <c r="H139" i="52"/>
  <c r="H140" i="52"/>
  <c r="H120" i="52"/>
  <c r="H37" i="52"/>
  <c r="H36" i="52"/>
  <c r="O112" i="52"/>
  <c r="H112" i="52"/>
  <c r="H113" i="52" s="1"/>
  <c r="I107" i="52" s="1"/>
  <c r="N113" i="16"/>
  <c r="L156" i="16"/>
  <c r="M156" i="16" s="1"/>
  <c r="G156" i="16"/>
  <c r="G157" i="16"/>
  <c r="H153" i="16" s="1"/>
  <c r="N36" i="52"/>
  <c r="L81" i="39"/>
  <c r="L80" i="39"/>
  <c r="G254" i="39"/>
  <c r="G255" i="39" s="1"/>
  <c r="I251" i="39" s="1"/>
  <c r="G242" i="39"/>
  <c r="G241" i="39"/>
  <c r="G244" i="39" s="1"/>
  <c r="I238" i="39" s="1"/>
  <c r="G232" i="39"/>
  <c r="I228" i="39"/>
  <c r="H211" i="39"/>
  <c r="H212" i="39"/>
  <c r="H213" i="39"/>
  <c r="H226" i="39" s="1"/>
  <c r="I206" i="39" s="1"/>
  <c r="I204" i="39" s="1"/>
  <c r="H214" i="39"/>
  <c r="H215" i="39"/>
  <c r="H216" i="39"/>
  <c r="H217" i="39"/>
  <c r="H218" i="39"/>
  <c r="H219" i="39"/>
  <c r="H220" i="39"/>
  <c r="H221" i="39"/>
  <c r="H222" i="39"/>
  <c r="H224" i="39"/>
  <c r="H225" i="39"/>
  <c r="H210" i="39"/>
  <c r="H209" i="39"/>
  <c r="K183" i="39"/>
  <c r="G98" i="39"/>
  <c r="G99" i="39"/>
  <c r="G101" i="39"/>
  <c r="G102" i="39"/>
  <c r="G103" i="39"/>
  <c r="G104" i="39"/>
  <c r="G105" i="39"/>
  <c r="G106" i="39"/>
  <c r="G107" i="39"/>
  <c r="G156" i="39"/>
  <c r="G116" i="39" s="1"/>
  <c r="G59" i="39" s="1"/>
  <c r="G157" i="39"/>
  <c r="G117" i="39" s="1"/>
  <c r="G159" i="39"/>
  <c r="G119" i="39" s="1"/>
  <c r="G160" i="39"/>
  <c r="G120" i="39" s="1"/>
  <c r="G161" i="39"/>
  <c r="G121" i="39" s="1"/>
  <c r="G162" i="39"/>
  <c r="G122" i="39" s="1"/>
  <c r="G65" i="39" s="1"/>
  <c r="H65" i="39" s="1"/>
  <c r="G163" i="39"/>
  <c r="G123" i="39" s="1"/>
  <c r="G164" i="39"/>
  <c r="G124" i="39" s="1"/>
  <c r="G165" i="39"/>
  <c r="G125" i="39" s="1"/>
  <c r="H125" i="39" s="1"/>
  <c r="C156" i="39"/>
  <c r="D156" i="39"/>
  <c r="E156" i="39"/>
  <c r="F156" i="39"/>
  <c r="C157" i="39"/>
  <c r="D157" i="39"/>
  <c r="E157" i="39"/>
  <c r="F157" i="39"/>
  <c r="H157" i="39" s="1"/>
  <c r="C159" i="39"/>
  <c r="D159" i="39"/>
  <c r="E159" i="39"/>
  <c r="F159" i="39"/>
  <c r="C160" i="39"/>
  <c r="D160" i="39"/>
  <c r="E160" i="39"/>
  <c r="F160" i="39"/>
  <c r="H160" i="39" s="1"/>
  <c r="C161" i="39"/>
  <c r="D161" i="39"/>
  <c r="E161" i="39"/>
  <c r="F161" i="39"/>
  <c r="C162" i="39"/>
  <c r="D162" i="39"/>
  <c r="E162" i="39"/>
  <c r="F162" i="39"/>
  <c r="H162" i="39" s="1"/>
  <c r="C163" i="39"/>
  <c r="D163" i="39"/>
  <c r="E163" i="39"/>
  <c r="F163" i="39"/>
  <c r="C164" i="39"/>
  <c r="D164" i="39"/>
  <c r="E164" i="39"/>
  <c r="F164" i="39"/>
  <c r="C165" i="39"/>
  <c r="D165" i="39"/>
  <c r="E165" i="39"/>
  <c r="F165" i="39"/>
  <c r="C136" i="39"/>
  <c r="D136" i="39"/>
  <c r="E136" i="39"/>
  <c r="F136" i="39"/>
  <c r="G136" i="39" s="1"/>
  <c r="C137" i="39"/>
  <c r="D137" i="39"/>
  <c r="E137" i="39"/>
  <c r="F137" i="39"/>
  <c r="C139" i="39"/>
  <c r="D139" i="39"/>
  <c r="E139" i="39"/>
  <c r="F139" i="39"/>
  <c r="G139" i="39" s="1"/>
  <c r="C140" i="39"/>
  <c r="D140" i="39"/>
  <c r="E140" i="39"/>
  <c r="F140" i="39"/>
  <c r="C141" i="39"/>
  <c r="D141" i="39"/>
  <c r="E141" i="39"/>
  <c r="F141" i="39"/>
  <c r="C142" i="39"/>
  <c r="D142" i="39"/>
  <c r="E142" i="39"/>
  <c r="F142" i="39"/>
  <c r="G142" i="39" s="1"/>
  <c r="H142" i="39" s="1"/>
  <c r="C143" i="39"/>
  <c r="D143" i="39"/>
  <c r="E143" i="39"/>
  <c r="G143" i="39" s="1"/>
  <c r="H143" i="39" s="1"/>
  <c r="F143" i="39"/>
  <c r="C144" i="39"/>
  <c r="D144" i="39"/>
  <c r="E144" i="39"/>
  <c r="F144" i="39"/>
  <c r="C145" i="39"/>
  <c r="D145" i="39"/>
  <c r="E145" i="39"/>
  <c r="G145" i="39" s="1"/>
  <c r="H145" i="39" s="1"/>
  <c r="F145" i="39"/>
  <c r="C116" i="39"/>
  <c r="D116" i="39"/>
  <c r="E116" i="39"/>
  <c r="F116" i="39"/>
  <c r="C117" i="39"/>
  <c r="D117" i="39"/>
  <c r="H117" i="39" s="1"/>
  <c r="E117" i="39"/>
  <c r="F117" i="39"/>
  <c r="C119" i="39"/>
  <c r="D119" i="39"/>
  <c r="E119" i="39"/>
  <c r="F119" i="39"/>
  <c r="C120" i="39"/>
  <c r="D120" i="39"/>
  <c r="H120" i="39" s="1"/>
  <c r="E120" i="39"/>
  <c r="F120" i="39"/>
  <c r="C121" i="39"/>
  <c r="D121" i="39"/>
  <c r="E121" i="39"/>
  <c r="F121" i="39"/>
  <c r="C122" i="39"/>
  <c r="D122" i="39"/>
  <c r="E122" i="39"/>
  <c r="F122" i="39"/>
  <c r="C123" i="39"/>
  <c r="D123" i="39"/>
  <c r="E123" i="39"/>
  <c r="F123" i="39"/>
  <c r="C124" i="39"/>
  <c r="D124" i="39"/>
  <c r="E124" i="39"/>
  <c r="F124" i="39"/>
  <c r="C125" i="39"/>
  <c r="D125" i="39"/>
  <c r="E125" i="39"/>
  <c r="F125" i="39"/>
  <c r="D115" i="39"/>
  <c r="E115" i="39"/>
  <c r="H115" i="39" s="1"/>
  <c r="F115" i="39"/>
  <c r="C115" i="39"/>
  <c r="C98" i="39"/>
  <c r="D98" i="39"/>
  <c r="E98" i="39"/>
  <c r="F98" i="39"/>
  <c r="C99" i="39"/>
  <c r="D99" i="39"/>
  <c r="E99" i="39"/>
  <c r="F99" i="39"/>
  <c r="C101" i="39"/>
  <c r="D101" i="39"/>
  <c r="E101" i="39"/>
  <c r="F101" i="39"/>
  <c r="C102" i="39"/>
  <c r="D102" i="39"/>
  <c r="E102" i="39"/>
  <c r="F102" i="39"/>
  <c r="C103" i="39"/>
  <c r="D103" i="39"/>
  <c r="E103" i="39"/>
  <c r="F103" i="39"/>
  <c r="C104" i="39"/>
  <c r="D104" i="39"/>
  <c r="E104" i="39"/>
  <c r="F104" i="39"/>
  <c r="C105" i="39"/>
  <c r="D105" i="39"/>
  <c r="E105" i="39"/>
  <c r="F105" i="39"/>
  <c r="C106" i="39"/>
  <c r="D106" i="39"/>
  <c r="E106" i="39"/>
  <c r="F106" i="39"/>
  <c r="C107" i="39"/>
  <c r="D107" i="39"/>
  <c r="E107" i="39"/>
  <c r="F107" i="39"/>
  <c r="D97" i="39"/>
  <c r="E97" i="39"/>
  <c r="F97" i="39"/>
  <c r="C97" i="39"/>
  <c r="C77" i="39"/>
  <c r="D77" i="39"/>
  <c r="E77" i="39"/>
  <c r="F77" i="39"/>
  <c r="C78" i="39"/>
  <c r="D78" i="39"/>
  <c r="E78" i="39"/>
  <c r="F78" i="39"/>
  <c r="C80" i="39"/>
  <c r="D80" i="39"/>
  <c r="E80" i="39"/>
  <c r="F80" i="39"/>
  <c r="C81" i="39"/>
  <c r="D81" i="39"/>
  <c r="E81" i="39"/>
  <c r="F81" i="39"/>
  <c r="C82" i="39"/>
  <c r="D82" i="39"/>
  <c r="E82" i="39"/>
  <c r="F82" i="39"/>
  <c r="C83" i="39"/>
  <c r="D83" i="39"/>
  <c r="E83" i="39"/>
  <c r="F83" i="39"/>
  <c r="C84" i="39"/>
  <c r="D84" i="39"/>
  <c r="E84" i="39"/>
  <c r="F84" i="39"/>
  <c r="C85" i="39"/>
  <c r="D85" i="39"/>
  <c r="H85" i="39" s="1"/>
  <c r="E85" i="39"/>
  <c r="F85" i="39"/>
  <c r="C86" i="39"/>
  <c r="D86" i="39"/>
  <c r="E86" i="39"/>
  <c r="F86" i="39"/>
  <c r="D76" i="39"/>
  <c r="E76" i="39"/>
  <c r="H76" i="39" s="1"/>
  <c r="F76" i="39"/>
  <c r="C76" i="39"/>
  <c r="H37" i="39"/>
  <c r="H38" i="39"/>
  <c r="H40" i="39"/>
  <c r="H41" i="39"/>
  <c r="H42" i="39"/>
  <c r="H43" i="39"/>
  <c r="H44" i="39"/>
  <c r="H45" i="39"/>
  <c r="H46" i="39"/>
  <c r="H36" i="39"/>
  <c r="C59" i="39"/>
  <c r="D59" i="39"/>
  <c r="E59" i="39"/>
  <c r="F59" i="39"/>
  <c r="H59" i="39" s="1"/>
  <c r="C60" i="39"/>
  <c r="D60" i="39"/>
  <c r="E60" i="39"/>
  <c r="F60" i="39"/>
  <c r="C62" i="39"/>
  <c r="D62" i="39"/>
  <c r="E62" i="39"/>
  <c r="F62" i="39"/>
  <c r="C63" i="39"/>
  <c r="D63" i="39"/>
  <c r="E63" i="39"/>
  <c r="F63" i="39"/>
  <c r="C64" i="39"/>
  <c r="D64" i="39"/>
  <c r="E64" i="39"/>
  <c r="F64" i="39"/>
  <c r="C65" i="39"/>
  <c r="D65" i="39"/>
  <c r="E65" i="39"/>
  <c r="F65" i="39"/>
  <c r="C66" i="39"/>
  <c r="D66" i="39"/>
  <c r="E66" i="39"/>
  <c r="F66" i="39"/>
  <c r="C67" i="39"/>
  <c r="D67" i="39"/>
  <c r="E67" i="39"/>
  <c r="F67" i="39"/>
  <c r="C68" i="39"/>
  <c r="D68" i="39"/>
  <c r="E68" i="39"/>
  <c r="F68" i="39"/>
  <c r="D58" i="39"/>
  <c r="E58" i="39"/>
  <c r="F58" i="39"/>
  <c r="C58" i="39"/>
  <c r="K43" i="39"/>
  <c r="C103" i="46"/>
  <c r="C101" i="46"/>
  <c r="C100" i="46"/>
  <c r="C90" i="46"/>
  <c r="C88" i="46"/>
  <c r="C87" i="46"/>
  <c r="C79" i="46"/>
  <c r="C77" i="46"/>
  <c r="C76" i="46"/>
  <c r="C65" i="46"/>
  <c r="C63" i="46"/>
  <c r="C62" i="46"/>
  <c r="C54" i="46"/>
  <c r="C52" i="46"/>
  <c r="C51" i="46"/>
  <c r="J147" i="52"/>
  <c r="J146" i="52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F101" i="52"/>
  <c r="E101" i="52"/>
  <c r="D101" i="52"/>
  <c r="C101" i="52"/>
  <c r="F100" i="52"/>
  <c r="E100" i="52"/>
  <c r="D100" i="52"/>
  <c r="C100" i="52"/>
  <c r="F90" i="52"/>
  <c r="E90" i="52"/>
  <c r="D90" i="52"/>
  <c r="C90" i="52"/>
  <c r="F89" i="52"/>
  <c r="E89" i="52"/>
  <c r="D89" i="52"/>
  <c r="C89" i="52"/>
  <c r="E88" i="52"/>
  <c r="F79" i="52"/>
  <c r="E79" i="52"/>
  <c r="D79" i="52"/>
  <c r="C79" i="52"/>
  <c r="F78" i="52"/>
  <c r="E78" i="52"/>
  <c r="D78" i="52"/>
  <c r="H78" i="52" s="1"/>
  <c r="C78" i="52"/>
  <c r="E77" i="52"/>
  <c r="G70" i="52"/>
  <c r="F70" i="52"/>
  <c r="E70" i="52"/>
  <c r="D70" i="52"/>
  <c r="C70" i="52"/>
  <c r="G69" i="52"/>
  <c r="F69" i="52"/>
  <c r="E69" i="52"/>
  <c r="D69" i="52"/>
  <c r="C69" i="52"/>
  <c r="E68" i="52"/>
  <c r="F58" i="52"/>
  <c r="E58" i="52"/>
  <c r="D58" i="52"/>
  <c r="C58" i="52"/>
  <c r="F57" i="52"/>
  <c r="E57" i="52"/>
  <c r="D57" i="52"/>
  <c r="C57" i="52"/>
  <c r="E56" i="52"/>
  <c r="E49" i="52"/>
  <c r="D49" i="52"/>
  <c r="C49" i="52"/>
  <c r="E48" i="52"/>
  <c r="D48" i="52"/>
  <c r="C48" i="52"/>
  <c r="E47" i="52"/>
  <c r="G155" i="39"/>
  <c r="G115" i="39" s="1"/>
  <c r="G58" i="39" s="1"/>
  <c r="C155" i="39"/>
  <c r="D155" i="39"/>
  <c r="E155" i="39"/>
  <c r="F155" i="39"/>
  <c r="G97" i="39"/>
  <c r="D100" i="16"/>
  <c r="E100" i="16"/>
  <c r="D101" i="16"/>
  <c r="E101" i="16"/>
  <c r="G101" i="16" s="1"/>
  <c r="C101" i="16"/>
  <c r="C100" i="16"/>
  <c r="G77" i="46"/>
  <c r="G79" i="46"/>
  <c r="D113" i="46"/>
  <c r="H113" i="46" s="1"/>
  <c r="E113" i="46"/>
  <c r="F113" i="46"/>
  <c r="D114" i="46"/>
  <c r="E114" i="46"/>
  <c r="F114" i="46"/>
  <c r="D116" i="46"/>
  <c r="E116" i="46"/>
  <c r="F116" i="46"/>
  <c r="C116" i="46"/>
  <c r="C114" i="46"/>
  <c r="C113" i="46"/>
  <c r="F135" i="39"/>
  <c r="D135" i="39"/>
  <c r="E135" i="39"/>
  <c r="C135" i="39"/>
  <c r="F101" i="46"/>
  <c r="G101" i="46" s="1"/>
  <c r="E101" i="46"/>
  <c r="D101" i="46"/>
  <c r="F88" i="46"/>
  <c r="E88" i="46"/>
  <c r="D88" i="46"/>
  <c r="F77" i="46"/>
  <c r="E77" i="46"/>
  <c r="D77" i="46"/>
  <c r="F63" i="46"/>
  <c r="E63" i="46"/>
  <c r="D63" i="46"/>
  <c r="F52" i="46"/>
  <c r="F54" i="46"/>
  <c r="F90" i="46" s="1"/>
  <c r="E52" i="46"/>
  <c r="E54" i="46"/>
  <c r="D52" i="46"/>
  <c r="D54" i="46"/>
  <c r="D90" i="46" s="1"/>
  <c r="E17" i="51"/>
  <c r="J16" i="51"/>
  <c r="I16" i="51"/>
  <c r="H16" i="51"/>
  <c r="M16" i="51" s="1"/>
  <c r="K16" i="51" s="1"/>
  <c r="L16" i="51"/>
  <c r="B2" i="51"/>
  <c r="H7" i="51"/>
  <c r="I7" i="51"/>
  <c r="J7" i="51"/>
  <c r="H8" i="51"/>
  <c r="I8" i="51"/>
  <c r="J8" i="51"/>
  <c r="H9" i="51"/>
  <c r="I9" i="51"/>
  <c r="J9" i="51"/>
  <c r="H10" i="51"/>
  <c r="I10" i="51"/>
  <c r="J10" i="51"/>
  <c r="H11" i="51"/>
  <c r="M11" i="51" s="1"/>
  <c r="I11" i="51"/>
  <c r="J11" i="51"/>
  <c r="H12" i="51"/>
  <c r="F12" i="51" s="1"/>
  <c r="I12" i="51"/>
  <c r="J12" i="51"/>
  <c r="H13" i="51"/>
  <c r="F13" i="51" s="1"/>
  <c r="I13" i="51"/>
  <c r="J13" i="51"/>
  <c r="H14" i="51"/>
  <c r="I14" i="51"/>
  <c r="J14" i="51"/>
  <c r="H15" i="51"/>
  <c r="M15" i="51" s="1"/>
  <c r="K15" i="51" s="1"/>
  <c r="I15" i="51"/>
  <c r="J15" i="51"/>
  <c r="G17" i="51"/>
  <c r="E18" i="51"/>
  <c r="G18" i="51"/>
  <c r="F27" i="51"/>
  <c r="H27" i="51"/>
  <c r="I27" i="51"/>
  <c r="J27" i="51"/>
  <c r="K27" i="51"/>
  <c r="L27" i="51"/>
  <c r="B28" i="51"/>
  <c r="C28" i="51"/>
  <c r="E28" i="51" s="1"/>
  <c r="E29" i="51"/>
  <c r="J29" i="51" s="1"/>
  <c r="E30" i="51"/>
  <c r="J30" i="51" s="1"/>
  <c r="B31" i="51"/>
  <c r="C31" i="51"/>
  <c r="E31" i="51" s="1"/>
  <c r="D31" i="51"/>
  <c r="D33" i="51" s="1"/>
  <c r="B32" i="51"/>
  <c r="C32" i="51"/>
  <c r="E32" i="51" s="1"/>
  <c r="B33" i="51"/>
  <c r="C33" i="51"/>
  <c r="E33" i="51" s="1"/>
  <c r="I33" i="51" s="1"/>
  <c r="B34" i="51"/>
  <c r="C34" i="51"/>
  <c r="E14" i="50" s="1"/>
  <c r="B35" i="51"/>
  <c r="C35" i="51"/>
  <c r="E15" i="50" s="1"/>
  <c r="H15" i="50" s="1"/>
  <c r="B36" i="51"/>
  <c r="C36" i="51"/>
  <c r="E16" i="50" s="1"/>
  <c r="G37" i="51"/>
  <c r="D42" i="51"/>
  <c r="H30" i="50"/>
  <c r="G27" i="50"/>
  <c r="H27" i="50" s="1"/>
  <c r="B27" i="50"/>
  <c r="G26" i="50"/>
  <c r="H26" i="50" s="1"/>
  <c r="B19" i="50"/>
  <c r="B20" i="50" s="1"/>
  <c r="B21" i="50" s="1"/>
  <c r="B22" i="50" s="1"/>
  <c r="B23" i="50" s="1"/>
  <c r="G16" i="50"/>
  <c r="C16" i="50"/>
  <c r="G15" i="50"/>
  <c r="C15" i="50"/>
  <c r="G14" i="50"/>
  <c r="C14" i="50"/>
  <c r="G13" i="50"/>
  <c r="C13" i="50"/>
  <c r="G12" i="50"/>
  <c r="C12" i="50"/>
  <c r="G11" i="50"/>
  <c r="C11" i="50"/>
  <c r="H10" i="50"/>
  <c r="B9" i="50"/>
  <c r="B10" i="50"/>
  <c r="B11" i="50" s="1"/>
  <c r="B12" i="50" s="1"/>
  <c r="B13" i="50" s="1"/>
  <c r="B14" i="50" s="1"/>
  <c r="B15" i="50"/>
  <c r="B16" i="50" s="1"/>
  <c r="G8" i="50"/>
  <c r="C8" i="50"/>
  <c r="A1" i="50"/>
  <c r="B1" i="49"/>
  <c r="H18" i="49"/>
  <c r="E21" i="49"/>
  <c r="F25" i="49"/>
  <c r="K25" i="49"/>
  <c r="K26" i="49" s="1"/>
  <c r="E26" i="49"/>
  <c r="I35" i="49"/>
  <c r="G9" i="48"/>
  <c r="G14" i="48" s="1"/>
  <c r="E16" i="48"/>
  <c r="E23" i="48"/>
  <c r="G24" i="48"/>
  <c r="G29" i="48"/>
  <c r="E57" i="39"/>
  <c r="E75" i="39"/>
  <c r="E96" i="39"/>
  <c r="E114" i="39"/>
  <c r="E134" i="39"/>
  <c r="H175" i="39"/>
  <c r="H176" i="39"/>
  <c r="K176" i="39"/>
  <c r="H183" i="39"/>
  <c r="H184" i="39" s="1"/>
  <c r="H191" i="39"/>
  <c r="H192" i="39"/>
  <c r="H193" i="39"/>
  <c r="H194" i="39"/>
  <c r="H195" i="39"/>
  <c r="H196" i="39"/>
  <c r="H197" i="39"/>
  <c r="H198" i="39"/>
  <c r="H199" i="39"/>
  <c r="C4" i="21"/>
  <c r="C5" i="21"/>
  <c r="C6" i="21"/>
  <c r="C7" i="21"/>
  <c r="C8" i="21"/>
  <c r="B14" i="21"/>
  <c r="B15" i="21"/>
  <c r="B16" i="21"/>
  <c r="B17" i="21"/>
  <c r="E35" i="21"/>
  <c r="B47" i="21"/>
  <c r="D47" i="21"/>
  <c r="B57" i="21"/>
  <c r="C57" i="21"/>
  <c r="B68" i="21"/>
  <c r="B77" i="21"/>
  <c r="C77" i="21"/>
  <c r="C78" i="21"/>
  <c r="D78" i="21"/>
  <c r="E78" i="21"/>
  <c r="B88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83" i="21"/>
  <c r="F184" i="21"/>
  <c r="F185" i="21"/>
  <c r="F194" i="21"/>
  <c r="F195" i="21"/>
  <c r="F196" i="21"/>
  <c r="G36" i="16"/>
  <c r="G37" i="16"/>
  <c r="C48" i="16"/>
  <c r="D48" i="16"/>
  <c r="E48" i="16"/>
  <c r="G48" i="16" s="1"/>
  <c r="C49" i="16"/>
  <c r="D49" i="16"/>
  <c r="E49" i="16"/>
  <c r="C58" i="16"/>
  <c r="D58" i="16"/>
  <c r="E58" i="16"/>
  <c r="C59" i="16"/>
  <c r="D59" i="16"/>
  <c r="E59" i="16"/>
  <c r="C69" i="16"/>
  <c r="D69" i="16"/>
  <c r="E69" i="16"/>
  <c r="C70" i="16"/>
  <c r="D70" i="16"/>
  <c r="E70" i="16"/>
  <c r="C78" i="16"/>
  <c r="D78" i="16"/>
  <c r="E78" i="16"/>
  <c r="C79" i="16"/>
  <c r="D79" i="16"/>
  <c r="E79" i="16"/>
  <c r="C89" i="16"/>
  <c r="D89" i="16"/>
  <c r="E89" i="16"/>
  <c r="C90" i="16"/>
  <c r="D90" i="16"/>
  <c r="E90" i="16"/>
  <c r="G119" i="16"/>
  <c r="G122" i="16"/>
  <c r="G123" i="16"/>
  <c r="G125" i="16"/>
  <c r="G126" i="16"/>
  <c r="G127" i="16"/>
  <c r="G128" i="16"/>
  <c r="G129" i="16"/>
  <c r="G130" i="16"/>
  <c r="G131" i="16"/>
  <c r="G132" i="16"/>
  <c r="G133" i="16"/>
  <c r="G142" i="16"/>
  <c r="G143" i="16" s="1"/>
  <c r="H139" i="16" s="1"/>
  <c r="G147" i="16"/>
  <c r="I147" i="16"/>
  <c r="G149" i="16"/>
  <c r="C6" i="12"/>
  <c r="C7" i="12"/>
  <c r="C8" i="12"/>
  <c r="C9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B59" i="12"/>
  <c r="C59" i="12"/>
  <c r="D59" i="12"/>
  <c r="E59" i="12"/>
  <c r="B60" i="12"/>
  <c r="C60" i="12"/>
  <c r="D60" i="12"/>
  <c r="E60" i="12"/>
  <c r="E79" i="12" s="1"/>
  <c r="B61" i="12"/>
  <c r="C61" i="12"/>
  <c r="D61" i="12"/>
  <c r="E61" i="12"/>
  <c r="E80" i="12" s="1"/>
  <c r="E101" i="12" s="1"/>
  <c r="B62" i="12"/>
  <c r="C62" i="12"/>
  <c r="D62" i="12"/>
  <c r="E62" i="12"/>
  <c r="E81" i="12" s="1"/>
  <c r="E102" i="12" s="1"/>
  <c r="B63" i="12"/>
  <c r="C63" i="12"/>
  <c r="D63" i="12"/>
  <c r="E63" i="12"/>
  <c r="E82" i="12"/>
  <c r="E103" i="12" s="1"/>
  <c r="B64" i="12"/>
  <c r="C64" i="12"/>
  <c r="D64" i="12"/>
  <c r="E64" i="12"/>
  <c r="E83" i="12" s="1"/>
  <c r="F64" i="12"/>
  <c r="B65" i="12"/>
  <c r="C65" i="12"/>
  <c r="D65" i="12"/>
  <c r="E65" i="12"/>
  <c r="E84" i="12" s="1"/>
  <c r="E105" i="12" s="1"/>
  <c r="E124" i="12" s="1"/>
  <c r="B66" i="12"/>
  <c r="C66" i="12"/>
  <c r="D66" i="12"/>
  <c r="E66" i="12"/>
  <c r="B67" i="12"/>
  <c r="C67" i="12"/>
  <c r="D67" i="12"/>
  <c r="E67" i="12"/>
  <c r="F67" i="12"/>
  <c r="B68" i="12"/>
  <c r="C68" i="12"/>
  <c r="D68" i="12"/>
  <c r="E68" i="12"/>
  <c r="E87" i="12" s="1"/>
  <c r="E108" i="12" s="1"/>
  <c r="E127" i="12" s="1"/>
  <c r="F68" i="12"/>
  <c r="B69" i="12"/>
  <c r="C69" i="12"/>
  <c r="D69" i="12"/>
  <c r="E69" i="12"/>
  <c r="E88" i="12" s="1"/>
  <c r="E109" i="12" s="1"/>
  <c r="E128" i="12"/>
  <c r="B70" i="12"/>
  <c r="C70" i="12"/>
  <c r="D70" i="12"/>
  <c r="E70" i="12"/>
  <c r="E89" i="12" s="1"/>
  <c r="E110" i="12" s="1"/>
  <c r="E129" i="12" s="1"/>
  <c r="G129" i="12" s="1"/>
  <c r="F70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F83" i="12"/>
  <c r="B84" i="12"/>
  <c r="C84" i="12"/>
  <c r="D84" i="12"/>
  <c r="F84" i="12"/>
  <c r="B85" i="12"/>
  <c r="C85" i="12"/>
  <c r="D85" i="12"/>
  <c r="F85" i="12"/>
  <c r="B86" i="12"/>
  <c r="C86" i="12"/>
  <c r="D86" i="12"/>
  <c r="F86" i="12"/>
  <c r="B87" i="12"/>
  <c r="C87" i="12"/>
  <c r="D87" i="12"/>
  <c r="F87" i="12"/>
  <c r="B88" i="12"/>
  <c r="C88" i="12"/>
  <c r="D88" i="12"/>
  <c r="B89" i="12"/>
  <c r="C89" i="12"/>
  <c r="D89" i="12"/>
  <c r="F89" i="12"/>
  <c r="B99" i="12"/>
  <c r="C99" i="12"/>
  <c r="D99" i="12"/>
  <c r="F99" i="12"/>
  <c r="B100" i="12"/>
  <c r="C100" i="12"/>
  <c r="D100" i="12"/>
  <c r="F100" i="12"/>
  <c r="B101" i="12"/>
  <c r="C101" i="12"/>
  <c r="D101" i="12"/>
  <c r="F101" i="12"/>
  <c r="B102" i="12"/>
  <c r="C102" i="12"/>
  <c r="D102" i="12"/>
  <c r="F102" i="12"/>
  <c r="B103" i="12"/>
  <c r="C103" i="12"/>
  <c r="D103" i="12"/>
  <c r="F103" i="12"/>
  <c r="B104" i="12"/>
  <c r="C104" i="12"/>
  <c r="D104" i="12"/>
  <c r="F104" i="12"/>
  <c r="B105" i="12"/>
  <c r="C105" i="12"/>
  <c r="D105" i="12"/>
  <c r="F105" i="12"/>
  <c r="B106" i="12"/>
  <c r="C106" i="12"/>
  <c r="D106" i="12"/>
  <c r="F106" i="12"/>
  <c r="B107" i="12"/>
  <c r="C107" i="12"/>
  <c r="D107" i="12"/>
  <c r="F107" i="12"/>
  <c r="B108" i="12"/>
  <c r="C108" i="12"/>
  <c r="D108" i="12"/>
  <c r="F108" i="12"/>
  <c r="B109" i="12"/>
  <c r="C109" i="12"/>
  <c r="D109" i="12"/>
  <c r="F109" i="12"/>
  <c r="B110" i="12"/>
  <c r="C110" i="12"/>
  <c r="D110" i="12"/>
  <c r="F110" i="12"/>
  <c r="B118" i="12"/>
  <c r="C118" i="12"/>
  <c r="D118" i="12"/>
  <c r="F118" i="12"/>
  <c r="B119" i="12"/>
  <c r="C119" i="12"/>
  <c r="D119" i="12"/>
  <c r="F119" i="12"/>
  <c r="B120" i="12"/>
  <c r="C120" i="12"/>
  <c r="D120" i="12"/>
  <c r="F120" i="12"/>
  <c r="B121" i="12"/>
  <c r="C121" i="12"/>
  <c r="D121" i="12"/>
  <c r="F121" i="12"/>
  <c r="B122" i="12"/>
  <c r="C122" i="12"/>
  <c r="D122" i="12"/>
  <c r="F122" i="12"/>
  <c r="B123" i="12"/>
  <c r="C123" i="12"/>
  <c r="D123" i="12"/>
  <c r="F123" i="12"/>
  <c r="B124" i="12"/>
  <c r="C124" i="12"/>
  <c r="D124" i="12"/>
  <c r="F124" i="12"/>
  <c r="F79" i="12" s="1"/>
  <c r="B125" i="12"/>
  <c r="C125" i="12"/>
  <c r="D125" i="12"/>
  <c r="F125" i="12"/>
  <c r="B126" i="12"/>
  <c r="C126" i="12"/>
  <c r="D126" i="12"/>
  <c r="F126" i="12"/>
  <c r="B127" i="12"/>
  <c r="C127" i="12"/>
  <c r="D127" i="12"/>
  <c r="F127" i="12"/>
  <c r="B128" i="12"/>
  <c r="C128" i="12"/>
  <c r="D128" i="12"/>
  <c r="F128" i="12"/>
  <c r="B129" i="12"/>
  <c r="C129" i="12"/>
  <c r="D129" i="12"/>
  <c r="F129" i="12"/>
  <c r="F69" i="12" s="1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F147" i="12" s="1"/>
  <c r="G147" i="12" s="1"/>
  <c r="B148" i="12"/>
  <c r="C148" i="12"/>
  <c r="D148" i="12"/>
  <c r="E148" i="12"/>
  <c r="B149" i="12"/>
  <c r="C149" i="12"/>
  <c r="D149" i="12"/>
  <c r="E149" i="12"/>
  <c r="F149" i="12" s="1"/>
  <c r="B150" i="12"/>
  <c r="C150" i="12"/>
  <c r="D150" i="12"/>
  <c r="E150" i="12"/>
  <c r="E161" i="12"/>
  <c r="G161" i="12" s="1"/>
  <c r="G162" i="12"/>
  <c r="G163" i="12"/>
  <c r="E171" i="12"/>
  <c r="G171" i="12" s="1"/>
  <c r="G172" i="12" s="1"/>
  <c r="H168" i="12" s="1"/>
  <c r="H166" i="12" s="1"/>
  <c r="J171" i="12"/>
  <c r="K171" i="12" s="1"/>
  <c r="G179" i="12"/>
  <c r="G180" i="12"/>
  <c r="G181" i="12"/>
  <c r="G198" i="12" s="1"/>
  <c r="H176" i="12" s="1"/>
  <c r="H174" i="12" s="1"/>
  <c r="G182" i="12"/>
  <c r="G184" i="12"/>
  <c r="G185" i="12"/>
  <c r="G186" i="12"/>
  <c r="G187" i="12"/>
  <c r="G206" i="12"/>
  <c r="G207" i="12" s="1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5" i="12"/>
  <c r="G236" i="12" s="1"/>
  <c r="H232" i="12" s="1"/>
  <c r="G244" i="12"/>
  <c r="G245" i="12"/>
  <c r="G246" i="12"/>
  <c r="G247" i="12"/>
  <c r="G248" i="12"/>
  <c r="E50" i="46"/>
  <c r="D51" i="46"/>
  <c r="E51" i="46"/>
  <c r="F51" i="46"/>
  <c r="E61" i="46"/>
  <c r="D62" i="46"/>
  <c r="E62" i="46"/>
  <c r="F62" i="46"/>
  <c r="D65" i="46"/>
  <c r="H65" i="46" s="1"/>
  <c r="E65" i="46"/>
  <c r="F65" i="46"/>
  <c r="E75" i="46"/>
  <c r="D76" i="46"/>
  <c r="E76" i="46"/>
  <c r="F76" i="46"/>
  <c r="D79" i="46"/>
  <c r="E79" i="46"/>
  <c r="F79" i="46"/>
  <c r="E86" i="46"/>
  <c r="D87" i="46"/>
  <c r="E87" i="46"/>
  <c r="F87" i="46"/>
  <c r="E90" i="46"/>
  <c r="E99" i="46"/>
  <c r="D100" i="46"/>
  <c r="E100" i="46"/>
  <c r="F100" i="46"/>
  <c r="G100" i="46"/>
  <c r="D103" i="46"/>
  <c r="E103" i="46"/>
  <c r="F103" i="46"/>
  <c r="H127" i="46"/>
  <c r="H129" i="46"/>
  <c r="H132" i="46" s="1"/>
  <c r="H130" i="46"/>
  <c r="H131" i="46"/>
  <c r="K132" i="46"/>
  <c r="H148" i="46"/>
  <c r="H149" i="46"/>
  <c r="H150" i="46"/>
  <c r="H151" i="46"/>
  <c r="H152" i="46"/>
  <c r="H153" i="46"/>
  <c r="H154" i="46"/>
  <c r="H155" i="46"/>
  <c r="H164" i="46"/>
  <c r="H193" i="46" s="1"/>
  <c r="I161" i="46" s="1"/>
  <c r="I159" i="46" s="1"/>
  <c r="J164" i="46"/>
  <c r="H165" i="46"/>
  <c r="J165" i="46"/>
  <c r="H166" i="46"/>
  <c r="J166" i="46"/>
  <c r="H167" i="46"/>
  <c r="J167" i="46"/>
  <c r="H168" i="46"/>
  <c r="J168" i="46"/>
  <c r="H169" i="46"/>
  <c r="J169" i="46"/>
  <c r="H170" i="46"/>
  <c r="J170" i="46"/>
  <c r="H171" i="46"/>
  <c r="J171" i="46"/>
  <c r="H172" i="46"/>
  <c r="J172" i="46"/>
  <c r="H173" i="46"/>
  <c r="J173" i="46"/>
  <c r="H174" i="46"/>
  <c r="J174" i="46"/>
  <c r="H175" i="46"/>
  <c r="J175" i="46"/>
  <c r="H176" i="46"/>
  <c r="J176" i="46"/>
  <c r="H177" i="46"/>
  <c r="J177" i="46"/>
  <c r="H178" i="46"/>
  <c r="J178" i="46"/>
  <c r="H179" i="46"/>
  <c r="J179" i="46"/>
  <c r="H180" i="46"/>
  <c r="J180" i="46"/>
  <c r="H181" i="46"/>
  <c r="J181" i="46"/>
  <c r="H182" i="46"/>
  <c r="J182" i="46"/>
  <c r="H183" i="46"/>
  <c r="J183" i="46"/>
  <c r="H184" i="46"/>
  <c r="J184" i="46"/>
  <c r="H185" i="46"/>
  <c r="J185" i="46"/>
  <c r="H186" i="46"/>
  <c r="J186" i="46"/>
  <c r="H187" i="46"/>
  <c r="J187" i="46"/>
  <c r="H188" i="46"/>
  <c r="J188" i="46"/>
  <c r="H189" i="46"/>
  <c r="J189" i="46"/>
  <c r="H190" i="46"/>
  <c r="J190" i="46"/>
  <c r="H191" i="46"/>
  <c r="J191" i="46"/>
  <c r="H192" i="46"/>
  <c r="J192" i="46"/>
  <c r="H203" i="46"/>
  <c r="H204" i="46"/>
  <c r="C4" i="22"/>
  <c r="C5" i="22"/>
  <c r="C6" i="22"/>
  <c r="C7" i="22"/>
  <c r="C8" i="22"/>
  <c r="B14" i="22"/>
  <c r="B15" i="22"/>
  <c r="B16" i="22"/>
  <c r="B17" i="22"/>
  <c r="G17" i="22"/>
  <c r="B18" i="22"/>
  <c r="C18" i="22"/>
  <c r="F37" i="22"/>
  <c r="F38" i="22" s="1"/>
  <c r="G32" i="22" s="1"/>
  <c r="G29" i="22" s="1"/>
  <c r="E54" i="22"/>
  <c r="E96" i="22" s="1"/>
  <c r="E55" i="22"/>
  <c r="B66" i="22"/>
  <c r="C66" i="22"/>
  <c r="D66" i="22"/>
  <c r="B67" i="22"/>
  <c r="C67" i="22"/>
  <c r="D67" i="22"/>
  <c r="B76" i="22"/>
  <c r="C76" i="22"/>
  <c r="D76" i="22"/>
  <c r="B77" i="22"/>
  <c r="C77" i="22"/>
  <c r="D77" i="22"/>
  <c r="B87" i="22"/>
  <c r="C87" i="22"/>
  <c r="F87" i="22" s="1"/>
  <c r="D87" i="22"/>
  <c r="B88" i="22"/>
  <c r="C88" i="22"/>
  <c r="D88" i="22"/>
  <c r="B96" i="22"/>
  <c r="C96" i="22"/>
  <c r="D96" i="22"/>
  <c r="B97" i="22"/>
  <c r="C97" i="22"/>
  <c r="D97" i="22"/>
  <c r="B107" i="22"/>
  <c r="C107" i="22"/>
  <c r="D107" i="22"/>
  <c r="B108" i="22"/>
  <c r="C108" i="22"/>
  <c r="D108" i="22"/>
  <c r="F116" i="22"/>
  <c r="F117" i="22"/>
  <c r="F124" i="22"/>
  <c r="F127" i="22" s="1"/>
  <c r="G121" i="22" s="1"/>
  <c r="F125" i="22"/>
  <c r="F126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9" i="22"/>
  <c r="F160" i="22"/>
  <c r="F161" i="22"/>
  <c r="F172" i="22"/>
  <c r="F173" i="22"/>
  <c r="F174" i="22"/>
  <c r="C10" i="12"/>
  <c r="I30" i="51"/>
  <c r="I29" i="51"/>
  <c r="G33" i="50"/>
  <c r="H33" i="50" s="1"/>
  <c r="G35" i="50"/>
  <c r="H35" i="50" s="1"/>
  <c r="G34" i="50"/>
  <c r="H34" i="50" s="1"/>
  <c r="F13" i="49"/>
  <c r="G13" i="49" s="1"/>
  <c r="F16" i="49"/>
  <c r="G16" i="49" s="1"/>
  <c r="E77" i="22"/>
  <c r="E66" i="22"/>
  <c r="F66" i="22" s="1"/>
  <c r="F81" i="12"/>
  <c r="F66" i="12"/>
  <c r="F62" i="12"/>
  <c r="F88" i="12"/>
  <c r="F63" i="12"/>
  <c r="D36" i="51"/>
  <c r="F82" i="12"/>
  <c r="H157" i="52"/>
  <c r="H158" i="52" s="1"/>
  <c r="I154" i="52" s="1"/>
  <c r="E12" i="50"/>
  <c r="O113" i="16"/>
  <c r="G113" i="16"/>
  <c r="G114" i="16" s="1"/>
  <c r="H108" i="16" s="1"/>
  <c r="G137" i="39"/>
  <c r="C9" i="21"/>
  <c r="C9" i="22"/>
  <c r="H164" i="39"/>
  <c r="Q139" i="46"/>
  <c r="H139" i="46"/>
  <c r="H141" i="46" s="1"/>
  <c r="S8" i="53"/>
  <c r="S14" i="53" s="1"/>
  <c r="AN8" i="53"/>
  <c r="M12" i="51"/>
  <c r="K12" i="51" s="1"/>
  <c r="L12" i="51"/>
  <c r="D34" i="51"/>
  <c r="E8" i="50"/>
  <c r="S13" i="53"/>
  <c r="M7" i="51"/>
  <c r="K7" i="51" s="1"/>
  <c r="F7" i="51"/>
  <c r="L7" i="51"/>
  <c r="L10" i="51"/>
  <c r="M10" i="51"/>
  <c r="K10" i="51" s="1"/>
  <c r="F10" i="51"/>
  <c r="E87" i="22"/>
  <c r="AP12" i="53"/>
  <c r="AP14" i="53"/>
  <c r="AP15" i="53" s="1"/>
  <c r="Y8" i="53"/>
  <c r="Y14" i="53" s="1"/>
  <c r="U14" i="53"/>
  <c r="G11" i="53"/>
  <c r="AH11" i="53"/>
  <c r="L15" i="51"/>
  <c r="AG12" i="53"/>
  <c r="M14" i="53"/>
  <c r="F15" i="51"/>
  <c r="AT8" i="53"/>
  <c r="AT13" i="53" s="1"/>
  <c r="H150" i="52"/>
  <c r="H151" i="52"/>
  <c r="H29" i="51"/>
  <c r="L29" i="51" s="1"/>
  <c r="G38" i="51"/>
  <c r="E104" i="12"/>
  <c r="E123" i="12" s="1"/>
  <c r="M13" i="53"/>
  <c r="L8" i="51"/>
  <c r="F8" i="51"/>
  <c r="AW8" i="53"/>
  <c r="AJ13" i="53"/>
  <c r="AJ14" i="53"/>
  <c r="AJ12" i="53"/>
  <c r="F55" i="22"/>
  <c r="E88" i="22"/>
  <c r="C14" i="53"/>
  <c r="C12" i="53"/>
  <c r="C13" i="53"/>
  <c r="AK11" i="53"/>
  <c r="F146" i="12"/>
  <c r="G146" i="12" s="1"/>
  <c r="AV13" i="53"/>
  <c r="AV15" i="53" s="1"/>
  <c r="AV14" i="53"/>
  <c r="AH8" i="53"/>
  <c r="AH14" i="53" s="1"/>
  <c r="AN11" i="53"/>
  <c r="AY12" i="53"/>
  <c r="D57" i="21"/>
  <c r="D68" i="21" s="1"/>
  <c r="AZ8" i="53"/>
  <c r="AZ14" i="53" s="1"/>
  <c r="F29" i="51"/>
  <c r="D77" i="21"/>
  <c r="D88" i="21" s="1"/>
  <c r="G76" i="39"/>
  <c r="H119" i="39"/>
  <c r="H116" i="39"/>
  <c r="G85" i="39"/>
  <c r="G67" i="39"/>
  <c r="H67" i="39" s="1"/>
  <c r="G80" i="39"/>
  <c r="G62" i="39"/>
  <c r="H62" i="39"/>
  <c r="H137" i="39"/>
  <c r="H98" i="39"/>
  <c r="G134" i="16"/>
  <c r="H116" i="16" s="1"/>
  <c r="H152" i="52"/>
  <c r="I147" i="52" s="1"/>
  <c r="I144" i="52" s="1"/>
  <c r="I19" i="52" s="1"/>
  <c r="H77" i="46"/>
  <c r="H206" i="46"/>
  <c r="I200" i="46" s="1"/>
  <c r="I136" i="46"/>
  <c r="I134" i="46"/>
  <c r="H51" i="46"/>
  <c r="H123" i="55"/>
  <c r="H63" i="55"/>
  <c r="H118" i="55"/>
  <c r="H270" i="55"/>
  <c r="I261" i="55" s="1"/>
  <c r="G141" i="55"/>
  <c r="H141" i="55" s="1"/>
  <c r="H154" i="55"/>
  <c r="G134" i="55"/>
  <c r="H134" i="55" s="1"/>
  <c r="G96" i="55" s="1"/>
  <c r="H96" i="55" s="1"/>
  <c r="H58" i="55"/>
  <c r="H160" i="55"/>
  <c r="H60" i="55"/>
  <c r="G84" i="39"/>
  <c r="H123" i="39"/>
  <c r="G66" i="39"/>
  <c r="H58" i="52"/>
  <c r="I188" i="55"/>
  <c r="I190" i="55"/>
  <c r="G77" i="39" l="1"/>
  <c r="C15" i="53"/>
  <c r="I14" i="53"/>
  <c r="H156" i="46"/>
  <c r="I145" i="46" s="1"/>
  <c r="I143" i="46" s="1"/>
  <c r="H87" i="46"/>
  <c r="G104" i="12"/>
  <c r="G89" i="12"/>
  <c r="G124" i="12"/>
  <c r="L11" i="51"/>
  <c r="H155" i="39"/>
  <c r="G90" i="52"/>
  <c r="H90" i="52" s="1"/>
  <c r="H117" i="55"/>
  <c r="H16" i="50"/>
  <c r="E13" i="50"/>
  <c r="H13" i="50" s="1"/>
  <c r="E9" i="50"/>
  <c r="H9" i="50" s="1"/>
  <c r="H102" i="39"/>
  <c r="H124" i="39"/>
  <c r="G141" i="39"/>
  <c r="H141" i="39" s="1"/>
  <c r="I109" i="52"/>
  <c r="H57" i="55"/>
  <c r="H59" i="55"/>
  <c r="H64" i="55"/>
  <c r="H67" i="55"/>
  <c r="H77" i="55"/>
  <c r="H80" i="55"/>
  <c r="H82" i="55"/>
  <c r="H122" i="55"/>
  <c r="G136" i="55"/>
  <c r="H136" i="55" s="1"/>
  <c r="G98" i="55" s="1"/>
  <c r="H98" i="55" s="1"/>
  <c r="G142" i="55"/>
  <c r="H142" i="55" s="1"/>
  <c r="G104" i="55" s="1"/>
  <c r="H104" i="55" s="1"/>
  <c r="H277" i="55"/>
  <c r="I272" i="55" s="1"/>
  <c r="G18" i="49"/>
  <c r="H66" i="39"/>
  <c r="F145" i="12"/>
  <c r="F143" i="12"/>
  <c r="G143" i="12" s="1"/>
  <c r="F141" i="12"/>
  <c r="G141" i="12" s="1"/>
  <c r="F139" i="12"/>
  <c r="G127" i="12"/>
  <c r="G49" i="12"/>
  <c r="H32" i="12" s="1"/>
  <c r="H30" i="12" s="1"/>
  <c r="H58" i="39"/>
  <c r="H40" i="46"/>
  <c r="I31" i="46" s="1"/>
  <c r="H64" i="46"/>
  <c r="H89" i="46"/>
  <c r="H115" i="46"/>
  <c r="H101" i="52"/>
  <c r="H84" i="55"/>
  <c r="H161" i="55"/>
  <c r="H256" i="55"/>
  <c r="I218" i="55" s="1"/>
  <c r="I216" i="55" s="1"/>
  <c r="G82" i="12"/>
  <c r="M29" i="51"/>
  <c r="F88" i="22"/>
  <c r="Y13" i="53"/>
  <c r="J33" i="51"/>
  <c r="H30" i="51"/>
  <c r="G149" i="12"/>
  <c r="G89" i="52"/>
  <c r="H89" i="52" s="1"/>
  <c r="H91" i="52" s="1"/>
  <c r="I84" i="52" s="1"/>
  <c r="I82" i="52" s="1"/>
  <c r="H80" i="39"/>
  <c r="H107" i="39"/>
  <c r="H38" i="52"/>
  <c r="I31" i="52" s="1"/>
  <c r="H49" i="52"/>
  <c r="H113" i="55"/>
  <c r="I196" i="46"/>
  <c r="I19" i="46" s="1"/>
  <c r="AJ15" i="53"/>
  <c r="I13" i="53"/>
  <c r="I15" i="53" s="1"/>
  <c r="AG14" i="53"/>
  <c r="AG15" i="53" s="1"/>
  <c r="H62" i="46"/>
  <c r="F150" i="12"/>
  <c r="G150" i="12" s="1"/>
  <c r="F148" i="12"/>
  <c r="F144" i="12"/>
  <c r="G144" i="12" s="1"/>
  <c r="F142" i="12"/>
  <c r="G142" i="12" s="1"/>
  <c r="F140" i="12"/>
  <c r="G140" i="12" s="1"/>
  <c r="G69" i="16"/>
  <c r="H48" i="52"/>
  <c r="H50" i="52" s="1"/>
  <c r="I43" i="52" s="1"/>
  <c r="H104" i="39"/>
  <c r="H78" i="46"/>
  <c r="H116" i="55"/>
  <c r="E36" i="51"/>
  <c r="M36" i="51" s="1"/>
  <c r="H100" i="46"/>
  <c r="E11" i="50"/>
  <c r="H11" i="50" s="1"/>
  <c r="G103" i="46"/>
  <c r="G150" i="16"/>
  <c r="H145" i="16" s="1"/>
  <c r="H137" i="16" s="1"/>
  <c r="H19" i="16" s="1"/>
  <c r="G49" i="16"/>
  <c r="H14" i="50"/>
  <c r="H81" i="55"/>
  <c r="H120" i="55"/>
  <c r="H156" i="55"/>
  <c r="G59" i="16"/>
  <c r="G38" i="16"/>
  <c r="H29" i="16" s="1"/>
  <c r="I29" i="46"/>
  <c r="I122" i="46"/>
  <c r="I120" i="46" s="1"/>
  <c r="I18" i="46" s="1"/>
  <c r="I124" i="46"/>
  <c r="H33" i="51"/>
  <c r="F33" i="51"/>
  <c r="H106" i="16"/>
  <c r="H18" i="16" s="1"/>
  <c r="F65" i="12"/>
  <c r="G65" i="12" s="1"/>
  <c r="F61" i="12"/>
  <c r="F80" i="12"/>
  <c r="F78" i="12"/>
  <c r="F59" i="12"/>
  <c r="G59" i="12" s="1"/>
  <c r="G84" i="12"/>
  <c r="G105" i="12"/>
  <c r="G88" i="12"/>
  <c r="G70" i="12"/>
  <c r="M157" i="52"/>
  <c r="N157" i="52" s="1"/>
  <c r="P112" i="52"/>
  <c r="H102" i="52"/>
  <c r="I95" i="52" s="1"/>
  <c r="I93" i="52" s="1"/>
  <c r="H84" i="39"/>
  <c r="AT15" i="53"/>
  <c r="J36" i="51"/>
  <c r="I36" i="51"/>
  <c r="H36" i="51"/>
  <c r="L36" i="51" s="1"/>
  <c r="F36" i="51"/>
  <c r="G164" i="12"/>
  <c r="H158" i="12" s="1"/>
  <c r="H47" i="39"/>
  <c r="AZ13" i="53"/>
  <c r="AZ15" i="53" s="1"/>
  <c r="AB14" i="53"/>
  <c r="H79" i="52"/>
  <c r="I31" i="55"/>
  <c r="H116" i="46"/>
  <c r="J17" i="51"/>
  <c r="J18" i="51"/>
  <c r="G61" i="39"/>
  <c r="H61" i="39" s="1"/>
  <c r="G79" i="39"/>
  <c r="H79" i="39" s="1"/>
  <c r="F89" i="22"/>
  <c r="E97" i="22"/>
  <c r="F97" i="22" s="1"/>
  <c r="E67" i="22"/>
  <c r="F67" i="22" s="1"/>
  <c r="F68" i="22" s="1"/>
  <c r="E108" i="22"/>
  <c r="F108" i="22" s="1"/>
  <c r="H79" i="46"/>
  <c r="G128" i="12"/>
  <c r="G50" i="16"/>
  <c r="G135" i="39"/>
  <c r="H135" i="39" s="1"/>
  <c r="G83" i="39"/>
  <c r="H83" i="39" s="1"/>
  <c r="M13" i="51"/>
  <c r="K13" i="51" s="1"/>
  <c r="F118" i="22"/>
  <c r="G113" i="22" s="1"/>
  <c r="I172" i="39"/>
  <c r="I170" i="39"/>
  <c r="M8" i="51"/>
  <c r="K8" i="51" s="1"/>
  <c r="N8" i="51" s="1"/>
  <c r="AM12" i="53"/>
  <c r="AM13" i="53"/>
  <c r="AM14" i="53"/>
  <c r="H118" i="39"/>
  <c r="H126" i="39" s="1"/>
  <c r="I110" i="39" s="1"/>
  <c r="I258" i="55"/>
  <c r="I19" i="55" s="1"/>
  <c r="D4" i="56" s="1"/>
  <c r="F54" i="22"/>
  <c r="P7" i="51"/>
  <c r="E34" i="51"/>
  <c r="D35" i="51"/>
  <c r="E35" i="51" s="1"/>
  <c r="G254" i="12"/>
  <c r="H241" i="12" s="1"/>
  <c r="H239" i="12" s="1"/>
  <c r="H16" i="12" s="1"/>
  <c r="G70" i="16"/>
  <c r="F186" i="21"/>
  <c r="G180" i="21" s="1"/>
  <c r="G178" i="21" s="1"/>
  <c r="G16" i="21" s="1"/>
  <c r="H141" i="52"/>
  <c r="I117" i="52" s="1"/>
  <c r="I115" i="52" s="1"/>
  <c r="I105" i="52" s="1"/>
  <c r="I18" i="52" s="1"/>
  <c r="P8" i="53"/>
  <c r="P14" i="53" s="1"/>
  <c r="P13" i="53"/>
  <c r="AZ12" i="53"/>
  <c r="M12" i="53"/>
  <c r="M15" i="53" s="1"/>
  <c r="H78" i="55"/>
  <c r="H135" i="55"/>
  <c r="G97" i="55" s="1"/>
  <c r="H97" i="55" s="1"/>
  <c r="H77" i="39"/>
  <c r="F96" i="22"/>
  <c r="H103" i="46"/>
  <c r="G79" i="16"/>
  <c r="G58" i="16"/>
  <c r="G60" i="16" s="1"/>
  <c r="F78" i="21"/>
  <c r="H90" i="46"/>
  <c r="H99" i="39"/>
  <c r="H156" i="39"/>
  <c r="AA15" i="53"/>
  <c r="U13" i="53"/>
  <c r="U12" i="53"/>
  <c r="H115" i="55"/>
  <c r="G133" i="55"/>
  <c r="H139" i="55"/>
  <c r="G101" i="55" s="1"/>
  <c r="H101" i="55" s="1"/>
  <c r="H157" i="55"/>
  <c r="I178" i="39"/>
  <c r="I168" i="39" s="1"/>
  <c r="I180" i="39"/>
  <c r="N16" i="51"/>
  <c r="F56" i="22"/>
  <c r="G47" i="22" s="1"/>
  <c r="H80" i="52"/>
  <c r="I73" i="52" s="1"/>
  <c r="H12" i="50"/>
  <c r="F16" i="51"/>
  <c r="F76" i="22"/>
  <c r="F176" i="21"/>
  <c r="G95" i="21" s="1"/>
  <c r="G93" i="21" s="1"/>
  <c r="G15" i="21" s="1"/>
  <c r="F11" i="51"/>
  <c r="H8" i="50"/>
  <c r="G62" i="12"/>
  <c r="E107" i="22"/>
  <c r="F107" i="22" s="1"/>
  <c r="F109" i="22" s="1"/>
  <c r="G102" i="22" s="1"/>
  <c r="G100" i="22" s="1"/>
  <c r="E76" i="22"/>
  <c r="H18" i="51"/>
  <c r="F77" i="22"/>
  <c r="G80" i="12"/>
  <c r="G69" i="12"/>
  <c r="E88" i="21"/>
  <c r="F88" i="21" s="1"/>
  <c r="F90" i="21" s="1"/>
  <c r="G81" i="21" s="1"/>
  <c r="E57" i="21"/>
  <c r="F57" i="21" s="1"/>
  <c r="F59" i="21" s="1"/>
  <c r="F35" i="21"/>
  <c r="F37" i="21" s="1"/>
  <c r="G28" i="21" s="1"/>
  <c r="E68" i="21"/>
  <c r="F68" i="21" s="1"/>
  <c r="F70" i="21" s="1"/>
  <c r="E47" i="21"/>
  <c r="F47" i="21" s="1"/>
  <c r="F49" i="21" s="1"/>
  <c r="E77" i="21"/>
  <c r="F77" i="21" s="1"/>
  <c r="F79" i="21" s="1"/>
  <c r="H52" i="46"/>
  <c r="H70" i="52"/>
  <c r="H100" i="52"/>
  <c r="H106" i="39"/>
  <c r="AT14" i="53"/>
  <c r="X13" i="53"/>
  <c r="X12" i="53"/>
  <c r="G64" i="12"/>
  <c r="H57" i="52"/>
  <c r="H59" i="52" s="1"/>
  <c r="H97" i="39"/>
  <c r="H122" i="39"/>
  <c r="G86" i="39"/>
  <c r="H86" i="39" s="1"/>
  <c r="G68" i="39"/>
  <c r="H68" i="39" s="1"/>
  <c r="D8" i="53"/>
  <c r="D14" i="53" s="1"/>
  <c r="H65" i="55"/>
  <c r="H75" i="55"/>
  <c r="H136" i="39"/>
  <c r="AH13" i="53"/>
  <c r="AB12" i="53"/>
  <c r="G148" i="12"/>
  <c r="G109" i="12"/>
  <c r="F197" i="21"/>
  <c r="G189" i="21" s="1"/>
  <c r="H69" i="52"/>
  <c r="H71" i="52" s="1"/>
  <c r="I64" i="52" s="1"/>
  <c r="H105" i="39"/>
  <c r="H121" i="39"/>
  <c r="G144" i="39"/>
  <c r="H144" i="39" s="1"/>
  <c r="G140" i="39"/>
  <c r="H76" i="55"/>
  <c r="H153" i="55"/>
  <c r="H162" i="55"/>
  <c r="H186" i="55"/>
  <c r="I171" i="55" s="1"/>
  <c r="G81" i="12"/>
  <c r="G68" i="12"/>
  <c r="H200" i="39"/>
  <c r="I188" i="39" s="1"/>
  <c r="I186" i="39" s="1"/>
  <c r="K29" i="51"/>
  <c r="N29" i="51" s="1"/>
  <c r="N10" i="51"/>
  <c r="G108" i="12"/>
  <c r="G87" i="12"/>
  <c r="G83" i="12"/>
  <c r="G63" i="12"/>
  <c r="G78" i="16"/>
  <c r="H54" i="46"/>
  <c r="G100" i="16"/>
  <c r="G102" i="16" s="1"/>
  <c r="H95" i="16" s="1"/>
  <c r="H93" i="16" s="1"/>
  <c r="H103" i="39"/>
  <c r="H101" i="39"/>
  <c r="H108" i="39" s="1"/>
  <c r="I92" i="39" s="1"/>
  <c r="I235" i="39"/>
  <c r="AK12" i="53"/>
  <c r="Y12" i="53"/>
  <c r="Y15" i="53" s="1"/>
  <c r="H140" i="39"/>
  <c r="H165" i="39"/>
  <c r="H163" i="39"/>
  <c r="H161" i="39"/>
  <c r="H159" i="39"/>
  <c r="I150" i="39" s="1"/>
  <c r="I148" i="39" s="1"/>
  <c r="H62" i="55"/>
  <c r="H83" i="55"/>
  <c r="G138" i="55"/>
  <c r="H138" i="55" s="1"/>
  <c r="G100" i="55" s="1"/>
  <c r="H100" i="55" s="1"/>
  <c r="H158" i="55"/>
  <c r="G138" i="39"/>
  <c r="H138" i="39" s="1"/>
  <c r="H79" i="55"/>
  <c r="G137" i="55"/>
  <c r="H137" i="55" s="1"/>
  <c r="G99" i="55" s="1"/>
  <c r="H99" i="55" s="1"/>
  <c r="G143" i="55"/>
  <c r="H143" i="55" s="1"/>
  <c r="G105" i="55" s="1"/>
  <c r="H105" i="55" s="1"/>
  <c r="G103" i="55"/>
  <c r="H103" i="55" s="1"/>
  <c r="H28" i="51"/>
  <c r="M28" i="51" s="1"/>
  <c r="G230" i="12"/>
  <c r="H202" i="12" s="1"/>
  <c r="H200" i="12" s="1"/>
  <c r="G61" i="12"/>
  <c r="L9" i="51"/>
  <c r="M9" i="51"/>
  <c r="F9" i="51"/>
  <c r="H17" i="51"/>
  <c r="AK14" i="53"/>
  <c r="AK13" i="53"/>
  <c r="J31" i="51"/>
  <c r="H31" i="51"/>
  <c r="F31" i="51" s="1"/>
  <c r="I31" i="51"/>
  <c r="F14" i="51"/>
  <c r="M14" i="51"/>
  <c r="K14" i="51"/>
  <c r="AN14" i="53"/>
  <c r="AN12" i="53"/>
  <c r="AN13" i="53"/>
  <c r="R12" i="53"/>
  <c r="R13" i="53"/>
  <c r="J11" i="53"/>
  <c r="H121" i="55"/>
  <c r="E86" i="12"/>
  <c r="E107" i="12" s="1"/>
  <c r="G67" i="12"/>
  <c r="I29" i="52"/>
  <c r="N7" i="51"/>
  <c r="F175" i="22"/>
  <c r="G167" i="22" s="1"/>
  <c r="G165" i="22" s="1"/>
  <c r="G41" i="22"/>
  <c r="G18" i="22"/>
  <c r="G145" i="12"/>
  <c r="G139" i="12"/>
  <c r="E100" i="12"/>
  <c r="E119" i="12" s="1"/>
  <c r="G119" i="12" s="1"/>
  <c r="G79" i="12"/>
  <c r="N15" i="51"/>
  <c r="G64" i="39"/>
  <c r="H64" i="39" s="1"/>
  <c r="G82" i="39"/>
  <c r="H82" i="39" s="1"/>
  <c r="F154" i="22"/>
  <c r="G129" i="22" s="1"/>
  <c r="G66" i="12"/>
  <c r="E85" i="12"/>
  <c r="E122" i="12"/>
  <c r="G122" i="12" s="1"/>
  <c r="G103" i="12"/>
  <c r="L32" i="51"/>
  <c r="H32" i="51"/>
  <c r="M32" i="51" s="1"/>
  <c r="J32" i="51"/>
  <c r="I32" i="51"/>
  <c r="G81" i="39"/>
  <c r="H81" i="39" s="1"/>
  <c r="G63" i="39"/>
  <c r="H63" i="39" s="1"/>
  <c r="V8" i="53"/>
  <c r="V13" i="53" s="1"/>
  <c r="AS14" i="53"/>
  <c r="AS12" i="53"/>
  <c r="AS13" i="53"/>
  <c r="L14" i="51"/>
  <c r="AW12" i="53"/>
  <c r="AW14" i="53"/>
  <c r="AW13" i="53"/>
  <c r="G101" i="12"/>
  <c r="E120" i="12"/>
  <c r="G120" i="12" s="1"/>
  <c r="F90" i="16"/>
  <c r="G90" i="16" s="1"/>
  <c r="G16" i="48"/>
  <c r="I17" i="51"/>
  <c r="N12" i="51"/>
  <c r="I18" i="51"/>
  <c r="H139" i="39"/>
  <c r="G13" i="53"/>
  <c r="G12" i="53"/>
  <c r="G14" i="53"/>
  <c r="G88" i="46"/>
  <c r="H88" i="46" s="1"/>
  <c r="H114" i="46"/>
  <c r="G76" i="46" s="1"/>
  <c r="H76" i="46" s="1"/>
  <c r="E121" i="12"/>
  <c r="G121" i="12" s="1"/>
  <c r="G102" i="12"/>
  <c r="H63" i="46"/>
  <c r="H101" i="46"/>
  <c r="G78" i="39"/>
  <c r="H78" i="39" s="1"/>
  <c r="G60" i="39"/>
  <c r="AH12" i="53"/>
  <c r="AH15" i="53" s="1"/>
  <c r="F14" i="53"/>
  <c r="F13" i="53"/>
  <c r="F12" i="53"/>
  <c r="H158" i="39"/>
  <c r="H66" i="55"/>
  <c r="E78" i="12"/>
  <c r="F28" i="51"/>
  <c r="I28" i="51"/>
  <c r="J28" i="51"/>
  <c r="H66" i="46"/>
  <c r="I57" i="46" s="1"/>
  <c r="F162" i="22"/>
  <c r="G156" i="22" s="1"/>
  <c r="G123" i="12"/>
  <c r="G110" i="12"/>
  <c r="H60" i="39"/>
  <c r="S12" i="53"/>
  <c r="S15" i="53" s="1"/>
  <c r="AD14" i="53"/>
  <c r="AD13" i="53"/>
  <c r="AD12" i="53"/>
  <c r="AD15" i="53" s="1"/>
  <c r="H159" i="55"/>
  <c r="H164" i="55" s="1"/>
  <c r="I148" i="55" s="1"/>
  <c r="I146" i="55" s="1"/>
  <c r="F89" i="16"/>
  <c r="G89" i="16" s="1"/>
  <c r="L13" i="51"/>
  <c r="AY14" i="53"/>
  <c r="AY15" i="53" s="1"/>
  <c r="J8" i="53"/>
  <c r="J14" i="53" s="1"/>
  <c r="AE8" i="53"/>
  <c r="AE14" i="53" s="1"/>
  <c r="O12" i="53"/>
  <c r="O15" i="53" s="1"/>
  <c r="K11" i="51"/>
  <c r="N11" i="51" s="1"/>
  <c r="AQ8" i="53"/>
  <c r="AQ13" i="53" s="1"/>
  <c r="L14" i="53"/>
  <c r="F60" i="12"/>
  <c r="G60" i="12" s="1"/>
  <c r="L12" i="53"/>
  <c r="H80" i="46" l="1"/>
  <c r="M30" i="51"/>
  <c r="K30" i="51" s="1"/>
  <c r="L30" i="51"/>
  <c r="F30" i="51"/>
  <c r="P12" i="53"/>
  <c r="P15" i="53" s="1"/>
  <c r="AK15" i="53"/>
  <c r="G40" i="21"/>
  <c r="F98" i="22"/>
  <c r="G80" i="22" s="1"/>
  <c r="G71" i="16"/>
  <c r="L31" i="51"/>
  <c r="I169" i="55"/>
  <c r="I167" i="55" s="1"/>
  <c r="I18" i="55" s="1"/>
  <c r="D3" i="56" s="1"/>
  <c r="D7" i="56"/>
  <c r="H19" i="49"/>
  <c r="H20" i="49" s="1"/>
  <c r="E22" i="49"/>
  <c r="M31" i="51"/>
  <c r="D8" i="56"/>
  <c r="H68" i="55"/>
  <c r="H55" i="46"/>
  <c r="I46" i="46" s="1"/>
  <c r="G80" i="16"/>
  <c r="H41" i="16"/>
  <c r="E37" i="51"/>
  <c r="E38" i="51"/>
  <c r="G61" i="21"/>
  <c r="G26" i="21" s="1"/>
  <c r="G14" i="21" s="1"/>
  <c r="G18" i="21" s="1"/>
  <c r="G200" i="21" s="1"/>
  <c r="H69" i="39"/>
  <c r="D12" i="53"/>
  <c r="I62" i="52"/>
  <c r="H86" i="55"/>
  <c r="I70" i="55" s="1"/>
  <c r="D13" i="53"/>
  <c r="H133" i="55"/>
  <c r="H144" i="55" s="1"/>
  <c r="I128" i="55" s="1"/>
  <c r="I126" i="55" s="1"/>
  <c r="G95" i="55"/>
  <c r="J153" i="55" s="1"/>
  <c r="H91" i="46"/>
  <c r="I82" i="46" s="1"/>
  <c r="G151" i="12"/>
  <c r="H134" i="12" s="1"/>
  <c r="H132" i="12" s="1"/>
  <c r="I90" i="39"/>
  <c r="AB15" i="53"/>
  <c r="H62" i="16"/>
  <c r="L33" i="51"/>
  <c r="M33" i="51"/>
  <c r="K33" i="51" s="1"/>
  <c r="G100" i="12"/>
  <c r="X15" i="53"/>
  <c r="I29" i="39"/>
  <c r="I31" i="39"/>
  <c r="L28" i="51"/>
  <c r="N14" i="51"/>
  <c r="AQ14" i="53"/>
  <c r="F78" i="22"/>
  <c r="G59" i="22" s="1"/>
  <c r="U15" i="53"/>
  <c r="AM15" i="53"/>
  <c r="H104" i="46"/>
  <c r="I95" i="46" s="1"/>
  <c r="I93" i="46" s="1"/>
  <c r="H34" i="51"/>
  <c r="I34" i="51"/>
  <c r="L34" i="51"/>
  <c r="M34" i="51"/>
  <c r="K34" i="51" s="1"/>
  <c r="J34" i="51"/>
  <c r="N13" i="51"/>
  <c r="H166" i="39"/>
  <c r="H146" i="39"/>
  <c r="I130" i="39" s="1"/>
  <c r="I128" i="39" s="1"/>
  <c r="K32" i="51"/>
  <c r="N32" i="51" s="1"/>
  <c r="G111" i="22"/>
  <c r="G15" i="22" s="1"/>
  <c r="H124" i="55"/>
  <c r="I108" i="55" s="1"/>
  <c r="H156" i="12"/>
  <c r="H154" i="12" s="1"/>
  <c r="H15" i="12" s="1"/>
  <c r="I41" i="52"/>
  <c r="I52" i="52"/>
  <c r="G91" i="16"/>
  <c r="H84" i="16" s="1"/>
  <c r="H82" i="16" s="1"/>
  <c r="K31" i="51"/>
  <c r="N31" i="51" s="1"/>
  <c r="K36" i="51"/>
  <c r="N36" i="51" s="1"/>
  <c r="H87" i="39"/>
  <c r="I71" i="39" s="1"/>
  <c r="G71" i="12"/>
  <c r="H54" i="12" s="1"/>
  <c r="AW15" i="53"/>
  <c r="V12" i="53"/>
  <c r="I44" i="46"/>
  <c r="E99" i="12"/>
  <c r="G78" i="12"/>
  <c r="I52" i="55"/>
  <c r="I50" i="55"/>
  <c r="G15" i="53"/>
  <c r="R15" i="53"/>
  <c r="L18" i="51"/>
  <c r="L17" i="51"/>
  <c r="I53" i="39"/>
  <c r="J13" i="53"/>
  <c r="J12" i="53"/>
  <c r="J15" i="53" s="1"/>
  <c r="AQ12" i="53"/>
  <c r="AQ15" i="53" s="1"/>
  <c r="I27" i="52"/>
  <c r="I17" i="52" s="1"/>
  <c r="I21" i="52" s="1"/>
  <c r="G86" i="12"/>
  <c r="M17" i="51"/>
  <c r="M18" i="51"/>
  <c r="AE13" i="53"/>
  <c r="AE12" i="53"/>
  <c r="AE15" i="53" s="1"/>
  <c r="L15" i="53"/>
  <c r="F15" i="53"/>
  <c r="AS15" i="53"/>
  <c r="K28" i="51"/>
  <c r="E106" i="12"/>
  <c r="G85" i="12"/>
  <c r="G16" i="22"/>
  <c r="G107" i="12"/>
  <c r="E126" i="12"/>
  <c r="G126" i="12" s="1"/>
  <c r="AN15" i="53"/>
  <c r="V14" i="53"/>
  <c r="F18" i="51"/>
  <c r="F17" i="51"/>
  <c r="I69" i="46"/>
  <c r="I71" i="46"/>
  <c r="F32" i="51"/>
  <c r="J35" i="51"/>
  <c r="J38" i="51" s="1"/>
  <c r="I35" i="51"/>
  <c r="I37" i="51" s="1"/>
  <c r="G19" i="50" s="1"/>
  <c r="H19" i="50" s="1"/>
  <c r="H35" i="51"/>
  <c r="H38" i="51" s="1"/>
  <c r="K9" i="51"/>
  <c r="H117" i="46"/>
  <c r="I108" i="46" s="1"/>
  <c r="I106" i="46" s="1"/>
  <c r="G45" i="22" l="1"/>
  <c r="N33" i="51"/>
  <c r="N30" i="51"/>
  <c r="I10" i="49"/>
  <c r="G6" i="49" s="1"/>
  <c r="E23" i="49"/>
  <c r="H25" i="49"/>
  <c r="K19" i="49"/>
  <c r="J14" i="49"/>
  <c r="L35" i="51"/>
  <c r="L38" i="51" s="1"/>
  <c r="F35" i="51"/>
  <c r="D15" i="53"/>
  <c r="G14" i="22"/>
  <c r="G19" i="22" s="1"/>
  <c r="G180" i="22" s="1"/>
  <c r="G178" i="22"/>
  <c r="N34" i="51"/>
  <c r="I38" i="51"/>
  <c r="I51" i="39"/>
  <c r="I27" i="39" s="1"/>
  <c r="I17" i="39" s="1"/>
  <c r="F34" i="51"/>
  <c r="F38" i="51" s="1"/>
  <c r="M35" i="51"/>
  <c r="M38" i="51" s="1"/>
  <c r="N28" i="51"/>
  <c r="H27" i="16"/>
  <c r="H17" i="16" s="1"/>
  <c r="H21" i="16" s="1"/>
  <c r="H95" i="55"/>
  <c r="H106" i="55" s="1"/>
  <c r="J36" i="55"/>
  <c r="V15" i="53"/>
  <c r="I27" i="46"/>
  <c r="I17" i="46" s="1"/>
  <c r="E125" i="12"/>
  <c r="G125" i="12" s="1"/>
  <c r="G106" i="12"/>
  <c r="K18" i="51"/>
  <c r="K17" i="51"/>
  <c r="N9" i="51"/>
  <c r="N17" i="51" s="1"/>
  <c r="O21" i="51" s="1"/>
  <c r="J37" i="51"/>
  <c r="G20" i="50" s="1"/>
  <c r="H20" i="50" s="1"/>
  <c r="H37" i="51"/>
  <c r="G18" i="50" s="1"/>
  <c r="H18" i="50" s="1"/>
  <c r="G90" i="12"/>
  <c r="H73" i="12" s="1"/>
  <c r="H52" i="12" s="1"/>
  <c r="L37" i="51"/>
  <c r="G22" i="50" s="1"/>
  <c r="H22" i="50" s="1"/>
  <c r="E118" i="12"/>
  <c r="G118" i="12" s="1"/>
  <c r="G99" i="12"/>
  <c r="I162" i="52"/>
  <c r="G57" i="54"/>
  <c r="G111" i="12" l="1"/>
  <c r="H94" i="12" s="1"/>
  <c r="F20" i="49"/>
  <c r="E15" i="48"/>
  <c r="G15" i="48" s="1"/>
  <c r="G17" i="48" s="1"/>
  <c r="G18" i="48" s="1"/>
  <c r="G19" i="48" s="1"/>
  <c r="G21" i="48" s="1"/>
  <c r="I21" i="39"/>
  <c r="D10" i="56"/>
  <c r="I21" i="46"/>
  <c r="I216" i="46" s="1"/>
  <c r="D6" i="56"/>
  <c r="K35" i="51"/>
  <c r="F37" i="51"/>
  <c r="I90" i="55"/>
  <c r="I88" i="55"/>
  <c r="I27" i="55" s="1"/>
  <c r="I17" i="55" s="1"/>
  <c r="M37" i="51"/>
  <c r="G130" i="12"/>
  <c r="H113" i="12" s="1"/>
  <c r="H92" i="12" s="1"/>
  <c r="H28" i="12" s="1"/>
  <c r="H14" i="12" s="1"/>
  <c r="H18" i="12" s="1"/>
  <c r="H256" i="12" s="1"/>
  <c r="G58" i="54"/>
  <c r="H160" i="16"/>
  <c r="K21" i="46"/>
  <c r="I259" i="39" l="1"/>
  <c r="G59" i="54"/>
  <c r="K22" i="39"/>
  <c r="L25" i="48"/>
  <c r="E24" i="48"/>
  <c r="G23" i="48"/>
  <c r="G32" i="48" s="1"/>
  <c r="M6" i="48" s="1"/>
  <c r="G54" i="54"/>
  <c r="I21" i="55"/>
  <c r="I287" i="55" s="1"/>
  <c r="D2" i="56"/>
  <c r="D11" i="56" s="1"/>
  <c r="G23" i="50"/>
  <c r="H23" i="50" s="1"/>
  <c r="K37" i="51"/>
  <c r="N42" i="51" s="1"/>
  <c r="N35" i="51"/>
  <c r="N37" i="51" s="1"/>
  <c r="K38" i="51"/>
  <c r="G53" i="54" l="1"/>
  <c r="G21" i="50"/>
  <c r="H21" i="50" s="1"/>
  <c r="H36" i="50" s="1"/>
  <c r="F43" i="51"/>
  <c r="H59" i="54" l="1"/>
  <c r="G52" i="54"/>
  <c r="F53" i="54" l="1"/>
  <c r="G56" i="54"/>
  <c r="F54" i="54"/>
  <c r="G61" i="54" l="1"/>
  <c r="I62" i="54" s="1"/>
  <c r="F58" i="54"/>
  <c r="F57" i="54"/>
  <c r="F59" i="54"/>
  <c r="G30" i="54"/>
  <c r="G31" i="54"/>
  <c r="G26" i="54"/>
  <c r="G34" i="54"/>
  <c r="G28" i="54"/>
  <c r="G22" i="54"/>
  <c r="G25" i="54"/>
  <c r="G41" i="54"/>
  <c r="G37" i="54"/>
  <c r="G42" i="54"/>
  <c r="G21" i="54"/>
  <c r="G33" i="54"/>
  <c r="G47" i="54"/>
  <c r="G23" i="54"/>
  <c r="G46" i="54"/>
  <c r="F19" i="54"/>
  <c r="G24" i="54"/>
  <c r="G29" i="54"/>
  <c r="G39" i="54"/>
  <c r="G20" i="54"/>
  <c r="G38" i="54"/>
  <c r="G36" i="54"/>
  <c r="G44" i="54"/>
  <c r="G27" i="54"/>
  <c r="G40" i="54"/>
  <c r="G43" i="54"/>
  <c r="G32" i="54"/>
  <c r="G45" i="54"/>
  <c r="F49" i="54" l="1"/>
  <c r="G19" i="54"/>
  <c r="G49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G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ROBERT: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</author>
  </authors>
  <commentList>
    <comment ref="E49" authorId="0" shapeId="0" xr:uid="{3139B3E7-04A8-4781-8390-849E4A23CC12}">
      <text>
        <r>
          <rPr>
            <b/>
            <sz val="9"/>
            <color indexed="81"/>
            <rFont val="Tahoma"/>
            <charset val="1"/>
          </rPr>
          <t>MEL: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2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4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0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3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3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50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SGE</author>
  </authors>
  <commentList>
    <comment ref="G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SGE:</t>
        </r>
        <r>
          <rPr>
            <sz val="9"/>
            <color indexed="81"/>
            <rFont val="Tahoma"/>
            <family val="2"/>
          </rPr>
          <t xml:space="preserve">
Debe ser el mismo que F19, si no es así, ajustar el valor hasta que ambos coincidan</t>
        </r>
      </text>
    </comment>
  </commentList>
</comments>
</file>

<file path=xl/sharedStrings.xml><?xml version="1.0" encoding="utf-8"?>
<sst xmlns="http://schemas.openxmlformats.org/spreadsheetml/2006/main" count="2384" uniqueCount="661">
  <si>
    <t>S/.</t>
  </si>
  <si>
    <t xml:space="preserve"> </t>
  </si>
  <si>
    <t>UND</t>
  </si>
  <si>
    <t>TOTAL</t>
  </si>
  <si>
    <t>SUB TOTAL</t>
  </si>
  <si>
    <t>P.U.</t>
  </si>
  <si>
    <t>GLN</t>
  </si>
  <si>
    <t>ACEITE DE MOTOR</t>
  </si>
  <si>
    <t>PAR</t>
  </si>
  <si>
    <t>GLB</t>
  </si>
  <si>
    <t>RETRIBUCIONES COMPLEMENTARIAS-CONTRATOS A PLAZO FIJO</t>
  </si>
  <si>
    <t>01</t>
  </si>
  <si>
    <t>JORNAL</t>
  </si>
  <si>
    <t>COSTO</t>
  </si>
  <si>
    <t>02</t>
  </si>
  <si>
    <t>OBLIGACIONES DEL EMPLEADOR</t>
  </si>
  <si>
    <t>GASTOS VARIABLES Y OCASIONALES</t>
  </si>
  <si>
    <t>DESCRIPCION</t>
  </si>
  <si>
    <t>CANTIDAD</t>
  </si>
  <si>
    <t>CANT</t>
  </si>
  <si>
    <t>OTROS SERVICIOS</t>
  </si>
  <si>
    <t>65.11.51</t>
  </si>
  <si>
    <t>FTE.FTO</t>
  </si>
  <si>
    <t>CÓDIGO</t>
  </si>
  <si>
    <t>ESPECIFICA DE GASTOS</t>
  </si>
  <si>
    <t>VESTUARIO</t>
  </si>
  <si>
    <t>TOTAL GASTOS GENERALES</t>
  </si>
  <si>
    <t>DESAGREGADO  DEL  PRESUPUESTO  ANALÍTICO</t>
  </si>
  <si>
    <t>GASTOS GENERALES</t>
  </si>
  <si>
    <t>DEL EMPLEADO EVENTUAL</t>
  </si>
  <si>
    <t>CARGO</t>
  </si>
  <si>
    <t>N° DE PERSONAS</t>
  </si>
  <si>
    <t>MESES</t>
  </si>
  <si>
    <t>MONTO</t>
  </si>
  <si>
    <t>DESCRIPCIÓN</t>
  </si>
  <si>
    <t>CJA</t>
  </si>
  <si>
    <t>MATERIALES DE ESCRITORIO</t>
  </si>
  <si>
    <t>MLL</t>
  </si>
  <si>
    <t>LIBRETA TOPOGRÁFICA FIELD BOOK</t>
  </si>
  <si>
    <t>LIBRETA TOPOGRÁFICA LEVEL BOOK</t>
  </si>
  <si>
    <t>ARCHIVADOR DE LOMO ANCHO PARA FORMATO A-4</t>
  </si>
  <si>
    <t>SELLO DE OBRA</t>
  </si>
  <si>
    <t>MATERIALES IMPRESIÓN Y FOTOGRÁFICOS</t>
  </si>
  <si>
    <t>PAPEL FOTOCOPIA 80 GR A-4</t>
  </si>
  <si>
    <t>UND.</t>
  </si>
  <si>
    <t>UNIDAD GEST.</t>
  </si>
  <si>
    <t xml:space="preserve">FUNCION </t>
  </si>
  <si>
    <t>PROGRAMA</t>
  </si>
  <si>
    <t>SUB-PROGRAMA</t>
  </si>
  <si>
    <t>GASTOS DE SUPERVISION</t>
  </si>
  <si>
    <t>EQUIPOS Y MATERIAL DURADERO</t>
  </si>
  <si>
    <t>TOTAL GASTOS DE SUPERVISION</t>
  </si>
  <si>
    <t>THONER HP LASERJET 1300</t>
  </si>
  <si>
    <t>MANTENIMIENTO DE EQUIPO Y MAQUINARIA</t>
  </si>
  <si>
    <t>PZA</t>
  </si>
  <si>
    <t>SEGURO COMPLEMENTARIO DE TRABAJO DE RIESGO (1.55%)</t>
  </si>
  <si>
    <t>O1</t>
  </si>
  <si>
    <t>FILES</t>
  </si>
  <si>
    <t>FASTENERX50 UND</t>
  </si>
  <si>
    <t>CINTA MASKING X 1/2"</t>
  </si>
  <si>
    <t>PAPEL CARBON X100 HJAS</t>
  </si>
  <si>
    <t>PLUMON INDELEBLE GRUESO DIFER. COLORES</t>
  </si>
  <si>
    <t>PORTAMINAS</t>
  </si>
  <si>
    <t>REPUESTOS PARA PORTAMINAS</t>
  </si>
  <si>
    <t>CD RW REGRABABLES</t>
  </si>
  <si>
    <t>PEGAMENTO EN BARRA</t>
  </si>
  <si>
    <t>RESALTADOR</t>
  </si>
  <si>
    <t>CORRECTOR</t>
  </si>
  <si>
    <t>LIBRETA DE CAMPO</t>
  </si>
  <si>
    <t>BORRADOR BR40</t>
  </si>
  <si>
    <t>ESPIRALES DE 7 MM</t>
  </si>
  <si>
    <t>ANILLOS DE 5/8"</t>
  </si>
  <si>
    <t>LAPICERO AZUL/NEGRO 033 FABER CASTELL</t>
  </si>
  <si>
    <t>POST IT CUADRADO COLORES</t>
  </si>
  <si>
    <t>CASCOS DE PROTECCION TIPO KW COLOR BLANCO</t>
  </si>
  <si>
    <t>ESCOLARIDAD, AGUINALDOS Y GRATIFICACIONES</t>
  </si>
  <si>
    <t>PROYECTO</t>
  </si>
  <si>
    <t>CINTA TEFLON</t>
  </si>
  <si>
    <t>CAMARA DIGITAL</t>
  </si>
  <si>
    <t>CD R</t>
  </si>
  <si>
    <t>CUTER GRANDE</t>
  </si>
  <si>
    <t>ENGRAMPADOR</t>
  </si>
  <si>
    <t>PLUMONES DELGADOS FC 45</t>
  </si>
  <si>
    <t>BOTAS DE CUERO  CAT</t>
  </si>
  <si>
    <t>CINTA MASKING 2"</t>
  </si>
  <si>
    <t>LAPICERO AZUL/NEGRO 031 FABER CASTELL</t>
  </si>
  <si>
    <t>CUADERNO 50 HOJAS</t>
  </si>
  <si>
    <t>COMPUTADORA PORTATIL LAPTOP</t>
  </si>
  <si>
    <t>MEMORIAS USB 4 GB</t>
  </si>
  <si>
    <t>MEMORIA USB 2 GB</t>
  </si>
  <si>
    <t>EQUIPAMIENTO Y BIENES DURADEROS</t>
  </si>
  <si>
    <t>OTROS SERVICIOS DE TERCEROS</t>
  </si>
  <si>
    <t>BIENES DE CONSUMO</t>
  </si>
  <si>
    <t>COMBUSTIBLE Y LUBRICANTES</t>
  </si>
  <si>
    <t>IMPRESIÓN DE PLANOS</t>
  </si>
  <si>
    <t>ESSALUD (9%)</t>
  </si>
  <si>
    <t>AGUINALDOS POR FIESTAS PATRIAS Y NAVIDAD</t>
  </si>
  <si>
    <t>VACACIONES TRUNCAS</t>
  </si>
  <si>
    <t>BENEFICIOS (COMPENSACION POR TIEMPO DE SERVICIOS)</t>
  </si>
  <si>
    <t>COSTO CONSTRUCCION POR ADMINISTRACION DIRECTA - PERSONAL</t>
  </si>
  <si>
    <t>COSTO CONSTRUCCION POR ADMINISTRACION DIRECTA - BIENES</t>
  </si>
  <si>
    <t>COSTO CONSTRUCCION POR ADMINISTRACION DIRECTA - SERVICIOS</t>
  </si>
  <si>
    <t>COSTO CONSTRUCCION POR ADMINISTRACION DIRECTA - OTROS</t>
  </si>
  <si>
    <t>kg</t>
  </si>
  <si>
    <t>pza</t>
  </si>
  <si>
    <t>bls</t>
  </si>
  <si>
    <t>TOTAL GASTOS DE LIQUIDACION</t>
  </si>
  <si>
    <t xml:space="preserve">GASOLINA 84 OCT </t>
  </si>
  <si>
    <t>PETROLEO DIESEL 2</t>
  </si>
  <si>
    <t>ALQUILER DE CAMIONETA</t>
  </si>
  <si>
    <t xml:space="preserve">LIBRETA TOPOGRÁFICA </t>
  </si>
  <si>
    <t>und</t>
  </si>
  <si>
    <t>gln</t>
  </si>
  <si>
    <t>HIPOCLORITO DE CALCIO AL 30%</t>
  </si>
  <si>
    <t>PETROLEO</t>
  </si>
  <si>
    <t>ADAPTADOR  UPR  PVC DE  1/2"</t>
  </si>
  <si>
    <t>VALVULA BOLA P/JARDIN 1/2"</t>
  </si>
  <si>
    <t>NIPLE FºGº 1/2"X3"</t>
  </si>
  <si>
    <t>RESUMEN  PRESUPUESTO ANALITICO - CAPACITACION SOCIAL</t>
  </si>
  <si>
    <t>PROMOTOR</t>
  </si>
  <si>
    <t>PAPEL BOND A4 80 GRAMOS</t>
  </si>
  <si>
    <t>MIL</t>
  </si>
  <si>
    <t>DIA</t>
  </si>
  <si>
    <t>PLUMONES GRUESOS</t>
  </si>
  <si>
    <t>CINTA MASKING</t>
  </si>
  <si>
    <t>TIJERA</t>
  </si>
  <si>
    <t>KUTER</t>
  </si>
  <si>
    <t>RAFIA</t>
  </si>
  <si>
    <t>rll</t>
  </si>
  <si>
    <t>AFICHES (3X FAMILIA)</t>
  </si>
  <si>
    <t>GLOBOS MEDIANOS</t>
  </si>
  <si>
    <t>GORROS</t>
  </si>
  <si>
    <t>POLOS</t>
  </si>
  <si>
    <t>COMPARADOR DE CLORO RESIDUAL</t>
  </si>
  <si>
    <t>PASTILLAS DPD</t>
  </si>
  <si>
    <t>PREMIOS PARA LA COMUNIDAD</t>
  </si>
  <si>
    <t>PREMIOS PARA EL C.E</t>
  </si>
  <si>
    <t>CAJA DE HERRAMIENTAS</t>
  </si>
  <si>
    <t>PAPEL CRAFF</t>
  </si>
  <si>
    <t>COPIA EXPEDIENTE SOCIAL</t>
  </si>
  <si>
    <t>MANUALES DE  CAPACITACIÓN Nº 01</t>
  </si>
  <si>
    <t>MANUALES DE  CAPACITACIÓN Nº 02</t>
  </si>
  <si>
    <t>MANUALES DE  CAPACITACIÓN Nº 03</t>
  </si>
  <si>
    <t>MANUALES DE  CAPACITACIÓN Nº 05</t>
  </si>
  <si>
    <t>MANUALES DE  CAPACITACIÓN Nº 06</t>
  </si>
  <si>
    <t>MANUALES DE  CAPACITACIÓN Nº 07</t>
  </si>
  <si>
    <t>MANUALES DE  CAPACITACIÓN Nº 08</t>
  </si>
  <si>
    <t>MANUALES DE  CAPACITACIÓN Nº 09</t>
  </si>
  <si>
    <t>LUDO FAMILIAR</t>
  </si>
  <si>
    <t>ROMPECABEZAS</t>
  </si>
  <si>
    <t>AFICHES DE AUTOEVALUACION</t>
  </si>
  <si>
    <t>MANUAL ROTAFOLIO</t>
  </si>
  <si>
    <t>BOLSAS DE POLISEDA</t>
  </si>
  <si>
    <t>VASITOS PLASTICOS</t>
  </si>
  <si>
    <t>2.6.2.3.5.3 REMUNERACIONES</t>
  </si>
  <si>
    <t>2.6.2.3.5.4 BIENES</t>
  </si>
  <si>
    <t>2.6.2.3.5.5 SERVICIOS</t>
  </si>
  <si>
    <t>BENEFICIOS (COMPENSACION POR TIEMPO DE SERVICIOS CTS)</t>
  </si>
  <si>
    <t>G. SUP</t>
  </si>
  <si>
    <t>.</t>
  </si>
  <si>
    <t xml:space="preserve">CD RW </t>
  </si>
  <si>
    <t>G. CAPAC SOC</t>
  </si>
  <si>
    <t>MATERIALES PARA CAPACITACION</t>
  </si>
  <si>
    <t>THONER PARA IMPRESORA</t>
  </si>
  <si>
    <t>TABLERO DE PLASTICO</t>
  </si>
  <si>
    <t>CHALECO DE TELA</t>
  </si>
  <si>
    <t>MICA A4</t>
  </si>
  <si>
    <t>ARCHIVADORES LOMO ANCHO-OFICIO</t>
  </si>
  <si>
    <t>FASTENER P/FILE CAJA X 50 UND. "WINGO"</t>
  </si>
  <si>
    <t>LAPIZ NEGRO</t>
  </si>
  <si>
    <t>SOBRE MANILA GRANDE</t>
  </si>
  <si>
    <t>FOLDER MANILA.</t>
  </si>
  <si>
    <t>COMBUSTIBLE</t>
  </si>
  <si>
    <t>PILA PARA LINTERNA</t>
  </si>
  <si>
    <t>LAPICEROS</t>
  </si>
  <si>
    <t>ESPIRAL X 100 HOJAS</t>
  </si>
  <si>
    <t>PAPEL CARTULINA</t>
  </si>
  <si>
    <t>CUADERNO TAMAÑO OFICION 100HOJAS</t>
  </si>
  <si>
    <t>ANILLADO FORMATOS SID</t>
  </si>
  <si>
    <t>CODO F° GALV. DE 1/2" X 90°</t>
  </si>
  <si>
    <t>UNION SIMPLE DE F° GALV. DE 1/2"</t>
  </si>
  <si>
    <t>TUB. PVC SAP PRESION C-10 EC DE 1/2" x5m</t>
  </si>
  <si>
    <t>TUB. PVC SAP PRESION C-10 R. 3/4" x 5m</t>
  </si>
  <si>
    <t>UNION UNIVERSAL PVC SAP DE 1/2"</t>
  </si>
  <si>
    <t>TEE PVC SAP 3/4"</t>
  </si>
  <si>
    <t>REDUCCION PVC SAP 3/4" A 1/2"</t>
  </si>
  <si>
    <t>CODO PVC SAP 1/2" X 90°</t>
  </si>
  <si>
    <t>ALIMENTACIÓN</t>
  </si>
  <si>
    <t>COPIA DE FORMATOS SID</t>
  </si>
  <si>
    <t>COPIA DE FORMATOS</t>
  </si>
  <si>
    <t>VALVULA ESFERICA 1/2"</t>
  </si>
  <si>
    <t>LINTERNA</t>
  </si>
  <si>
    <t>PRIMER PREMIO</t>
  </si>
  <si>
    <t>SEGUNDO  PREMIO</t>
  </si>
  <si>
    <t>TERCER PREMIO</t>
  </si>
  <si>
    <t>PAPEL LUSTRE</t>
  </si>
  <si>
    <t>PAPEL SEDITA</t>
  </si>
  <si>
    <t>MANUALES DE  CAPACITACIÓN Nº 04</t>
  </si>
  <si>
    <t xml:space="preserve">MANUALES DE  CAPACITACIÓN Nº 10 </t>
  </si>
  <si>
    <t>MANUALES DE  CAPACITACIÓN Nº 11</t>
  </si>
  <si>
    <t>PEGAMENTO UHU</t>
  </si>
  <si>
    <t>CINTA DE EMBALAJE</t>
  </si>
  <si>
    <t>ZAPATOS DE CUERO</t>
  </si>
  <si>
    <t>PONCHO DE AGUA.</t>
  </si>
  <si>
    <t>COPIA GUIA DE INTERVENCION.</t>
  </si>
  <si>
    <t>ALQUILER CAMIONETA</t>
  </si>
  <si>
    <t>ALOJAMIENTO</t>
  </si>
  <si>
    <t>TRASLADO</t>
  </si>
  <si>
    <t>CUADERNO CON ESPIRAL</t>
  </si>
  <si>
    <t>GASTOS DE CAPACITACION SOCIAL</t>
  </si>
  <si>
    <t>TOTAL GASTOS DE CAPACITACION</t>
  </si>
  <si>
    <t>TOTAL GASTOS DE CAPACITACION SOCIAL</t>
  </si>
  <si>
    <t>ASISTENTE ADMINISTRATIVO 2</t>
  </si>
  <si>
    <t>INSPECTOR DE OBRA 2</t>
  </si>
  <si>
    <t>AGUINALDOS Y GRATIFICACIONES</t>
  </si>
  <si>
    <t>LIQUIDADOR FINANCIERO</t>
  </si>
  <si>
    <t>LIQUIDADOR TECNICO</t>
  </si>
  <si>
    <t>MONTO DE LA OBRA S/.</t>
  </si>
  <si>
    <t>0 - 500,000</t>
  </si>
  <si>
    <t>TIEMPO LIQUIDACION</t>
  </si>
  <si>
    <t>15 DIAS</t>
  </si>
  <si>
    <t>500,000 - 1'000,000</t>
  </si>
  <si>
    <t>45 DIAS</t>
  </si>
  <si>
    <t>&gt; 1'000,000</t>
  </si>
  <si>
    <t>45 - 60 DIAS</t>
  </si>
  <si>
    <t>ITEM</t>
  </si>
  <si>
    <t>SERVICIO DE FOTOCOPIAS</t>
  </si>
  <si>
    <t>RESUMEN  PRESUPUESTO ANALITICO - GASTOS DE EXPEDIENTE TECNICO</t>
  </si>
  <si>
    <t>GASTOS DE EXPEDIENTE TECNICO</t>
  </si>
  <si>
    <t>TOTAL GASTOS DE EXPEDIENTE TECNICO</t>
  </si>
  <si>
    <t>SUPERVISION DE EXPEDIENTE TECNICO</t>
  </si>
  <si>
    <t>GASTOS DE SUPERVISION DE EXPEDIENTE TECNICO</t>
  </si>
  <si>
    <t>CUADERNO ESPIRALADO TAMAÑO A4 200 HJAS</t>
  </si>
  <si>
    <t>SERVICIOS DE CONSULTORIA</t>
  </si>
  <si>
    <t>2.6.8.1.3.1  ELABORACION DE EXPEDIENTE TECNICO</t>
  </si>
  <si>
    <t>G. ET</t>
  </si>
  <si>
    <t>RESIDENTE DE OBRA</t>
  </si>
  <si>
    <t>ASISTENTE TECNICO</t>
  </si>
  <si>
    <t>gbl</t>
  </si>
  <si>
    <t>IMPRESIÓNES</t>
  </si>
  <si>
    <t>CAJA</t>
  </si>
  <si>
    <t>GBL</t>
  </si>
  <si>
    <t>IMPRESORA A COLOR MULTIFUNCIONAL</t>
  </si>
  <si>
    <t>OBSERV.</t>
  </si>
  <si>
    <t>SE CONSIDERA 01 MES PARA LA  PRE - LIQU.</t>
  </si>
  <si>
    <t>INFRAESTRUCTURA</t>
  </si>
  <si>
    <t>EXPEDIENTE TECNICO</t>
  </si>
  <si>
    <t>MEMORIA USB 16 GB</t>
  </si>
  <si>
    <t>MITIGACION AMBIENTAL</t>
  </si>
  <si>
    <t>FOTOCOPIAS</t>
  </si>
  <si>
    <t>CUMPUTADORA COREL I7</t>
  </si>
  <si>
    <t>RESUMEN  PRESUPUESTO ANALITICO - SUPERVISIÓN</t>
  </si>
  <si>
    <t>CHALECOS REFLECTIVOS</t>
  </si>
  <si>
    <t>CASACAS</t>
  </si>
  <si>
    <t>ZAPATOS PUNTA DE ACERO TIPO CAT</t>
  </si>
  <si>
    <t>VESTUARIO Y ELEMENTOS DE SEGURIDAD</t>
  </si>
  <si>
    <t>PQT</t>
  </si>
  <si>
    <t>TINTA</t>
  </si>
  <si>
    <t>KIT</t>
  </si>
  <si>
    <t>FOLDER</t>
  </si>
  <si>
    <t>MICAS</t>
  </si>
  <si>
    <t>BANDEJA PORTA DOCUMENTO</t>
  </si>
  <si>
    <t>2.6.8.1.4.1</t>
  </si>
  <si>
    <t>2.6.8.1.4.2</t>
  </si>
  <si>
    <t>2.6.8.1.4.3</t>
  </si>
  <si>
    <t>2.6.8.1.4.4</t>
  </si>
  <si>
    <t>2.6.8.1.4.2 BIENES</t>
  </si>
  <si>
    <t>2.6.8.1.4.3 SERVICIOS</t>
  </si>
  <si>
    <t>2.6.8.1.4.1 REMUNERACIONES</t>
  </si>
  <si>
    <t>POSIT CUADRADO DE COLORES</t>
  </si>
  <si>
    <t>COMBUSTIBLES Y LUBRICANTES</t>
  </si>
  <si>
    <t>COMBUSTIBLE Y LUBRICANTE</t>
  </si>
  <si>
    <t>MES</t>
  </si>
  <si>
    <t>COMPUTADORA INTEL CORE I7 C/ MONITOR DE 32" DE GAMA ALTA</t>
  </si>
  <si>
    <t>COORDINADOR DE SUPERVISION</t>
  </si>
  <si>
    <t>SUPERVISOR GENERAL DE OBRA</t>
  </si>
  <si>
    <t>ASISTENTE ADMINISTRATIVO DE PLANTA</t>
  </si>
  <si>
    <t>IMPRESORA LASSER</t>
  </si>
  <si>
    <t>COMPUTADORA COREL i7</t>
  </si>
  <si>
    <t>PETROLEO DIESEL</t>
  </si>
  <si>
    <t>ESPECIALISTA DE ESTRUCTURAS</t>
  </si>
  <si>
    <t>ESPECIALISTA DE ARQUITECTURA</t>
  </si>
  <si>
    <t>ESPECIALISTA EN INST. SANITARIAS</t>
  </si>
  <si>
    <t>ESPECIALISTA EN INST. ELECTRICAS</t>
  </si>
  <si>
    <t>ESPECIALISTA EN EQUIPOS Y MOBILIARIO EDUCATIVO</t>
  </si>
  <si>
    <t>ESPECIALISTA EN GESTION DE CAPACITACIÓN</t>
  </si>
  <si>
    <t>ESPECIALISTA EN MATERIAL PEDAGÓGICO</t>
  </si>
  <si>
    <t>COEF. PARTICIP.</t>
  </si>
  <si>
    <t>EQUIPOS</t>
  </si>
  <si>
    <t>SERVICIO DE FOTOCOPIADO</t>
  </si>
  <si>
    <t>ALQUILER DE CAMIONETA (5 POR MES)</t>
  </si>
  <si>
    <t>COEF. PARTIC.</t>
  </si>
  <si>
    <t>EQUIPOS Y MOBILIARIO</t>
  </si>
  <si>
    <t>CAMARA FOTOGRÁFICA DIGITALDE 20 MEGAPIXEL</t>
  </si>
  <si>
    <t>ALQUILER DE EQUIPO TOPOGRÁFICO</t>
  </si>
  <si>
    <t>--</t>
  </si>
  <si>
    <t>TELUROMETRO DIGITAL BUENA PRECISION</t>
  </si>
  <si>
    <t>MEGOMETRO DIGITAL DE BUENA PRECISION</t>
  </si>
  <si>
    <t>PINZA AMPERIMETRICA DIGITAL BUENA PRECISION</t>
  </si>
  <si>
    <t>ESCLEROMETRO</t>
  </si>
  <si>
    <t>CONO DE ARENA</t>
  </si>
  <si>
    <t>ESPECIALISTA GEOTECNISTA</t>
  </si>
  <si>
    <t>EQUIPOS PARA CONTROL DE CALIDAD</t>
  </si>
  <si>
    <t>TOTAL EXPEDIENTE TECNICO</t>
  </si>
  <si>
    <t>CANT.</t>
  </si>
  <si>
    <t>SUPERVISOR DE OBRA</t>
  </si>
  <si>
    <t>ASISTENTE DE SUPERVISOR</t>
  </si>
  <si>
    <t>GESTION DE PROYECTO</t>
  </si>
  <si>
    <t>ASISTENTE ADMINISTRATIVO</t>
  </si>
  <si>
    <t>CD</t>
  </si>
  <si>
    <t>GG</t>
  </si>
  <si>
    <t>2.6.8.1.3.1</t>
  </si>
  <si>
    <t>ELABORACION DE EXPEDIENTE TECNICO</t>
  </si>
  <si>
    <t>2.6.2.2.2.4 REMUNERACIONES</t>
  </si>
  <si>
    <t>2.6.2.2.2.5 BIENES</t>
  </si>
  <si>
    <t>2.6.2.2.2.6 SERVICIOS</t>
  </si>
  <si>
    <t>2 . 6 . 2 2 . 2.5</t>
  </si>
  <si>
    <t>2 . 6 . 22 . 2.6</t>
  </si>
  <si>
    <t>2 . 6 . 2 2 . 2.7</t>
  </si>
  <si>
    <t>2.6.8.1.3.1 REMUNERACIONES</t>
  </si>
  <si>
    <t>2.6.8.1.3.1 BIENES</t>
  </si>
  <si>
    <t>2.6.8.1.3.1 SERVICIOS</t>
  </si>
  <si>
    <t>IMPRESIÓN DE PLANOS Y ESCANEOS</t>
  </si>
  <si>
    <t>PRESUPUESTO TOTAL</t>
  </si>
  <si>
    <t xml:space="preserve">CAPACITACION </t>
  </si>
  <si>
    <t>EQUIPAMIENTO</t>
  </si>
  <si>
    <t>MOBILIARIO</t>
  </si>
  <si>
    <r>
      <t xml:space="preserve">LIQUIDACION DE OBRA                                                                </t>
    </r>
    <r>
      <rPr>
        <b/>
        <sz val="10"/>
        <rFont val="Calibri"/>
        <family val="2"/>
      </rPr>
      <t xml:space="preserve">  1.00%</t>
    </r>
  </si>
  <si>
    <t>VALOR  REFERENCIAL</t>
  </si>
  <si>
    <t>TOTAL PRESUPUESTADO</t>
  </si>
  <si>
    <t>T_P</t>
  </si>
  <si>
    <t xml:space="preserve">I.G.V. </t>
  </si>
  <si>
    <t>IGV</t>
  </si>
  <si>
    <t>S_T</t>
  </si>
  <si>
    <t xml:space="preserve">UTILIDAD </t>
  </si>
  <si>
    <t>UTI</t>
  </si>
  <si>
    <t>R e s ú m e n    d e    A n á l i s i s   d e   C o s t o s</t>
  </si>
  <si>
    <t>MONTO DEL COSTO DIRECTO DEL PRESUPUESTO BASE:</t>
  </si>
  <si>
    <t>Monto Presupuestado</t>
  </si>
  <si>
    <r>
      <rPr>
        <b/>
        <sz val="12"/>
        <rFont val="Calibri"/>
        <family val="2"/>
      </rPr>
      <t>MODALIDAD:</t>
    </r>
    <r>
      <rPr>
        <sz val="14"/>
        <rFont val="Calibri"/>
        <family val="2"/>
      </rPr>
      <t xml:space="preserve"> </t>
    </r>
    <r>
      <rPr>
        <sz val="10"/>
        <rFont val="Calibri"/>
        <family val="2"/>
      </rPr>
      <t xml:space="preserve">           CONTRATA</t>
    </r>
  </si>
  <si>
    <r>
      <rPr>
        <b/>
        <sz val="12"/>
        <rFont val="Calibri"/>
        <family val="2"/>
      </rPr>
      <t xml:space="preserve">LUGAR :  </t>
    </r>
    <r>
      <rPr>
        <sz val="10"/>
        <rFont val="Calibri"/>
        <family val="2"/>
      </rPr>
      <t xml:space="preserve">                       DEPARTAMENTO:   APURÍMAC ,       PROVINCIA:   ABANCAY,           DISTRITO:     ABANCAY</t>
    </r>
  </si>
  <si>
    <t xml:space="preserve">PROYECTO : “MEJORAMIENTO DEL SERVICIO EDUCATIVO DE LA I.E ESTHER ROBERTI GAMERO, DISTRITO DE ABANCAY- REGIÓN APURÍMAC”
</t>
  </si>
  <si>
    <t>Relación de Utilidad/Costo Indirecto</t>
  </si>
  <si>
    <t xml:space="preserve">                    Valor Utilidad</t>
  </si>
  <si>
    <t>Utilidad</t>
  </si>
  <si>
    <t>Relación de Costo Directo/Costo Indirecto</t>
  </si>
  <si>
    <t xml:space="preserve">                    Gastos Generales</t>
  </si>
  <si>
    <t xml:space="preserve">                    Costo Directo </t>
  </si>
  <si>
    <t>Relación de Costo Directo y Costo Indirecto</t>
  </si>
  <si>
    <t>Total de Gastos Generales  S/.</t>
  </si>
  <si>
    <t>Glb.</t>
  </si>
  <si>
    <t>Análisis de Gastos Generales Variables</t>
  </si>
  <si>
    <t>Gastos Generales Variables</t>
  </si>
  <si>
    <t>II</t>
  </si>
  <si>
    <t>Análisis de Gastos Generales Fijos</t>
  </si>
  <si>
    <t>Gastos Generales Fijos</t>
  </si>
  <si>
    <t>I</t>
  </si>
  <si>
    <t>Valor Total S/.</t>
  </si>
  <si>
    <t>Precio  Unitario S/.</t>
  </si>
  <si>
    <t>Cantidad</t>
  </si>
  <si>
    <t>Und.</t>
  </si>
  <si>
    <t>Descripción</t>
  </si>
  <si>
    <t>Item</t>
  </si>
  <si>
    <t>Resúmen de Análisis de Gastos Generales</t>
  </si>
  <si>
    <t>MONTO DEL COSTO DIRECTO DEL PRESUPUESTO:</t>
  </si>
  <si>
    <t>PORCENTAJE CD</t>
  </si>
  <si>
    <t>Análisis de Gastos Generales</t>
  </si>
  <si>
    <t>Cant. Descripción</t>
  </si>
  <si>
    <t>Cant. Unidad</t>
  </si>
  <si>
    <t>Mano de Obra Indirecta</t>
  </si>
  <si>
    <t>A</t>
  </si>
  <si>
    <t>Área de Producción</t>
  </si>
  <si>
    <t>Mes</t>
  </si>
  <si>
    <t>Arquitecto  y/o Ingeniero Civil</t>
  </si>
  <si>
    <t>Ing Electrico</t>
  </si>
  <si>
    <t>B</t>
  </si>
  <si>
    <t>Pago de Beneficios</t>
  </si>
  <si>
    <t>Vacaciones (10% de (P. Unit.+ Asig. Fam.))</t>
  </si>
  <si>
    <t>Gratificación (1/6 PUnit. x 2)</t>
  </si>
  <si>
    <t>D</t>
  </si>
  <si>
    <t>Elementos de Seguridad</t>
  </si>
  <si>
    <t xml:space="preserve">Elementos de proteccion </t>
  </si>
  <si>
    <t>Glb</t>
  </si>
  <si>
    <t xml:space="preserve">Elementos de Prevencion </t>
  </si>
  <si>
    <t>C</t>
  </si>
  <si>
    <t>Equipos de Oficinas</t>
  </si>
  <si>
    <t>Materiales de Oficina</t>
  </si>
  <si>
    <t>E</t>
  </si>
  <si>
    <t>Seguros</t>
  </si>
  <si>
    <t>Accidentes Personales</t>
  </si>
  <si>
    <t>Riesgo de Ingeniería</t>
  </si>
  <si>
    <t>Responsabilidad contra Terceros</t>
  </si>
  <si>
    <t>Total de Gastos Generales Variables</t>
  </si>
  <si>
    <r>
      <rPr>
        <b/>
        <sz val="10"/>
        <rFont val="Calibri"/>
        <family val="2"/>
      </rPr>
      <t xml:space="preserve">Nota: </t>
    </r>
    <r>
      <rPr>
        <sz val="10"/>
        <rFont val="Calibri"/>
        <family val="2"/>
      </rPr>
      <t>consideramos medio mes más para la liquidacion de obra, del personal requerido para tal fin</t>
    </r>
  </si>
  <si>
    <t>MENSUAL</t>
  </si>
  <si>
    <t>-</t>
  </si>
  <si>
    <t>Total a Pagar por Mes</t>
  </si>
  <si>
    <t>Gratifica.</t>
  </si>
  <si>
    <t>Movilidad</t>
  </si>
  <si>
    <t>Precio TOTAL</t>
  </si>
  <si>
    <t>Meses</t>
  </si>
  <si>
    <t>PERSONAL TÉCNICO ADMINISTRATIVO</t>
  </si>
  <si>
    <t>CÁLCULO DE REMUNERACIONES POR TRABAJADOR (TOTAL DE OBRA)</t>
  </si>
  <si>
    <t>(**) Corresponde al sueldo mensual bruto de cada trabajador, el cual incluye sus beneficios sociales.</t>
  </si>
  <si>
    <t xml:space="preserve">     y se pagan todos los meses.</t>
  </si>
  <si>
    <t>(*) Este concepto es un aporte que se descuenta del sueldo del trabajador como pago a cuenta de su jubilación. Los demás rubros considerados son aportes del empleador</t>
  </si>
  <si>
    <t>Asistente Administrativo</t>
  </si>
  <si>
    <t>Almacenero</t>
  </si>
  <si>
    <t>Maestro de Obra</t>
  </si>
  <si>
    <t xml:space="preserve">Guardián </t>
  </si>
  <si>
    <t>Secretaria</t>
  </si>
  <si>
    <t>Asistente Tecnico</t>
  </si>
  <si>
    <t>Ing  y/o Arq  Residente de Obra</t>
  </si>
  <si>
    <t>BÁSICO</t>
  </si>
  <si>
    <t>CÁLCULO DE REMUNERACIONES POR TRABAJADOR (POR MES)</t>
  </si>
  <si>
    <t>OTROS</t>
  </si>
  <si>
    <t>SUPERVISOR</t>
  </si>
  <si>
    <t xml:space="preserve">ASIGNACION FAMILIAR </t>
  </si>
  <si>
    <t>ASIGNACION FAMILIAR</t>
  </si>
  <si>
    <t>BENEFICIOS (COMPENSACION POR TIEMPO DE SERVICIOS CTS-15% PU)</t>
  </si>
  <si>
    <t>HH</t>
  </si>
  <si>
    <t>ADMINISTRADOR DE OBRA</t>
  </si>
  <si>
    <t>CASCOS DE SEGURIDAD 3M COLOR BLANCO</t>
  </si>
  <si>
    <t>CASACA POLAR CON CINTAS REFLECTIVAS</t>
  </si>
  <si>
    <t>SILLONES P/ESCRITORIO</t>
  </si>
  <si>
    <t>ESCRITORIO DE MADERA 3 CAJONES</t>
  </si>
  <si>
    <t>ESCRITORIO DE MADERA 5 CAJONES</t>
  </si>
  <si>
    <t>MUEBLE P/COMPUTADORA</t>
  </si>
  <si>
    <t>SILLA P/ESCRITORIO</t>
  </si>
  <si>
    <t>ARCHIVADOR DE MADERA 4 GAVETAS</t>
  </si>
  <si>
    <t>MESA DE REUNION C/8 SILLAS</t>
  </si>
  <si>
    <t>MEMORIA USB 32 GB</t>
  </si>
  <si>
    <t>THONER</t>
  </si>
  <si>
    <t>INGENIERO CIVIL O ARQUITECTO (COORDINADOR)</t>
  </si>
  <si>
    <t>PROFESIONAL ADMINISTRATIVO</t>
  </si>
  <si>
    <t>INGENIERO GEOLOGO</t>
  </si>
  <si>
    <t>G. EE.TT.</t>
  </si>
  <si>
    <t>IMP</t>
  </si>
  <si>
    <t>SUEL</t>
  </si>
  <si>
    <t>ESC</t>
  </si>
  <si>
    <t xml:space="preserve">OTROS </t>
  </si>
  <si>
    <t>IMPREVISTOS</t>
  </si>
  <si>
    <t>SERVICIO DE TERCEROS</t>
  </si>
  <si>
    <t>ALQUILER DE MOVILIDAD</t>
  </si>
  <si>
    <t>ALQUILER DE CAMIONETA (MAQUINA SECA)</t>
  </si>
  <si>
    <t>G. G.P.</t>
  </si>
  <si>
    <t>Analisis del tiempo gestion de proyecto</t>
  </si>
  <si>
    <t>DESCRIPCION DE ACTIVIDADES</t>
  </si>
  <si>
    <t>DURACION</t>
  </si>
  <si>
    <t>Gastos de ORPI no se consideran</t>
  </si>
  <si>
    <t>Elaboracion de TDR, bases y proceso de selección para expediente tecnico</t>
  </si>
  <si>
    <t>DIAS</t>
  </si>
  <si>
    <t>Elaboracion y aprobacion de expediente tecnico</t>
  </si>
  <si>
    <t>Elaboracion de TDR, bases y proceso de selección para ejecucion y supervision</t>
  </si>
  <si>
    <t>Ejecucion de obra, capacitacion, etc.</t>
  </si>
  <si>
    <t>Elaboracion de TDR, bases y proceso de selección para equipamiento</t>
  </si>
  <si>
    <t>Liquidacion de obra</t>
  </si>
  <si>
    <t>MOVILIDAD</t>
  </si>
  <si>
    <t>DÍAS</t>
  </si>
  <si>
    <t>gln/hora</t>
  </si>
  <si>
    <t>tiemp. Viaje</t>
  </si>
  <si>
    <t>n° de viajes</t>
  </si>
  <si>
    <t>cant. Viajes</t>
  </si>
  <si>
    <t>total</t>
  </si>
  <si>
    <t>N° de viajes</t>
  </si>
  <si>
    <t>Cant. Viajes</t>
  </si>
  <si>
    <t>meses</t>
  </si>
  <si>
    <t>Proyecto</t>
  </si>
  <si>
    <t>Especifica de Gastos</t>
  </si>
  <si>
    <t>Gastos Generales</t>
  </si>
  <si>
    <t>Gastos de Supervision</t>
  </si>
  <si>
    <t>2.6.2.3.99 3</t>
  </si>
  <si>
    <t>2.6.2.3.99 4</t>
  </si>
  <si>
    <t>2.6.2.3.99 5</t>
  </si>
  <si>
    <t>2.6.2.3.99 6</t>
  </si>
  <si>
    <t>Codigo</t>
  </si>
  <si>
    <t>Gobierno Regional de Apurímac</t>
  </si>
  <si>
    <t>Gerencia Regional de Infraestructura</t>
  </si>
  <si>
    <t>Sub gerencia de Estudios Definitivos</t>
  </si>
  <si>
    <t xml:space="preserve">Desagregado del Presupuesto Analitico  </t>
  </si>
  <si>
    <t>PERSONAL PROFESIONAL</t>
  </si>
  <si>
    <t>TECNICO ADMINISTRATIVO I / ASISTENTE SOCIAL / RESPONSABLE DE PERSONAL</t>
  </si>
  <si>
    <t>TECNICO ADMINISTRATICO II</t>
  </si>
  <si>
    <t>ASISTENTE ADMINISTRATIVO I / AUXILIAR</t>
  </si>
  <si>
    <t>AUXILIAR II / SECRETARIA</t>
  </si>
  <si>
    <t>RESIDENTE DE PROYECTOS ESPECIALES</t>
  </si>
  <si>
    <t>RESIDENTE DE PROYECTOS I</t>
  </si>
  <si>
    <t>RESIDENTE DE PROYECTOS II / EXTENCIONISTA</t>
  </si>
  <si>
    <t>PROFESIONAL / SOCIOLOGO /ANTROPOLOGO</t>
  </si>
  <si>
    <t xml:space="preserve">ASISTENTE TECNICO DE OBRA </t>
  </si>
  <si>
    <t>INSPECTOR DE PROYECTOS I / SUPERVISION DE ESTUDIOS I (10 AÑOS DE EXPERIENCIA)</t>
  </si>
  <si>
    <t>INSPECTOR DE PROYECTOS II / SUPERVISION DE ESTUDIOS II (5 AÑOS DE EXPERIENCIA)</t>
  </si>
  <si>
    <t>PROYECTISTA I / LIQUIDACION TECNICO</t>
  </si>
  <si>
    <t>PROYECTISTA II / LIQUIDACION FINANCIERO</t>
  </si>
  <si>
    <t>BRIGADISTA</t>
  </si>
  <si>
    <t>ESPECIFICA</t>
  </si>
  <si>
    <t>JORNAL BASICO</t>
  </si>
  <si>
    <t>REFRIGERIO Y MOVILIDAD</t>
  </si>
  <si>
    <t>BONIFICACION ESPECIALPOR UBI-GEO       (*)</t>
  </si>
  <si>
    <t>BENEFICIOS (VACACIONES) (1)/12</t>
  </si>
  <si>
    <t>BENEFICIOS (POR TIEMPO DE SERVICIOS) (1)/12</t>
  </si>
  <si>
    <t>AGUINALDO: POR ESCOLARIDAD</t>
  </si>
  <si>
    <t>AGUINALDO: POR FIESTAS PATRIAS Y NAVIDAD</t>
  </si>
  <si>
    <t>TOTAL REMUNERACION [(1)+(2)+(3)+(4)+(5)+(6)+(7)]</t>
  </si>
  <si>
    <t>TRASF. CORRIENTES: SNPS (9%) [(1)+(4)]*9%</t>
  </si>
  <si>
    <t>TRASF. CORRIENTES: SCRT (1.55%) [(1)+(4)]*1.55%</t>
  </si>
  <si>
    <t>TOTAL [(7)+(8)+(9)]</t>
  </si>
  <si>
    <t>ESCALA REMUNERATIVA GOBIERNO REGIONAL DE APURIMAC</t>
  </si>
  <si>
    <t>Resumen  Presupuesto Analitico - Gastos de Supervision</t>
  </si>
  <si>
    <t>2.6.2.3.99 3 REMUNERACIONES</t>
  </si>
  <si>
    <t>2.6.2.3.99 4 BIENES</t>
  </si>
  <si>
    <t>2.6.2.3.99 5 SERVICIOS</t>
  </si>
  <si>
    <t>Resumen  Presupuesto Analitico - Gastos de Liquidacion</t>
  </si>
  <si>
    <t>G. Supervision</t>
  </si>
  <si>
    <t>G. Liquidacion</t>
  </si>
  <si>
    <t>Resumen  Presupuesto Analitico - Gastos de Expediente Tecnico</t>
  </si>
  <si>
    <t>2.6.2.3.99 6 SERVICIOS</t>
  </si>
  <si>
    <t>Gastos de Liquidacion</t>
  </si>
  <si>
    <t>Gastos Expediente Tecnico</t>
  </si>
  <si>
    <t>Gastos Gestion del Proyecto</t>
  </si>
  <si>
    <t>Resumen  Presupuesto Analitico - Gasto Gestion de proyecto</t>
  </si>
  <si>
    <t>ALQUILER DE EQUIPO TOPOGRAFICO</t>
  </si>
  <si>
    <t xml:space="preserve">ALQUILER ESTACION TOTAL </t>
  </si>
  <si>
    <t>GASOLINA</t>
  </si>
  <si>
    <t>TINTA PARA PLOTER</t>
  </si>
  <si>
    <t>FOLDER MANILA INCLUIDO FASTENER</t>
  </si>
  <si>
    <t>CIRA</t>
  </si>
  <si>
    <t>ASISTENTE DEL COORDINADOR</t>
  </si>
  <si>
    <t>INGENIERO ESPECIALISTA EN ESTRUCTURAS</t>
  </si>
  <si>
    <t>ARQUITECTO</t>
  </si>
  <si>
    <t>INGENIERO ESPECIALISTA EN INSTALACIONES SANITARIAS</t>
  </si>
  <si>
    <t>INGENIERO ESPECIALISTA EN INSTALACIONES ELECTRICAS</t>
  </si>
  <si>
    <t>INGENIERO ESPECIALISTA EN INSTALACIONES ESPECIALES</t>
  </si>
  <si>
    <t>INGENIERO ESPECIALISTA EN EN COSTOS Y PRESUPUESTO</t>
  </si>
  <si>
    <t>ROLLO DE PAPEL A0</t>
  </si>
  <si>
    <t>FACT.</t>
  </si>
  <si>
    <t>ESTUDIO DE MECANICA DE SUELOS PARA CIMENTACIONES</t>
  </si>
  <si>
    <t>ESTUDIO ESTABILIDAD DE TALUDES</t>
  </si>
  <si>
    <t>Proyecto:</t>
  </si>
  <si>
    <t>Cliente</t>
  </si>
  <si>
    <t>Departamento</t>
  </si>
  <si>
    <t>Provincia</t>
  </si>
  <si>
    <t>Distrito</t>
  </si>
  <si>
    <t>Costo a :</t>
  </si>
  <si>
    <t>03</t>
  </si>
  <si>
    <t>04</t>
  </si>
  <si>
    <t>COSTO DIRECTO TOTAL</t>
  </si>
  <si>
    <t>GESTIÓN DE PROYECTOS</t>
  </si>
  <si>
    <t>SUPERVISIÓN</t>
  </si>
  <si>
    <t>LIQUIDACIÓN</t>
  </si>
  <si>
    <t>EXPEDIENTE TÉCNICO</t>
  </si>
  <si>
    <t>Son :</t>
  </si>
  <si>
    <t>: GOBIERNO REGIONAL DE APURÍMAC</t>
  </si>
  <si>
    <t>: APURIMAC</t>
  </si>
  <si>
    <t>05</t>
  </si>
  <si>
    <t xml:space="preserve">RESUMEN GENERAL DEL PRESUPUESTO </t>
  </si>
  <si>
    <t>DEL EMPLEADO EVENTUAL - REMUNERACIÓN BÁSICA</t>
  </si>
  <si>
    <t>SEGURO COMPLEMENTARIO DE TRABAJO DE RIESGO (3.05%)</t>
  </si>
  <si>
    <t>BENEFICIOS - COMPENSACION POR TIEMPO DE SERVICIOS CTS</t>
  </si>
  <si>
    <t>COORDINADOR DE OBRAS (INGENIERO CIVIL O ARQUITECTO)</t>
  </si>
  <si>
    <t>Resumen  Presupuesto Analitico - Gastos Generales</t>
  </si>
  <si>
    <t>G. Generales</t>
  </si>
  <si>
    <t>2.6.2.3.99 3 Remuneraciones</t>
  </si>
  <si>
    <t>INGENIERO ESPECIALISTA EN GEOTECNIA</t>
  </si>
  <si>
    <t>INGENIERO ESPECIALISTA EN SEGURIDAD Y SALUD</t>
  </si>
  <si>
    <t>ESPECIALISTA EN MITIGACIÓN AMBIENTAL</t>
  </si>
  <si>
    <t>ASISTENTE TECNICO DE OBRA</t>
  </si>
  <si>
    <t xml:space="preserve">MAESTRO DE OBRA </t>
  </si>
  <si>
    <t>TOPOGRAFO</t>
  </si>
  <si>
    <t xml:space="preserve">ALMACENERO </t>
  </si>
  <si>
    <t>GUARDIAN</t>
  </si>
  <si>
    <t xml:space="preserve">Remuneración Minima Vital </t>
  </si>
  <si>
    <t>N° DE VECES</t>
  </si>
  <si>
    <t>CANT. UNID.</t>
  </si>
  <si>
    <t>CASCOS DE SEGURIDAD DE COLOR</t>
  </si>
  <si>
    <t>ARNES DE SEGURIDAD PECTORAL</t>
  </si>
  <si>
    <t>LINEA DE VIDA CON SHOCK ABSORBENTE 1.80m</t>
  </si>
  <si>
    <t>GUANTE DE HILO CON PALMA DE LATEX</t>
  </si>
  <si>
    <t>LENTES DE SEGURIDAD DE LUNA ESPEJADA</t>
  </si>
  <si>
    <t>OREJERAS DE PROTECCION</t>
  </si>
  <si>
    <t>PROTECCIÓN DE ACCESOS A LA OBRA</t>
  </si>
  <si>
    <t>CUADERNO DE OBRA 1X3 AUTOCOPIAS X 50 HOJAS</t>
  </si>
  <si>
    <t>CUADERNO PARA CONTROL DE ALMACEN</t>
  </si>
  <si>
    <t>CUADERNO DE ACTAS DE OBRA</t>
  </si>
  <si>
    <t>PAQUETE</t>
  </si>
  <si>
    <t>PARTES DIARIOS MAQUINARIA 1X3 AUTOCOPIAS</t>
  </si>
  <si>
    <t>BLOCK</t>
  </si>
  <si>
    <t>NOTAS ENTRADA DE ALMACEN 1X3 AUTOCOPIAS</t>
  </si>
  <si>
    <t>NOTAS DE SALIDAS DE ALMACEN 1X3 AUTOCOPIAS</t>
  </si>
  <si>
    <t>TARJETAS VISIBLES DE ALMACEN 1X3 AUTOCOPIAS</t>
  </si>
  <si>
    <t>DISEÑO DE MEZCLAS</t>
  </si>
  <si>
    <t>PRUEBAS DE RESISTENCIA DEL CONCRETO</t>
  </si>
  <si>
    <t>LEGALIZACION DE CUADERNO DE OBRAS</t>
  </si>
  <si>
    <t>LEGALIZACION DE CUADERNO DE ALMACEN</t>
  </si>
  <si>
    <t>LEGALIZACION DE CUADERNO DE ACTAS</t>
  </si>
  <si>
    <t>"ADQUISICION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APURIMAC"</t>
  </si>
  <si>
    <t>ADQUISICIÓN DE VENTILADOR MECÁNICO</t>
  </si>
  <si>
    <t>ADQUISICIÓN DE EQUIPO DE RAYOS “X” DIGITAL</t>
  </si>
  <si>
    <t>ADQUISICIÓN DE AMBULANCIA URBANA</t>
  </si>
  <si>
    <t>ADQUISICIÓN DE TOMÓGRAFO</t>
  </si>
  <si>
    <t>ADQUISICIÓN DE ASPIRADOR DE SECRECIONES</t>
  </si>
  <si>
    <t>ADQUISICIÓN DE MONITOR DE FUNCIONES VITALES</t>
  </si>
  <si>
    <t>ADQUISICIÓN DE CAMA CAMILLA MULTIPROPÓSITO TIPO UCI</t>
  </si>
  <si>
    <t>ADQUISICIÓN DE ELECTROCARDIÓGRAFO</t>
  </si>
  <si>
    <t>ADQUISICIÓN DE COCHE DE PARO EQUIPADO</t>
  </si>
  <si>
    <t>ADQUISICIÓN DE RINOLARINGOSCOPIO</t>
  </si>
  <si>
    <t>ADQUISICIÓN DE DESFIBRILADOR</t>
  </si>
  <si>
    <t>ADQUISICIÓN DE INCUBADORA NEONATAL</t>
  </si>
  <si>
    <t>ADQUISICIÓN DE BOMBA DE INFUSIÓN</t>
  </si>
  <si>
    <t>ADQUISICIÓN DE CAMA CAMILLA MULTIPROPÓSITO</t>
  </si>
  <si>
    <t>ADQUISICIÓN DE PULSIOXIMETRO</t>
  </si>
  <si>
    <t>ADQUISICIÓN DE MESA PARA EXAMEN Y CURACIONES</t>
  </si>
  <si>
    <t>ADQUISICIÓN DE COMPUTADORA</t>
  </si>
  <si>
    <t>ADQUISICIÓN DE IMPRESORA MULTIFUNCIONAL</t>
  </si>
  <si>
    <t>ADQUISICIÓN DE ANALIZADOR DE GASES Y ELECTROLITOS</t>
  </si>
  <si>
    <t>ADQUISICIÓN DE TOMA DE MUESTRAS</t>
  </si>
  <si>
    <t>ADQUISICIÓN DE ANALIZADOR AUTOMÁTICO PARA MICRO – BIOLOGÍA</t>
  </si>
  <si>
    <t>ADQUISICIÓN DE CABINA PARA FLUJO LAMINAR VERTICAL</t>
  </si>
  <si>
    <t>ADQUISICIÓN DE AGITADOR DE TUBOS</t>
  </si>
  <si>
    <t>ADQUISICIÓN DE EQUIPO DE AIRE ACONDICIONADO</t>
  </si>
  <si>
    <t>COSTO DIRECTO</t>
  </si>
  <si>
    <t>Abril -2020</t>
  </si>
  <si>
    <t>: ABANCAY</t>
  </si>
  <si>
    <t>Codigo Unificado de Inversiones: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</si>
  <si>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</si>
  <si>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</si>
  <si>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</si>
  <si>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</si>
  <si>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</si>
  <si>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</si>
  <si>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</si>
  <si>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</si>
  <si>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</si>
  <si>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</si>
  <si>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</si>
  <si>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</si>
  <si>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</si>
  <si>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</si>
  <si>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</si>
  <si>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</si>
  <si>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</si>
  <si>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</si>
  <si>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</si>
  <si>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</si>
  <si>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</si>
  <si>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</si>
  <si>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</si>
  <si>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</si>
  <si>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: 2485224</t>
  </si>
  <si>
    <t>"Año de la Universalización de la Salud"</t>
  </si>
  <si>
    <t xml:space="preserve">MASCARILLAS </t>
  </si>
  <si>
    <t>LALTOP</t>
  </si>
  <si>
    <t>MASCARILLAS</t>
  </si>
  <si>
    <t>Sub-Total por ADQUISICIÓN</t>
  </si>
  <si>
    <t>VALOR REFERENCIAL -IOARR</t>
  </si>
  <si>
    <t>TRES MILLONES SEISCIENTOS  CINCUENTA Y CUATRO MIL  CUATROCIENTOS TREIENTA  CON  82/100 SOLES</t>
  </si>
  <si>
    <t>OTROS GASTOS DIVERSOS DE ACTIVOS NO FINANCIEROS
 - PERSONAL</t>
  </si>
  <si>
    <t>OTROS GASTOS DIVERSOS DE ACTIVOS NO FINANCIEROS
 - BIENES</t>
  </si>
  <si>
    <t>OTROS GASTOS DIVERSOS DE ACTIVOS NO FINANCIEROS
 - SERVICIOS</t>
  </si>
  <si>
    <t>OTROS GASTOS DIVERSOS DE ACTIVOS NO FINANCIEROS
 - OTROS</t>
  </si>
  <si>
    <t>2.6.8.1.4.99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</si>
</sst>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-* #,##0.00_-;\-* #,##0.00_-;_-* &quot;-&quot;??_-;_-@_-"/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General_)"/>
    <numFmt numFmtId="167" formatCode="0.00_)"/>
    <numFmt numFmtId="168" formatCode="#,##0.00;[Red]#,##0.00"/>
    <numFmt numFmtId="169" formatCode="#,##0.0000"/>
    <numFmt numFmtId="170" formatCode="0.000%"/>
    <numFmt numFmtId="171" formatCode="&quot;S/.&quot;\ #,##0.00"/>
    <numFmt numFmtId="172" formatCode="0.0000000000"/>
    <numFmt numFmtId="173" formatCode="#,##0.000"/>
    <numFmt numFmtId="174" formatCode="0.000"/>
    <numFmt numFmtId="175" formatCode="0.0000"/>
    <numFmt numFmtId="176" formatCode="0.000000000000000"/>
    <numFmt numFmtId="177" formatCode="#,##0.00000000"/>
    <numFmt numFmtId="178" formatCode="_(* #,##0.00_);_(* \(#,##0.00\);_(* &quot;-&quot;??_);_(@_)"/>
    <numFmt numFmtId="179" formatCode="&quot;Asignación Familiar (&quot;#&quot;% de RMV)&quot;"/>
    <numFmt numFmtId="180" formatCode="&quot;ESSALUD (&quot;#0&quot;% P. Unit. - Aporta el Empleador)&quot;"/>
    <numFmt numFmtId="181" formatCode="&quot;Conafovicer (&quot;#0.0&quot;% P. Unit.+IGV - Aporta el Empleador)&quot;"/>
    <numFmt numFmtId="182" formatCode="&quot;C.T.S. (&quot;#0.0000&quot;% P. Unit.)&quot;"/>
    <numFmt numFmtId="183" formatCode="#,##0.00000000000000"/>
    <numFmt numFmtId="184" formatCode="&quot;Vaciones T.&quot;"/>
    <numFmt numFmtId="185" formatCode="&quot;CTS&quot;"/>
    <numFmt numFmtId="186" formatCode="&quot;Conafovicer&quot;"/>
    <numFmt numFmtId="187" formatCode="&quot;ESSALUD&quot;"/>
    <numFmt numFmtId="188" formatCode="&quot;Asignacion&quot;"/>
    <numFmt numFmtId="189" formatCode="&quot;SNP&quot;"/>
    <numFmt numFmtId="190" formatCode="#,##0.00000000000"/>
  </numFmts>
  <fonts count="144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ntique Olive"/>
      <family val="2"/>
    </font>
    <font>
      <b/>
      <sz val="11"/>
      <name val="Antique Olive"/>
      <family val="2"/>
    </font>
    <font>
      <sz val="11"/>
      <name val="Antique Olive"/>
      <family val="2"/>
    </font>
    <font>
      <b/>
      <sz val="10"/>
      <name val="Antique Olive"/>
      <family val="2"/>
    </font>
    <font>
      <sz val="12"/>
      <name val="Antique Olive"/>
      <family val="2"/>
    </font>
    <font>
      <b/>
      <sz val="12"/>
      <name val="Antique Olive"/>
      <family val="2"/>
    </font>
    <font>
      <sz val="10"/>
      <color indexed="8"/>
      <name val="Antique Olive"/>
      <family val="2"/>
    </font>
    <font>
      <b/>
      <sz val="10"/>
      <color indexed="8"/>
      <name val="Antique Olive"/>
      <family val="2"/>
    </font>
    <font>
      <b/>
      <sz val="12"/>
      <name val="Antique Olive"/>
      <family val="2"/>
    </font>
    <font>
      <b/>
      <sz val="16"/>
      <name val="Antique Olive"/>
      <family val="2"/>
    </font>
    <font>
      <sz val="16"/>
      <name val="Antique Olive"/>
      <family val="2"/>
    </font>
    <font>
      <b/>
      <sz val="14"/>
      <name val="Antique Olive"/>
      <family val="2"/>
    </font>
    <font>
      <b/>
      <sz val="10"/>
      <name val="Antique Olive"/>
      <family val="2"/>
    </font>
    <font>
      <b/>
      <sz val="10"/>
      <color indexed="8"/>
      <name val="Antique Olive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b/>
      <sz val="14"/>
      <color indexed="8"/>
      <name val="Century Gothic"/>
      <family val="2"/>
    </font>
    <font>
      <b/>
      <sz val="14"/>
      <name val="Century Gothic"/>
      <family val="2"/>
    </font>
    <font>
      <sz val="14"/>
      <color indexed="8"/>
      <name val="Century Gothic"/>
      <family val="2"/>
    </font>
    <font>
      <b/>
      <u/>
      <sz val="18"/>
      <name val="Century Gothic"/>
      <family val="2"/>
    </font>
    <font>
      <b/>
      <u/>
      <sz val="10"/>
      <name val="Century Gothic"/>
      <family val="2"/>
    </font>
    <font>
      <sz val="10"/>
      <name val="Tahoma"/>
      <family val="2"/>
    </font>
    <font>
      <b/>
      <sz val="10"/>
      <name val="Calibri"/>
      <family val="2"/>
    </font>
    <font>
      <sz val="10"/>
      <color indexed="53"/>
      <name val="Arial"/>
      <family val="2"/>
    </font>
    <font>
      <sz val="10"/>
      <color indexed="10"/>
      <name val="Arial"/>
      <family val="2"/>
    </font>
    <font>
      <sz val="10"/>
      <color indexed="10"/>
      <name val="Tahoma"/>
      <family val="2"/>
    </font>
    <font>
      <sz val="10"/>
      <color indexed="9"/>
      <name val="Arial"/>
      <family val="2"/>
    </font>
    <font>
      <sz val="10"/>
      <color indexed="9"/>
      <name val="Tahoma"/>
      <family val="2"/>
    </font>
    <font>
      <sz val="12"/>
      <color indexed="10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2"/>
      <name val="Arial Narrow"/>
      <family val="2"/>
    </font>
    <font>
      <sz val="10"/>
      <color indexed="53"/>
      <name val="Tahoma"/>
      <family val="2"/>
    </font>
    <font>
      <b/>
      <sz val="12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3"/>
      <name val="Tahoma"/>
      <family val="2"/>
    </font>
    <font>
      <sz val="11"/>
      <name val="Arial"/>
      <family val="2"/>
    </font>
    <font>
      <sz val="9"/>
      <color indexed="81"/>
      <name val="Tahoma"/>
      <family val="2"/>
    </font>
    <font>
      <sz val="16"/>
      <name val="Arial"/>
      <family val="2"/>
    </font>
    <font>
      <b/>
      <sz val="10"/>
      <name val="AvantGarde Bk BT"/>
      <family val="2"/>
    </font>
    <font>
      <sz val="8"/>
      <name val="Arial"/>
      <family val="2"/>
    </font>
    <font>
      <b/>
      <sz val="12"/>
      <name val="Arial Narrow"/>
      <family val="2"/>
    </font>
    <font>
      <sz val="12"/>
      <color indexed="10"/>
      <name val="Arial Narrow"/>
      <family val="2"/>
    </font>
    <font>
      <sz val="10"/>
      <name val="AvantGarde Bk BT"/>
      <family val="2"/>
    </font>
    <font>
      <b/>
      <sz val="10"/>
      <name val="Arial Narrow"/>
      <family val="2"/>
    </font>
    <font>
      <b/>
      <sz val="12"/>
      <color indexed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b/>
      <sz val="16"/>
      <name val="Arial"/>
      <family val="2"/>
    </font>
    <font>
      <sz val="9"/>
      <name val="Arial"/>
      <family val="2"/>
    </font>
    <font>
      <b/>
      <sz val="23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u val="double"/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7"/>
      <name val="Arial"/>
      <family val="2"/>
    </font>
    <font>
      <b/>
      <sz val="7"/>
      <color indexed="8"/>
      <name val="Arial"/>
      <family val="2"/>
    </font>
    <font>
      <b/>
      <sz val="9"/>
      <color indexed="8"/>
      <name val="Arial"/>
      <family val="2"/>
    </font>
    <font>
      <b/>
      <sz val="6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6"/>
      <name val="Arial"/>
      <family val="2"/>
    </font>
    <font>
      <b/>
      <sz val="16"/>
      <name val="Arial Narrow"/>
      <family val="2"/>
    </font>
    <font>
      <b/>
      <i/>
      <sz val="11"/>
      <name val="Times New Roman"/>
      <family val="1"/>
    </font>
    <font>
      <b/>
      <sz val="11"/>
      <name val="Arial Narrow"/>
      <family val="2"/>
    </font>
    <font>
      <sz val="9"/>
      <name val="Arial Narrow"/>
      <family val="2"/>
    </font>
    <font>
      <sz val="16"/>
      <name val="Arial Narrow"/>
      <family val="2"/>
    </font>
    <font>
      <b/>
      <i/>
      <sz val="18"/>
      <name val="Times New Roman"/>
      <family val="1"/>
    </font>
    <font>
      <sz val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1"/>
      <color theme="1"/>
      <name val="Century Schoolbook"/>
      <family val="2"/>
      <scheme val="minor"/>
    </font>
    <font>
      <sz val="10"/>
      <color rgb="FFFF0000"/>
      <name val="Antique Olive"/>
      <family val="2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  <font>
      <sz val="10"/>
      <color theme="0"/>
      <name val="Century Gothic"/>
      <family val="2"/>
    </font>
    <font>
      <sz val="10"/>
      <name val="Century Schoolbook"/>
      <family val="2"/>
      <scheme val="minor"/>
    </font>
    <font>
      <b/>
      <sz val="10"/>
      <name val="Century Schoolbook"/>
      <family val="2"/>
      <scheme val="minor"/>
    </font>
    <font>
      <b/>
      <sz val="12"/>
      <color indexed="8"/>
      <name val="Century Schoolbook"/>
      <family val="2"/>
      <scheme val="minor"/>
    </font>
    <font>
      <sz val="10"/>
      <color indexed="8"/>
      <name val="Century Schoolbook"/>
      <family val="2"/>
      <scheme val="minor"/>
    </font>
    <font>
      <b/>
      <sz val="11"/>
      <color indexed="8"/>
      <name val="Century Schoolbook"/>
      <family val="2"/>
      <scheme val="minor"/>
    </font>
    <font>
      <b/>
      <sz val="11"/>
      <color indexed="9"/>
      <name val="Century Schoolbook"/>
      <family val="2"/>
      <scheme val="minor"/>
    </font>
    <font>
      <b/>
      <sz val="12"/>
      <color indexed="9"/>
      <name val="Century Schoolbook"/>
      <family val="2"/>
      <scheme val="minor"/>
    </font>
    <font>
      <b/>
      <sz val="11"/>
      <name val="Century Schoolbook"/>
      <family val="2"/>
      <scheme val="minor"/>
    </font>
    <font>
      <b/>
      <sz val="11"/>
      <color indexed="18"/>
      <name val="Century Schoolbook"/>
      <family val="2"/>
      <scheme val="minor"/>
    </font>
    <font>
      <sz val="10"/>
      <color indexed="18"/>
      <name val="Century Schoolbook"/>
      <family val="2"/>
      <scheme val="minor"/>
    </font>
    <font>
      <b/>
      <sz val="12"/>
      <name val="Century Schoolbook"/>
      <family val="2"/>
      <scheme val="minor"/>
    </font>
    <font>
      <sz val="11"/>
      <name val="Century Schoolbook"/>
      <family val="2"/>
      <scheme val="minor"/>
    </font>
    <font>
      <sz val="9"/>
      <name val="Century Schoolbook"/>
      <family val="2"/>
      <scheme val="minor"/>
    </font>
    <font>
      <b/>
      <sz val="9"/>
      <name val="Century Schoolbook"/>
      <family val="2"/>
      <scheme val="minor"/>
    </font>
    <font>
      <b/>
      <sz val="10"/>
      <color indexed="10"/>
      <name val="Century Schoolbook"/>
      <family val="2"/>
      <scheme val="minor"/>
    </font>
    <font>
      <b/>
      <sz val="10"/>
      <color rgb="FFFF0000"/>
      <name val="Arial"/>
      <family val="2"/>
    </font>
    <font>
      <b/>
      <sz val="16"/>
      <name val="Century Schoolbook"/>
      <family val="2"/>
      <scheme val="minor"/>
    </font>
    <font>
      <sz val="12"/>
      <name val="Century Schoolbook"/>
      <family val="2"/>
      <scheme val="minor"/>
    </font>
    <font>
      <b/>
      <sz val="12"/>
      <color rgb="FFFF0000"/>
      <name val="Arial"/>
      <family val="2"/>
    </font>
    <font>
      <b/>
      <i/>
      <sz val="10"/>
      <color theme="0"/>
      <name val="Times New Roman"/>
      <family val="1"/>
    </font>
    <font>
      <b/>
      <i/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b/>
      <sz val="12"/>
      <color theme="0"/>
      <name val="Arial Narrow"/>
      <family val="2"/>
    </font>
    <font>
      <b/>
      <sz val="13"/>
      <name val="Century Schoolbook"/>
      <family val="2"/>
      <scheme val="minor"/>
    </font>
    <font>
      <b/>
      <sz val="18"/>
      <color indexed="63"/>
      <name val="Century Schoolbook"/>
      <family val="2"/>
      <scheme val="minor"/>
    </font>
    <font>
      <b/>
      <i/>
      <sz val="9"/>
      <color theme="1"/>
      <name val="Arial Narrow"/>
      <family val="2"/>
    </font>
    <font>
      <sz val="9"/>
      <color theme="1"/>
      <name val="Arial Narrow"/>
      <family val="2"/>
    </font>
    <font>
      <b/>
      <i/>
      <u val="singleAccounting"/>
      <sz val="18"/>
      <color theme="1"/>
      <name val="Arial Narrow"/>
      <family val="2"/>
    </font>
    <font>
      <b/>
      <sz val="9"/>
      <color theme="1"/>
      <name val="Arial Narrow"/>
      <family val="2"/>
    </font>
    <font>
      <b/>
      <sz val="23"/>
      <name val="Arial Narrow"/>
      <family val="2"/>
    </font>
    <font>
      <b/>
      <sz val="18"/>
      <name val="Arial Narrow"/>
      <family val="2"/>
    </font>
    <font>
      <b/>
      <i/>
      <sz val="22"/>
      <color theme="1"/>
      <name val="Arial Narrow"/>
      <family val="2"/>
    </font>
    <font>
      <b/>
      <i/>
      <sz val="11"/>
      <name val="Arial Narrow"/>
      <family val="2"/>
    </font>
    <font>
      <b/>
      <i/>
      <sz val="11"/>
      <color theme="1"/>
      <name val="Arial Narrow"/>
      <family val="2"/>
    </font>
    <font>
      <b/>
      <i/>
      <sz val="10"/>
      <color theme="0"/>
      <name val="Arial Narrow"/>
      <family val="2"/>
    </font>
    <font>
      <b/>
      <i/>
      <sz val="16"/>
      <color theme="1"/>
      <name val="Arial Narrow"/>
      <family val="2"/>
    </font>
    <font>
      <b/>
      <i/>
      <sz val="16"/>
      <name val="Arial Narrow"/>
      <family val="2"/>
    </font>
    <font>
      <b/>
      <sz val="10"/>
      <color theme="0"/>
      <name val="Arial Narrow"/>
      <family val="2"/>
    </font>
    <font>
      <b/>
      <i/>
      <sz val="11"/>
      <color theme="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hair">
        <color indexed="58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double">
        <color indexed="64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6" fillId="0" borderId="0">
      <alignment vertical="top"/>
    </xf>
    <xf numFmtId="0" fontId="1" fillId="0" borderId="0"/>
    <xf numFmtId="0" fontId="3" fillId="0" borderId="0"/>
    <xf numFmtId="0" fontId="21" fillId="0" borderId="0">
      <alignment vertical="top"/>
    </xf>
    <xf numFmtId="0" fontId="6" fillId="0" borderId="0">
      <alignment vertical="top"/>
    </xf>
    <xf numFmtId="0" fontId="22" fillId="0" borderId="0">
      <alignment vertical="top"/>
    </xf>
    <xf numFmtId="0" fontId="1" fillId="0" borderId="0"/>
    <xf numFmtId="0" fontId="95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01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66" fontId="3" fillId="0" borderId="0" xfId="0" applyNumberFormat="1" applyFont="1" applyFill="1" applyAlignment="1" applyProtection="1">
      <alignment vertical="center"/>
    </xf>
    <xf numFmtId="166" fontId="4" fillId="0" borderId="0" xfId="0" applyNumberFormat="1" applyFont="1" applyFill="1" applyAlignment="1" applyProtection="1">
      <alignment horizontal="left" vertical="center"/>
    </xf>
    <xf numFmtId="166" fontId="3" fillId="0" borderId="0" xfId="0" applyNumberFormat="1" applyFont="1" applyFill="1" applyAlignment="1" applyProtection="1">
      <alignment horizontal="left" vertical="center"/>
    </xf>
    <xf numFmtId="166" fontId="3" fillId="0" borderId="0" xfId="0" quotePrefix="1" applyNumberFormat="1" applyFont="1" applyFill="1" applyAlignment="1" applyProtection="1">
      <alignment horizontal="left" vertical="center"/>
    </xf>
    <xf numFmtId="4" fontId="3" fillId="0" borderId="0" xfId="0" applyNumberFormat="1" applyFont="1" applyFill="1" applyAlignment="1">
      <alignment vertical="center"/>
    </xf>
    <xf numFmtId="166" fontId="7" fillId="0" borderId="0" xfId="0" applyNumberFormat="1" applyFont="1" applyFill="1" applyAlignment="1" applyProtection="1">
      <alignment horizontal="left" vertical="center"/>
    </xf>
    <xf numFmtId="4" fontId="5" fillId="0" borderId="0" xfId="0" applyNumberFormat="1" applyFont="1" applyFill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left" vertical="center"/>
    </xf>
    <xf numFmtId="4" fontId="7" fillId="0" borderId="1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vertical="center"/>
    </xf>
    <xf numFmtId="166" fontId="7" fillId="0" borderId="0" xfId="0" applyNumberFormat="1" applyFont="1" applyFill="1" applyAlignment="1" applyProtection="1">
      <alignment vertical="center"/>
    </xf>
    <xf numFmtId="166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166" fontId="8" fillId="0" borderId="0" xfId="0" applyNumberFormat="1" applyFont="1" applyFill="1" applyAlignment="1" applyProtection="1">
      <alignment horizontal="left" vertical="center"/>
    </xf>
    <xf numFmtId="166" fontId="9" fillId="0" borderId="0" xfId="0" quotePrefix="1" applyNumberFormat="1" applyFont="1" applyFill="1" applyAlignment="1" applyProtection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39" fontId="12" fillId="0" borderId="0" xfId="0" applyNumberFormat="1" applyFont="1" applyFill="1" applyBorder="1" applyAlignment="1" applyProtection="1">
      <alignment horizontal="center" vertical="center"/>
    </xf>
    <xf numFmtId="166" fontId="7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 applyProtection="1">
      <alignment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Fill="1" applyBorder="1" applyAlignment="1" applyProtection="1">
      <alignment horizontal="left" vertical="center"/>
    </xf>
    <xf numFmtId="166" fontId="7" fillId="0" borderId="0" xfId="0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Continuous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 applyProtection="1">
      <alignment vertical="center"/>
    </xf>
    <xf numFmtId="4" fontId="7" fillId="0" borderId="2" xfId="0" applyNumberFormat="1" applyFont="1" applyFill="1" applyBorder="1" applyAlignment="1" applyProtection="1">
      <alignment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Continuous" vertical="center"/>
    </xf>
    <xf numFmtId="166" fontId="10" fillId="0" borderId="0" xfId="0" quotePrefix="1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 applyProtection="1">
      <alignment horizontal="right" vertical="center"/>
    </xf>
    <xf numFmtId="4" fontId="7" fillId="0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Continuous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>
      <alignment horizontal="center" vertical="center"/>
    </xf>
    <xf numFmtId="4" fontId="13" fillId="0" borderId="3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horizontal="center" vertical="center"/>
    </xf>
    <xf numFmtId="4" fontId="7" fillId="0" borderId="5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167" fontId="13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Alignment="1" applyProtection="1">
      <alignment horizontal="right" vertical="center"/>
    </xf>
    <xf numFmtId="166" fontId="12" fillId="0" borderId="0" xfId="0" applyNumberFormat="1" applyFont="1" applyFill="1" applyAlignment="1" applyProtection="1">
      <alignment horizontal="left" vertical="center"/>
    </xf>
    <xf numFmtId="4" fontId="12" fillId="0" borderId="0" xfId="0" applyNumberFormat="1" applyFont="1" applyFill="1" applyAlignment="1">
      <alignment horizontal="right" vertical="center"/>
    </xf>
    <xf numFmtId="168" fontId="12" fillId="0" borderId="0" xfId="0" applyNumberFormat="1" applyFont="1" applyFill="1" applyAlignment="1">
      <alignment horizontal="right" vertical="center"/>
    </xf>
    <xf numFmtId="166" fontId="14" fillId="0" borderId="0" xfId="0" applyNumberFormat="1" applyFont="1" applyFill="1" applyAlignment="1" applyProtection="1">
      <alignment horizontal="right" vertical="center"/>
    </xf>
    <xf numFmtId="166" fontId="14" fillId="0" borderId="0" xfId="0" applyNumberFormat="1" applyFont="1" applyFill="1" applyAlignment="1" applyProtection="1">
      <alignment horizontal="left" vertical="center"/>
    </xf>
    <xf numFmtId="166" fontId="13" fillId="0" borderId="0" xfId="0" applyNumberFormat="1" applyFont="1" applyFill="1" applyAlignment="1" applyProtection="1">
      <alignment vertical="center"/>
    </xf>
    <xf numFmtId="166" fontId="10" fillId="0" borderId="2" xfId="0" applyNumberFormat="1" applyFont="1" applyFill="1" applyBorder="1" applyAlignment="1" applyProtection="1">
      <alignment horizontal="center" vertical="center"/>
    </xf>
    <xf numFmtId="2" fontId="13" fillId="0" borderId="2" xfId="0" applyNumberFormat="1" applyFont="1" applyFill="1" applyBorder="1" applyAlignment="1" applyProtection="1">
      <alignment horizontal="right" vertical="center"/>
    </xf>
    <xf numFmtId="39" fontId="11" fillId="0" borderId="0" xfId="0" applyNumberFormat="1" applyFont="1" applyFill="1" applyAlignment="1" applyProtection="1">
      <alignment horizontal="center" vertical="center"/>
    </xf>
    <xf numFmtId="39" fontId="11" fillId="0" borderId="0" xfId="0" applyNumberFormat="1" applyFont="1" applyFill="1" applyAlignment="1" applyProtection="1">
      <alignment vertical="center"/>
    </xf>
    <xf numFmtId="39" fontId="12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right" vertical="center"/>
    </xf>
    <xf numFmtId="166" fontId="13" fillId="0" borderId="0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horizontal="centerContinuous" vertical="center"/>
    </xf>
    <xf numFmtId="166" fontId="11" fillId="0" borderId="0" xfId="0" applyNumberFormat="1" applyFont="1" applyFill="1" applyAlignment="1" applyProtection="1">
      <alignment vertical="center"/>
    </xf>
    <xf numFmtId="166" fontId="12" fillId="0" borderId="0" xfId="0" applyNumberFormat="1" applyFont="1" applyFill="1" applyAlignment="1" applyProtection="1">
      <alignment horizontal="center" vertical="center"/>
    </xf>
    <xf numFmtId="167" fontId="11" fillId="0" borderId="0" xfId="0" applyNumberFormat="1" applyFont="1" applyFill="1" applyAlignment="1" applyProtection="1">
      <alignment vertical="center"/>
    </xf>
    <xf numFmtId="169" fontId="7" fillId="0" borderId="0" xfId="0" applyNumberFormat="1" applyFont="1" applyFill="1" applyBorder="1" applyAlignment="1" applyProtection="1">
      <alignment horizontal="right" vertical="center"/>
    </xf>
    <xf numFmtId="166" fontId="12" fillId="0" borderId="0" xfId="0" quotePrefix="1" applyNumberFormat="1" applyFont="1" applyFill="1" applyAlignment="1" applyProtection="1">
      <alignment horizontal="left" vertical="center"/>
    </xf>
    <xf numFmtId="4" fontId="15" fillId="0" borderId="0" xfId="0" applyNumberFormat="1" applyFont="1" applyFill="1" applyBorder="1" applyAlignment="1">
      <alignment vertical="center"/>
    </xf>
    <xf numFmtId="4" fontId="7" fillId="0" borderId="6" xfId="0" applyNumberFormat="1" applyFont="1" applyFill="1" applyBorder="1" applyAlignment="1" applyProtection="1">
      <alignment horizontal="right" vertical="center"/>
    </xf>
    <xf numFmtId="4" fontId="7" fillId="0" borderId="2" xfId="0" applyNumberFormat="1" applyFont="1" applyFill="1" applyBorder="1" applyAlignment="1" applyProtection="1">
      <alignment horizontal="left" vertical="center"/>
    </xf>
    <xf numFmtId="4" fontId="7" fillId="0" borderId="7" xfId="0" applyNumberFormat="1" applyFont="1" applyFill="1" applyBorder="1" applyAlignment="1" applyProtection="1">
      <alignment horizontal="left" vertical="center"/>
    </xf>
    <xf numFmtId="4" fontId="7" fillId="0" borderId="8" xfId="0" applyNumberFormat="1" applyFont="1" applyFill="1" applyBorder="1" applyAlignment="1" applyProtection="1">
      <alignment horizontal="center" vertical="center"/>
    </xf>
    <xf numFmtId="4" fontId="7" fillId="0" borderId="9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Alignment="1">
      <alignment vertical="center"/>
    </xf>
    <xf numFmtId="4" fontId="7" fillId="0" borderId="0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0" fontId="7" fillId="2" borderId="0" xfId="7" applyFont="1" applyFill="1"/>
    <xf numFmtId="0" fontId="7" fillId="2" borderId="0" xfId="7" applyFont="1" applyFill="1" applyBorder="1"/>
    <xf numFmtId="4" fontId="7" fillId="2" borderId="0" xfId="7" applyNumberFormat="1" applyFont="1" applyFill="1"/>
    <xf numFmtId="4" fontId="13" fillId="0" borderId="2" xfId="0" applyNumberFormat="1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vertical="center"/>
    </xf>
    <xf numFmtId="39" fontId="7" fillId="2" borderId="2" xfId="7" applyNumberFormat="1" applyFont="1" applyFill="1" applyBorder="1" applyAlignment="1" applyProtection="1">
      <alignment vertical="center"/>
    </xf>
    <xf numFmtId="0" fontId="7" fillId="2" borderId="2" xfId="7" applyFont="1" applyFill="1" applyBorder="1"/>
    <xf numFmtId="4" fontId="7" fillId="2" borderId="10" xfId="7" applyNumberFormat="1" applyFont="1" applyFill="1" applyBorder="1" applyAlignment="1">
      <alignment vertical="center"/>
    </xf>
    <xf numFmtId="39" fontId="7" fillId="2" borderId="2" xfId="7" applyNumberFormat="1" applyFont="1" applyFill="1" applyBorder="1" applyAlignment="1" applyProtection="1">
      <alignment horizontal="left" vertical="center"/>
    </xf>
    <xf numFmtId="4" fontId="10" fillId="2" borderId="11" xfId="7" applyNumberFormat="1" applyFont="1" applyFill="1" applyBorder="1" applyAlignment="1" applyProtection="1">
      <alignment vertical="center"/>
    </xf>
    <xf numFmtId="166" fontId="7" fillId="2" borderId="12" xfId="7" applyNumberFormat="1" applyFont="1" applyFill="1" applyBorder="1" applyAlignment="1" applyProtection="1">
      <alignment horizontal="left" vertical="center"/>
    </xf>
    <xf numFmtId="39" fontId="7" fillId="2" borderId="4" xfId="7" applyNumberFormat="1" applyFont="1" applyFill="1" applyBorder="1" applyAlignment="1" applyProtection="1">
      <alignment vertical="center"/>
    </xf>
    <xf numFmtId="0" fontId="7" fillId="2" borderId="4" xfId="7" applyFont="1" applyFill="1" applyBorder="1"/>
    <xf numFmtId="4" fontId="7" fillId="2" borderId="13" xfId="7" applyNumberFormat="1" applyFont="1" applyFill="1" applyBorder="1" applyAlignment="1">
      <alignment vertical="center"/>
    </xf>
    <xf numFmtId="0" fontId="7" fillId="10" borderId="0" xfId="7" applyFont="1" applyFill="1" applyBorder="1"/>
    <xf numFmtId="166" fontId="12" fillId="0" borderId="0" xfId="7" applyNumberFormat="1" applyFont="1" applyFill="1" applyBorder="1" applyAlignment="1" applyProtection="1">
      <alignment horizontal="left"/>
    </xf>
    <xf numFmtId="4" fontId="12" fillId="0" borderId="0" xfId="7" applyNumberFormat="1" applyFont="1" applyFill="1" applyBorder="1" applyAlignment="1" applyProtection="1">
      <alignment horizontal="left"/>
    </xf>
    <xf numFmtId="4" fontId="7" fillId="0" borderId="0" xfId="7" applyNumberFormat="1" applyFont="1" applyFill="1" applyBorder="1" applyProtection="1"/>
    <xf numFmtId="4" fontId="12" fillId="0" borderId="0" xfId="7" applyNumberFormat="1" applyFont="1" applyFill="1" applyBorder="1" applyAlignment="1" applyProtection="1">
      <alignment horizontal="right"/>
    </xf>
    <xf numFmtId="4" fontId="12" fillId="0" borderId="0" xfId="7" applyNumberFormat="1" applyFont="1" applyFill="1" applyBorder="1" applyProtection="1"/>
    <xf numFmtId="2" fontId="10" fillId="11" borderId="0" xfId="0" applyNumberFormat="1" applyFont="1" applyFill="1" applyBorder="1" applyAlignment="1" applyProtection="1">
      <alignment horizontal="right" vertical="center"/>
    </xf>
    <xf numFmtId="4" fontId="10" fillId="11" borderId="0" xfId="0" applyNumberFormat="1" applyFont="1" applyFill="1" applyBorder="1" applyAlignment="1" applyProtection="1">
      <alignment horizontal="left" vertical="center"/>
    </xf>
    <xf numFmtId="4" fontId="7" fillId="11" borderId="0" xfId="0" applyNumberFormat="1" applyFont="1" applyFill="1" applyBorder="1" applyAlignment="1" applyProtection="1">
      <alignment vertical="center"/>
    </xf>
    <xf numFmtId="4" fontId="12" fillId="11" borderId="0" xfId="0" applyNumberFormat="1" applyFont="1" applyFill="1" applyBorder="1" applyAlignment="1" applyProtection="1">
      <alignment horizontal="center" vertical="center"/>
    </xf>
    <xf numFmtId="4" fontId="12" fillId="11" borderId="0" xfId="0" applyNumberFormat="1" applyFont="1" applyFill="1" applyBorder="1" applyAlignment="1" applyProtection="1">
      <alignment horizontal="right" vertical="center"/>
    </xf>
    <xf numFmtId="4" fontId="12" fillId="11" borderId="0" xfId="0" applyNumberFormat="1" applyFont="1" applyFill="1" applyBorder="1" applyAlignment="1" applyProtection="1">
      <alignment vertical="center"/>
    </xf>
    <xf numFmtId="0" fontId="7" fillId="0" borderId="0" xfId="7" applyFont="1" applyFill="1"/>
    <xf numFmtId="166" fontId="10" fillId="12" borderId="14" xfId="7" applyNumberFormat="1" applyFont="1" applyFill="1" applyBorder="1" applyAlignment="1" applyProtection="1">
      <alignment horizontal="center" vertical="center"/>
    </xf>
    <xf numFmtId="0" fontId="10" fillId="12" borderId="15" xfId="7" applyFont="1" applyFill="1" applyBorder="1" applyAlignment="1">
      <alignment horizontal="center" vertical="center"/>
    </xf>
    <xf numFmtId="4" fontId="12" fillId="0" borderId="0" xfId="7" applyNumberFormat="1" applyFont="1" applyFill="1" applyBorder="1" applyAlignment="1" applyProtection="1"/>
    <xf numFmtId="166" fontId="16" fillId="0" borderId="0" xfId="0" quotePrefix="1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Continuous" vertical="center"/>
    </xf>
    <xf numFmtId="167" fontId="17" fillId="0" borderId="0" xfId="0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" vertical="center"/>
    </xf>
    <xf numFmtId="0" fontId="96" fillId="0" borderId="0" xfId="0" applyFont="1" applyFill="1" applyAlignment="1">
      <alignment vertical="center"/>
    </xf>
    <xf numFmtId="4" fontId="13" fillId="0" borderId="4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4" fontId="12" fillId="13" borderId="16" xfId="7" applyNumberFormat="1" applyFont="1" applyFill="1" applyBorder="1" applyAlignment="1" applyProtection="1"/>
    <xf numFmtId="0" fontId="7" fillId="13" borderId="17" xfId="7" applyFont="1" applyFill="1" applyBorder="1"/>
    <xf numFmtId="4" fontId="7" fillId="13" borderId="17" xfId="7" applyNumberFormat="1" applyFont="1" applyFill="1" applyBorder="1" applyProtection="1"/>
    <xf numFmtId="4" fontId="12" fillId="13" borderId="17" xfId="7" applyNumberFormat="1" applyFont="1" applyFill="1" applyBorder="1" applyAlignment="1" applyProtection="1">
      <alignment horizontal="right"/>
    </xf>
    <xf numFmtId="4" fontId="12" fillId="13" borderId="18" xfId="7" applyNumberFormat="1" applyFont="1" applyFill="1" applyBorder="1" applyProtection="1"/>
    <xf numFmtId="166" fontId="12" fillId="13" borderId="16" xfId="7" applyNumberFormat="1" applyFont="1" applyFill="1" applyBorder="1" applyAlignment="1" applyProtection="1">
      <alignment horizontal="left"/>
    </xf>
    <xf numFmtId="4" fontId="12" fillId="13" borderId="17" xfId="7" applyNumberFormat="1" applyFont="1" applyFill="1" applyBorder="1" applyAlignment="1" applyProtection="1">
      <alignment horizontal="left"/>
    </xf>
    <xf numFmtId="4" fontId="19" fillId="0" borderId="2" xfId="0" applyNumberFormat="1" applyFont="1" applyFill="1" applyBorder="1" applyAlignment="1" applyProtection="1">
      <alignment vertical="center"/>
    </xf>
    <xf numFmtId="166" fontId="16" fillId="0" borderId="0" xfId="0" applyNumberFormat="1" applyFont="1" applyFill="1" applyBorder="1" applyAlignment="1" applyProtection="1">
      <alignment vertical="center"/>
    </xf>
    <xf numFmtId="2" fontId="20" fillId="0" borderId="2" xfId="0" applyNumberFormat="1" applyFont="1" applyFill="1" applyBorder="1" applyAlignment="1" applyProtection="1">
      <alignment horizontal="right" vertical="center"/>
    </xf>
    <xf numFmtId="166" fontId="18" fillId="0" borderId="0" xfId="0" applyNumberFormat="1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left" vertical="center"/>
    </xf>
    <xf numFmtId="4" fontId="7" fillId="0" borderId="19" xfId="0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4" fontId="7" fillId="0" borderId="20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right" vertical="center"/>
    </xf>
    <xf numFmtId="166" fontId="5" fillId="0" borderId="0" xfId="0" applyNumberFormat="1" applyFont="1" applyFill="1" applyAlignment="1" applyProtection="1">
      <alignment horizontal="left" vertical="center"/>
    </xf>
    <xf numFmtId="39" fontId="7" fillId="2" borderId="16" xfId="7" applyNumberFormat="1" applyFont="1" applyFill="1" applyBorder="1" applyAlignment="1" applyProtection="1">
      <alignment vertical="center"/>
    </xf>
    <xf numFmtId="0" fontId="7" fillId="2" borderId="18" xfId="7" applyFont="1" applyFill="1" applyBorder="1"/>
    <xf numFmtId="39" fontId="7" fillId="2" borderId="17" xfId="7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166" fontId="24" fillId="0" borderId="0" xfId="0" applyNumberFormat="1" applyFont="1" applyFill="1" applyAlignment="1" applyProtection="1">
      <alignment vertical="center"/>
    </xf>
    <xf numFmtId="166" fontId="24" fillId="0" borderId="0" xfId="0" applyNumberFormat="1" applyFont="1" applyFill="1" applyAlignment="1" applyProtection="1">
      <alignment horizontal="center" vertical="center"/>
    </xf>
    <xf numFmtId="166" fontId="25" fillId="0" borderId="0" xfId="0" applyNumberFormat="1" applyFont="1" applyFill="1" applyAlignment="1" applyProtection="1">
      <alignment horizontal="left" vertical="center"/>
    </xf>
    <xf numFmtId="166" fontId="26" fillId="0" borderId="0" xfId="0" quotePrefix="1" applyNumberFormat="1" applyFont="1" applyFill="1" applyAlignment="1" applyProtection="1">
      <alignment horizontal="left" vertical="center"/>
    </xf>
    <xf numFmtId="166" fontId="24" fillId="0" borderId="0" xfId="0" applyNumberFormat="1" applyFont="1" applyFill="1" applyAlignment="1" applyProtection="1">
      <alignment horizontal="left" vertical="center"/>
    </xf>
    <xf numFmtId="0" fontId="24" fillId="2" borderId="0" xfId="7" applyFont="1" applyFill="1" applyBorder="1"/>
    <xf numFmtId="0" fontId="24" fillId="2" borderId="0" xfId="7" applyFont="1" applyFill="1"/>
    <xf numFmtId="4" fontId="27" fillId="2" borderId="11" xfId="7" applyNumberFormat="1" applyFont="1" applyFill="1" applyBorder="1" applyAlignment="1" applyProtection="1">
      <alignment vertical="center"/>
    </xf>
    <xf numFmtId="4" fontId="24" fillId="2" borderId="0" xfId="7" applyNumberFormat="1" applyFont="1" applyFill="1"/>
    <xf numFmtId="4" fontId="24" fillId="2" borderId="0" xfId="0" applyNumberFormat="1" applyFont="1" applyFill="1" applyAlignment="1">
      <alignment vertical="center"/>
    </xf>
    <xf numFmtId="39" fontId="28" fillId="0" borderId="0" xfId="0" applyNumberFormat="1" applyFont="1" applyFill="1" applyBorder="1" applyAlignment="1" applyProtection="1">
      <alignment horizontal="center" vertical="center"/>
    </xf>
    <xf numFmtId="4" fontId="28" fillId="0" borderId="0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>
      <alignment vertical="center"/>
    </xf>
    <xf numFmtId="4" fontId="24" fillId="0" borderId="0" xfId="0" applyNumberFormat="1" applyFont="1" applyFill="1" applyBorder="1" applyAlignment="1">
      <alignment vertical="center"/>
    </xf>
    <xf numFmtId="166" fontId="29" fillId="0" borderId="0" xfId="0" applyNumberFormat="1" applyFont="1" applyFill="1" applyBorder="1" applyAlignment="1" applyProtection="1">
      <alignment horizontal="center" vertical="center"/>
    </xf>
    <xf numFmtId="0" fontId="24" fillId="10" borderId="0" xfId="7" applyFont="1" applyFill="1" applyBorder="1"/>
    <xf numFmtId="4" fontId="28" fillId="0" borderId="0" xfId="7" applyNumberFormat="1" applyFont="1" applyFill="1" applyBorder="1" applyAlignment="1" applyProtection="1"/>
    <xf numFmtId="0" fontId="24" fillId="0" borderId="0" xfId="7" applyFont="1" applyFill="1"/>
    <xf numFmtId="4" fontId="24" fillId="0" borderId="0" xfId="7" applyNumberFormat="1" applyFont="1" applyFill="1" applyBorder="1" applyProtection="1"/>
    <xf numFmtId="4" fontId="28" fillId="0" borderId="0" xfId="7" applyNumberFormat="1" applyFont="1" applyFill="1" applyBorder="1" applyAlignment="1" applyProtection="1">
      <alignment horizontal="right"/>
    </xf>
    <xf numFmtId="4" fontId="28" fillId="0" borderId="0" xfId="7" applyNumberFormat="1" applyFont="1" applyFill="1" applyBorder="1" applyProtection="1"/>
    <xf numFmtId="166" fontId="27" fillId="0" borderId="0" xfId="0" applyNumberFormat="1" applyFont="1" applyFill="1" applyBorder="1" applyAlignment="1" applyProtection="1">
      <alignment vertical="center"/>
    </xf>
    <xf numFmtId="4" fontId="27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" vertical="center"/>
    </xf>
    <xf numFmtId="166" fontId="27" fillId="0" borderId="0" xfId="0" applyNumberFormat="1" applyFont="1" applyFill="1" applyBorder="1" applyAlignment="1" applyProtection="1">
      <alignment horizontal="right" vertical="center"/>
    </xf>
    <xf numFmtId="4" fontId="27" fillId="0" borderId="0" xfId="0" applyNumberFormat="1" applyFont="1" applyFill="1" applyBorder="1" applyAlignment="1" applyProtection="1">
      <alignment horizontal="left" vertical="center"/>
    </xf>
    <xf numFmtId="166" fontId="24" fillId="0" borderId="0" xfId="0" applyNumberFormat="1" applyFont="1" applyFill="1" applyBorder="1" applyAlignment="1" applyProtection="1">
      <alignment horizontal="right" vertical="center"/>
    </xf>
    <xf numFmtId="166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Continuous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vertical="center"/>
    </xf>
    <xf numFmtId="4" fontId="24" fillId="0" borderId="3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Continuous" vertical="center"/>
    </xf>
    <xf numFmtId="166" fontId="27" fillId="0" borderId="0" xfId="0" quotePrefix="1" applyNumberFormat="1" applyFont="1" applyFill="1" applyBorder="1" applyAlignment="1" applyProtection="1">
      <alignment horizontal="right" vertical="center"/>
    </xf>
    <xf numFmtId="4" fontId="24" fillId="0" borderId="0" xfId="0" applyNumberFormat="1" applyFont="1" applyFill="1" applyBorder="1" applyAlignment="1" applyProtection="1">
      <alignment horizontal="right" vertical="center"/>
    </xf>
    <xf numFmtId="171" fontId="24" fillId="0" borderId="0" xfId="0" applyNumberFormat="1" applyFont="1" applyFill="1" applyBorder="1" applyAlignment="1" applyProtection="1">
      <alignment vertical="center"/>
    </xf>
    <xf numFmtId="4" fontId="28" fillId="0" borderId="0" xfId="0" applyNumberFormat="1" applyFont="1" applyFill="1" applyBorder="1" applyAlignment="1" applyProtection="1">
      <alignment horizontal="right" vertical="center"/>
    </xf>
    <xf numFmtId="166" fontId="28" fillId="0" borderId="0" xfId="7" applyNumberFormat="1" applyFont="1" applyFill="1" applyBorder="1" applyAlignment="1" applyProtection="1">
      <alignment horizontal="left"/>
    </xf>
    <xf numFmtId="4" fontId="28" fillId="0" borderId="0" xfId="7" applyNumberFormat="1" applyFont="1" applyFill="1" applyBorder="1" applyAlignment="1" applyProtection="1">
      <alignment horizontal="left"/>
    </xf>
    <xf numFmtId="2" fontId="27" fillId="0" borderId="0" xfId="0" applyNumberFormat="1" applyFont="1" applyFill="1" applyBorder="1" applyAlignment="1" applyProtection="1">
      <alignment horizontal="right" vertical="center"/>
    </xf>
    <xf numFmtId="4" fontId="25" fillId="0" borderId="0" xfId="0" applyNumberFormat="1" applyFont="1" applyFill="1" applyBorder="1" applyAlignment="1" applyProtection="1">
      <alignment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Alignment="1" applyProtection="1">
      <alignment horizontal="right" vertical="center"/>
    </xf>
    <xf numFmtId="3" fontId="24" fillId="0" borderId="1" xfId="0" applyNumberFormat="1" applyFont="1" applyFill="1" applyBorder="1" applyAlignment="1">
      <alignment horizontal="center" vertical="center"/>
    </xf>
    <xf numFmtId="43" fontId="24" fillId="0" borderId="3" xfId="2" applyFont="1" applyFill="1" applyBorder="1" applyAlignment="1" applyProtection="1">
      <alignment vertical="center"/>
    </xf>
    <xf numFmtId="4" fontId="24" fillId="0" borderId="0" xfId="0" applyNumberFormat="1" applyFont="1" applyFill="1" applyAlignment="1">
      <alignment vertical="center"/>
    </xf>
    <xf numFmtId="43" fontId="24" fillId="0" borderId="1" xfId="2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vertical="center"/>
    </xf>
    <xf numFmtId="4" fontId="30" fillId="0" borderId="2" xfId="0" applyNumberFormat="1" applyFont="1" applyFill="1" applyBorder="1" applyAlignment="1" applyProtection="1">
      <alignment horizontal="right" vertical="center"/>
    </xf>
    <xf numFmtId="2" fontId="29" fillId="0" borderId="0" xfId="0" applyNumberFormat="1" applyFont="1" applyFill="1" applyBorder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left" vertical="center"/>
    </xf>
    <xf numFmtId="39" fontId="29" fillId="0" borderId="0" xfId="0" applyNumberFormat="1" applyFont="1" applyFill="1" applyAlignment="1" applyProtection="1">
      <alignment horizontal="center" vertical="center"/>
    </xf>
    <xf numFmtId="39" fontId="29" fillId="0" borderId="0" xfId="0" applyNumberFormat="1" applyFont="1" applyFill="1" applyAlignment="1" applyProtection="1">
      <alignment vertical="center"/>
    </xf>
    <xf numFmtId="4" fontId="24" fillId="0" borderId="19" xfId="0" applyNumberFormat="1" applyFont="1" applyFill="1" applyBorder="1" applyAlignment="1" applyProtection="1">
      <alignment vertical="center"/>
    </xf>
    <xf numFmtId="4" fontId="29" fillId="0" borderId="20" xfId="0" applyNumberFormat="1" applyFont="1" applyFill="1" applyBorder="1" applyAlignment="1" applyProtection="1">
      <alignment horizontal="center" vertical="center"/>
    </xf>
    <xf numFmtId="4" fontId="24" fillId="0" borderId="21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Alignment="1" applyProtection="1">
      <alignment vertical="center"/>
    </xf>
    <xf numFmtId="2" fontId="30" fillId="0" borderId="2" xfId="0" applyNumberFormat="1" applyFont="1" applyFill="1" applyBorder="1" applyAlignment="1" applyProtection="1">
      <alignment horizontal="right" vertical="center"/>
    </xf>
    <xf numFmtId="166" fontId="28" fillId="0" borderId="0" xfId="0" applyNumberFormat="1" applyFont="1" applyFill="1" applyBorder="1" applyAlignment="1" applyProtection="1">
      <alignment horizontal="right" vertical="center"/>
    </xf>
    <xf numFmtId="4" fontId="28" fillId="0" borderId="0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Fill="1" applyBorder="1" applyAlignment="1">
      <alignment vertical="center"/>
    </xf>
    <xf numFmtId="166" fontId="28" fillId="0" borderId="0" xfId="0" applyNumberFormat="1" applyFont="1" applyFill="1" applyAlignment="1" applyProtection="1">
      <alignment horizontal="right" vertical="center"/>
    </xf>
    <xf numFmtId="4" fontId="28" fillId="0" borderId="0" xfId="0" applyNumberFormat="1" applyFont="1" applyFill="1" applyAlignment="1">
      <alignment horizontal="right" vertical="center"/>
    </xf>
    <xf numFmtId="168" fontId="28" fillId="0" borderId="0" xfId="0" applyNumberFormat="1" applyFont="1" applyFill="1" applyAlignment="1">
      <alignment horizontal="right" vertical="center"/>
    </xf>
    <xf numFmtId="166" fontId="28" fillId="0" borderId="0" xfId="0" applyNumberFormat="1" applyFont="1" applyFill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horizontal="left" vertical="center"/>
    </xf>
    <xf numFmtId="4" fontId="24" fillId="0" borderId="1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 applyProtection="1">
      <alignment horizontal="righ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Alignment="1">
      <alignment vertical="center"/>
    </xf>
    <xf numFmtId="4" fontId="24" fillId="0" borderId="4" xfId="0" applyNumberFormat="1" applyFont="1" applyFill="1" applyBorder="1" applyAlignment="1">
      <alignment horizontal="center" vertical="center"/>
    </xf>
    <xf numFmtId="166" fontId="34" fillId="0" borderId="0" xfId="0" quotePrefix="1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Continuous" vertical="center"/>
    </xf>
    <xf numFmtId="167" fontId="32" fillId="0" borderId="0" xfId="0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5" fillId="0" borderId="0" xfId="0" applyNumberFormat="1" applyFont="1" applyFill="1" applyBorder="1" applyAlignment="1" applyProtection="1">
      <alignment vertical="center"/>
    </xf>
    <xf numFmtId="166" fontId="33" fillId="0" borderId="0" xfId="0" applyNumberFormat="1" applyFont="1" applyFill="1" applyBorder="1" applyAlignment="1" applyProtection="1">
      <alignment vertical="center"/>
    </xf>
    <xf numFmtId="167" fontId="35" fillId="0" borderId="0" xfId="0" applyNumberFormat="1" applyFont="1" applyFill="1" applyBorder="1" applyAlignment="1" applyProtection="1">
      <alignment vertical="center"/>
    </xf>
    <xf numFmtId="166" fontId="35" fillId="0" borderId="0" xfId="0" applyNumberFormat="1" applyFont="1" applyFill="1" applyBorder="1" applyAlignment="1" applyProtection="1">
      <alignment horizontal="center" vertical="center"/>
    </xf>
    <xf numFmtId="43" fontId="24" fillId="2" borderId="0" xfId="2" applyFont="1" applyFill="1" applyAlignment="1">
      <alignment vertical="center"/>
    </xf>
    <xf numFmtId="170" fontId="24" fillId="2" borderId="0" xfId="0" applyNumberFormat="1" applyFont="1" applyFill="1" applyAlignment="1">
      <alignment vertical="center"/>
    </xf>
    <xf numFmtId="4" fontId="24" fillId="0" borderId="0" xfId="0" applyNumberFormat="1" applyFont="1" applyFill="1" applyBorder="1" applyAlignment="1">
      <alignment horizontal="centerContinuous" vertical="center"/>
    </xf>
    <xf numFmtId="39" fontId="31" fillId="0" borderId="0" xfId="0" applyNumberFormat="1" applyFont="1" applyFill="1" applyAlignment="1" applyProtection="1">
      <alignment horizontal="center" vertical="center"/>
    </xf>
    <xf numFmtId="39" fontId="31" fillId="0" borderId="0" xfId="0" applyNumberFormat="1" applyFont="1" applyFill="1" applyAlignment="1" applyProtection="1">
      <alignment vertical="center"/>
    </xf>
    <xf numFmtId="39" fontId="28" fillId="0" borderId="0" xfId="0" applyNumberFormat="1" applyFont="1" applyFill="1" applyAlignment="1" applyProtection="1">
      <alignment horizontal="center" vertical="center"/>
    </xf>
    <xf numFmtId="168" fontId="24" fillId="0" borderId="0" xfId="0" applyNumberFormat="1" applyFont="1" applyFill="1" applyAlignment="1">
      <alignment vertical="center"/>
    </xf>
    <xf numFmtId="2" fontId="29" fillId="0" borderId="2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Border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centerContinuous" vertical="center"/>
    </xf>
    <xf numFmtId="166" fontId="97" fillId="14" borderId="14" xfId="7" applyNumberFormat="1" applyFont="1" applyFill="1" applyBorder="1" applyAlignment="1" applyProtection="1">
      <alignment horizontal="center" vertical="center"/>
    </xf>
    <xf numFmtId="0" fontId="97" fillId="14" borderId="15" xfId="7" applyFont="1" applyFill="1" applyBorder="1" applyAlignment="1">
      <alignment horizontal="center" vertical="center"/>
    </xf>
    <xf numFmtId="4" fontId="98" fillId="14" borderId="16" xfId="7" applyNumberFormat="1" applyFont="1" applyFill="1" applyBorder="1" applyAlignment="1" applyProtection="1"/>
    <xf numFmtId="0" fontId="99" fillId="14" borderId="17" xfId="7" applyFont="1" applyFill="1" applyBorder="1"/>
    <xf numFmtId="4" fontId="99" fillId="14" borderId="17" xfId="7" applyNumberFormat="1" applyFont="1" applyFill="1" applyBorder="1" applyProtection="1"/>
    <xf numFmtId="4" fontId="98" fillId="14" borderId="17" xfId="7" applyNumberFormat="1" applyFont="1" applyFill="1" applyBorder="1" applyAlignment="1" applyProtection="1">
      <alignment horizontal="right"/>
    </xf>
    <xf numFmtId="4" fontId="98" fillId="14" borderId="18" xfId="7" applyNumberFormat="1" applyFont="1" applyFill="1" applyBorder="1" applyProtection="1"/>
    <xf numFmtId="166" fontId="98" fillId="14" borderId="16" xfId="7" applyNumberFormat="1" applyFont="1" applyFill="1" applyBorder="1" applyAlignment="1" applyProtection="1">
      <alignment horizontal="left"/>
    </xf>
    <xf numFmtId="4" fontId="98" fillId="14" borderId="17" xfId="7" applyNumberFormat="1" applyFont="1" applyFill="1" applyBorder="1" applyAlignment="1" applyProtection="1">
      <alignment horizontal="left"/>
    </xf>
    <xf numFmtId="2" fontId="27" fillId="15" borderId="0" xfId="0" applyNumberFormat="1" applyFont="1" applyFill="1" applyBorder="1" applyAlignment="1" applyProtection="1">
      <alignment horizontal="right" vertical="center"/>
    </xf>
    <xf numFmtId="4" fontId="27" fillId="15" borderId="0" xfId="0" applyNumberFormat="1" applyFont="1" applyFill="1" applyBorder="1" applyAlignment="1" applyProtection="1">
      <alignment horizontal="left" vertical="center"/>
    </xf>
    <xf numFmtId="4" fontId="24" fillId="15" borderId="0" xfId="0" applyNumberFormat="1" applyFont="1" applyFill="1" applyBorder="1" applyAlignment="1" applyProtection="1">
      <alignment vertical="center"/>
    </xf>
    <xf numFmtId="4" fontId="28" fillId="15" borderId="0" xfId="0" applyNumberFormat="1" applyFont="1" applyFill="1" applyBorder="1" applyAlignment="1" applyProtection="1">
      <alignment horizontal="center" vertical="center"/>
    </xf>
    <xf numFmtId="4" fontId="28" fillId="15" borderId="0" xfId="0" applyNumberFormat="1" applyFont="1" applyFill="1" applyBorder="1" applyAlignment="1" applyProtection="1">
      <alignment horizontal="right" vertical="center"/>
    </xf>
    <xf numFmtId="4" fontId="28" fillId="15" borderId="0" xfId="0" applyNumberFormat="1" applyFont="1" applyFill="1" applyBorder="1" applyAlignment="1" applyProtection="1">
      <alignment vertical="center"/>
    </xf>
    <xf numFmtId="2" fontId="27" fillId="15" borderId="0" xfId="0" applyNumberFormat="1" applyFont="1" applyFill="1" applyBorder="1" applyAlignment="1" applyProtection="1">
      <alignment vertical="center"/>
    </xf>
    <xf numFmtId="4" fontId="24" fillId="15" borderId="0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 applyProtection="1">
      <alignment horizontal="center" vertical="center"/>
    </xf>
    <xf numFmtId="166" fontId="24" fillId="0" borderId="21" xfId="0" applyNumberFormat="1" applyFont="1" applyFill="1" applyBorder="1" applyAlignment="1" applyProtection="1">
      <alignment horizontal="center" vertical="center"/>
    </xf>
    <xf numFmtId="166" fontId="24" fillId="0" borderId="6" xfId="0" applyNumberFormat="1" applyFont="1" applyFill="1" applyBorder="1" applyAlignment="1" applyProtection="1">
      <alignment horizontal="center" vertical="center"/>
    </xf>
    <xf numFmtId="166" fontId="27" fillId="0" borderId="3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>
      <alignment horizontal="center" vertical="center"/>
    </xf>
    <xf numFmtId="4" fontId="24" fillId="0" borderId="21" xfId="0" applyNumberFormat="1" applyFont="1" applyFill="1" applyBorder="1" applyAlignment="1">
      <alignment vertical="center"/>
    </xf>
    <xf numFmtId="4" fontId="24" fillId="0" borderId="6" xfId="0" applyNumberFormat="1" applyFont="1" applyFill="1" applyBorder="1" applyAlignment="1">
      <alignment vertical="center"/>
    </xf>
    <xf numFmtId="4" fontId="24" fillId="0" borderId="8" xfId="0" applyNumberFormat="1" applyFont="1" applyFill="1" applyBorder="1" applyAlignment="1">
      <alignment horizontal="center" vertical="center"/>
    </xf>
    <xf numFmtId="166" fontId="27" fillId="0" borderId="21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>
      <alignment horizontal="center" vertical="center"/>
    </xf>
    <xf numFmtId="166" fontId="27" fillId="0" borderId="20" xfId="0" applyNumberFormat="1" applyFont="1" applyFill="1" applyBorder="1" applyAlignment="1" applyProtection="1">
      <alignment horizontal="center" vertical="center"/>
    </xf>
    <xf numFmtId="4" fontId="24" fillId="0" borderId="6" xfId="0" applyNumberFormat="1" applyFont="1" applyFill="1" applyBorder="1" applyAlignment="1">
      <alignment horizontal="center" vertical="center"/>
    </xf>
    <xf numFmtId="4" fontId="24" fillId="0" borderId="6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vertical="center"/>
    </xf>
    <xf numFmtId="4" fontId="24" fillId="0" borderId="5" xfId="0" applyNumberFormat="1" applyFont="1" applyFill="1" applyBorder="1" applyAlignment="1" applyProtection="1">
      <alignment vertical="center"/>
    </xf>
    <xf numFmtId="4" fontId="24" fillId="0" borderId="7" xfId="0" applyNumberFormat="1" applyFont="1" applyFill="1" applyBorder="1" applyAlignment="1" applyProtection="1">
      <alignment vertical="center"/>
    </xf>
    <xf numFmtId="166" fontId="27" fillId="0" borderId="22" xfId="0" applyNumberFormat="1" applyFont="1" applyFill="1" applyBorder="1" applyAlignment="1" applyProtection="1">
      <alignment horizontal="left" vertical="center"/>
    </xf>
    <xf numFmtId="4" fontId="24" fillId="2" borderId="23" xfId="7" applyNumberFormat="1" applyFont="1" applyFill="1" applyBorder="1" applyAlignment="1">
      <alignment vertical="center"/>
    </xf>
    <xf numFmtId="4" fontId="24" fillId="2" borderId="24" xfId="7" applyNumberFormat="1" applyFont="1" applyFill="1" applyBorder="1" applyAlignment="1">
      <alignment vertical="center"/>
    </xf>
    <xf numFmtId="4" fontId="24" fillId="0" borderId="21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1" fillId="0" borderId="0" xfId="14"/>
    <xf numFmtId="4" fontId="1" fillId="0" borderId="0" xfId="14" applyNumberFormat="1"/>
    <xf numFmtId="0" fontId="38" fillId="0" borderId="0" xfId="14" applyFont="1" applyBorder="1"/>
    <xf numFmtId="0" fontId="1" fillId="4" borderId="0" xfId="14" applyFill="1"/>
    <xf numFmtId="0" fontId="100" fillId="0" borderId="25" xfId="14" applyFont="1" applyBorder="1"/>
    <xf numFmtId="0" fontId="100" fillId="0" borderId="26" xfId="14" applyFont="1" applyBorder="1"/>
    <xf numFmtId="0" fontId="101" fillId="0" borderId="26" xfId="14" applyFont="1" applyBorder="1"/>
    <xf numFmtId="0" fontId="100" fillId="0" borderId="27" xfId="14" applyFont="1" applyBorder="1"/>
    <xf numFmtId="0" fontId="100" fillId="0" borderId="28" xfId="14" applyFont="1" applyBorder="1"/>
    <xf numFmtId="0" fontId="100" fillId="0" borderId="0" xfId="14" applyFont="1" applyBorder="1"/>
    <xf numFmtId="0" fontId="101" fillId="0" borderId="0" xfId="14" applyFont="1" applyBorder="1"/>
    <xf numFmtId="0" fontId="100" fillId="0" borderId="29" xfId="14" applyFont="1" applyBorder="1"/>
    <xf numFmtId="0" fontId="38" fillId="0" borderId="0" xfId="14" applyFont="1"/>
    <xf numFmtId="0" fontId="100" fillId="0" borderId="30" xfId="14" applyFont="1" applyFill="1" applyBorder="1"/>
    <xf numFmtId="0" fontId="100" fillId="0" borderId="31" xfId="14" applyFont="1" applyFill="1" applyBorder="1"/>
    <xf numFmtId="10" fontId="100" fillId="0" borderId="31" xfId="14" applyNumberFormat="1" applyFont="1" applyFill="1" applyBorder="1"/>
    <xf numFmtId="0" fontId="100" fillId="0" borderId="32" xfId="14" applyFont="1" applyFill="1" applyBorder="1"/>
    <xf numFmtId="0" fontId="100" fillId="0" borderId="30" xfId="14" applyFont="1" applyBorder="1" applyAlignment="1">
      <alignment horizontal="left"/>
    </xf>
    <xf numFmtId="0" fontId="100" fillId="0" borderId="31" xfId="14" applyFont="1" applyBorder="1"/>
    <xf numFmtId="0" fontId="100" fillId="0" borderId="32" xfId="14" applyFont="1" applyBorder="1"/>
    <xf numFmtId="0" fontId="1" fillId="0" borderId="0" xfId="14" applyFont="1"/>
    <xf numFmtId="171" fontId="102" fillId="16" borderId="28" xfId="14" applyNumberFormat="1" applyFont="1" applyFill="1" applyBorder="1" applyAlignment="1">
      <alignment horizontal="right"/>
    </xf>
    <xf numFmtId="0" fontId="102" fillId="0" borderId="0" xfId="14" applyFont="1" applyFill="1" applyBorder="1" applyAlignment="1">
      <alignment horizontal="center"/>
    </xf>
    <xf numFmtId="0" fontId="102" fillId="0" borderId="0" xfId="14" applyFont="1" applyFill="1" applyBorder="1"/>
    <xf numFmtId="0" fontId="103" fillId="0" borderId="0" xfId="14" applyFont="1" applyFill="1" applyBorder="1"/>
    <xf numFmtId="171" fontId="100" fillId="17" borderId="28" xfId="14" applyNumberFormat="1" applyFont="1" applyFill="1" applyBorder="1" applyAlignment="1">
      <alignment horizontal="right"/>
    </xf>
    <xf numFmtId="171" fontId="100" fillId="16" borderId="33" xfId="14" applyNumberFormat="1" applyFont="1" applyFill="1" applyBorder="1" applyAlignment="1">
      <alignment horizontal="right"/>
    </xf>
    <xf numFmtId="171" fontId="100" fillId="16" borderId="28" xfId="14" applyNumberFormat="1" applyFont="1" applyFill="1" applyBorder="1" applyAlignment="1">
      <alignment horizontal="right"/>
    </xf>
    <xf numFmtId="176" fontId="1" fillId="0" borderId="0" xfId="14" applyNumberFormat="1" applyFont="1"/>
    <xf numFmtId="10" fontId="100" fillId="0" borderId="0" xfId="14" applyNumberFormat="1" applyFont="1" applyBorder="1"/>
    <xf numFmtId="10" fontId="101" fillId="0" borderId="0" xfId="14" applyNumberFormat="1" applyFont="1" applyFill="1" applyBorder="1"/>
    <xf numFmtId="0" fontId="100" fillId="0" borderId="0" xfId="14" applyFont="1" applyFill="1" applyBorder="1"/>
    <xf numFmtId="0" fontId="100" fillId="0" borderId="28" xfId="14" applyFont="1" applyBorder="1" applyAlignment="1">
      <alignment horizontal="right"/>
    </xf>
    <xf numFmtId="171" fontId="104" fillId="16" borderId="28" xfId="14" applyNumberFormat="1" applyFont="1" applyFill="1" applyBorder="1" applyAlignment="1">
      <alignment horizontal="right"/>
    </xf>
    <xf numFmtId="0" fontId="104" fillId="0" borderId="0" xfId="14" applyFont="1" applyFill="1" applyBorder="1"/>
    <xf numFmtId="0" fontId="40" fillId="0" borderId="0" xfId="14" applyFont="1"/>
    <xf numFmtId="4" fontId="105" fillId="0" borderId="28" xfId="14" applyNumberFormat="1" applyFont="1" applyFill="1" applyBorder="1" applyAlignment="1">
      <alignment horizontal="right"/>
    </xf>
    <xf numFmtId="0" fontId="106" fillId="0" borderId="0" xfId="14" applyFont="1" applyFill="1" applyBorder="1" applyAlignment="1">
      <alignment horizontal="center"/>
    </xf>
    <xf numFmtId="0" fontId="105" fillId="0" borderId="0" xfId="14" applyFont="1" applyFill="1" applyBorder="1"/>
    <xf numFmtId="171" fontId="107" fillId="16" borderId="28" xfId="14" applyNumberFormat="1" applyFont="1" applyFill="1" applyBorder="1" applyAlignment="1">
      <alignment horizontal="right"/>
    </xf>
    <xf numFmtId="0" fontId="108" fillId="0" borderId="0" xfId="14" applyFont="1" applyFill="1" applyBorder="1" applyAlignment="1">
      <alignment horizontal="center"/>
    </xf>
    <xf numFmtId="10" fontId="108" fillId="0" borderId="0" xfId="14" applyNumberFormat="1" applyFont="1" applyFill="1" applyBorder="1"/>
    <xf numFmtId="0" fontId="107" fillId="0" borderId="0" xfId="14" applyFont="1" applyFill="1" applyBorder="1"/>
    <xf numFmtId="0" fontId="109" fillId="0" borderId="29" xfId="14" applyFont="1" applyBorder="1"/>
    <xf numFmtId="0" fontId="41" fillId="0" borderId="0" xfId="14" applyFont="1"/>
    <xf numFmtId="0" fontId="42" fillId="0" borderId="0" xfId="14" applyFont="1" applyBorder="1"/>
    <xf numFmtId="0" fontId="101" fillId="0" borderId="0" xfId="14" applyFont="1" applyBorder="1" applyAlignment="1">
      <alignment horizontal="center"/>
    </xf>
    <xf numFmtId="0" fontId="5" fillId="0" borderId="0" xfId="14" applyFont="1"/>
    <xf numFmtId="4" fontId="41" fillId="0" borderId="0" xfId="14" applyNumberFormat="1" applyFont="1"/>
    <xf numFmtId="171" fontId="101" fillId="16" borderId="28" xfId="14" applyNumberFormat="1" applyFont="1" applyFill="1" applyBorder="1" applyAlignment="1">
      <alignment horizontal="right"/>
    </xf>
    <xf numFmtId="0" fontId="101" fillId="0" borderId="0" xfId="14" applyFont="1" applyFill="1" applyBorder="1"/>
    <xf numFmtId="171" fontId="1" fillId="0" borderId="0" xfId="14" applyNumberFormat="1"/>
    <xf numFmtId="0" fontId="101" fillId="0" borderId="0" xfId="14" applyFont="1" applyBorder="1" applyAlignment="1">
      <alignment horizontal="left"/>
    </xf>
    <xf numFmtId="2" fontId="1" fillId="0" borderId="0" xfId="14" applyNumberFormat="1"/>
    <xf numFmtId="171" fontId="41" fillId="0" borderId="0" xfId="14" applyNumberFormat="1" applyFont="1"/>
    <xf numFmtId="0" fontId="100" fillId="0" borderId="0" xfId="14" applyFont="1" applyBorder="1" applyAlignment="1">
      <alignment horizontal="left"/>
    </xf>
    <xf numFmtId="2" fontId="43" fillId="0" borderId="0" xfId="14" applyNumberFormat="1" applyFont="1"/>
    <xf numFmtId="0" fontId="44" fillId="0" borderId="0" xfId="14" applyFont="1" applyBorder="1"/>
    <xf numFmtId="171" fontId="110" fillId="16" borderId="28" xfId="14" applyNumberFormat="1" applyFont="1" applyFill="1" applyBorder="1" applyAlignment="1">
      <alignment horizontal="right"/>
    </xf>
    <xf numFmtId="0" fontId="110" fillId="0" borderId="0" xfId="14" applyFont="1" applyBorder="1" applyAlignment="1">
      <alignment horizontal="center"/>
    </xf>
    <xf numFmtId="10" fontId="110" fillId="0" borderId="0" xfId="14" applyNumberFormat="1" applyFont="1" applyBorder="1"/>
    <xf numFmtId="0" fontId="110" fillId="0" borderId="0" xfId="14" applyFont="1" applyFill="1" applyBorder="1"/>
    <xf numFmtId="4" fontId="5" fillId="0" borderId="0" xfId="14" applyNumberFormat="1" applyFont="1"/>
    <xf numFmtId="4" fontId="100" fillId="0" borderId="28" xfId="14" applyNumberFormat="1" applyFont="1" applyBorder="1"/>
    <xf numFmtId="0" fontId="111" fillId="0" borderId="0" xfId="14" applyFont="1" applyBorder="1"/>
    <xf numFmtId="2" fontId="112" fillId="0" borderId="0" xfId="14" applyNumberFormat="1" applyFont="1" applyBorder="1" applyAlignment="1">
      <alignment horizontal="center"/>
    </xf>
    <xf numFmtId="0" fontId="45" fillId="0" borderId="0" xfId="14" applyFont="1" applyBorder="1" applyAlignment="1"/>
    <xf numFmtId="0" fontId="110" fillId="0" borderId="28" xfId="14" applyFont="1" applyBorder="1" applyAlignment="1">
      <alignment horizontal="center"/>
    </xf>
    <xf numFmtId="0" fontId="46" fillId="0" borderId="0" xfId="14" applyFont="1" applyBorder="1" applyAlignment="1"/>
    <xf numFmtId="4" fontId="47" fillId="0" borderId="0" xfId="14" applyNumberFormat="1" applyFont="1"/>
    <xf numFmtId="4" fontId="48" fillId="0" borderId="0" xfId="14" applyNumberFormat="1" applyFont="1"/>
    <xf numFmtId="171" fontId="101" fillId="18" borderId="28" xfId="14" applyNumberFormat="1" applyFont="1" applyFill="1" applyBorder="1" applyAlignment="1"/>
    <xf numFmtId="0" fontId="112" fillId="0" borderId="0" xfId="14" applyFont="1" applyBorder="1"/>
    <xf numFmtId="0" fontId="113" fillId="0" borderId="0" xfId="14" applyFont="1" applyBorder="1"/>
    <xf numFmtId="0" fontId="49" fillId="0" borderId="0" xfId="14" applyFont="1"/>
    <xf numFmtId="4" fontId="101" fillId="16" borderId="28" xfId="14" applyNumberFormat="1" applyFont="1" applyFill="1" applyBorder="1" applyAlignment="1">
      <alignment horizontal="center"/>
    </xf>
    <xf numFmtId="0" fontId="113" fillId="0" borderId="0" xfId="14" applyFont="1" applyFill="1" applyBorder="1"/>
    <xf numFmtId="0" fontId="112" fillId="0" borderId="0" xfId="14" applyFont="1" applyFill="1" applyBorder="1"/>
    <xf numFmtId="0" fontId="52" fillId="0" borderId="0" xfId="14" applyFont="1" applyFill="1" applyBorder="1"/>
    <xf numFmtId="0" fontId="5" fillId="0" borderId="2" xfId="14" applyFont="1" applyBorder="1"/>
    <xf numFmtId="0" fontId="53" fillId="0" borderId="0" xfId="14" applyFont="1" applyAlignment="1"/>
    <xf numFmtId="0" fontId="53" fillId="0" borderId="0" xfId="14" applyFont="1" applyBorder="1" applyAlignment="1"/>
    <xf numFmtId="0" fontId="38" fillId="0" borderId="34" xfId="14" applyFont="1" applyBorder="1"/>
    <xf numFmtId="0" fontId="38" fillId="0" borderId="35" xfId="14" applyFont="1" applyBorder="1"/>
    <xf numFmtId="0" fontId="38" fillId="0" borderId="36" xfId="14" applyFont="1" applyBorder="1"/>
    <xf numFmtId="0" fontId="1" fillId="0" borderId="0" xfId="14" applyBorder="1"/>
    <xf numFmtId="177" fontId="1" fillId="0" borderId="0" xfId="14" applyNumberFormat="1"/>
    <xf numFmtId="0" fontId="1" fillId="0" borderId="27" xfId="14" applyBorder="1"/>
    <xf numFmtId="0" fontId="100" fillId="0" borderId="30" xfId="14" applyFont="1" applyBorder="1"/>
    <xf numFmtId="0" fontId="100" fillId="0" borderId="37" xfId="14" applyFont="1" applyBorder="1"/>
    <xf numFmtId="10" fontId="114" fillId="16" borderId="38" xfId="14" applyNumberFormat="1" applyFont="1" applyFill="1" applyBorder="1"/>
    <xf numFmtId="0" fontId="101" fillId="0" borderId="38" xfId="14" applyFont="1" applyBorder="1" applyAlignment="1">
      <alignment horizontal="center"/>
    </xf>
    <xf numFmtId="0" fontId="101" fillId="0" borderId="39" xfId="14" applyFont="1" applyBorder="1" applyAlignment="1">
      <alignment horizontal="center"/>
    </xf>
    <xf numFmtId="0" fontId="100" fillId="0" borderId="40" xfId="14" applyFont="1" applyBorder="1"/>
    <xf numFmtId="0" fontId="1" fillId="0" borderId="29" xfId="14" applyBorder="1"/>
    <xf numFmtId="0" fontId="100" fillId="0" borderId="41" xfId="14" applyFont="1" applyBorder="1"/>
    <xf numFmtId="171" fontId="100" fillId="16" borderId="42" xfId="14" applyNumberFormat="1" applyFont="1" applyFill="1" applyBorder="1"/>
    <xf numFmtId="0" fontId="100" fillId="0" borderId="42" xfId="14" applyFont="1" applyBorder="1" applyAlignment="1">
      <alignment horizontal="center"/>
    </xf>
    <xf numFmtId="0" fontId="100" fillId="0" borderId="43" xfId="14" applyFont="1" applyBorder="1"/>
    <xf numFmtId="0" fontId="100" fillId="0" borderId="44" xfId="14" applyFont="1" applyBorder="1"/>
    <xf numFmtId="0" fontId="110" fillId="0" borderId="28" xfId="14" applyFont="1" applyBorder="1" applyAlignment="1">
      <alignment vertical="center"/>
    </xf>
    <xf numFmtId="10" fontId="101" fillId="3" borderId="45" xfId="14" applyNumberFormat="1" applyFont="1" applyFill="1" applyBorder="1" applyAlignment="1">
      <alignment horizontal="center" vertical="center"/>
    </xf>
    <xf numFmtId="0" fontId="100" fillId="0" borderId="0" xfId="14" applyFont="1" applyBorder="1" applyAlignment="1">
      <alignment horizontal="center"/>
    </xf>
    <xf numFmtId="0" fontId="100" fillId="0" borderId="37" xfId="14" applyFont="1" applyBorder="1" applyAlignment="1">
      <alignment horizontal="center"/>
    </xf>
    <xf numFmtId="0" fontId="101" fillId="0" borderId="39" xfId="14" applyFont="1" applyBorder="1" applyAlignment="1">
      <alignment horizontal="right"/>
    </xf>
    <xf numFmtId="0" fontId="100" fillId="0" borderId="46" xfId="14" applyFont="1" applyBorder="1" applyAlignment="1">
      <alignment horizontal="center"/>
    </xf>
    <xf numFmtId="171" fontId="100" fillId="16" borderId="47" xfId="14" applyNumberFormat="1" applyFont="1" applyFill="1" applyBorder="1"/>
    <xf numFmtId="0" fontId="100" fillId="0" borderId="47" xfId="14" applyFont="1" applyBorder="1" applyAlignment="1">
      <alignment horizontal="center"/>
    </xf>
    <xf numFmtId="0" fontId="100" fillId="0" borderId="48" xfId="14" applyFont="1" applyBorder="1"/>
    <xf numFmtId="175" fontId="100" fillId="0" borderId="28" xfId="14" applyNumberFormat="1" applyFont="1" applyBorder="1"/>
    <xf numFmtId="0" fontId="100" fillId="0" borderId="41" xfId="14" applyFont="1" applyBorder="1" applyAlignment="1">
      <alignment horizontal="center"/>
    </xf>
    <xf numFmtId="171" fontId="110" fillId="16" borderId="49" xfId="14" applyNumberFormat="1" applyFont="1" applyFill="1" applyBorder="1"/>
    <xf numFmtId="0" fontId="100" fillId="0" borderId="50" xfId="14" applyFont="1" applyBorder="1"/>
    <xf numFmtId="171" fontId="100" fillId="0" borderId="51" xfId="14" applyNumberFormat="1" applyFont="1" applyFill="1" applyBorder="1"/>
    <xf numFmtId="171" fontId="100" fillId="0" borderId="52" xfId="14" applyNumberFormat="1" applyFont="1" applyFill="1" applyBorder="1"/>
    <xf numFmtId="2" fontId="100" fillId="0" borderId="52" xfId="14" applyNumberFormat="1" applyFont="1" applyFill="1" applyBorder="1" applyAlignment="1">
      <alignment horizontal="center"/>
    </xf>
    <xf numFmtId="0" fontId="100" fillId="0" borderId="52" xfId="14" applyFont="1" applyFill="1" applyBorder="1" applyAlignment="1">
      <alignment horizontal="center"/>
    </xf>
    <xf numFmtId="0" fontId="100" fillId="0" borderId="52" xfId="14" applyFont="1" applyFill="1" applyBorder="1"/>
    <xf numFmtId="0" fontId="100" fillId="0" borderId="53" xfId="14" applyFont="1" applyBorder="1" applyAlignment="1">
      <alignment horizontal="center"/>
    </xf>
    <xf numFmtId="0" fontId="101" fillId="0" borderId="53" xfId="14" applyFont="1" applyBorder="1" applyAlignment="1">
      <alignment horizontal="center"/>
    </xf>
    <xf numFmtId="4" fontId="100" fillId="0" borderId="51" xfId="14" applyNumberFormat="1" applyFont="1" applyFill="1" applyBorder="1"/>
    <xf numFmtId="2" fontId="100" fillId="0" borderId="52" xfId="14" applyNumberFormat="1" applyFont="1" applyFill="1" applyBorder="1"/>
    <xf numFmtId="171" fontId="100" fillId="0" borderId="51" xfId="14" applyNumberFormat="1" applyFont="1" applyFill="1" applyBorder="1" applyAlignment="1">
      <alignment horizontal="right"/>
    </xf>
    <xf numFmtId="171" fontId="100" fillId="0" borderId="52" xfId="14" applyNumberFormat="1" applyFont="1" applyFill="1" applyBorder="1" applyAlignment="1">
      <alignment horizontal="right"/>
    </xf>
    <xf numFmtId="0" fontId="101" fillId="0" borderId="54" xfId="14" applyFont="1" applyBorder="1" applyAlignment="1">
      <alignment horizontal="center"/>
    </xf>
    <xf numFmtId="2" fontId="101" fillId="3" borderId="55" xfId="14" applyNumberFormat="1" applyFont="1" applyFill="1" applyBorder="1" applyAlignment="1">
      <alignment horizontal="center" vertical="center" wrapText="1"/>
    </xf>
    <xf numFmtId="2" fontId="101" fillId="3" borderId="56" xfId="14" applyNumberFormat="1" applyFont="1" applyFill="1" applyBorder="1" applyAlignment="1">
      <alignment horizontal="center" vertical="center" wrapText="1"/>
    </xf>
    <xf numFmtId="0" fontId="101" fillId="3" borderId="56" xfId="14" applyFont="1" applyFill="1" applyBorder="1" applyAlignment="1">
      <alignment horizontal="center" vertical="center"/>
    </xf>
    <xf numFmtId="0" fontId="101" fillId="3" borderId="57" xfId="14" applyFont="1" applyFill="1" applyBorder="1" applyAlignment="1">
      <alignment horizontal="center" vertical="center"/>
    </xf>
    <xf numFmtId="172" fontId="1" fillId="0" borderId="0" xfId="14" applyNumberFormat="1"/>
    <xf numFmtId="10" fontId="115" fillId="0" borderId="0" xfId="16" applyNumberFormat="1" applyFont="1"/>
    <xf numFmtId="0" fontId="56" fillId="0" borderId="0" xfId="14" applyFont="1"/>
    <xf numFmtId="10" fontId="57" fillId="0" borderId="2" xfId="14" applyNumberFormat="1" applyFont="1" applyFill="1" applyBorder="1" applyAlignment="1" applyProtection="1">
      <alignment horizontal="center"/>
      <protection locked="0"/>
    </xf>
    <xf numFmtId="0" fontId="110" fillId="0" borderId="0" xfId="14" applyFont="1" applyFill="1" applyBorder="1" applyAlignment="1">
      <alignment horizontal="center"/>
    </xf>
    <xf numFmtId="0" fontId="113" fillId="0" borderId="44" xfId="14" applyFont="1" applyBorder="1"/>
    <xf numFmtId="0" fontId="113" fillId="0" borderId="55" xfId="14" applyFont="1" applyFill="1" applyBorder="1" applyAlignment="1">
      <alignment horizontal="center"/>
    </xf>
    <xf numFmtId="0" fontId="100" fillId="0" borderId="58" xfId="14" applyFont="1" applyBorder="1"/>
    <xf numFmtId="4" fontId="101" fillId="0" borderId="58" xfId="14" applyNumberFormat="1" applyFont="1" applyBorder="1"/>
    <xf numFmtId="0" fontId="101" fillId="0" borderId="58" xfId="14" applyFont="1" applyBorder="1"/>
    <xf numFmtId="0" fontId="112" fillId="0" borderId="58" xfId="14" applyFont="1" applyBorder="1"/>
    <xf numFmtId="0" fontId="112" fillId="0" borderId="59" xfId="14" applyFont="1" applyBorder="1"/>
    <xf numFmtId="0" fontId="1" fillId="0" borderId="36" xfId="14" applyBorder="1"/>
    <xf numFmtId="0" fontId="116" fillId="0" borderId="0" xfId="14" applyFont="1" applyFill="1" applyBorder="1" applyAlignment="1">
      <alignment vertical="center" wrapText="1"/>
    </xf>
    <xf numFmtId="0" fontId="58" fillId="0" borderId="0" xfId="14" applyFont="1" applyProtection="1">
      <protection locked="0"/>
    </xf>
    <xf numFmtId="0" fontId="58" fillId="0" borderId="0" xfId="14" applyFont="1" applyBorder="1" applyProtection="1">
      <protection locked="0"/>
    </xf>
    <xf numFmtId="0" fontId="117" fillId="0" borderId="0" xfId="14" applyFont="1" applyFill="1" applyBorder="1" applyAlignment="1"/>
    <xf numFmtId="0" fontId="101" fillId="16" borderId="60" xfId="14" applyFont="1" applyFill="1" applyBorder="1" applyAlignment="1">
      <alignment horizontal="center" vertical="center"/>
    </xf>
    <xf numFmtId="0" fontId="101" fillId="16" borderId="61" xfId="14" applyFont="1" applyFill="1" applyBorder="1" applyAlignment="1">
      <alignment horizontal="center" vertical="center"/>
    </xf>
    <xf numFmtId="2" fontId="101" fillId="16" borderId="61" xfId="14" applyNumberFormat="1" applyFont="1" applyFill="1" applyBorder="1" applyAlignment="1">
      <alignment horizontal="center" vertical="center" wrapText="1"/>
    </xf>
    <xf numFmtId="2" fontId="101" fillId="16" borderId="62" xfId="14" applyNumberFormat="1" applyFont="1" applyFill="1" applyBorder="1" applyAlignment="1">
      <alignment horizontal="center" vertical="center" wrapText="1"/>
    </xf>
    <xf numFmtId="0" fontId="101" fillId="0" borderId="63" xfId="14" applyFont="1" applyBorder="1" applyAlignment="1">
      <alignment horizontal="center"/>
    </xf>
    <xf numFmtId="0" fontId="101" fillId="0" borderId="2" xfId="14" applyFont="1" applyBorder="1" applyAlignment="1">
      <alignment horizontal="left"/>
    </xf>
    <xf numFmtId="0" fontId="101" fillId="0" borderId="2" xfId="14" applyFont="1" applyBorder="1" applyAlignment="1"/>
    <xf numFmtId="0" fontId="101" fillId="0" borderId="10" xfId="14" applyFont="1" applyBorder="1" applyAlignment="1"/>
    <xf numFmtId="0" fontId="113" fillId="0" borderId="63" xfId="14" applyFont="1" applyBorder="1" applyAlignment="1">
      <alignment horizontal="center" vertical="center"/>
    </xf>
    <xf numFmtId="0" fontId="101" fillId="0" borderId="2" xfId="14" applyFont="1" applyBorder="1" applyAlignment="1">
      <alignment horizontal="left" vertical="center"/>
    </xf>
    <xf numFmtId="0" fontId="100" fillId="0" borderId="2" xfId="14" applyFont="1" applyBorder="1" applyAlignment="1">
      <alignment horizontal="center"/>
    </xf>
    <xf numFmtId="2" fontId="100" fillId="0" borderId="2" xfId="14" applyNumberFormat="1" applyFont="1" applyBorder="1" applyAlignment="1">
      <alignment horizontal="center"/>
    </xf>
    <xf numFmtId="4" fontId="100" fillId="0" borderId="10" xfId="14" applyNumberFormat="1" applyFont="1" applyBorder="1" applyAlignment="1">
      <alignment horizontal="center"/>
    </xf>
    <xf numFmtId="0" fontId="113" fillId="0" borderId="63" xfId="14" applyFont="1" applyBorder="1" applyAlignment="1">
      <alignment horizontal="center"/>
    </xf>
    <xf numFmtId="0" fontId="100" fillId="0" borderId="2" xfId="14" applyFont="1" applyFill="1" applyBorder="1" applyAlignment="1">
      <alignment horizontal="left"/>
    </xf>
    <xf numFmtId="0" fontId="100" fillId="0" borderId="2" xfId="14" applyFont="1" applyFill="1" applyBorder="1" applyAlignment="1">
      <alignment horizontal="center"/>
    </xf>
    <xf numFmtId="2" fontId="100" fillId="0" borderId="2" xfId="14" applyNumberFormat="1" applyFont="1" applyFill="1" applyBorder="1" applyAlignment="1">
      <alignment horizontal="center"/>
    </xf>
    <xf numFmtId="171" fontId="100" fillId="0" borderId="2" xfId="14" applyNumberFormat="1" applyFont="1" applyFill="1" applyBorder="1" applyAlignment="1">
      <alignment horizontal="right" indent="1"/>
    </xf>
    <xf numFmtId="171" fontId="100" fillId="0" borderId="10" xfId="14" applyNumberFormat="1" applyFont="1" applyFill="1" applyBorder="1" applyAlignment="1">
      <alignment horizontal="right" indent="1"/>
    </xf>
    <xf numFmtId="178" fontId="100" fillId="0" borderId="2" xfId="4" applyFont="1" applyFill="1" applyBorder="1" applyAlignment="1">
      <alignment horizontal="center"/>
    </xf>
    <xf numFmtId="178" fontId="100" fillId="0" borderId="2" xfId="4" applyFont="1" applyFill="1" applyBorder="1" applyAlignment="1">
      <alignment horizontal="right" indent="1"/>
    </xf>
    <xf numFmtId="171" fontId="115" fillId="0" borderId="0" xfId="14" applyNumberFormat="1" applyFont="1"/>
    <xf numFmtId="0" fontId="101" fillId="0" borderId="2" xfId="14" applyFont="1" applyFill="1" applyBorder="1" applyAlignment="1">
      <alignment horizontal="left"/>
    </xf>
    <xf numFmtId="0" fontId="101" fillId="0" borderId="2" xfId="14" applyFont="1" applyBorder="1" applyAlignment="1">
      <alignment horizontal="center"/>
    </xf>
    <xf numFmtId="0" fontId="101" fillId="0" borderId="10" xfId="14" applyFont="1" applyFill="1" applyBorder="1" applyAlignment="1">
      <alignment horizontal="center"/>
    </xf>
    <xf numFmtId="4" fontId="115" fillId="0" borderId="0" xfId="14" applyNumberFormat="1" applyFont="1"/>
    <xf numFmtId="179" fontId="100" fillId="0" borderId="2" xfId="14" applyNumberFormat="1" applyFont="1" applyFill="1" applyBorder="1" applyAlignment="1">
      <alignment horizontal="left"/>
    </xf>
    <xf numFmtId="180" fontId="100" fillId="0" borderId="2" xfId="14" applyNumberFormat="1" applyFont="1" applyFill="1" applyBorder="1" applyAlignment="1">
      <alignment horizontal="left"/>
    </xf>
    <xf numFmtId="181" fontId="100" fillId="0" borderId="2" xfId="14" applyNumberFormat="1" applyFont="1" applyFill="1" applyBorder="1" applyAlignment="1">
      <alignment horizontal="left"/>
    </xf>
    <xf numFmtId="182" fontId="100" fillId="0" borderId="2" xfId="14" applyNumberFormat="1" applyFont="1" applyFill="1" applyBorder="1" applyAlignment="1">
      <alignment horizontal="left"/>
    </xf>
    <xf numFmtId="0" fontId="101" fillId="0" borderId="63" xfId="14" applyFont="1" applyFill="1" applyBorder="1" applyAlignment="1">
      <alignment horizontal="center"/>
    </xf>
    <xf numFmtId="4" fontId="100" fillId="0" borderId="2" xfId="14" applyNumberFormat="1" applyFont="1" applyFill="1" applyBorder="1" applyAlignment="1">
      <alignment horizontal="center"/>
    </xf>
    <xf numFmtId="4" fontId="100" fillId="0" borderId="10" xfId="14" applyNumberFormat="1" applyFont="1" applyFill="1" applyBorder="1" applyAlignment="1">
      <alignment horizontal="center"/>
    </xf>
    <xf numFmtId="4" fontId="100" fillId="0" borderId="2" xfId="14" applyNumberFormat="1" applyFont="1" applyFill="1" applyBorder="1" applyAlignment="1">
      <alignment horizontal="right" indent="1"/>
    </xf>
    <xf numFmtId="4" fontId="100" fillId="0" borderId="10" xfId="14" applyNumberFormat="1" applyFont="1" applyFill="1" applyBorder="1" applyAlignment="1">
      <alignment horizontal="right" indent="1"/>
    </xf>
    <xf numFmtId="0" fontId="1" fillId="0" borderId="0" xfId="14" applyFill="1"/>
    <xf numFmtId="174" fontId="1" fillId="0" borderId="0" xfId="14" applyNumberFormat="1" applyFill="1"/>
    <xf numFmtId="183" fontId="1" fillId="0" borderId="0" xfId="14" applyNumberFormat="1" applyFill="1"/>
    <xf numFmtId="0" fontId="101" fillId="0" borderId="2" xfId="14" applyFont="1" applyFill="1" applyBorder="1" applyAlignment="1"/>
    <xf numFmtId="0" fontId="101" fillId="0" borderId="10" xfId="14" applyFont="1" applyFill="1" applyBorder="1" applyAlignment="1"/>
    <xf numFmtId="171" fontId="101" fillId="0" borderId="11" xfId="14" applyNumberFormat="1" applyFont="1" applyFill="1" applyBorder="1"/>
    <xf numFmtId="0" fontId="52" fillId="0" borderId="0" xfId="14" applyFont="1" applyBorder="1"/>
    <xf numFmtId="0" fontId="1" fillId="5" borderId="0" xfId="14" applyFill="1"/>
    <xf numFmtId="0" fontId="1" fillId="6" borderId="0" xfId="14" applyFill="1"/>
    <xf numFmtId="0" fontId="1" fillId="7" borderId="0" xfId="14" applyFill="1"/>
    <xf numFmtId="171" fontId="118" fillId="0" borderId="0" xfId="14" applyNumberFormat="1" applyFont="1"/>
    <xf numFmtId="171" fontId="48" fillId="0" borderId="11" xfId="14" applyNumberFormat="1" applyFont="1" applyFill="1" applyBorder="1" applyAlignment="1">
      <alignment vertical="center"/>
    </xf>
    <xf numFmtId="171" fontId="48" fillId="0" borderId="64" xfId="14" applyNumberFormat="1" applyFont="1" applyFill="1" applyBorder="1" applyAlignment="1">
      <alignment vertical="center"/>
    </xf>
    <xf numFmtId="171" fontId="60" fillId="0" borderId="64" xfId="14" applyNumberFormat="1" applyFont="1" applyFill="1" applyBorder="1" applyAlignment="1">
      <alignment vertical="center"/>
    </xf>
    <xf numFmtId="0" fontId="59" fillId="0" borderId="65" xfId="14" applyFont="1" applyBorder="1" applyAlignment="1">
      <alignment horizontal="center" vertical="center"/>
    </xf>
    <xf numFmtId="0" fontId="48" fillId="0" borderId="0" xfId="14" applyFont="1"/>
    <xf numFmtId="171" fontId="48" fillId="0" borderId="13" xfId="14" applyNumberFormat="1" applyFont="1" applyFill="1" applyBorder="1" applyAlignment="1">
      <alignment vertical="center"/>
    </xf>
    <xf numFmtId="171" fontId="48" fillId="0" borderId="4" xfId="14" applyNumberFormat="1" applyFont="1" applyFill="1" applyBorder="1" applyAlignment="1">
      <alignment vertical="center"/>
    </xf>
    <xf numFmtId="0" fontId="59" fillId="0" borderId="12" xfId="14" applyFont="1" applyBorder="1" applyAlignment="1">
      <alignment horizontal="center" vertical="center"/>
    </xf>
    <xf numFmtId="171" fontId="48" fillId="0" borderId="66" xfId="14" applyNumberFormat="1" applyFont="1" applyFill="1" applyBorder="1" applyAlignment="1">
      <alignment vertical="center"/>
    </xf>
    <xf numFmtId="4" fontId="48" fillId="0" borderId="64" xfId="14" applyNumberFormat="1" applyFont="1" applyFill="1" applyBorder="1" applyAlignment="1">
      <alignment horizontal="center" vertical="center"/>
    </xf>
    <xf numFmtId="0" fontId="48" fillId="0" borderId="67" xfId="14" applyFont="1" applyFill="1" applyBorder="1" applyAlignment="1">
      <alignment horizontal="center"/>
    </xf>
    <xf numFmtId="0" fontId="48" fillId="0" borderId="65" xfId="14" applyFont="1" applyFill="1" applyBorder="1" applyAlignment="1"/>
    <xf numFmtId="2" fontId="61" fillId="0" borderId="0" xfId="14" applyNumberFormat="1" applyFont="1" applyBorder="1" applyAlignment="1">
      <alignment horizontal="center"/>
    </xf>
    <xf numFmtId="171" fontId="48" fillId="0" borderId="3" xfId="14" applyNumberFormat="1" applyFont="1" applyFill="1" applyBorder="1" applyAlignment="1">
      <alignment vertical="center"/>
    </xf>
    <xf numFmtId="171" fontId="48" fillId="0" borderId="2" xfId="14" applyNumberFormat="1" applyFont="1" applyFill="1" applyBorder="1" applyAlignment="1">
      <alignment vertical="center"/>
    </xf>
    <xf numFmtId="171" fontId="60" fillId="0" borderId="3" xfId="14" applyNumberFormat="1" applyFont="1" applyFill="1" applyBorder="1" applyAlignment="1">
      <alignment vertical="center"/>
    </xf>
    <xf numFmtId="4" fontId="48" fillId="0" borderId="3" xfId="14" applyNumberFormat="1" applyFont="1" applyFill="1" applyBorder="1" applyAlignment="1">
      <alignment horizontal="center" vertical="center"/>
    </xf>
    <xf numFmtId="0" fontId="48" fillId="0" borderId="18" xfId="14" applyFont="1" applyFill="1" applyBorder="1" applyAlignment="1">
      <alignment horizontal="center"/>
    </xf>
    <xf numFmtId="0" fontId="48" fillId="0" borderId="63" xfId="14" applyFont="1" applyFill="1" applyBorder="1" applyAlignment="1"/>
    <xf numFmtId="2" fontId="61" fillId="0" borderId="5" xfId="14" applyNumberFormat="1" applyFont="1" applyBorder="1" applyAlignment="1">
      <alignment horizontal="center"/>
    </xf>
    <xf numFmtId="4" fontId="48" fillId="0" borderId="2" xfId="14" applyNumberFormat="1" applyFont="1" applyFill="1" applyBorder="1" applyAlignment="1">
      <alignment horizontal="center" vertical="center"/>
    </xf>
    <xf numFmtId="171" fontId="48" fillId="0" borderId="2" xfId="14" applyNumberFormat="1" applyFont="1" applyFill="1" applyBorder="1" applyAlignment="1">
      <alignment horizontal="center" vertical="center"/>
    </xf>
    <xf numFmtId="171" fontId="60" fillId="0" borderId="2" xfId="14" applyNumberFormat="1" applyFont="1" applyFill="1" applyBorder="1" applyAlignment="1">
      <alignment vertical="center"/>
    </xf>
    <xf numFmtId="171" fontId="60" fillId="0" borderId="4" xfId="14" applyNumberFormat="1" applyFont="1" applyFill="1" applyBorder="1" applyAlignment="1">
      <alignment vertical="center"/>
    </xf>
    <xf numFmtId="4" fontId="48" fillId="0" borderId="4" xfId="14" applyNumberFormat="1" applyFont="1" applyFill="1" applyBorder="1" applyAlignment="1">
      <alignment horizontal="center" vertical="center"/>
    </xf>
    <xf numFmtId="0" fontId="100" fillId="0" borderId="63" xfId="14" applyFont="1" applyFill="1" applyBorder="1" applyAlignment="1">
      <alignment horizontal="left"/>
    </xf>
    <xf numFmtId="0" fontId="48" fillId="0" borderId="9" xfId="14" applyFont="1" applyFill="1" applyBorder="1" applyAlignment="1">
      <alignment horizontal="center"/>
    </xf>
    <xf numFmtId="0" fontId="5" fillId="0" borderId="0" xfId="14" applyFont="1" applyBorder="1"/>
    <xf numFmtId="0" fontId="59" fillId="16" borderId="15" xfId="14" applyFont="1" applyFill="1" applyBorder="1" applyAlignment="1">
      <alignment horizontal="center" wrapText="1"/>
    </xf>
    <xf numFmtId="0" fontId="59" fillId="16" borderId="68" xfId="14" applyFont="1" applyFill="1" applyBorder="1" applyAlignment="1">
      <alignment horizontal="center" vertical="center"/>
    </xf>
    <xf numFmtId="184" fontId="59" fillId="16" borderId="68" xfId="14" applyNumberFormat="1" applyFont="1" applyFill="1" applyBorder="1" applyAlignment="1">
      <alignment horizontal="center" vertical="center"/>
    </xf>
    <xf numFmtId="185" fontId="59" fillId="16" borderId="68" xfId="14" applyNumberFormat="1" applyFont="1" applyFill="1" applyBorder="1" applyAlignment="1">
      <alignment horizontal="center" vertical="center"/>
    </xf>
    <xf numFmtId="186" fontId="59" fillId="16" borderId="68" xfId="14" applyNumberFormat="1" applyFont="1" applyFill="1" applyBorder="1" applyAlignment="1" applyProtection="1">
      <alignment horizontal="center" vertical="center"/>
    </xf>
    <xf numFmtId="187" fontId="59" fillId="16" borderId="68" xfId="14" applyNumberFormat="1" applyFont="1" applyFill="1" applyBorder="1" applyAlignment="1">
      <alignment horizontal="center" vertical="center"/>
    </xf>
    <xf numFmtId="188" fontId="59" fillId="16" borderId="68" xfId="14" applyNumberFormat="1" applyFont="1" applyFill="1" applyBorder="1" applyAlignment="1">
      <alignment horizontal="center" vertical="center"/>
    </xf>
    <xf numFmtId="188" fontId="62" fillId="16" borderId="68" xfId="14" applyNumberFormat="1" applyFont="1" applyFill="1" applyBorder="1" applyAlignment="1">
      <alignment horizontal="center" vertical="center"/>
    </xf>
    <xf numFmtId="189" fontId="63" fillId="16" borderId="68" xfId="14" applyNumberFormat="1" applyFont="1" applyFill="1" applyBorder="1" applyAlignment="1">
      <alignment horizontal="center" vertical="center"/>
    </xf>
    <xf numFmtId="0" fontId="59" fillId="16" borderId="69" xfId="14" applyFont="1" applyFill="1" applyBorder="1" applyAlignment="1">
      <alignment horizontal="center" vertical="center" wrapText="1"/>
    </xf>
    <xf numFmtId="2" fontId="57" fillId="16" borderId="68" xfId="14" applyNumberFormat="1" applyFont="1" applyFill="1" applyBorder="1" applyAlignment="1">
      <alignment horizontal="center" vertical="center" wrapText="1"/>
    </xf>
    <xf numFmtId="0" fontId="59" fillId="16" borderId="14" xfId="14" applyFont="1" applyFill="1" applyBorder="1" applyAlignment="1">
      <alignment horizontal="center" vertical="center" wrapText="1"/>
    </xf>
    <xf numFmtId="0" fontId="65" fillId="0" borderId="0" xfId="14" applyFont="1"/>
    <xf numFmtId="0" fontId="59" fillId="0" borderId="65" xfId="14" applyFont="1" applyFill="1" applyBorder="1" applyAlignment="1">
      <alignment horizontal="center" vertical="center"/>
    </xf>
    <xf numFmtId="0" fontId="48" fillId="0" borderId="0" xfId="14" applyFont="1" applyFill="1"/>
    <xf numFmtId="0" fontId="59" fillId="0" borderId="12" xfId="14" applyFont="1" applyFill="1" applyBorder="1" applyAlignment="1">
      <alignment horizontal="center" vertical="center"/>
    </xf>
    <xf numFmtId="4" fontId="48" fillId="0" borderId="67" xfId="14" applyNumberFormat="1" applyFont="1" applyFill="1" applyBorder="1" applyAlignment="1">
      <alignment horizontal="center" vertical="center"/>
    </xf>
    <xf numFmtId="0" fontId="48" fillId="0" borderId="70" xfId="14" applyFont="1" applyFill="1" applyBorder="1" applyAlignment="1">
      <alignment horizontal="center"/>
    </xf>
    <xf numFmtId="0" fontId="48" fillId="0" borderId="71" xfId="14" applyFont="1" applyFill="1" applyBorder="1" applyAlignment="1">
      <alignment horizontal="left"/>
    </xf>
    <xf numFmtId="171" fontId="48" fillId="0" borderId="10" xfId="14" applyNumberFormat="1" applyFont="1" applyFill="1" applyBorder="1" applyAlignment="1">
      <alignment vertical="center"/>
    </xf>
    <xf numFmtId="4" fontId="48" fillId="0" borderId="18" xfId="14" applyNumberFormat="1" applyFont="1" applyFill="1" applyBorder="1" applyAlignment="1">
      <alignment horizontal="center" vertical="center"/>
    </xf>
    <xf numFmtId="0" fontId="48" fillId="0" borderId="72" xfId="14" applyFont="1" applyFill="1" applyBorder="1" applyAlignment="1">
      <alignment horizontal="center"/>
    </xf>
    <xf numFmtId="0" fontId="48" fillId="0" borderId="73" xfId="14" applyFont="1" applyFill="1" applyBorder="1" applyAlignment="1">
      <alignment horizontal="left"/>
    </xf>
    <xf numFmtId="178" fontId="48" fillId="0" borderId="10" xfId="4" applyFont="1" applyFill="1" applyBorder="1" applyAlignment="1">
      <alignment horizontal="center" vertical="center"/>
    </xf>
    <xf numFmtId="178" fontId="48" fillId="0" borderId="2" xfId="4" applyFont="1" applyFill="1" applyBorder="1" applyAlignment="1">
      <alignment horizontal="center" vertical="center"/>
    </xf>
    <xf numFmtId="178" fontId="60" fillId="0" borderId="2" xfId="4" applyFont="1" applyFill="1" applyBorder="1" applyAlignment="1">
      <alignment horizontal="center" vertical="center"/>
    </xf>
    <xf numFmtId="178" fontId="48" fillId="0" borderId="18" xfId="4" applyFont="1" applyFill="1" applyBorder="1" applyAlignment="1">
      <alignment horizontal="center" vertical="center"/>
    </xf>
    <xf numFmtId="178" fontId="48" fillId="0" borderId="72" xfId="4" applyFont="1" applyFill="1" applyBorder="1" applyAlignment="1">
      <alignment horizontal="center" vertical="center"/>
    </xf>
    <xf numFmtId="0" fontId="58" fillId="0" borderId="0" xfId="14" applyFont="1"/>
    <xf numFmtId="0" fontId="48" fillId="0" borderId="73" xfId="14" applyFont="1" applyFill="1" applyBorder="1" applyAlignment="1"/>
    <xf numFmtId="4" fontId="58" fillId="0" borderId="0" xfId="14" applyNumberFormat="1" applyFont="1"/>
    <xf numFmtId="190" fontId="58" fillId="0" borderId="0" xfId="14" applyNumberFormat="1" applyFont="1"/>
    <xf numFmtId="4" fontId="48" fillId="0" borderId="9" xfId="14" applyNumberFormat="1" applyFont="1" applyFill="1" applyBorder="1" applyAlignment="1">
      <alignment horizontal="center" vertical="center"/>
    </xf>
    <xf numFmtId="0" fontId="48" fillId="0" borderId="74" xfId="14" applyFont="1" applyFill="1" applyBorder="1" applyAlignment="1">
      <alignment horizontal="center"/>
    </xf>
    <xf numFmtId="0" fontId="48" fillId="0" borderId="22" xfId="14" applyFont="1" applyFill="1" applyBorder="1" applyAlignment="1"/>
    <xf numFmtId="0" fontId="66" fillId="0" borderId="0" xfId="14" applyFont="1"/>
    <xf numFmtId="0" fontId="62" fillId="16" borderId="15" xfId="14" applyFont="1" applyFill="1" applyBorder="1" applyAlignment="1">
      <alignment horizontal="center" vertical="center" wrapText="1"/>
    </xf>
    <xf numFmtId="0" fontId="62" fillId="16" borderId="68" xfId="14" applyFont="1" applyFill="1" applyBorder="1" applyAlignment="1">
      <alignment horizontal="center" vertical="center"/>
    </xf>
    <xf numFmtId="184" fontId="62" fillId="16" borderId="68" xfId="14" applyNumberFormat="1" applyFont="1" applyFill="1" applyBorder="1" applyAlignment="1">
      <alignment horizontal="center" vertical="center"/>
    </xf>
    <xf numFmtId="185" fontId="62" fillId="16" borderId="68" xfId="14" applyNumberFormat="1" applyFont="1" applyFill="1" applyBorder="1" applyAlignment="1">
      <alignment horizontal="center" vertical="center"/>
    </xf>
    <xf numFmtId="186" fontId="62" fillId="16" borderId="68" xfId="14" applyNumberFormat="1" applyFont="1" applyFill="1" applyBorder="1" applyAlignment="1" applyProtection="1">
      <alignment horizontal="center" vertical="center"/>
      <protection locked="0"/>
    </xf>
    <xf numFmtId="187" fontId="62" fillId="16" borderId="68" xfId="14" applyNumberFormat="1" applyFont="1" applyFill="1" applyBorder="1" applyAlignment="1">
      <alignment horizontal="center" vertical="center"/>
    </xf>
    <xf numFmtId="189" fontId="67" fillId="16" borderId="68" xfId="14" applyNumberFormat="1" applyFont="1" applyFill="1" applyBorder="1" applyAlignment="1" applyProtection="1">
      <alignment horizontal="center" vertical="center"/>
      <protection locked="0"/>
    </xf>
    <xf numFmtId="0" fontId="62" fillId="16" borderId="69" xfId="14" applyFont="1" applyFill="1" applyBorder="1" applyAlignment="1">
      <alignment horizontal="center" vertical="center" wrapText="1"/>
    </xf>
    <xf numFmtId="0" fontId="62" fillId="16" borderId="75" xfId="14" applyFont="1" applyFill="1" applyBorder="1" applyAlignment="1">
      <alignment horizontal="center" vertical="center"/>
    </xf>
    <xf numFmtId="2" fontId="57" fillId="16" borderId="76" xfId="14" applyNumberFormat="1" applyFont="1" applyFill="1" applyBorder="1" applyAlignment="1">
      <alignment horizontal="center" vertical="center" wrapText="1"/>
    </xf>
    <xf numFmtId="0" fontId="62" fillId="16" borderId="77" xfId="14" applyFont="1" applyFill="1" applyBorder="1" applyAlignment="1">
      <alignment horizontal="center" vertical="center" wrapText="1"/>
    </xf>
    <xf numFmtId="0" fontId="68" fillId="0" borderId="0" xfId="14" applyFont="1" applyFill="1"/>
    <xf numFmtId="0" fontId="68" fillId="0" borderId="0" xfId="0" applyFont="1" applyFill="1" applyAlignment="1">
      <alignment vertical="center"/>
    </xf>
    <xf numFmtId="0" fontId="68" fillId="0" borderId="0" xfId="0" applyFont="1" applyFill="1" applyAlignment="1">
      <alignment horizontal="center" vertical="center"/>
    </xf>
    <xf numFmtId="0" fontId="68" fillId="2" borderId="0" xfId="0" applyFont="1" applyFill="1" applyAlignment="1">
      <alignment vertical="center"/>
    </xf>
    <xf numFmtId="166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Alignment="1" applyProtection="1">
      <alignment vertical="center"/>
    </xf>
    <xf numFmtId="166" fontId="68" fillId="0" borderId="0" xfId="0" applyNumberFormat="1" applyFont="1" applyFill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/>
    </xf>
    <xf numFmtId="4" fontId="68" fillId="2" borderId="10" xfId="7" applyNumberFormat="1" applyFont="1" applyFill="1" applyBorder="1" applyAlignment="1">
      <alignment vertical="center"/>
    </xf>
    <xf numFmtId="4" fontId="62" fillId="2" borderId="11" xfId="7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horizontal="center" vertical="center"/>
    </xf>
    <xf numFmtId="166" fontId="68" fillId="0" borderId="3" xfId="0" applyNumberFormat="1" applyFont="1" applyFill="1" applyBorder="1" applyAlignment="1" applyProtection="1">
      <alignment horizontal="center" vertical="center"/>
    </xf>
    <xf numFmtId="4" fontId="68" fillId="0" borderId="3" xfId="0" applyNumberFormat="1" applyFont="1" applyFill="1" applyBorder="1" applyAlignment="1">
      <alignment horizontal="center" vertical="center"/>
    </xf>
    <xf numFmtId="0" fontId="68" fillId="2" borderId="2" xfId="0" applyFont="1" applyFill="1" applyBorder="1" applyAlignment="1">
      <alignment horizontal="center" vertical="center"/>
    </xf>
    <xf numFmtId="4" fontId="73" fillId="0" borderId="0" xfId="0" applyNumberFormat="1" applyFont="1" applyAlignment="1">
      <alignment vertical="center"/>
    </xf>
    <xf numFmtId="4" fontId="75" fillId="0" borderId="0" xfId="0" applyNumberFormat="1" applyFont="1" applyAlignment="1">
      <alignment horizontal="center" vertical="center"/>
    </xf>
    <xf numFmtId="4" fontId="78" fillId="0" borderId="0" xfId="0" applyNumberFormat="1" applyFont="1" applyBorder="1" applyAlignment="1">
      <alignment horizontal="center" vertical="center" wrapText="1"/>
    </xf>
    <xf numFmtId="4" fontId="78" fillId="0" borderId="0" xfId="0" applyNumberFormat="1" applyFont="1" applyAlignment="1">
      <alignment horizontal="center" vertical="center" wrapText="1"/>
    </xf>
    <xf numFmtId="4" fontId="76" fillId="8" borderId="0" xfId="0" applyNumberFormat="1" applyFont="1" applyFill="1" applyBorder="1" applyAlignment="1">
      <alignment horizontal="center" vertical="center" wrapText="1"/>
    </xf>
    <xf numFmtId="4" fontId="70" fillId="0" borderId="0" xfId="0" applyNumberFormat="1" applyFont="1" applyAlignment="1">
      <alignment vertical="center" wrapText="1"/>
    </xf>
    <xf numFmtId="4" fontId="79" fillId="9" borderId="64" xfId="0" applyNumberFormat="1" applyFont="1" applyFill="1" applyBorder="1" applyAlignment="1">
      <alignment horizontal="center" vertical="center"/>
    </xf>
    <xf numFmtId="4" fontId="79" fillId="9" borderId="11" xfId="0" applyNumberFormat="1" applyFont="1" applyFill="1" applyBorder="1" applyAlignment="1">
      <alignment horizontal="center" vertical="center"/>
    </xf>
    <xf numFmtId="4" fontId="78" fillId="0" borderId="0" xfId="0" applyNumberFormat="1" applyFont="1" applyBorder="1" applyAlignment="1">
      <alignment horizontal="center" vertical="center"/>
    </xf>
    <xf numFmtId="4" fontId="78" fillId="0" borderId="0" xfId="0" applyNumberFormat="1" applyFont="1" applyAlignment="1">
      <alignment horizontal="center" vertical="center"/>
    </xf>
    <xf numFmtId="4" fontId="77" fillId="9" borderId="0" xfId="0" applyNumberFormat="1" applyFont="1" applyFill="1" applyBorder="1" applyAlignment="1">
      <alignment horizontal="center" vertical="center"/>
    </xf>
    <xf numFmtId="4" fontId="79" fillId="9" borderId="0" xfId="0" applyNumberFormat="1" applyFont="1" applyFill="1" applyBorder="1" applyAlignment="1">
      <alignment horizontal="center" vertical="center"/>
    </xf>
    <xf numFmtId="4" fontId="70" fillId="0" borderId="0" xfId="0" applyNumberFormat="1" applyFont="1" applyAlignment="1">
      <alignment vertical="center"/>
    </xf>
    <xf numFmtId="0" fontId="80" fillId="0" borderId="80" xfId="0" applyFont="1" applyBorder="1" applyAlignment="1">
      <alignment horizontal="center" vertical="center"/>
    </xf>
    <xf numFmtId="4" fontId="79" fillId="0" borderId="12" xfId="0" applyNumberFormat="1" applyFont="1" applyBorder="1" applyAlignment="1">
      <alignment vertical="center"/>
    </xf>
    <xf numFmtId="4" fontId="81" fillId="20" borderId="4" xfId="9" applyNumberFormat="1" applyFont="1" applyFill="1" applyBorder="1" applyAlignment="1">
      <alignment horizontal="center" vertical="center"/>
    </xf>
    <xf numFmtId="4" fontId="81" fillId="0" borderId="4" xfId="9" applyNumberFormat="1" applyFont="1" applyBorder="1" applyAlignment="1">
      <alignment horizontal="center" vertical="center"/>
    </xf>
    <xf numFmtId="4" fontId="81" fillId="0" borderId="13" xfId="9" applyNumberFormat="1" applyFont="1" applyBorder="1" applyAlignment="1">
      <alignment horizontal="center" vertical="center"/>
    </xf>
    <xf numFmtId="4" fontId="80" fillId="0" borderId="0" xfId="0" applyNumberFormat="1" applyFont="1" applyBorder="1" applyAlignment="1">
      <alignment vertical="center"/>
    </xf>
    <xf numFmtId="4" fontId="80" fillId="0" borderId="0" xfId="0" applyNumberFormat="1" applyFont="1" applyAlignment="1">
      <alignment horizontal="center" vertical="center"/>
    </xf>
    <xf numFmtId="4" fontId="79" fillId="0" borderId="0" xfId="0" applyNumberFormat="1" applyFont="1" applyFill="1" applyBorder="1" applyAlignment="1">
      <alignment vertical="center"/>
    </xf>
    <xf numFmtId="4" fontId="81" fillId="0" borderId="0" xfId="0" applyNumberFormat="1" applyFont="1" applyFill="1" applyBorder="1" applyAlignment="1">
      <alignment vertical="center"/>
    </xf>
    <xf numFmtId="4" fontId="81" fillId="0" borderId="0" xfId="0" applyNumberFormat="1" applyFont="1" applyFill="1" applyBorder="1" applyAlignment="1">
      <alignment horizontal="center" vertical="center"/>
    </xf>
    <xf numFmtId="0" fontId="80" fillId="0" borderId="81" xfId="0" applyFont="1" applyBorder="1" applyAlignment="1">
      <alignment horizontal="center" vertical="center"/>
    </xf>
    <xf numFmtId="4" fontId="81" fillId="0" borderId="63" xfId="0" applyNumberFormat="1" applyFont="1" applyBorder="1" applyAlignment="1">
      <alignment vertical="center"/>
    </xf>
    <xf numFmtId="4" fontId="81" fillId="0" borderId="2" xfId="9" applyNumberFormat="1" applyFont="1" applyBorder="1" applyAlignment="1">
      <alignment horizontal="center" vertical="center"/>
    </xf>
    <xf numFmtId="4" fontId="81" fillId="0" borderId="10" xfId="9" applyNumberFormat="1" applyFont="1" applyBorder="1" applyAlignment="1">
      <alignment horizontal="center" vertical="center"/>
    </xf>
    <xf numFmtId="3" fontId="80" fillId="0" borderId="81" xfId="0" applyNumberFormat="1" applyFont="1" applyFill="1" applyBorder="1" applyAlignment="1">
      <alignment horizontal="center" vertical="center"/>
    </xf>
    <xf numFmtId="4" fontId="81" fillId="0" borderId="63" xfId="0" applyNumberFormat="1" applyFont="1" applyFill="1" applyBorder="1" applyAlignment="1">
      <alignment vertical="center"/>
    </xf>
    <xf numFmtId="4" fontId="81" fillId="0" borderId="2" xfId="9" applyNumberFormat="1" applyFont="1" applyFill="1" applyBorder="1" applyAlignment="1">
      <alignment horizontal="center" vertical="center"/>
    </xf>
    <xf numFmtId="4" fontId="81" fillId="0" borderId="10" xfId="9" applyNumberFormat="1" applyFont="1" applyFill="1" applyBorder="1" applyAlignment="1">
      <alignment horizontal="center" vertical="center"/>
    </xf>
    <xf numFmtId="4" fontId="80" fillId="0" borderId="0" xfId="0" applyNumberFormat="1" applyFont="1" applyFill="1" applyBorder="1" applyAlignment="1">
      <alignment vertical="center"/>
    </xf>
    <xf numFmtId="4" fontId="80" fillId="0" borderId="0" xfId="0" applyNumberFormat="1" applyFont="1" applyFill="1" applyAlignment="1">
      <alignment horizontal="center" vertical="center"/>
    </xf>
    <xf numFmtId="4" fontId="70" fillId="0" borderId="0" xfId="0" applyNumberFormat="1" applyFont="1" applyFill="1" applyAlignment="1">
      <alignment vertical="center"/>
    </xf>
    <xf numFmtId="4" fontId="81" fillId="0" borderId="63" xfId="0" applyNumberFormat="1" applyFont="1" applyBorder="1" applyAlignment="1">
      <alignment horizontal="left" vertical="center"/>
    </xf>
    <xf numFmtId="4" fontId="81" fillId="0" borderId="0" xfId="0" applyNumberFormat="1" applyFont="1" applyFill="1" applyBorder="1" applyAlignment="1">
      <alignment horizontal="left" vertical="center"/>
    </xf>
    <xf numFmtId="0" fontId="80" fillId="0" borderId="82" xfId="0" applyFont="1" applyBorder="1" applyAlignment="1">
      <alignment horizontal="center" vertical="center"/>
    </xf>
    <xf numFmtId="0" fontId="80" fillId="0" borderId="83" xfId="0" applyFont="1" applyBorder="1" applyAlignment="1">
      <alignment horizontal="center" vertical="center"/>
    </xf>
    <xf numFmtId="4" fontId="82" fillId="0" borderId="2" xfId="9" applyNumberFormat="1" applyFont="1" applyBorder="1" applyAlignment="1" applyProtection="1">
      <alignment vertical="center"/>
      <protection locked="0"/>
    </xf>
    <xf numFmtId="4" fontId="82" fillId="0" borderId="0" xfId="0" applyNumberFormat="1" applyFont="1" applyFill="1" applyBorder="1" applyAlignment="1" applyProtection="1">
      <alignment vertical="center"/>
      <protection locked="0"/>
    </xf>
    <xf numFmtId="0" fontId="81" fillId="0" borderId="84" xfId="0" applyFont="1" applyBorder="1" applyAlignment="1">
      <alignment horizontal="left" vertical="center"/>
    </xf>
    <xf numFmtId="0" fontId="78" fillId="8" borderId="85" xfId="0" applyFont="1" applyFill="1" applyBorder="1" applyAlignment="1">
      <alignment horizontal="center" vertical="center"/>
    </xf>
    <xf numFmtId="4" fontId="79" fillId="8" borderId="65" xfId="0" applyNumberFormat="1" applyFont="1" applyFill="1" applyBorder="1" applyAlignment="1">
      <alignment horizontal="left" vertical="center"/>
    </xf>
    <xf numFmtId="4" fontId="83" fillId="8" borderId="64" xfId="9" applyNumberFormat="1" applyFont="1" applyFill="1" applyBorder="1" applyAlignment="1">
      <alignment vertical="center"/>
    </xf>
    <xf numFmtId="4" fontId="83" fillId="8" borderId="64" xfId="9" applyNumberFormat="1" applyFont="1" applyFill="1" applyBorder="1" applyAlignment="1">
      <alignment horizontal="center" vertical="center"/>
    </xf>
    <xf numFmtId="4" fontId="66" fillId="8" borderId="64" xfId="9" applyNumberFormat="1" applyFont="1" applyFill="1" applyBorder="1" applyAlignment="1" applyProtection="1">
      <alignment vertical="center"/>
      <protection locked="0"/>
    </xf>
    <xf numFmtId="4" fontId="84" fillId="8" borderId="64" xfId="9" applyNumberFormat="1" applyFont="1" applyFill="1" applyBorder="1" applyAlignment="1">
      <alignment vertical="center"/>
    </xf>
    <xf numFmtId="4" fontId="84" fillId="8" borderId="11" xfId="9" applyNumberFormat="1" applyFont="1" applyFill="1" applyBorder="1" applyAlignment="1">
      <alignment vertical="center"/>
    </xf>
    <xf numFmtId="4" fontId="79" fillId="8" borderId="0" xfId="0" applyNumberFormat="1" applyFont="1" applyFill="1" applyBorder="1" applyAlignment="1">
      <alignment horizontal="left" vertical="center"/>
    </xf>
    <xf numFmtId="4" fontId="79" fillId="8" borderId="0" xfId="0" applyNumberFormat="1" applyFont="1" applyFill="1" applyBorder="1" applyAlignment="1">
      <alignment vertical="center"/>
    </xf>
    <xf numFmtId="4" fontId="79" fillId="8" borderId="0" xfId="0" applyNumberFormat="1" applyFont="1" applyFill="1" applyBorder="1" applyAlignment="1">
      <alignment horizontal="center" vertical="center"/>
    </xf>
    <xf numFmtId="4" fontId="85" fillId="8" borderId="0" xfId="0" applyNumberFormat="1" applyFont="1" applyFill="1" applyBorder="1" applyAlignment="1" applyProtection="1">
      <alignment vertical="center"/>
      <protection locked="0"/>
    </xf>
    <xf numFmtId="4" fontId="70" fillId="0" borderId="0" xfId="0" applyNumberFormat="1" applyFont="1" applyBorder="1" applyAlignment="1">
      <alignment vertical="center"/>
    </xf>
    <xf numFmtId="4" fontId="79" fillId="0" borderId="0" xfId="0" applyNumberFormat="1" applyFont="1" applyBorder="1" applyAlignment="1">
      <alignment horizontal="left" vertical="center"/>
    </xf>
    <xf numFmtId="4" fontId="81" fillId="0" borderId="0" xfId="0" applyNumberFormat="1" applyFont="1" applyBorder="1" applyAlignment="1">
      <alignment vertical="center"/>
    </xf>
    <xf numFmtId="4" fontId="79" fillId="0" borderId="0" xfId="0" applyNumberFormat="1" applyFont="1" applyBorder="1" applyAlignment="1">
      <alignment horizontal="center" vertical="center"/>
    </xf>
    <xf numFmtId="4" fontId="82" fillId="0" borderId="0" xfId="0" applyNumberFormat="1" applyFont="1" applyBorder="1" applyAlignment="1" applyProtection="1">
      <alignment vertical="center"/>
      <protection locked="0"/>
    </xf>
    <xf numFmtId="166" fontId="62" fillId="0" borderId="63" xfId="0" applyNumberFormat="1" applyFont="1" applyFill="1" applyBorder="1" applyAlignment="1" applyProtection="1">
      <alignment horizontal="left" vertical="center"/>
    </xf>
    <xf numFmtId="4" fontId="68" fillId="0" borderId="2" xfId="0" applyNumberFormat="1" applyFont="1" applyFill="1" applyBorder="1" applyAlignment="1" applyProtection="1">
      <alignment horizontal="center" vertical="center"/>
    </xf>
    <xf numFmtId="4" fontId="62" fillId="0" borderId="0" xfId="0" applyNumberFormat="1" applyFont="1" applyFill="1" applyBorder="1" applyAlignment="1" applyProtection="1">
      <alignment horizontal="left" vertical="center"/>
    </xf>
    <xf numFmtId="0" fontId="68" fillId="0" borderId="0" xfId="0" applyFont="1" applyFill="1" applyBorder="1" applyAlignment="1">
      <alignment vertical="center"/>
    </xf>
    <xf numFmtId="0" fontId="70" fillId="0" borderId="0" xfId="0" applyFont="1" applyAlignment="1">
      <alignment horizontal="center" vertical="center"/>
    </xf>
    <xf numFmtId="0" fontId="70" fillId="0" borderId="109" xfId="0" applyFont="1" applyBorder="1" applyAlignment="1">
      <alignment horizontal="center" vertical="center"/>
    </xf>
    <xf numFmtId="166" fontId="68" fillId="0" borderId="0" xfId="0" applyNumberFormat="1" applyFont="1" applyAlignment="1">
      <alignment vertical="center"/>
    </xf>
    <xf numFmtId="166" fontId="86" fillId="0" borderId="0" xfId="0" applyNumberFormat="1" applyFont="1" applyAlignment="1">
      <alignment horizontal="center" vertical="center"/>
    </xf>
    <xf numFmtId="166" fontId="68" fillId="0" borderId="0" xfId="0" applyNumberFormat="1" applyFont="1" applyAlignment="1">
      <alignment horizontal="center" vertical="center"/>
    </xf>
    <xf numFmtId="166" fontId="87" fillId="0" borderId="0" xfId="0" applyNumberFormat="1" applyFont="1" applyFill="1" applyAlignment="1" applyProtection="1">
      <alignment horizontal="left" vertical="center"/>
    </xf>
    <xf numFmtId="166" fontId="120" fillId="2" borderId="0" xfId="0" applyNumberFormat="1" applyFont="1" applyFill="1" applyAlignment="1" applyProtection="1">
      <alignment horizontal="left" vertical="center"/>
    </xf>
    <xf numFmtId="0" fontId="68" fillId="0" borderId="0" xfId="0" applyFont="1" applyFill="1" applyBorder="1" applyAlignment="1">
      <alignment vertical="top"/>
    </xf>
    <xf numFmtId="166" fontId="88" fillId="0" borderId="0" xfId="0" applyNumberFormat="1" applyFont="1" applyFill="1" applyAlignment="1" applyProtection="1">
      <alignment horizontal="left" vertical="top"/>
    </xf>
    <xf numFmtId="0" fontId="68" fillId="2" borderId="0" xfId="0" applyFont="1" applyFill="1" applyAlignment="1">
      <alignment vertical="top"/>
    </xf>
    <xf numFmtId="0" fontId="68" fillId="2" borderId="0" xfId="9" applyFont="1" applyFill="1" applyBorder="1"/>
    <xf numFmtId="166" fontId="119" fillId="14" borderId="14" xfId="9" applyNumberFormat="1" applyFont="1" applyFill="1" applyBorder="1" applyAlignment="1" applyProtection="1">
      <alignment horizontal="center" vertical="center"/>
    </xf>
    <xf numFmtId="0" fontId="119" fillId="14" borderId="15" xfId="9" applyFont="1" applyFill="1" applyBorder="1" applyAlignment="1">
      <alignment horizontal="center" vertical="center"/>
    </xf>
    <xf numFmtId="0" fontId="68" fillId="2" borderId="0" xfId="9" applyFont="1" applyFill="1"/>
    <xf numFmtId="166" fontId="62" fillId="0" borderId="12" xfId="0" applyNumberFormat="1" applyFont="1" applyFill="1" applyBorder="1" applyAlignment="1" applyProtection="1">
      <alignment horizontal="left" vertical="center"/>
    </xf>
    <xf numFmtId="39" fontId="68" fillId="2" borderId="92" xfId="9" applyNumberFormat="1" applyFont="1" applyFill="1" applyBorder="1" applyAlignment="1" applyProtection="1">
      <alignment vertical="center"/>
    </xf>
    <xf numFmtId="39" fontId="68" fillId="2" borderId="93" xfId="9" applyNumberFormat="1" applyFont="1" applyFill="1" applyBorder="1" applyAlignment="1" applyProtection="1">
      <alignment vertical="center"/>
    </xf>
    <xf numFmtId="39" fontId="68" fillId="2" borderId="94" xfId="9" applyNumberFormat="1" applyFont="1" applyFill="1" applyBorder="1" applyAlignment="1" applyProtection="1">
      <alignment vertical="center"/>
    </xf>
    <xf numFmtId="4" fontId="68" fillId="2" borderId="13" xfId="9" applyNumberFormat="1" applyFont="1" applyFill="1" applyBorder="1" applyAlignment="1">
      <alignment vertical="center"/>
    </xf>
    <xf numFmtId="39" fontId="68" fillId="2" borderId="16" xfId="9" applyNumberFormat="1" applyFont="1" applyFill="1" applyBorder="1" applyAlignment="1" applyProtection="1">
      <alignment vertical="center"/>
    </xf>
    <xf numFmtId="39" fontId="68" fillId="2" borderId="17" xfId="9" applyNumberFormat="1" applyFont="1" applyFill="1" applyBorder="1" applyAlignment="1" applyProtection="1">
      <alignment vertical="center"/>
    </xf>
    <xf numFmtId="39" fontId="68" fillId="2" borderId="18" xfId="9" applyNumberFormat="1" applyFont="1" applyFill="1" applyBorder="1" applyAlignment="1" applyProtection="1">
      <alignment vertical="center"/>
    </xf>
    <xf numFmtId="4" fontId="68" fillId="2" borderId="10" xfId="9" applyNumberFormat="1" applyFont="1" applyFill="1" applyBorder="1" applyAlignment="1">
      <alignment vertical="center"/>
    </xf>
    <xf numFmtId="4" fontId="62" fillId="2" borderId="11" xfId="9" applyNumberFormat="1" applyFont="1" applyFill="1" applyBorder="1" applyAlignment="1" applyProtection="1">
      <alignment vertical="center"/>
    </xf>
    <xf numFmtId="4" fontId="68" fillId="2" borderId="0" xfId="9" applyNumberFormat="1" applyFont="1" applyFill="1"/>
    <xf numFmtId="4" fontId="68" fillId="2" borderId="0" xfId="0" applyNumberFormat="1" applyFont="1" applyFill="1" applyAlignment="1">
      <alignment vertical="center"/>
    </xf>
    <xf numFmtId="166" fontId="88" fillId="0" borderId="0" xfId="0" applyNumberFormat="1" applyFont="1" applyFill="1" applyAlignment="1" applyProtection="1">
      <alignment horizontal="left" vertical="center"/>
    </xf>
    <xf numFmtId="166" fontId="89" fillId="0" borderId="0" xfId="0" applyNumberFormat="1" applyFont="1" applyFill="1" applyAlignment="1" applyProtection="1">
      <alignment horizontal="left" vertical="center"/>
    </xf>
    <xf numFmtId="166" fontId="89" fillId="0" borderId="0" xfId="0" applyNumberFormat="1" applyFont="1" applyFill="1" applyAlignment="1" applyProtection="1">
      <alignment horizontal="center" vertical="center"/>
    </xf>
    <xf numFmtId="166" fontId="86" fillId="0" borderId="0" xfId="0" quotePrefix="1" applyNumberFormat="1" applyFont="1" applyFill="1" applyBorder="1" applyAlignment="1" applyProtection="1">
      <alignment horizontal="centerContinuous" vertical="center"/>
    </xf>
    <xf numFmtId="166" fontId="90" fillId="0" borderId="0" xfId="0" applyNumberFormat="1" applyFont="1" applyFill="1" applyBorder="1" applyAlignment="1" applyProtection="1">
      <alignment horizontal="centerContinuous" vertical="center"/>
    </xf>
    <xf numFmtId="167" fontId="90" fillId="0" borderId="0" xfId="0" applyNumberFormat="1" applyFont="1" applyFill="1" applyBorder="1" applyAlignment="1" applyProtection="1">
      <alignment horizontal="centerContinuous" vertical="center"/>
    </xf>
    <xf numFmtId="166" fontId="90" fillId="0" borderId="0" xfId="0" applyNumberFormat="1" applyFont="1" applyFill="1" applyBorder="1" applyAlignment="1" applyProtection="1">
      <alignment horizontal="center" vertical="center"/>
    </xf>
    <xf numFmtId="167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center" vertical="center"/>
    </xf>
    <xf numFmtId="4" fontId="123" fillId="14" borderId="16" xfId="9" applyNumberFormat="1" applyFont="1" applyFill="1" applyBorder="1" applyAlignment="1" applyProtection="1"/>
    <xf numFmtId="0" fontId="124" fillId="14" borderId="17" xfId="9" applyFont="1" applyFill="1" applyBorder="1"/>
    <xf numFmtId="4" fontId="124" fillId="14" borderId="17" xfId="9" applyNumberFormat="1" applyFont="1" applyFill="1" applyBorder="1" applyProtection="1"/>
    <xf numFmtId="4" fontId="125" fillId="14" borderId="17" xfId="9" applyNumberFormat="1" applyFont="1" applyFill="1" applyBorder="1" applyAlignment="1" applyProtection="1">
      <alignment horizontal="right"/>
    </xf>
    <xf numFmtId="4" fontId="125" fillId="14" borderId="18" xfId="9" applyNumberFormat="1" applyFont="1" applyFill="1" applyBorder="1" applyProtection="1"/>
    <xf numFmtId="0" fontId="68" fillId="10" borderId="0" xfId="9" applyFont="1" applyFill="1" applyBorder="1"/>
    <xf numFmtId="4" fontId="59" fillId="0" borderId="0" xfId="9" applyNumberFormat="1" applyFont="1" applyFill="1" applyBorder="1" applyAlignment="1" applyProtection="1"/>
    <xf numFmtId="0" fontId="68" fillId="0" borderId="0" xfId="9" applyFont="1" applyFill="1"/>
    <xf numFmtId="4" fontId="68" fillId="0" borderId="0" xfId="9" applyNumberFormat="1" applyFont="1" applyFill="1" applyBorder="1" applyProtection="1"/>
    <xf numFmtId="4" fontId="59" fillId="0" borderId="0" xfId="9" applyNumberFormat="1" applyFont="1" applyFill="1" applyBorder="1" applyAlignment="1" applyProtection="1">
      <alignment horizontal="right"/>
    </xf>
    <xf numFmtId="4" fontId="59" fillId="0" borderId="0" xfId="9" applyNumberFormat="1" applyFont="1" applyFill="1" applyBorder="1" applyProtection="1"/>
    <xf numFmtId="0" fontId="68" fillId="0" borderId="0" xfId="9" applyFont="1" applyFill="1" applyBorder="1"/>
    <xf numFmtId="166" fontId="62" fillId="13" borderId="0" xfId="0" applyNumberFormat="1" applyFont="1" applyFill="1" applyBorder="1" applyAlignment="1" applyProtection="1">
      <alignment horizontal="right" vertical="center"/>
    </xf>
    <xf numFmtId="4" fontId="62" fillId="13" borderId="0" xfId="0" applyNumberFormat="1" applyFont="1" applyFill="1" applyBorder="1" applyAlignment="1" applyProtection="1">
      <alignment horizontal="left" vertical="center"/>
    </xf>
    <xf numFmtId="4" fontId="68" fillId="13" borderId="0" xfId="0" applyNumberFormat="1" applyFont="1" applyFill="1" applyBorder="1" applyAlignment="1" applyProtection="1">
      <alignment vertical="center"/>
    </xf>
    <xf numFmtId="4" fontId="68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right" vertical="center"/>
    </xf>
    <xf numFmtId="4" fontId="59" fillId="13" borderId="0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center" vertical="center"/>
    </xf>
    <xf numFmtId="2" fontId="62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>
      <alignment vertical="center"/>
    </xf>
    <xf numFmtId="4" fontId="68" fillId="0" borderId="0" xfId="0" applyNumberFormat="1" applyFont="1" applyFill="1" applyBorder="1" applyAlignment="1">
      <alignment horizontal="center" vertical="center"/>
    </xf>
    <xf numFmtId="166" fontId="62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Continuous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166" fontId="92" fillId="0" borderId="0" xfId="0" applyNumberFormat="1" applyFont="1" applyFill="1" applyBorder="1" applyAlignment="1" applyProtection="1">
      <alignment horizontal="center" vertical="center" wrapText="1"/>
    </xf>
    <xf numFmtId="4" fontId="68" fillId="0" borderId="2" xfId="0" applyNumberFormat="1" applyFont="1" applyFill="1" applyBorder="1" applyAlignment="1" applyProtection="1">
      <alignment vertical="center"/>
    </xf>
    <xf numFmtId="43" fontId="68" fillId="2" borderId="0" xfId="2" applyFont="1" applyFill="1" applyAlignment="1">
      <alignment vertical="center"/>
    </xf>
    <xf numFmtId="0" fontId="68" fillId="0" borderId="5" xfId="0" applyFont="1" applyFill="1" applyBorder="1" applyAlignment="1">
      <alignment vertical="center"/>
    </xf>
    <xf numFmtId="4" fontId="62" fillId="0" borderId="2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 applyProtection="1">
      <alignment horizontal="centerContinuous" vertical="center"/>
    </xf>
    <xf numFmtId="166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2" fillId="0" borderId="0" xfId="0" quotePrefix="1" applyNumberFormat="1" applyFont="1" applyFill="1" applyBorder="1" applyAlignment="1" applyProtection="1">
      <alignment horizontal="left" vertical="center"/>
    </xf>
    <xf numFmtId="171" fontId="68" fillId="0" borderId="0" xfId="0" applyNumberFormat="1" applyFont="1" applyFill="1" applyBorder="1" applyAlignment="1" applyProtection="1">
      <alignment vertical="center"/>
    </xf>
    <xf numFmtId="4" fontId="62" fillId="0" borderId="3" xfId="0" applyNumberFormat="1" applyFont="1" applyFill="1" applyBorder="1" applyAlignment="1" applyProtection="1">
      <alignment horizontal="center" vertical="center"/>
    </xf>
    <xf numFmtId="4" fontId="62" fillId="0" borderId="4" xfId="0" applyNumberFormat="1" applyFont="1" applyFill="1" applyBorder="1" applyAlignment="1" applyProtection="1">
      <alignment vertical="center"/>
    </xf>
    <xf numFmtId="166" fontId="125" fillId="14" borderId="16" xfId="9" applyNumberFormat="1" applyFont="1" applyFill="1" applyBorder="1" applyAlignment="1" applyProtection="1">
      <alignment horizontal="left"/>
    </xf>
    <xf numFmtId="4" fontId="125" fillId="14" borderId="17" xfId="9" applyNumberFormat="1" applyFont="1" applyFill="1" applyBorder="1" applyAlignment="1" applyProtection="1">
      <alignment horizontal="left"/>
    </xf>
    <xf numFmtId="166" fontId="59" fillId="0" borderId="0" xfId="9" applyNumberFormat="1" applyFont="1" applyFill="1" applyBorder="1" applyAlignment="1" applyProtection="1">
      <alignment horizontal="left"/>
    </xf>
    <xf numFmtId="4" fontId="59" fillId="0" borderId="0" xfId="9" applyNumberFormat="1" applyFont="1" applyFill="1" applyBorder="1" applyAlignment="1" applyProtection="1">
      <alignment horizontal="left"/>
    </xf>
    <xf numFmtId="4" fontId="88" fillId="2" borderId="0" xfId="0" applyNumberFormat="1" applyFont="1" applyFill="1" applyAlignment="1">
      <alignment vertical="center"/>
    </xf>
    <xf numFmtId="166" fontId="62" fillId="0" borderId="16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166" fontId="62" fillId="0" borderId="3" xfId="0" applyNumberFormat="1" applyFont="1" applyFill="1" applyBorder="1" applyAlignment="1" applyProtection="1">
      <alignment horizontal="center" vertical="center"/>
    </xf>
    <xf numFmtId="166" fontId="68" fillId="0" borderId="2" xfId="0" applyNumberFormat="1" applyFont="1" applyFill="1" applyBorder="1" applyAlignment="1" applyProtection="1">
      <alignment horizontal="center" vertical="center"/>
    </xf>
    <xf numFmtId="3" fontId="68" fillId="0" borderId="2" xfId="0" applyNumberFormat="1" applyFont="1" applyFill="1" applyBorder="1" applyAlignment="1">
      <alignment horizontal="center" vertical="center"/>
    </xf>
    <xf numFmtId="3" fontId="68" fillId="0" borderId="16" xfId="0" applyNumberFormat="1" applyFont="1" applyFill="1" applyBorder="1" applyAlignment="1">
      <alignment horizontal="center" vertical="center"/>
    </xf>
    <xf numFmtId="43" fontId="68" fillId="0" borderId="2" xfId="2" applyFont="1" applyFill="1" applyBorder="1" applyAlignment="1" applyProtection="1">
      <alignment horizontal="center" vertical="center"/>
    </xf>
    <xf numFmtId="4" fontId="68" fillId="0" borderId="21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right" vertical="center"/>
    </xf>
    <xf numFmtId="43" fontId="68" fillId="0" borderId="2" xfId="2" applyFont="1" applyFill="1" applyBorder="1" applyAlignment="1">
      <alignment horizontal="center" vertical="center"/>
    </xf>
    <xf numFmtId="4" fontId="93" fillId="0" borderId="4" xfId="0" applyNumberFormat="1" applyFont="1" applyFill="1" applyBorder="1" applyAlignment="1" applyProtection="1">
      <alignment horizontal="right" vertical="center"/>
    </xf>
    <xf numFmtId="2" fontId="62" fillId="15" borderId="0" xfId="0" applyNumberFormat="1" applyFont="1" applyFill="1" applyBorder="1" applyAlignment="1" applyProtection="1">
      <alignment horizontal="right" vertical="center"/>
    </xf>
    <xf numFmtId="0" fontId="62" fillId="2" borderId="2" xfId="0" applyFont="1" applyFill="1" applyBorder="1" applyAlignment="1">
      <alignment horizontal="center" vertical="center"/>
    </xf>
    <xf numFmtId="4" fontId="68" fillId="0" borderId="3" xfId="0" applyNumberFormat="1" applyFont="1" applyFill="1" applyBorder="1" applyAlignment="1" applyProtection="1">
      <alignment vertical="center"/>
    </xf>
    <xf numFmtId="4" fontId="68" fillId="2" borderId="2" xfId="0" applyNumberFormat="1" applyFont="1" applyFill="1" applyBorder="1" applyAlignment="1">
      <alignment horizontal="center" vertical="center"/>
    </xf>
    <xf numFmtId="4" fontId="93" fillId="0" borderId="2" xfId="0" applyNumberFormat="1" applyFont="1" applyFill="1" applyBorder="1" applyAlignment="1" applyProtection="1">
      <alignment horizontal="right" vertical="center"/>
    </xf>
    <xf numFmtId="2" fontId="62" fillId="13" borderId="0" xfId="0" applyNumberFormat="1" applyFont="1" applyFill="1" applyBorder="1" applyAlignment="1" applyProtection="1">
      <alignment horizontal="right" vertical="center"/>
    </xf>
    <xf numFmtId="4" fontId="88" fillId="0" borderId="0" xfId="0" applyNumberFormat="1" applyFont="1" applyFill="1" applyBorder="1" applyAlignment="1" applyProtection="1">
      <alignment vertical="center"/>
    </xf>
    <xf numFmtId="166" fontId="93" fillId="0" borderId="0" xfId="0" applyNumberFormat="1" applyFont="1" applyFill="1" applyAlignment="1" applyProtection="1">
      <alignment horizontal="right" vertical="center"/>
    </xf>
    <xf numFmtId="166" fontId="93" fillId="0" borderId="0" xfId="0" applyNumberFormat="1" applyFont="1" applyFill="1" applyAlignment="1" applyProtection="1">
      <alignment horizontal="left" vertical="center"/>
    </xf>
    <xf numFmtId="39" fontId="94" fillId="0" borderId="0" xfId="0" applyNumberFormat="1" applyFont="1" applyFill="1" applyAlignment="1" applyProtection="1">
      <alignment horizontal="center" vertical="center"/>
    </xf>
    <xf numFmtId="39" fontId="94" fillId="0" borderId="0" xfId="0" applyNumberFormat="1" applyFont="1" applyFill="1" applyAlignment="1" applyProtection="1">
      <alignment vertical="center"/>
    </xf>
    <xf numFmtId="166" fontId="62" fillId="0" borderId="21" xfId="0" applyNumberFormat="1" applyFont="1" applyFill="1" applyBorder="1" applyAlignment="1" applyProtection="1">
      <alignment horizontal="center" vertical="center"/>
    </xf>
    <xf numFmtId="4" fontId="68" fillId="0" borderId="19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horizontal="center" vertical="center"/>
    </xf>
    <xf numFmtId="4" fontId="68" fillId="0" borderId="20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vertical="center"/>
    </xf>
    <xf numFmtId="4" fontId="68" fillId="0" borderId="18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horizontal="center" vertical="center"/>
    </xf>
    <xf numFmtId="4" fontId="68" fillId="0" borderId="8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left" vertical="center"/>
    </xf>
    <xf numFmtId="4" fontId="68" fillId="0" borderId="9" xfId="0" applyNumberFormat="1" applyFont="1" applyFill="1" applyBorder="1" applyAlignment="1">
      <alignment horizontal="left" vertical="center"/>
    </xf>
    <xf numFmtId="166" fontId="94" fillId="0" borderId="0" xfId="0" applyNumberFormat="1" applyFont="1" applyFill="1" applyAlignment="1" applyProtection="1">
      <alignment vertical="center"/>
    </xf>
    <xf numFmtId="2" fontId="93" fillId="0" borderId="2" xfId="0" applyNumberFormat="1" applyFont="1" applyFill="1" applyBorder="1" applyAlignment="1" applyProtection="1">
      <alignment horizontal="right" vertical="center"/>
    </xf>
    <xf numFmtId="0" fontId="62" fillId="0" borderId="2" xfId="0" applyFont="1" applyFill="1" applyBorder="1" applyAlignment="1">
      <alignment horizontal="center" vertical="center"/>
    </xf>
    <xf numFmtId="165" fontId="68" fillId="0" borderId="2" xfId="5" applyFont="1" applyFill="1" applyBorder="1" applyAlignment="1">
      <alignment horizontal="center" vertical="center"/>
    </xf>
    <xf numFmtId="174" fontId="68" fillId="2" borderId="0" xfId="0" applyNumberFormat="1" applyFont="1" applyFill="1" applyAlignment="1">
      <alignment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4" fontId="68" fillId="0" borderId="4" xfId="0" applyNumberFormat="1" applyFont="1" applyFill="1" applyBorder="1" applyAlignment="1" applyProtection="1">
      <alignment horizontal="center" vertical="center"/>
    </xf>
    <xf numFmtId="4" fontId="68" fillId="0" borderId="7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right" vertical="center"/>
    </xf>
    <xf numFmtId="4" fontId="68" fillId="0" borderId="4" xfId="0" applyNumberFormat="1" applyFont="1" applyFill="1" applyBorder="1" applyAlignment="1">
      <alignment vertical="center"/>
    </xf>
    <xf numFmtId="4" fontId="68" fillId="0" borderId="4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center" vertical="center"/>
    </xf>
    <xf numFmtId="4" fontId="68" fillId="0" borderId="4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Alignment="1">
      <alignment vertical="center"/>
    </xf>
    <xf numFmtId="0" fontId="48" fillId="2" borderId="0" xfId="0" applyFont="1" applyFill="1" applyAlignment="1">
      <alignment vertical="center"/>
    </xf>
    <xf numFmtId="4" fontId="62" fillId="0" borderId="16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164" fontId="128" fillId="0" borderId="86" xfId="0" applyNumberFormat="1" applyFont="1" applyBorder="1" applyAlignment="1">
      <alignment vertical="center"/>
    </xf>
    <xf numFmtId="164" fontId="129" fillId="0" borderId="86" xfId="0" applyNumberFormat="1" applyFont="1" applyBorder="1" applyAlignment="1">
      <alignment vertical="center"/>
    </xf>
    <xf numFmtId="164" fontId="129" fillId="0" borderId="0" xfId="0" applyNumberFormat="1" applyFont="1" applyAlignment="1">
      <alignment vertical="center"/>
    </xf>
    <xf numFmtId="164" fontId="129" fillId="17" borderId="59" xfId="0" applyNumberFormat="1" applyFont="1" applyFill="1" applyBorder="1" applyAlignment="1">
      <alignment vertical="center"/>
    </xf>
    <xf numFmtId="164" fontId="129" fillId="17" borderId="58" xfId="0" applyNumberFormat="1" applyFont="1" applyFill="1" applyBorder="1" applyAlignment="1">
      <alignment vertical="center"/>
    </xf>
    <xf numFmtId="164" fontId="129" fillId="17" borderId="88" xfId="0" applyNumberFormat="1" applyFont="1" applyFill="1" applyBorder="1" applyAlignment="1">
      <alignment vertical="center"/>
    </xf>
    <xf numFmtId="164" fontId="129" fillId="17" borderId="44" xfId="0" applyNumberFormat="1" applyFont="1" applyFill="1" applyBorder="1" applyAlignment="1">
      <alignment vertical="center"/>
    </xf>
    <xf numFmtId="164" fontId="129" fillId="17" borderId="0" xfId="0" applyNumberFormat="1" applyFont="1" applyFill="1" applyBorder="1" applyAlignment="1">
      <alignment vertical="center"/>
    </xf>
    <xf numFmtId="164" fontId="129" fillId="17" borderId="87" xfId="0" applyNumberFormat="1" applyFont="1" applyFill="1" applyBorder="1" applyAlignment="1">
      <alignment vertical="center"/>
    </xf>
    <xf numFmtId="164" fontId="128" fillId="17" borderId="44" xfId="0" applyNumberFormat="1" applyFont="1" applyFill="1" applyBorder="1" applyAlignment="1">
      <alignment vertical="center"/>
    </xf>
    <xf numFmtId="164" fontId="128" fillId="17" borderId="0" xfId="0" applyNumberFormat="1" applyFont="1" applyFill="1" applyBorder="1" applyAlignment="1">
      <alignment horizontal="right" vertical="center"/>
    </xf>
    <xf numFmtId="49" fontId="128" fillId="17" borderId="87" xfId="0" applyNumberFormat="1" applyFont="1" applyFill="1" applyBorder="1" applyAlignment="1">
      <alignment horizontal="center" vertical="center"/>
    </xf>
    <xf numFmtId="164" fontId="129" fillId="17" borderId="40" xfId="0" applyNumberFormat="1" applyFont="1" applyFill="1" applyBorder="1" applyAlignment="1">
      <alignment vertical="center"/>
    </xf>
    <xf numFmtId="164" fontId="129" fillId="17" borderId="31" xfId="0" applyNumberFormat="1" applyFont="1" applyFill="1" applyBorder="1" applyAlignment="1">
      <alignment vertical="center"/>
    </xf>
    <xf numFmtId="164" fontId="129" fillId="17" borderId="89" xfId="0" applyNumberFormat="1" applyFont="1" applyFill="1" applyBorder="1" applyAlignment="1">
      <alignment vertical="center"/>
    </xf>
    <xf numFmtId="164" fontId="128" fillId="15" borderId="64" xfId="0" applyNumberFormat="1" applyFont="1" applyFill="1" applyBorder="1" applyAlignment="1">
      <alignment horizontal="center" vertical="center" wrapText="1"/>
    </xf>
    <xf numFmtId="164" fontId="128" fillId="15" borderId="64" xfId="0" applyNumberFormat="1" applyFont="1" applyFill="1" applyBorder="1" applyAlignment="1">
      <alignment horizontal="center" vertical="center"/>
    </xf>
    <xf numFmtId="164" fontId="128" fillId="15" borderId="11" xfId="0" applyNumberFormat="1" applyFont="1" applyFill="1" applyBorder="1" applyAlignment="1">
      <alignment horizontal="center" vertical="center" wrapText="1"/>
    </xf>
    <xf numFmtId="164" fontId="129" fillId="0" borderId="0" xfId="0" applyNumberFormat="1" applyFont="1" applyAlignment="1">
      <alignment horizontal="center" vertical="center"/>
    </xf>
    <xf numFmtId="164" fontId="129" fillId="17" borderId="44" xfId="0" applyNumberFormat="1" applyFont="1" applyFill="1" applyBorder="1" applyAlignment="1">
      <alignment horizontal="center" vertical="center"/>
    </xf>
    <xf numFmtId="164" fontId="129" fillId="17" borderId="1" xfId="0" applyNumberFormat="1" applyFont="1" applyFill="1" applyBorder="1" applyAlignment="1">
      <alignment vertical="center"/>
    </xf>
    <xf numFmtId="164" fontId="129" fillId="17" borderId="90" xfId="0" applyNumberFormat="1" applyFont="1" applyFill="1" applyBorder="1" applyAlignment="1">
      <alignment vertical="center"/>
    </xf>
    <xf numFmtId="4" fontId="89" fillId="17" borderId="0" xfId="0" applyNumberFormat="1" applyFont="1" applyFill="1" applyBorder="1" applyAlignment="1">
      <alignment horizontal="center"/>
    </xf>
    <xf numFmtId="164" fontId="129" fillId="17" borderId="22" xfId="0" applyNumberFormat="1" applyFont="1" applyFill="1" applyBorder="1" applyAlignment="1">
      <alignment horizontal="center" vertical="center"/>
    </xf>
    <xf numFmtId="164" fontId="129" fillId="17" borderId="8" xfId="0" applyNumberFormat="1" applyFont="1" applyFill="1" applyBorder="1" applyAlignment="1">
      <alignment vertical="center"/>
    </xf>
    <xf numFmtId="164" fontId="129" fillId="17" borderId="4" xfId="0" applyNumberFormat="1" applyFont="1" applyFill="1" applyBorder="1" applyAlignment="1">
      <alignment vertical="center"/>
    </xf>
    <xf numFmtId="164" fontId="129" fillId="17" borderId="7" xfId="0" applyNumberFormat="1" applyFont="1" applyFill="1" applyBorder="1" applyAlignment="1">
      <alignment vertical="center"/>
    </xf>
    <xf numFmtId="164" fontId="131" fillId="17" borderId="2" xfId="0" applyNumberFormat="1" applyFont="1" applyFill="1" applyBorder="1" applyAlignment="1">
      <alignment vertical="center"/>
    </xf>
    <xf numFmtId="164" fontId="131" fillId="17" borderId="10" xfId="0" applyNumberFormat="1" applyFont="1" applyFill="1" applyBorder="1" applyAlignment="1">
      <alignment vertical="center"/>
    </xf>
    <xf numFmtId="164" fontId="129" fillId="17" borderId="87" xfId="0" applyNumberFormat="1" applyFont="1" applyFill="1" applyBorder="1" applyAlignment="1">
      <alignment horizontal="center" vertical="center"/>
    </xf>
    <xf numFmtId="164" fontId="131" fillId="17" borderId="0" xfId="0" applyNumberFormat="1" applyFont="1" applyFill="1" applyBorder="1" applyAlignment="1">
      <alignment vertical="center"/>
    </xf>
    <xf numFmtId="164" fontId="131" fillId="17" borderId="87" xfId="0" applyNumberFormat="1" applyFont="1" applyFill="1" applyBorder="1" applyAlignment="1">
      <alignment horizontal="center" vertical="center"/>
    </xf>
    <xf numFmtId="10" fontId="129" fillId="17" borderId="0" xfId="16" applyNumberFormat="1" applyFont="1" applyFill="1" applyBorder="1" applyAlignment="1">
      <alignment vertical="center"/>
    </xf>
    <xf numFmtId="164" fontId="129" fillId="17" borderId="91" xfId="0" applyNumberFormat="1" applyFont="1" applyFill="1" applyBorder="1" applyAlignment="1">
      <alignment horizontal="center" vertical="center"/>
    </xf>
    <xf numFmtId="164" fontId="131" fillId="17" borderId="87" xfId="0" applyNumberFormat="1" applyFont="1" applyFill="1" applyBorder="1" applyAlignment="1">
      <alignment vertical="center"/>
    </xf>
    <xf numFmtId="164" fontId="128" fillId="17" borderId="40" xfId="0" applyNumberFormat="1" applyFont="1" applyFill="1" applyBorder="1" applyAlignment="1">
      <alignment horizontal="right" vertical="center"/>
    </xf>
    <xf numFmtId="164" fontId="128" fillId="17" borderId="31" xfId="0" applyNumberFormat="1" applyFont="1" applyFill="1" applyBorder="1" applyAlignment="1">
      <alignment vertical="center"/>
    </xf>
    <xf numFmtId="0" fontId="68" fillId="0" borderId="109" xfId="0" applyFont="1" applyFill="1" applyBorder="1" applyAlignment="1">
      <alignment vertical="center"/>
    </xf>
    <xf numFmtId="166" fontId="135" fillId="0" borderId="0" xfId="0" applyNumberFormat="1" applyFont="1" applyFill="1" applyAlignment="1" applyProtection="1">
      <alignment horizontal="left" vertical="center"/>
    </xf>
    <xf numFmtId="166" fontId="136" fillId="17" borderId="0" xfId="0" applyNumberFormat="1" applyFont="1" applyFill="1" applyAlignment="1" applyProtection="1">
      <alignment horizontal="left" vertical="center"/>
    </xf>
    <xf numFmtId="0" fontId="68" fillId="2" borderId="0" xfId="7" applyFont="1" applyFill="1" applyBorder="1"/>
    <xf numFmtId="166" fontId="137" fillId="14" borderId="14" xfId="7" applyNumberFormat="1" applyFont="1" applyFill="1" applyBorder="1" applyAlignment="1" applyProtection="1">
      <alignment horizontal="center" vertical="center"/>
    </xf>
    <xf numFmtId="0" fontId="137" fillId="14" borderId="15" xfId="7" applyFont="1" applyFill="1" applyBorder="1" applyAlignment="1">
      <alignment horizontal="center" vertical="center"/>
    </xf>
    <xf numFmtId="0" fontId="68" fillId="2" borderId="0" xfId="7" applyFont="1" applyFill="1"/>
    <xf numFmtId="4" fontId="68" fillId="2" borderId="13" xfId="7" applyNumberFormat="1" applyFont="1" applyFill="1" applyBorder="1" applyAlignment="1">
      <alignment vertical="center"/>
    </xf>
    <xf numFmtId="4" fontId="68" fillId="2" borderId="78" xfId="7" applyNumberFormat="1" applyFont="1" applyFill="1" applyBorder="1" applyAlignment="1">
      <alignment vertical="center"/>
    </xf>
    <xf numFmtId="4" fontId="62" fillId="2" borderId="15" xfId="7" applyNumberFormat="1" applyFont="1" applyFill="1" applyBorder="1" applyAlignment="1" applyProtection="1">
      <alignment vertical="center"/>
    </xf>
    <xf numFmtId="4" fontId="68" fillId="2" borderId="0" xfId="7" applyNumberFormat="1" applyFont="1" applyFill="1"/>
    <xf numFmtId="4" fontId="125" fillId="14" borderId="16" xfId="7" applyNumberFormat="1" applyFont="1" applyFill="1" applyBorder="1" applyAlignment="1" applyProtection="1"/>
    <xf numFmtId="0" fontId="124" fillId="14" borderId="17" xfId="7" applyFont="1" applyFill="1" applyBorder="1"/>
    <xf numFmtId="4" fontId="124" fillId="14" borderId="17" xfId="7" applyNumberFormat="1" applyFont="1" applyFill="1" applyBorder="1" applyProtection="1"/>
    <xf numFmtId="4" fontId="125" fillId="14" borderId="17" xfId="7" applyNumberFormat="1" applyFont="1" applyFill="1" applyBorder="1" applyAlignment="1" applyProtection="1">
      <alignment horizontal="center"/>
    </xf>
    <xf numFmtId="4" fontId="125" fillId="14" borderId="17" xfId="7" applyNumberFormat="1" applyFont="1" applyFill="1" applyBorder="1" applyAlignment="1" applyProtection="1">
      <alignment horizontal="right"/>
    </xf>
    <xf numFmtId="4" fontId="125" fillId="14" borderId="18" xfId="7" applyNumberFormat="1" applyFont="1" applyFill="1" applyBorder="1" applyProtection="1"/>
    <xf numFmtId="0" fontId="68" fillId="10" borderId="0" xfId="7" applyFont="1" applyFill="1" applyBorder="1"/>
    <xf numFmtId="4" fontId="59" fillId="0" borderId="0" xfId="7" applyNumberFormat="1" applyFont="1" applyFill="1" applyBorder="1" applyAlignment="1" applyProtection="1"/>
    <xf numFmtId="0" fontId="68" fillId="0" borderId="0" xfId="7" applyFont="1" applyFill="1"/>
    <xf numFmtId="4" fontId="68" fillId="0" borderId="0" xfId="7" applyNumberFormat="1" applyFont="1" applyFill="1" applyBorder="1" applyProtection="1"/>
    <xf numFmtId="4" fontId="59" fillId="0" borderId="0" xfId="7" applyNumberFormat="1" applyFont="1" applyFill="1" applyBorder="1" applyAlignment="1" applyProtection="1">
      <alignment horizontal="center"/>
    </xf>
    <xf numFmtId="4" fontId="59" fillId="0" borderId="0" xfId="7" applyNumberFormat="1" applyFont="1" applyFill="1" applyBorder="1" applyAlignment="1" applyProtection="1">
      <alignment horizontal="right"/>
    </xf>
    <xf numFmtId="4" fontId="59" fillId="0" borderId="0" xfId="7" applyNumberFormat="1" applyFont="1" applyFill="1" applyBorder="1" applyProtection="1"/>
    <xf numFmtId="0" fontId="68" fillId="0" borderId="0" xfId="7" applyFont="1" applyFill="1" applyBorder="1"/>
    <xf numFmtId="166" fontId="125" fillId="14" borderId="16" xfId="7" applyNumberFormat="1" applyFont="1" applyFill="1" applyBorder="1" applyAlignment="1" applyProtection="1">
      <alignment horizontal="left"/>
    </xf>
    <xf numFmtId="4" fontId="125" fillId="14" borderId="17" xfId="7" applyNumberFormat="1" applyFont="1" applyFill="1" applyBorder="1" applyAlignment="1" applyProtection="1">
      <alignment horizontal="left"/>
    </xf>
    <xf numFmtId="166" fontId="59" fillId="0" borderId="0" xfId="7" applyNumberFormat="1" applyFont="1" applyFill="1" applyBorder="1" applyAlignment="1" applyProtection="1">
      <alignment horizontal="left"/>
    </xf>
    <xf numFmtId="4" fontId="59" fillId="0" borderId="0" xfId="7" applyNumberFormat="1" applyFont="1" applyFill="1" applyBorder="1" applyAlignment="1" applyProtection="1">
      <alignment horizontal="left"/>
    </xf>
    <xf numFmtId="166" fontId="140" fillId="14" borderId="60" xfId="7" applyNumberFormat="1" applyFont="1" applyFill="1" applyBorder="1" applyAlignment="1" applyProtection="1">
      <alignment horizontal="center" vertical="center"/>
    </xf>
    <xf numFmtId="0" fontId="140" fillId="14" borderId="62" xfId="7" applyFont="1" applyFill="1" applyBorder="1" applyAlignment="1">
      <alignment horizontal="center" vertical="center"/>
    </xf>
    <xf numFmtId="0" fontId="89" fillId="2" borderId="0" xfId="9" applyFont="1" applyFill="1"/>
    <xf numFmtId="0" fontId="131" fillId="19" borderId="2" xfId="0" applyFont="1" applyFill="1" applyBorder="1" applyAlignment="1">
      <alignment horizontal="center" vertical="center"/>
    </xf>
    <xf numFmtId="0" fontId="89" fillId="0" borderId="2" xfId="0" applyFont="1" applyBorder="1" applyAlignment="1">
      <alignment horizontal="left" vertical="center"/>
    </xf>
    <xf numFmtId="0" fontId="131" fillId="0" borderId="2" xfId="0" applyFont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1" fontId="131" fillId="0" borderId="2" xfId="0" applyNumberFormat="1" applyFont="1" applyBorder="1" applyAlignment="1">
      <alignment horizontal="center" vertical="center"/>
    </xf>
    <xf numFmtId="166" fontId="134" fillId="21" borderId="0" xfId="0" applyNumberFormat="1" applyFont="1" applyFill="1" applyBorder="1" applyAlignment="1" applyProtection="1">
      <alignment vertical="center"/>
    </xf>
    <xf numFmtId="0" fontId="141" fillId="14" borderId="62" xfId="7" applyFont="1" applyFill="1" applyBorder="1" applyAlignment="1">
      <alignment horizontal="center" vertical="center"/>
    </xf>
    <xf numFmtId="39" fontId="59" fillId="0" borderId="0" xfId="0" applyNumberFormat="1" applyFont="1" applyFill="1" applyBorder="1" applyAlignment="1" applyProtection="1">
      <alignment horizontal="center" vertical="center"/>
    </xf>
    <xf numFmtId="166" fontId="138" fillId="21" borderId="0" xfId="0" applyNumberFormat="1" applyFont="1" applyFill="1" applyBorder="1" applyAlignment="1" applyProtection="1">
      <alignment vertical="center"/>
    </xf>
    <xf numFmtId="166" fontId="94" fillId="0" borderId="0" xfId="0" applyNumberFormat="1" applyFont="1" applyFill="1" applyBorder="1" applyAlignment="1" applyProtection="1">
      <alignment vertical="center"/>
    </xf>
    <xf numFmtId="166" fontId="93" fillId="0" borderId="0" xfId="0" applyNumberFormat="1" applyFont="1" applyFill="1" applyBorder="1" applyAlignment="1" applyProtection="1">
      <alignment vertical="center"/>
    </xf>
    <xf numFmtId="167" fontId="94" fillId="0" borderId="0" xfId="0" applyNumberFormat="1" applyFont="1" applyFill="1" applyBorder="1" applyAlignment="1" applyProtection="1">
      <alignment vertical="center"/>
    </xf>
    <xf numFmtId="166" fontId="94" fillId="0" borderId="0" xfId="0" applyNumberFormat="1" applyFont="1" applyFill="1" applyBorder="1" applyAlignment="1" applyProtection="1">
      <alignment horizontal="center" vertical="center"/>
    </xf>
    <xf numFmtId="4" fontId="62" fillId="15" borderId="0" xfId="0" applyNumberFormat="1" applyFont="1" applyFill="1" applyBorder="1" applyAlignment="1" applyProtection="1">
      <alignment horizontal="left" vertical="center"/>
    </xf>
    <xf numFmtId="4" fontId="68" fillId="15" borderId="0" xfId="0" applyNumberFormat="1" applyFont="1" applyFill="1" applyBorder="1" applyAlignment="1" applyProtection="1">
      <alignment vertical="center"/>
    </xf>
    <xf numFmtId="4" fontId="59" fillId="15" borderId="0" xfId="0" applyNumberFormat="1" applyFont="1" applyFill="1" applyBorder="1" applyAlignment="1" applyProtection="1">
      <alignment horizontal="center" vertical="center"/>
    </xf>
    <xf numFmtId="4" fontId="59" fillId="15" borderId="0" xfId="0" applyNumberFormat="1" applyFont="1" applyFill="1" applyBorder="1" applyAlignment="1" applyProtection="1">
      <alignment horizontal="right" vertical="center"/>
    </xf>
    <xf numFmtId="4" fontId="59" fillId="15" borderId="0" xfId="0" applyNumberFormat="1" applyFont="1" applyFill="1" applyBorder="1" applyAlignment="1" applyProtection="1">
      <alignment vertical="center"/>
    </xf>
    <xf numFmtId="166" fontId="62" fillId="0" borderId="0" xfId="0" quotePrefix="1" applyNumberFormat="1" applyFont="1" applyFill="1" applyBorder="1" applyAlignment="1" applyProtection="1">
      <alignment horizontal="right" vertical="center"/>
    </xf>
    <xf numFmtId="4" fontId="62" fillId="0" borderId="0" xfId="0" applyNumberFormat="1" applyFont="1" applyFill="1" applyBorder="1" applyAlignment="1">
      <alignment horizontal="center" vertical="center"/>
    </xf>
    <xf numFmtId="4" fontId="68" fillId="0" borderId="19" xfId="0" applyNumberFormat="1" applyFont="1" applyFill="1" applyBorder="1" applyAlignment="1" applyProtection="1">
      <alignment vertical="center"/>
    </xf>
    <xf numFmtId="4" fontId="68" fillId="0" borderId="3" xfId="0" applyNumberFormat="1" applyFont="1" applyFill="1" applyBorder="1" applyAlignment="1" applyProtection="1">
      <alignment horizontal="center" vertical="center"/>
    </xf>
    <xf numFmtId="4" fontId="94" fillId="0" borderId="20" xfId="0" applyNumberFormat="1" applyFont="1" applyFill="1" applyBorder="1" applyAlignment="1" applyProtection="1">
      <alignment horizontal="center" vertical="center"/>
    </xf>
    <xf numFmtId="4" fontId="68" fillId="0" borderId="21" xfId="0" applyNumberFormat="1" applyFont="1" applyFill="1" applyBorder="1" applyAlignment="1" applyProtection="1">
      <alignment horizontal="right" vertical="center"/>
    </xf>
    <xf numFmtId="166" fontId="94" fillId="0" borderId="0" xfId="0" applyNumberFormat="1" applyFont="1" applyFill="1" applyBorder="1" applyAlignment="1" applyProtection="1">
      <alignment horizontal="left" vertical="center"/>
    </xf>
    <xf numFmtId="166" fontId="94" fillId="0" borderId="0" xfId="0" applyNumberFormat="1" applyFont="1" applyFill="1" applyBorder="1" applyAlignment="1" applyProtection="1">
      <alignment horizontal="centerContinuous" vertical="center"/>
    </xf>
    <xf numFmtId="166" fontId="59" fillId="0" borderId="0" xfId="0" applyNumberFormat="1" applyFont="1" applyFill="1" applyAlignment="1" applyProtection="1">
      <alignment horizontal="right" vertical="center"/>
    </xf>
    <xf numFmtId="166" fontId="48" fillId="0" borderId="0" xfId="0" applyNumberFormat="1" applyFont="1" applyFill="1" applyAlignment="1" applyProtection="1">
      <alignment vertical="center"/>
    </xf>
    <xf numFmtId="166" fontId="59" fillId="0" borderId="0" xfId="0" applyNumberFormat="1" applyFont="1" applyFill="1" applyAlignment="1" applyProtection="1">
      <alignment horizontal="center" vertical="center"/>
    </xf>
    <xf numFmtId="4" fontId="59" fillId="0" borderId="0" xfId="0" applyNumberFormat="1" applyFont="1" applyFill="1" applyAlignment="1">
      <alignment horizontal="right" vertical="center"/>
    </xf>
    <xf numFmtId="168" fontId="59" fillId="0" borderId="0" xfId="0" applyNumberFormat="1" applyFont="1" applyFill="1" applyAlignment="1">
      <alignment horizontal="right" vertical="center"/>
    </xf>
    <xf numFmtId="166" fontId="59" fillId="0" borderId="0" xfId="0" quotePrefix="1" applyNumberFormat="1" applyFont="1" applyFill="1" applyAlignment="1" applyProtection="1">
      <alignment horizontal="left" vertical="center"/>
    </xf>
    <xf numFmtId="167" fontId="48" fillId="0" borderId="0" xfId="0" applyNumberFormat="1" applyFont="1" applyFill="1" applyAlignment="1" applyProtection="1">
      <alignment vertical="center"/>
    </xf>
    <xf numFmtId="166" fontId="59" fillId="0" borderId="0" xfId="0" applyNumberFormat="1" applyFont="1" applyFill="1" applyAlignment="1" applyProtection="1">
      <alignment horizontal="left" vertical="center"/>
    </xf>
    <xf numFmtId="166" fontId="93" fillId="0" borderId="0" xfId="0" quotePrefix="1" applyNumberFormat="1" applyFont="1" applyFill="1" applyAlignment="1" applyProtection="1">
      <alignment horizontal="left" vertical="center"/>
    </xf>
    <xf numFmtId="167" fontId="94" fillId="0" borderId="0" xfId="0" applyNumberFormat="1" applyFont="1" applyFill="1" applyAlignment="1" applyProtection="1">
      <alignment vertical="center"/>
    </xf>
    <xf numFmtId="167" fontId="94" fillId="0" borderId="0" xfId="0" applyNumberFormat="1" applyFont="1" applyFill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Continuous" vertical="center"/>
    </xf>
    <xf numFmtId="39" fontId="62" fillId="0" borderId="2" xfId="0" applyNumberFormat="1" applyFont="1" applyFill="1" applyBorder="1" applyAlignment="1" applyProtection="1">
      <alignment horizontal="center" vertical="center"/>
    </xf>
    <xf numFmtId="169" fontId="62" fillId="0" borderId="2" xfId="0" applyNumberFormat="1" applyFont="1" applyFill="1" applyBorder="1" applyAlignment="1" applyProtection="1">
      <alignment horizontal="center" vertical="center"/>
    </xf>
    <xf numFmtId="4" fontId="68" fillId="0" borderId="79" xfId="0" applyNumberFormat="1" applyFont="1" applyFill="1" applyBorder="1" applyAlignment="1" applyProtection="1">
      <alignment horizontal="left" vertical="center"/>
    </xf>
    <xf numFmtId="4" fontId="68" fillId="0" borderId="79" xfId="0" applyNumberFormat="1" applyFont="1" applyFill="1" applyBorder="1" applyAlignment="1" applyProtection="1">
      <alignment horizontal="center" vertical="center"/>
    </xf>
    <xf numFmtId="4" fontId="68" fillId="0" borderId="79" xfId="0" applyNumberFormat="1" applyFont="1" applyFill="1" applyBorder="1" applyAlignment="1" applyProtection="1">
      <alignment horizontal="right" vertical="center"/>
    </xf>
    <xf numFmtId="169" fontId="68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Alignment="1">
      <alignment vertical="center"/>
    </xf>
    <xf numFmtId="0" fontId="62" fillId="0" borderId="2" xfId="0" applyFont="1" applyFill="1" applyBorder="1" applyAlignment="1">
      <alignment horizontal="left" vertical="center"/>
    </xf>
    <xf numFmtId="0" fontId="68" fillId="0" borderId="2" xfId="0" applyFont="1" applyFill="1" applyBorder="1" applyAlignment="1">
      <alignment horizontal="center" vertical="center"/>
    </xf>
    <xf numFmtId="0" fontId="68" fillId="0" borderId="2" xfId="0" applyFont="1" applyFill="1" applyBorder="1" applyAlignment="1">
      <alignment vertical="center"/>
    </xf>
    <xf numFmtId="166" fontId="62" fillId="15" borderId="0" xfId="0" applyNumberFormat="1" applyFont="1" applyFill="1" applyBorder="1" applyAlignment="1" applyProtection="1">
      <alignment horizontal="right" vertical="center"/>
    </xf>
    <xf numFmtId="4" fontId="68" fillId="15" borderId="0" xfId="0" applyNumberFormat="1" applyFont="1" applyFill="1" applyBorder="1" applyAlignment="1" applyProtection="1">
      <alignment horizontal="center" vertical="center"/>
    </xf>
    <xf numFmtId="0" fontId="68" fillId="15" borderId="0" xfId="0" applyFont="1" applyFill="1" applyAlignment="1">
      <alignment vertical="center"/>
    </xf>
    <xf numFmtId="166" fontId="68" fillId="0" borderId="1" xfId="0" applyNumberFormat="1" applyFont="1" applyFill="1" applyBorder="1" applyAlignment="1" applyProtection="1">
      <alignment horizontal="center" vertical="center"/>
    </xf>
    <xf numFmtId="3" fontId="68" fillId="0" borderId="1" xfId="0" applyNumberFormat="1" applyFont="1" applyFill="1" applyBorder="1" applyAlignment="1">
      <alignment horizontal="center" vertical="center"/>
    </xf>
    <xf numFmtId="43" fontId="68" fillId="0" borderId="1" xfId="2" applyFont="1" applyFill="1" applyBorder="1" applyAlignment="1" applyProtection="1">
      <alignment vertical="center"/>
    </xf>
    <xf numFmtId="4" fontId="68" fillId="0" borderId="1" xfId="0" applyNumberFormat="1" applyFont="1" applyFill="1" applyBorder="1" applyAlignment="1" applyProtection="1">
      <alignment vertical="center"/>
    </xf>
    <xf numFmtId="43" fontId="68" fillId="0" borderId="3" xfId="2" applyFont="1" applyFill="1" applyBorder="1" applyAlignment="1" applyProtection="1">
      <alignment vertical="center"/>
    </xf>
    <xf numFmtId="166" fontId="62" fillId="0" borderId="20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>
      <alignment horizontal="left" vertical="center"/>
    </xf>
    <xf numFmtId="4" fontId="68" fillId="0" borderId="16" xfId="0" applyNumberFormat="1" applyFont="1" applyFill="1" applyBorder="1" applyAlignment="1" applyProtection="1">
      <alignment horizontal="center" vertical="center"/>
    </xf>
    <xf numFmtId="173" fontId="68" fillId="2" borderId="0" xfId="0" applyNumberFormat="1" applyFont="1" applyFill="1" applyAlignment="1">
      <alignment vertical="center"/>
    </xf>
    <xf numFmtId="39" fontId="68" fillId="2" borderId="2" xfId="7" applyNumberFormat="1" applyFont="1" applyFill="1" applyBorder="1" applyAlignment="1" applyProtection="1">
      <alignment horizontal="left" vertical="center"/>
    </xf>
    <xf numFmtId="4" fontId="0" fillId="0" borderId="0" xfId="0" applyNumberFormat="1"/>
    <xf numFmtId="0" fontId="1" fillId="0" borderId="0" xfId="0" applyFont="1" applyAlignment="1"/>
    <xf numFmtId="0" fontId="1" fillId="0" borderId="2" xfId="0" applyFont="1" applyBorder="1" applyAlignment="1"/>
    <xf numFmtId="39" fontId="1" fillId="2" borderId="2" xfId="9" applyNumberFormat="1" applyFont="1" applyFill="1" applyBorder="1" applyAlignment="1" applyProtection="1">
      <alignment vertical="center"/>
    </xf>
    <xf numFmtId="4" fontId="1" fillId="0" borderId="2" xfId="0" applyNumberFormat="1" applyFont="1" applyBorder="1" applyAlignment="1"/>
    <xf numFmtId="0" fontId="4" fillId="22" borderId="59" xfId="14" applyFont="1" applyFill="1" applyBorder="1" applyAlignment="1">
      <alignment horizontal="center" vertical="center" wrapText="1"/>
    </xf>
    <xf numFmtId="0" fontId="4" fillId="22" borderId="58" xfId="14" applyFont="1" applyFill="1" applyBorder="1" applyAlignment="1">
      <alignment horizontal="center" vertical="center" wrapText="1"/>
    </xf>
    <xf numFmtId="0" fontId="4" fillId="22" borderId="88" xfId="14" applyFont="1" applyFill="1" applyBorder="1" applyAlignment="1">
      <alignment horizontal="center" vertical="center" wrapText="1"/>
    </xf>
    <xf numFmtId="0" fontId="4" fillId="22" borderId="40" xfId="14" applyFont="1" applyFill="1" applyBorder="1" applyAlignment="1">
      <alignment horizontal="center" vertical="center" wrapText="1"/>
    </xf>
    <xf numFmtId="0" fontId="4" fillId="22" borderId="31" xfId="14" applyFont="1" applyFill="1" applyBorder="1" applyAlignment="1">
      <alignment horizontal="center" vertical="center" wrapText="1"/>
    </xf>
    <xf numFmtId="0" fontId="4" fillId="22" borderId="89" xfId="14" applyFont="1" applyFill="1" applyBorder="1" applyAlignment="1">
      <alignment horizontal="center" vertical="center" wrapText="1"/>
    </xf>
    <xf numFmtId="0" fontId="126" fillId="0" borderId="0" xfId="14" applyFont="1" applyFill="1" applyBorder="1" applyAlignment="1">
      <alignment horizontal="center"/>
    </xf>
    <xf numFmtId="0" fontId="101" fillId="0" borderId="71" xfId="14" applyFont="1" applyFill="1" applyBorder="1" applyAlignment="1">
      <alignment horizontal="right"/>
    </xf>
    <xf numFmtId="0" fontId="101" fillId="0" borderId="95" xfId="14" applyFont="1" applyFill="1" applyBorder="1" applyAlignment="1">
      <alignment horizontal="right"/>
    </xf>
    <xf numFmtId="0" fontId="101" fillId="0" borderId="67" xfId="14" applyFont="1" applyFill="1" applyBorder="1" applyAlignment="1">
      <alignment horizontal="right"/>
    </xf>
    <xf numFmtId="0" fontId="127" fillId="0" borderId="0" xfId="14" applyFont="1" applyFill="1" applyBorder="1" applyAlignment="1">
      <alignment horizontal="center"/>
    </xf>
    <xf numFmtId="0" fontId="127" fillId="0" borderId="28" xfId="14" applyFont="1" applyFill="1" applyBorder="1" applyAlignment="1">
      <alignment horizontal="center"/>
    </xf>
    <xf numFmtId="0" fontId="4" fillId="22" borderId="96" xfId="14" applyFont="1" applyFill="1" applyBorder="1" applyAlignment="1">
      <alignment horizontal="center" vertical="center" wrapText="1"/>
    </xf>
    <xf numFmtId="0" fontId="54" fillId="22" borderId="69" xfId="14" applyFont="1" applyFill="1" applyBorder="1" applyAlignment="1">
      <alignment horizontal="center" vertical="center"/>
    </xf>
    <xf numFmtId="0" fontId="54" fillId="22" borderId="97" xfId="14" applyFont="1" applyFill="1" applyBorder="1" applyAlignment="1">
      <alignment horizontal="center" vertical="center"/>
    </xf>
    <xf numFmtId="4" fontId="19" fillId="0" borderId="2" xfId="0" applyNumberFormat="1" applyFont="1" applyFill="1" applyBorder="1" applyAlignment="1">
      <alignment horizontal="center" vertical="center"/>
    </xf>
    <xf numFmtId="4" fontId="10" fillId="0" borderId="16" xfId="0" applyNumberFormat="1" applyFont="1" applyFill="1" applyBorder="1" applyAlignment="1" applyProtection="1">
      <alignment horizontal="center" vertical="center"/>
    </xf>
    <xf numFmtId="4" fontId="10" fillId="0" borderId="17" xfId="0" applyNumberFormat="1" applyFont="1" applyFill="1" applyBorder="1" applyAlignment="1" applyProtection="1">
      <alignment horizontal="center" vertical="center"/>
    </xf>
    <xf numFmtId="4" fontId="10" fillId="0" borderId="18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166" fontId="16" fillId="0" borderId="0" xfId="0" applyNumberFormat="1" applyFont="1" applyFill="1" applyAlignment="1" applyProtection="1">
      <alignment horizontal="center" vertical="center"/>
    </xf>
    <xf numFmtId="166" fontId="7" fillId="0" borderId="0" xfId="0" applyNumberFormat="1" applyFont="1" applyFill="1" applyAlignment="1" applyProtection="1">
      <alignment horizontal="left" vertical="center" wrapText="1"/>
    </xf>
    <xf numFmtId="166" fontId="10" fillId="12" borderId="68" xfId="7" applyNumberFormat="1" applyFont="1" applyFill="1" applyBorder="1" applyAlignment="1" applyProtection="1">
      <alignment horizontal="center" vertical="center"/>
    </xf>
    <xf numFmtId="39" fontId="10" fillId="2" borderId="65" xfId="7" applyNumberFormat="1" applyFont="1" applyFill="1" applyBorder="1" applyAlignment="1" applyProtection="1">
      <alignment horizontal="center" vertical="center"/>
    </xf>
    <xf numFmtId="39" fontId="10" fillId="2" borderId="64" xfId="7" applyNumberFormat="1" applyFont="1" applyFill="1" applyBorder="1" applyAlignment="1" applyProtection="1">
      <alignment horizontal="center" vertical="center"/>
    </xf>
    <xf numFmtId="166" fontId="16" fillId="0" borderId="0" xfId="0" applyNumberFormat="1" applyFont="1" applyFill="1" applyBorder="1" applyAlignment="1" applyProtection="1">
      <alignment horizontal="center" vertical="center"/>
    </xf>
    <xf numFmtId="166" fontId="16" fillId="0" borderId="0" xfId="0" quotePrefix="1" applyNumberFormat="1" applyFont="1" applyFill="1" applyBorder="1" applyAlignment="1" applyProtection="1">
      <alignment horizontal="center" vertical="center"/>
    </xf>
    <xf numFmtId="164" fontId="130" fillId="17" borderId="44" xfId="0" applyNumberFormat="1" applyFont="1" applyFill="1" applyBorder="1" applyAlignment="1">
      <alignment horizontal="center" vertical="center"/>
    </xf>
    <xf numFmtId="164" fontId="130" fillId="17" borderId="0" xfId="0" applyNumberFormat="1" applyFont="1" applyFill="1" applyBorder="1" applyAlignment="1">
      <alignment horizontal="center" vertical="center"/>
    </xf>
    <xf numFmtId="164" fontId="130" fillId="17" borderId="87" xfId="0" applyNumberFormat="1" applyFont="1" applyFill="1" applyBorder="1" applyAlignment="1">
      <alignment horizontal="center" vertical="center"/>
    </xf>
    <xf numFmtId="49" fontId="131" fillId="17" borderId="0" xfId="0" applyNumberFormat="1" applyFont="1" applyFill="1" applyBorder="1" applyAlignment="1">
      <alignment horizontal="left" vertical="center" wrapText="1"/>
    </xf>
    <xf numFmtId="49" fontId="131" fillId="17" borderId="87" xfId="0" applyNumberFormat="1" applyFont="1" applyFill="1" applyBorder="1" applyAlignment="1">
      <alignment horizontal="left" vertical="center" wrapText="1"/>
    </xf>
    <xf numFmtId="164" fontId="128" fillId="15" borderId="71" xfId="0" applyNumberFormat="1" applyFont="1" applyFill="1" applyBorder="1" applyAlignment="1">
      <alignment horizontal="center" vertical="center"/>
    </xf>
    <xf numFmtId="164" fontId="128" fillId="15" borderId="67" xfId="0" applyNumberFormat="1" applyFont="1" applyFill="1" applyBorder="1" applyAlignment="1">
      <alignment horizontal="center" vertical="center"/>
    </xf>
    <xf numFmtId="49" fontId="129" fillId="17" borderId="44" xfId="0" quotePrefix="1" applyNumberFormat="1" applyFont="1" applyFill="1" applyBorder="1" applyAlignment="1">
      <alignment horizontal="center" vertical="center"/>
    </xf>
    <xf numFmtId="49" fontId="129" fillId="17" borderId="6" xfId="0" quotePrefix="1" applyNumberFormat="1" applyFont="1" applyFill="1" applyBorder="1" applyAlignment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4" fontId="62" fillId="0" borderId="4" xfId="0" applyNumberFormat="1" applyFont="1" applyFill="1" applyBorder="1" applyAlignment="1" applyProtection="1">
      <alignment horizontal="center" vertical="center"/>
    </xf>
    <xf numFmtId="4" fontId="62" fillId="0" borderId="16" xfId="0" applyNumberFormat="1" applyFont="1" applyFill="1" applyBorder="1" applyAlignment="1" applyProtection="1">
      <alignment horizontal="center" vertical="center"/>
    </xf>
    <xf numFmtId="4" fontId="62" fillId="0" borderId="17" xfId="0" applyNumberFormat="1" applyFont="1" applyFill="1" applyBorder="1" applyAlignment="1" applyProtection="1">
      <alignment horizontal="center" vertical="center"/>
    </xf>
    <xf numFmtId="4" fontId="62" fillId="0" borderId="18" xfId="0" applyNumberFormat="1" applyFont="1" applyFill="1" applyBorder="1" applyAlignment="1" applyProtection="1">
      <alignment horizontal="center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4" fontId="68" fillId="0" borderId="19" xfId="0" applyNumberFormat="1" applyFont="1" applyFill="1" applyBorder="1" applyAlignment="1">
      <alignment horizontal="left" vertical="center"/>
    </xf>
    <xf numFmtId="4" fontId="68" fillId="0" borderId="21" xfId="0" applyNumberFormat="1" applyFont="1" applyFill="1" applyBorder="1" applyAlignment="1">
      <alignment horizontal="left" vertical="center"/>
    </xf>
    <xf numFmtId="4" fontId="62" fillId="0" borderId="9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left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110" xfId="0" applyFont="1" applyBorder="1" applyAlignment="1">
      <alignment horizontal="center" vertical="center"/>
    </xf>
    <xf numFmtId="166" fontId="122" fillId="21" borderId="0" xfId="0" applyNumberFormat="1" applyFont="1" applyFill="1" applyBorder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 wrapText="1"/>
    </xf>
    <xf numFmtId="166" fontId="119" fillId="14" borderId="68" xfId="9" applyNumberFormat="1" applyFont="1" applyFill="1" applyBorder="1" applyAlignment="1" applyProtection="1">
      <alignment horizontal="center" vertical="center"/>
    </xf>
    <xf numFmtId="39" fontId="62" fillId="2" borderId="65" xfId="9" applyNumberFormat="1" applyFont="1" applyFill="1" applyBorder="1" applyAlignment="1" applyProtection="1">
      <alignment horizontal="center" vertical="center"/>
    </xf>
    <xf numFmtId="39" fontId="62" fillId="2" borderId="64" xfId="9" applyNumberFormat="1" applyFont="1" applyFill="1" applyBorder="1" applyAlignment="1" applyProtection="1">
      <alignment horizontal="center" vertical="center"/>
    </xf>
    <xf numFmtId="166" fontId="121" fillId="21" borderId="0" xfId="0" applyNumberFormat="1" applyFont="1" applyFill="1" applyBorder="1" applyAlignment="1" applyProtection="1">
      <alignment horizontal="center" vertical="center"/>
    </xf>
    <xf numFmtId="166" fontId="91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left" vertical="center"/>
    </xf>
    <xf numFmtId="4" fontId="68" fillId="0" borderId="9" xfId="0" applyNumberFormat="1" applyFont="1" applyFill="1" applyBorder="1" applyAlignment="1">
      <alignment horizontal="left" vertical="center"/>
    </xf>
    <xf numFmtId="4" fontId="68" fillId="0" borderId="2" xfId="0" applyNumberFormat="1" applyFont="1" applyFill="1" applyBorder="1" applyAlignment="1">
      <alignment horizontal="left" vertical="center"/>
    </xf>
    <xf numFmtId="166" fontId="137" fillId="14" borderId="68" xfId="7" applyNumberFormat="1" applyFont="1" applyFill="1" applyBorder="1" applyAlignment="1" applyProtection="1">
      <alignment horizontal="center" vertical="center"/>
    </xf>
    <xf numFmtId="39" fontId="62" fillId="2" borderId="14" xfId="7" applyNumberFormat="1" applyFont="1" applyFill="1" applyBorder="1" applyAlignment="1" applyProtection="1">
      <alignment horizontal="center" vertical="center"/>
    </xf>
    <xf numFmtId="39" fontId="62" fillId="2" borderId="68" xfId="7" applyNumberFormat="1" applyFont="1" applyFill="1" applyBorder="1" applyAlignment="1" applyProtection="1">
      <alignment horizontal="center" vertical="center"/>
    </xf>
    <xf numFmtId="166" fontId="138" fillId="21" borderId="0" xfId="0" applyNumberFormat="1" applyFont="1" applyFill="1" applyBorder="1" applyAlignment="1" applyProtection="1">
      <alignment horizontal="center" vertical="center"/>
    </xf>
    <xf numFmtId="166" fontId="139" fillId="0" borderId="0" xfId="0" applyNumberFormat="1" applyFont="1" applyFill="1" applyBorder="1" applyAlignment="1" applyProtection="1">
      <alignment horizontal="center" vertical="center"/>
    </xf>
    <xf numFmtId="39" fontId="68" fillId="2" borderId="92" xfId="7" applyNumberFormat="1" applyFont="1" applyFill="1" applyBorder="1" applyAlignment="1" applyProtection="1">
      <alignment horizontal="left" vertical="center" wrapText="1"/>
    </xf>
    <xf numFmtId="39" fontId="68" fillId="2" borderId="93" xfId="7" applyNumberFormat="1" applyFont="1" applyFill="1" applyBorder="1" applyAlignment="1" applyProtection="1">
      <alignment horizontal="left" vertical="center"/>
    </xf>
    <xf numFmtId="39" fontId="68" fillId="2" borderId="94" xfId="7" applyNumberFormat="1" applyFont="1" applyFill="1" applyBorder="1" applyAlignment="1" applyProtection="1">
      <alignment horizontal="left" vertical="center"/>
    </xf>
    <xf numFmtId="39" fontId="68" fillId="2" borderId="16" xfId="7" applyNumberFormat="1" applyFont="1" applyFill="1" applyBorder="1" applyAlignment="1" applyProtection="1">
      <alignment horizontal="left" vertical="center"/>
    </xf>
    <xf numFmtId="39" fontId="68" fillId="2" borderId="17" xfId="7" applyNumberFormat="1" applyFont="1" applyFill="1" applyBorder="1" applyAlignment="1" applyProtection="1">
      <alignment horizontal="left" vertical="center"/>
    </xf>
    <xf numFmtId="39" fontId="68" fillId="2" borderId="18" xfId="7" applyNumberFormat="1" applyFont="1" applyFill="1" applyBorder="1" applyAlignment="1" applyProtection="1">
      <alignment horizontal="left" vertical="center"/>
    </xf>
    <xf numFmtId="39" fontId="68" fillId="2" borderId="111" xfId="7" applyNumberFormat="1" applyFont="1" applyFill="1" applyBorder="1" applyAlignment="1" applyProtection="1">
      <alignment horizontal="left" vertical="center"/>
    </xf>
    <xf numFmtId="39" fontId="68" fillId="2" borderId="95" xfId="7" applyNumberFormat="1" applyFont="1" applyFill="1" applyBorder="1" applyAlignment="1" applyProtection="1">
      <alignment horizontal="left" vertical="center"/>
    </xf>
    <xf numFmtId="39" fontId="68" fillId="2" borderId="67" xfId="7" applyNumberFormat="1" applyFont="1" applyFill="1" applyBorder="1" applyAlignment="1" applyProtection="1">
      <alignment horizontal="left" vertical="center"/>
    </xf>
    <xf numFmtId="4" fontId="62" fillId="0" borderId="7" xfId="0" applyNumberFormat="1" applyFont="1" applyFill="1" applyBorder="1" applyAlignment="1" applyProtection="1">
      <alignment horizontal="center" vertical="center"/>
    </xf>
    <xf numFmtId="4" fontId="62" fillId="0" borderId="8" xfId="0" applyNumberFormat="1" applyFont="1" applyFill="1" applyBorder="1" applyAlignment="1" applyProtection="1">
      <alignment horizontal="center" vertical="center"/>
    </xf>
    <xf numFmtId="166" fontId="134" fillId="21" borderId="0" xfId="0" applyNumberFormat="1" applyFont="1" applyFill="1" applyBorder="1" applyAlignment="1" applyProtection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9" fillId="0" borderId="110" xfId="0" applyFont="1" applyBorder="1" applyAlignment="1">
      <alignment horizontal="center" vertical="center"/>
    </xf>
    <xf numFmtId="166" fontId="62" fillId="0" borderId="16" xfId="0" applyNumberFormat="1" applyFont="1" applyFill="1" applyBorder="1" applyAlignment="1" applyProtection="1">
      <alignment horizontal="center" vertical="center"/>
    </xf>
    <xf numFmtId="166" fontId="62" fillId="0" borderId="18" xfId="0" applyNumberFormat="1" applyFont="1" applyFill="1" applyBorder="1" applyAlignment="1" applyProtection="1">
      <alignment horizontal="center" vertical="center"/>
    </xf>
    <xf numFmtId="39" fontId="24" fillId="2" borderId="2" xfId="7" applyNumberFormat="1" applyFont="1" applyFill="1" applyBorder="1" applyAlignment="1" applyProtection="1">
      <alignment horizontal="left" vertical="center"/>
    </xf>
    <xf numFmtId="4" fontId="24" fillId="0" borderId="5" xfId="0" applyNumberFormat="1" applyFont="1" applyFill="1" applyBorder="1" applyAlignment="1" applyProtection="1">
      <alignment horizontal="left" vertical="center"/>
    </xf>
    <xf numFmtId="4" fontId="24" fillId="0" borderId="6" xfId="0" applyNumberFormat="1" applyFont="1" applyFill="1" applyBorder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horizontal="left" vertical="center"/>
    </xf>
    <xf numFmtId="4" fontId="24" fillId="0" borderId="19" xfId="0" applyNumberFormat="1" applyFont="1" applyFill="1" applyBorder="1" applyAlignment="1" applyProtection="1">
      <alignment horizontal="left" vertical="center"/>
    </xf>
    <xf numFmtId="4" fontId="24" fillId="0" borderId="21" xfId="0" applyNumberFormat="1" applyFont="1" applyFill="1" applyBorder="1" applyAlignment="1" applyProtection="1">
      <alignment horizontal="left" vertical="center"/>
    </xf>
    <xf numFmtId="166" fontId="27" fillId="0" borderId="3" xfId="0" applyNumberFormat="1" applyFont="1" applyFill="1" applyBorder="1" applyAlignment="1" applyProtection="1">
      <alignment horizontal="center" vertical="center"/>
    </xf>
    <xf numFmtId="166" fontId="27" fillId="0" borderId="19" xfId="0" applyNumberFormat="1" applyFont="1" applyFill="1" applyBorder="1" applyAlignment="1" applyProtection="1">
      <alignment horizontal="center"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4" fillId="0" borderId="0" xfId="0" quotePrefix="1" applyNumberFormat="1" applyFont="1" applyFill="1" applyBorder="1" applyAlignment="1" applyProtection="1">
      <alignment horizontal="center" vertical="center"/>
    </xf>
    <xf numFmtId="4" fontId="27" fillId="0" borderId="4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166" fontId="36" fillId="0" borderId="0" xfId="0" applyNumberFormat="1" applyFont="1" applyFill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>
      <alignment horizontal="center" vertical="center"/>
    </xf>
    <xf numFmtId="166" fontId="24" fillId="0" borderId="0" xfId="0" applyNumberFormat="1" applyFont="1" applyFill="1" applyAlignment="1" applyProtection="1">
      <alignment horizontal="left" vertical="center" wrapText="1"/>
    </xf>
    <xf numFmtId="166" fontId="97" fillId="14" borderId="61" xfId="7" applyNumberFormat="1" applyFont="1" applyFill="1" applyBorder="1" applyAlignment="1" applyProtection="1">
      <alignment horizontal="center" vertical="center"/>
    </xf>
    <xf numFmtId="39" fontId="27" fillId="2" borderId="65" xfId="7" applyNumberFormat="1" applyFont="1" applyFill="1" applyBorder="1" applyAlignment="1" applyProtection="1">
      <alignment horizontal="center" vertical="center"/>
    </xf>
    <xf numFmtId="39" fontId="27" fillId="2" borderId="98" xfId="7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horizontal="center" vertical="center" wrapText="1"/>
    </xf>
    <xf numFmtId="4" fontId="24" fillId="0" borderId="1" xfId="0" applyNumberFormat="1" applyFont="1" applyFill="1" applyBorder="1" applyAlignment="1" applyProtection="1">
      <alignment horizontal="center" vertical="center" wrapText="1"/>
    </xf>
    <xf numFmtId="4" fontId="24" fillId="0" borderId="4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" fontId="27" fillId="0" borderId="17" xfId="0" applyNumberFormat="1" applyFont="1" applyFill="1" applyBorder="1" applyAlignment="1" applyProtection="1">
      <alignment horizontal="center" vertical="center"/>
    </xf>
    <xf numFmtId="4" fontId="27" fillId="0" borderId="18" xfId="0" applyNumberFormat="1" applyFont="1" applyFill="1" applyBorder="1" applyAlignment="1" applyProtection="1">
      <alignment horizontal="center" vertical="center"/>
    </xf>
    <xf numFmtId="4" fontId="37" fillId="0" borderId="5" xfId="0" applyNumberFormat="1" applyFont="1" applyFill="1" applyBorder="1" applyAlignment="1" applyProtection="1">
      <alignment horizontal="left" vertical="center"/>
    </xf>
    <xf numFmtId="4" fontId="37" fillId="0" borderId="6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0" fontId="89" fillId="0" borderId="2" xfId="0" applyFont="1" applyBorder="1" applyAlignment="1">
      <alignment horizontal="left" vertical="center" wrapText="1"/>
    </xf>
    <xf numFmtId="0" fontId="131" fillId="0" borderId="2" xfId="0" applyFont="1" applyBorder="1" applyAlignment="1">
      <alignment horizontal="center" vertical="center"/>
    </xf>
    <xf numFmtId="39" fontId="68" fillId="2" borderId="2" xfId="7" applyNumberFormat="1" applyFont="1" applyFill="1" applyBorder="1" applyAlignment="1" applyProtection="1">
      <alignment horizontal="left" vertical="center"/>
    </xf>
    <xf numFmtId="166" fontId="140" fillId="14" borderId="61" xfId="7" applyNumberFormat="1" applyFont="1" applyFill="1" applyBorder="1" applyAlignment="1" applyProtection="1">
      <alignment horizontal="center" vertical="center"/>
    </xf>
    <xf numFmtId="39" fontId="62" fillId="2" borderId="65" xfId="7" applyNumberFormat="1" applyFont="1" applyFill="1" applyBorder="1" applyAlignment="1" applyProtection="1">
      <alignment horizontal="center" vertical="center"/>
    </xf>
    <xf numFmtId="39" fontId="62" fillId="2" borderId="64" xfId="7" applyNumberFormat="1" applyFont="1" applyFill="1" applyBorder="1" applyAlignment="1" applyProtection="1">
      <alignment horizontal="center" vertical="center"/>
    </xf>
    <xf numFmtId="0" fontId="59" fillId="0" borderId="0" xfId="0" applyFont="1" applyFill="1" applyAlignment="1">
      <alignment horizontal="center" vertical="center"/>
    </xf>
    <xf numFmtId="4" fontId="68" fillId="0" borderId="2" xfId="0" applyNumberFormat="1" applyFont="1" applyFill="1" applyBorder="1" applyAlignment="1" applyProtection="1">
      <alignment horizontal="center" vertical="center"/>
    </xf>
    <xf numFmtId="166" fontId="141" fillId="14" borderId="92" xfId="7" applyNumberFormat="1" applyFont="1" applyFill="1" applyBorder="1" applyAlignment="1" applyProtection="1">
      <alignment horizontal="center" vertical="center"/>
    </xf>
    <xf numFmtId="166" fontId="141" fillId="14" borderId="93" xfId="7" applyNumberFormat="1" applyFont="1" applyFill="1" applyBorder="1" applyAlignment="1" applyProtection="1">
      <alignment horizontal="center" vertical="center"/>
    </xf>
    <xf numFmtId="166" fontId="141" fillId="14" borderId="94" xfId="7" applyNumberFormat="1" applyFont="1" applyFill="1" applyBorder="1" applyAlignment="1" applyProtection="1">
      <alignment horizontal="center" vertical="center"/>
    </xf>
    <xf numFmtId="4" fontId="68" fillId="0" borderId="5" xfId="0" applyNumberFormat="1" applyFont="1" applyFill="1" applyBorder="1" applyAlignment="1" applyProtection="1">
      <alignment horizontal="left" vertical="center"/>
    </xf>
    <xf numFmtId="4" fontId="68" fillId="0" borderId="6" xfId="0" applyNumberFormat="1" applyFont="1" applyFill="1" applyBorder="1" applyAlignment="1" applyProtection="1">
      <alignment horizontal="left" vertical="center"/>
    </xf>
    <xf numFmtId="4" fontId="59" fillId="0" borderId="2" xfId="0" applyNumberFormat="1" applyFont="1" applyFill="1" applyBorder="1" applyAlignment="1" applyProtection="1">
      <alignment horizontal="center" vertical="center"/>
    </xf>
    <xf numFmtId="166" fontId="62" fillId="0" borderId="3" xfId="0" applyNumberFormat="1" applyFont="1" applyFill="1" applyBorder="1" applyAlignment="1" applyProtection="1">
      <alignment horizontal="center" vertical="center"/>
    </xf>
    <xf numFmtId="4" fontId="76" fillId="8" borderId="99" xfId="0" applyNumberFormat="1" applyFont="1" applyFill="1" applyBorder="1" applyAlignment="1">
      <alignment horizontal="center" vertical="center" textRotation="255" wrapText="1"/>
    </xf>
    <xf numFmtId="4" fontId="76" fillId="8" borderId="100" xfId="0" applyNumberFormat="1" applyFont="1" applyFill="1" applyBorder="1" applyAlignment="1">
      <alignment horizontal="center" vertical="center" textRotation="255" wrapText="1"/>
    </xf>
    <xf numFmtId="4" fontId="76" fillId="8" borderId="60" xfId="0" applyNumberFormat="1" applyFont="1" applyFill="1" applyBorder="1" applyAlignment="1">
      <alignment horizontal="center" vertical="center" wrapText="1"/>
    </xf>
    <xf numFmtId="4" fontId="76" fillId="8" borderId="101" xfId="0" applyNumberFormat="1" applyFont="1" applyFill="1" applyBorder="1" applyAlignment="1">
      <alignment horizontal="center" vertical="center" wrapText="1"/>
    </xf>
    <xf numFmtId="4" fontId="77" fillId="9" borderId="56" xfId="0" applyNumberFormat="1" applyFont="1" applyFill="1" applyBorder="1" applyAlignment="1">
      <alignment horizontal="center" vertical="center" wrapText="1"/>
    </xf>
    <xf numFmtId="4" fontId="77" fillId="9" borderId="0" xfId="0" applyNumberFormat="1" applyFont="1" applyFill="1" applyBorder="1" applyAlignment="1">
      <alignment horizontal="center" vertical="center" wrapText="1"/>
    </xf>
    <xf numFmtId="4" fontId="74" fillId="0" borderId="0" xfId="0" applyNumberFormat="1" applyFont="1" applyAlignment="1">
      <alignment horizontal="center" vertical="center"/>
    </xf>
    <xf numFmtId="4" fontId="75" fillId="0" borderId="0" xfId="0" applyNumberFormat="1" applyFont="1" applyAlignment="1">
      <alignment horizontal="center" vertical="center"/>
    </xf>
    <xf numFmtId="4" fontId="77" fillId="9" borderId="45" xfId="0" applyNumberFormat="1" applyFont="1" applyFill="1" applyBorder="1" applyAlignment="1">
      <alignment horizontal="center" vertical="center" wrapText="1"/>
    </xf>
    <xf numFmtId="0" fontId="4" fillId="22" borderId="102" xfId="14" applyFont="1" applyFill="1" applyBorder="1" applyAlignment="1">
      <alignment horizontal="center" vertical="center" wrapText="1"/>
    </xf>
    <xf numFmtId="0" fontId="4" fillId="22" borderId="35" xfId="14" applyFont="1" applyFill="1" applyBorder="1" applyAlignment="1">
      <alignment horizontal="center" vertical="center" wrapText="1"/>
    </xf>
    <xf numFmtId="0" fontId="4" fillId="22" borderId="34" xfId="14" applyFont="1" applyFill="1" applyBorder="1" applyAlignment="1">
      <alignment horizontal="center" vertical="center" wrapText="1"/>
    </xf>
    <xf numFmtId="0" fontId="4" fillId="22" borderId="44" xfId="14" applyFont="1" applyFill="1" applyBorder="1" applyAlignment="1">
      <alignment horizontal="center" vertical="center" wrapText="1"/>
    </xf>
    <xf numFmtId="0" fontId="4" fillId="22" borderId="0" xfId="14" applyFont="1" applyFill="1" applyBorder="1" applyAlignment="1">
      <alignment horizontal="center" vertical="center" wrapText="1"/>
    </xf>
    <xf numFmtId="0" fontId="4" fillId="22" borderId="28" xfId="14" applyFont="1" applyFill="1" applyBorder="1" applyAlignment="1">
      <alignment horizontal="center" vertical="center" wrapText="1"/>
    </xf>
    <xf numFmtId="0" fontId="4" fillId="22" borderId="30" xfId="14" applyFont="1" applyFill="1" applyBorder="1" applyAlignment="1">
      <alignment horizontal="center" vertical="center" wrapText="1"/>
    </xf>
    <xf numFmtId="0" fontId="101" fillId="0" borderId="71" xfId="14" applyFont="1" applyBorder="1" applyAlignment="1">
      <alignment horizontal="right"/>
    </xf>
    <xf numFmtId="0" fontId="101" fillId="0" borderId="95" xfId="14" applyFont="1" applyBorder="1" applyAlignment="1">
      <alignment horizontal="right"/>
    </xf>
    <xf numFmtId="0" fontId="101" fillId="0" borderId="67" xfId="14" applyFont="1" applyBorder="1" applyAlignment="1">
      <alignment horizontal="right"/>
    </xf>
    <xf numFmtId="0" fontId="107" fillId="3" borderId="57" xfId="14" applyFont="1" applyFill="1" applyBorder="1" applyAlignment="1">
      <alignment horizontal="center" vertical="center"/>
    </xf>
    <xf numFmtId="0" fontId="107" fillId="3" borderId="56" xfId="14" applyFont="1" applyFill="1" applyBorder="1" applyAlignment="1">
      <alignment horizontal="center" vertical="center"/>
    </xf>
    <xf numFmtId="0" fontId="110" fillId="0" borderId="44" xfId="14" applyFont="1" applyBorder="1" applyAlignment="1">
      <alignment horizontal="center"/>
    </xf>
    <xf numFmtId="0" fontId="110" fillId="0" borderId="0" xfId="14" applyFont="1" applyBorder="1" applyAlignment="1">
      <alignment horizontal="center"/>
    </xf>
    <xf numFmtId="0" fontId="110" fillId="0" borderId="28" xfId="14" applyFont="1" applyBorder="1" applyAlignment="1">
      <alignment horizontal="center"/>
    </xf>
    <xf numFmtId="0" fontId="101" fillId="0" borderId="103" xfId="14" applyFont="1" applyBorder="1" applyAlignment="1">
      <alignment horizontal="left"/>
    </xf>
    <xf numFmtId="0" fontId="101" fillId="0" borderId="104" xfId="14" applyFont="1" applyBorder="1" applyAlignment="1">
      <alignment horizontal="left"/>
    </xf>
    <xf numFmtId="0" fontId="101" fillId="0" borderId="52" xfId="14" applyFont="1" applyFill="1" applyBorder="1" applyAlignment="1">
      <alignment horizontal="left"/>
    </xf>
    <xf numFmtId="0" fontId="101" fillId="0" borderId="51" xfId="14" applyFont="1" applyFill="1" applyBorder="1" applyAlignment="1">
      <alignment horizontal="left"/>
    </xf>
    <xf numFmtId="0" fontId="100" fillId="0" borderId="105" xfId="14" applyFont="1" applyBorder="1" applyAlignment="1">
      <alignment horizontal="center"/>
    </xf>
    <xf numFmtId="0" fontId="100" fillId="0" borderId="106" xfId="14" applyFont="1" applyBorder="1" applyAlignment="1">
      <alignment horizontal="center"/>
    </xf>
    <xf numFmtId="0" fontId="69" fillId="22" borderId="77" xfId="14" applyFont="1" applyFill="1" applyBorder="1" applyAlignment="1">
      <alignment horizontal="center" vertical="center" wrapText="1"/>
    </xf>
    <xf numFmtId="0" fontId="69" fillId="22" borderId="69" xfId="14" applyFont="1" applyFill="1" applyBorder="1" applyAlignment="1">
      <alignment horizontal="center" vertical="center" wrapText="1"/>
    </xf>
    <xf numFmtId="0" fontId="69" fillId="22" borderId="107" xfId="14" applyFont="1" applyFill="1" applyBorder="1" applyAlignment="1">
      <alignment horizontal="center" vertical="center" wrapText="1"/>
    </xf>
    <xf numFmtId="0" fontId="69" fillId="0" borderId="0" xfId="14" applyFont="1" applyFill="1" applyAlignment="1">
      <alignment horizontal="center"/>
    </xf>
    <xf numFmtId="0" fontId="64" fillId="0" borderId="0" xfId="14" applyFont="1" applyFill="1" applyAlignment="1">
      <alignment horizontal="center"/>
    </xf>
    <xf numFmtId="171" fontId="59" fillId="0" borderId="90" xfId="14" applyNumberFormat="1" applyFont="1" applyFill="1" applyBorder="1" applyAlignment="1">
      <alignment vertical="center"/>
    </xf>
    <xf numFmtId="171" fontId="59" fillId="0" borderId="66" xfId="14" applyNumberFormat="1" applyFont="1" applyFill="1" applyBorder="1" applyAlignment="1">
      <alignment vertical="center"/>
    </xf>
    <xf numFmtId="171" fontId="59" fillId="0" borderId="108" xfId="14" applyNumberFormat="1" applyFont="1" applyFill="1" applyBorder="1" applyAlignment="1">
      <alignment vertical="center"/>
    </xf>
    <xf numFmtId="171" fontId="59" fillId="0" borderId="100" xfId="14" applyNumberFormat="1" applyFont="1" applyFill="1" applyBorder="1" applyAlignment="1">
      <alignment vertical="center"/>
    </xf>
  </cellXfs>
  <cellStyles count="18">
    <cellStyle name="Cancel" xfId="1" xr:uid="{00000000-0005-0000-0000-000000000000}"/>
    <cellStyle name="Millares" xfId="2" builtinId="3"/>
    <cellStyle name="Millares 2" xfId="3" xr:uid="{00000000-0005-0000-0000-000002000000}"/>
    <cellStyle name="Millares 3" xfId="4" xr:uid="{00000000-0005-0000-0000-000003000000}"/>
    <cellStyle name="Moneda" xfId="5" builtinId="4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Porcentaje" xfId="16" builtinId="5"/>
    <cellStyle name="Porcentaje 2" xfId="17" xr:uid="{00000000-0005-0000-0000-000011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1905000</xdr:colOff>
      <xdr:row>26</xdr:row>
      <xdr:rowOff>114300</xdr:rowOff>
    </xdr:from>
    <xdr:to>
      <xdr:col>4</xdr:col>
      <xdr:colOff>581025</xdr:colOff>
      <xdr:row>31</xdr:row>
      <xdr:rowOff>114300</xdr:rowOff>
    </xdr:to>
    <xdr:pic>
      <xdr:nvPicPr>
        <xdr:cNvPr id="49503" name="Picture 32" descr="BS00561_">
          <a:extLst>
            <a:ext uri="{FF2B5EF4-FFF2-40B4-BE49-F238E27FC236}">
              <a16:creationId xmlns:a16="http://schemas.microsoft.com/office/drawing/2014/main" id="{F8DEF9AB-38FA-45CC-947B-1BD873DB0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77"/>
        <a:stretch>
          <a:fillRect/>
        </a:stretch>
      </xdr:blipFill>
      <xdr:spPr bwMode="auto">
        <a:xfrm>
          <a:off x="3162300" y="5572125"/>
          <a:ext cx="8667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28575</xdr:rowOff>
    </xdr:from>
    <xdr:to>
      <xdr:col>2</xdr:col>
      <xdr:colOff>1285875</xdr:colOff>
      <xdr:row>5</xdr:row>
      <xdr:rowOff>47625</xdr:rowOff>
    </xdr:to>
    <xdr:pic>
      <xdr:nvPicPr>
        <xdr:cNvPr id="58413" name="Imagen 17">
          <a:extLst>
            <a:ext uri="{FF2B5EF4-FFF2-40B4-BE49-F238E27FC236}">
              <a16:creationId xmlns:a16="http://schemas.microsoft.com/office/drawing/2014/main" id="{96D6FFA6-AB4F-4E67-B29F-CBF9B78E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9650" y="352425"/>
          <a:ext cx="8572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114300</xdr:rowOff>
    </xdr:to>
    <xdr:pic>
      <xdr:nvPicPr>
        <xdr:cNvPr id="58414" name="Imagen 18">
          <a:extLst>
            <a:ext uri="{FF2B5EF4-FFF2-40B4-BE49-F238E27FC236}">
              <a16:creationId xmlns:a16="http://schemas.microsoft.com/office/drawing/2014/main" id="{ABE1D71F-D3EB-4743-9767-A20CC38C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96325" y="247650"/>
          <a:ext cx="8382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152400</xdr:rowOff>
    </xdr:from>
    <xdr:to>
      <xdr:col>2</xdr:col>
      <xdr:colOff>1000125</xdr:colOff>
      <xdr:row>5</xdr:row>
      <xdr:rowOff>0</xdr:rowOff>
    </xdr:to>
    <xdr:pic>
      <xdr:nvPicPr>
        <xdr:cNvPr id="42405" name="Imagen 17">
          <a:extLst>
            <a:ext uri="{FF2B5EF4-FFF2-40B4-BE49-F238E27FC236}">
              <a16:creationId xmlns:a16="http://schemas.microsoft.com/office/drawing/2014/main" id="{7F4804D0-6AD9-4968-B02D-143B24EC8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23850"/>
          <a:ext cx="8953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42406" name="Imagen 18">
          <a:extLst>
            <a:ext uri="{FF2B5EF4-FFF2-40B4-BE49-F238E27FC236}">
              <a16:creationId xmlns:a16="http://schemas.microsoft.com/office/drawing/2014/main" id="{ECD15778-FAED-4C52-828F-4C1626AA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591550" y="257175"/>
          <a:ext cx="11144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52641" name="Imagen 18">
          <a:extLst>
            <a:ext uri="{FF2B5EF4-FFF2-40B4-BE49-F238E27FC236}">
              <a16:creationId xmlns:a16="http://schemas.microsoft.com/office/drawing/2014/main" id="{A333662D-8579-4446-8C67-6CF862BA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48700" y="257175"/>
          <a:ext cx="83820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52642" name="Imagen 17">
          <a:extLst>
            <a:ext uri="{FF2B5EF4-FFF2-40B4-BE49-F238E27FC236}">
              <a16:creationId xmlns:a16="http://schemas.microsoft.com/office/drawing/2014/main" id="{B736E4B9-0511-4BD3-AC19-F257FBA3E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143000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2</xdr:row>
      <xdr:rowOff>38100</xdr:rowOff>
    </xdr:from>
    <xdr:to>
      <xdr:col>1</xdr:col>
      <xdr:colOff>1800225</xdr:colOff>
      <xdr:row>5</xdr:row>
      <xdr:rowOff>66675</xdr:rowOff>
    </xdr:to>
    <xdr:pic>
      <xdr:nvPicPr>
        <xdr:cNvPr id="7799" name="Imagen 17">
          <a:extLst>
            <a:ext uri="{FF2B5EF4-FFF2-40B4-BE49-F238E27FC236}">
              <a16:creationId xmlns:a16="http://schemas.microsoft.com/office/drawing/2014/main" id="{FED341DD-239C-417E-8DDD-1AE002020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81000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1971675</xdr:colOff>
      <xdr:row>1</xdr:row>
      <xdr:rowOff>85725</xdr:rowOff>
    </xdr:from>
    <xdr:to>
      <xdr:col>7</xdr:col>
      <xdr:colOff>771525</xdr:colOff>
      <xdr:row>5</xdr:row>
      <xdr:rowOff>123825</xdr:rowOff>
    </xdr:to>
    <xdr:pic>
      <xdr:nvPicPr>
        <xdr:cNvPr id="7800" name="Imagen 18">
          <a:extLst>
            <a:ext uri="{FF2B5EF4-FFF2-40B4-BE49-F238E27FC236}">
              <a16:creationId xmlns:a16="http://schemas.microsoft.com/office/drawing/2014/main" id="{0F8EF289-05F5-4D6B-8A3A-E26AC7301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829675" y="257175"/>
          <a:ext cx="7715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</xdr:colOff>
      <xdr:row>1</xdr:row>
      <xdr:rowOff>104775</xdr:rowOff>
    </xdr:from>
    <xdr:to>
      <xdr:col>2</xdr:col>
      <xdr:colOff>923925</xdr:colOff>
      <xdr:row>4</xdr:row>
      <xdr:rowOff>209550</xdr:rowOff>
    </xdr:to>
    <xdr:pic>
      <xdr:nvPicPr>
        <xdr:cNvPr id="7801" name="Imagen 17">
          <a:extLst>
            <a:ext uri="{FF2B5EF4-FFF2-40B4-BE49-F238E27FC236}">
              <a16:creationId xmlns:a16="http://schemas.microsoft.com/office/drawing/2014/main" id="{06C8A60C-6328-4B8F-A7F4-2BB47D90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66750" y="276225"/>
          <a:ext cx="9048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23971" name="Imagen 18">
          <a:extLst>
            <a:ext uri="{FF2B5EF4-FFF2-40B4-BE49-F238E27FC236}">
              <a16:creationId xmlns:a16="http://schemas.microsoft.com/office/drawing/2014/main" id="{9D02C8F4-C399-4641-B472-423B0E76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7505700" y="257175"/>
          <a:ext cx="8191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23972" name="Imagen 17">
          <a:extLst>
            <a:ext uri="{FF2B5EF4-FFF2-40B4-BE49-F238E27FC236}">
              <a16:creationId xmlns:a16="http://schemas.microsoft.com/office/drawing/2014/main" id="{2C5B2C7F-4156-4BA8-9658-CC7BC42F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0125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SHIBA/Desktop/Pres.%20y%20Crono.%20IOARR%20HRGDV/PRESUPUESTO%20analitico%20G.G.%20ccorichic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Roaming/Microsoft/Excel/GASTOS%20GENERALES%20ESTHER%20ROBERTI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GG%20Supervisi+&#166;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DESAGREGADO%20DE%20LIQ.%20Y%20GESTION%20DE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SÚMEN"/>
      <sheetName val="Pie presupuesto"/>
      <sheetName val="Resumen"/>
      <sheetName val="Exp.Téc. "/>
      <sheetName val="Costo Directo"/>
      <sheetName val="G.General"/>
      <sheetName val="Supervision"/>
      <sheetName val="Capacitacion Social"/>
      <sheetName val="CONSOLIDADO"/>
      <sheetName val="Remuneraciones"/>
    </sheetNames>
    <sheetDataSet>
      <sheetData sheetId="0" refreshError="1"/>
      <sheetData sheetId="1" refreshError="1"/>
      <sheetData sheetId="2" refreshError="1"/>
      <sheetData sheetId="3" refreshError="1">
        <row r="19">
          <cell r="B19" t="str">
            <v>2.6.2.3.99 3</v>
          </cell>
        </row>
        <row r="20">
          <cell r="B20" t="str">
            <v>2.6.2.3.99 4</v>
          </cell>
        </row>
        <row r="21">
          <cell r="B21" t="str">
            <v>2.6.2.3.99 5</v>
          </cell>
        </row>
        <row r="22">
          <cell r="B22" t="str">
            <v>2.6.2.3.99 6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JOS"/>
      <sheetName val="VARIABLES"/>
      <sheetName val="financiera"/>
      <sheetName val="Seguros "/>
      <sheetName val="Elementos de Seguridad"/>
      <sheetName val="Hoja1"/>
    </sheetNames>
    <sheetDataSet>
      <sheetData sheetId="0">
        <row r="36">
          <cell r="H36">
            <v>27789.706700000002</v>
          </cell>
        </row>
      </sheetData>
      <sheetData sheetId="1">
        <row r="36">
          <cell r="H36">
            <v>265453.23678199999</v>
          </cell>
        </row>
      </sheetData>
      <sheetData sheetId="2"/>
      <sheetData sheetId="3">
        <row r="10">
          <cell r="Q10">
            <v>22864.705201799999</v>
          </cell>
        </row>
        <row r="14">
          <cell r="Q14">
            <v>30794.215759999999</v>
          </cell>
        </row>
        <row r="18">
          <cell r="Q18">
            <v>4927.0745215999996</v>
          </cell>
        </row>
      </sheetData>
      <sheetData sheetId="4">
        <row r="18">
          <cell r="G18">
            <v>3890</v>
          </cell>
        </row>
        <row r="29">
          <cell r="G29">
            <v>2280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IJOS"/>
      <sheetName val="VARIABLES"/>
      <sheetName val="Remuneraciones"/>
      <sheetName val="financiera"/>
      <sheetName val="Seguros "/>
      <sheetName val="Hoja1"/>
    </sheetNames>
    <sheetDataSet>
      <sheetData sheetId="0">
        <row r="22">
          <cell r="E22">
            <v>5.0713941609795268E-2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.Téc. "/>
      <sheetName val="Liquidacion"/>
      <sheetName val="Capacitacion Social"/>
      <sheetName val="Gestión"/>
    </sheetNames>
    <sheetDataSet>
      <sheetData sheetId="0"/>
      <sheetData sheetId="1">
        <row r="19">
          <cell r="G19">
            <v>31632.5</v>
          </cell>
        </row>
      </sheetData>
      <sheetData sheetId="2"/>
      <sheetData sheetId="3">
        <row r="19">
          <cell r="G19">
            <v>50593.53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irador">
  <a:themeElements>
    <a:clrScheme name="Mirador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Mirador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irador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8.xml"/><Relationship Id="rId4" Type="http://schemas.openxmlformats.org/officeDocument/2006/relationships/vmlDrawing" Target="../drawings/vmlDrawing1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showGridLines="0" view="pageBreakPreview" zoomScaleSheetLayoutView="100" workbookViewId="0">
      <selection activeCell="C35" sqref="C35"/>
    </sheetView>
  </sheetViews>
  <sheetFormatPr baseColWidth="10" defaultColWidth="11.5546875" defaultRowHeight="13.2"/>
  <cols>
    <col min="1" max="1" width="2.5546875" style="301" customWidth="1"/>
    <col min="2" max="2" width="6.88671875" style="301" customWidth="1"/>
    <col min="3" max="3" width="55.88671875" style="301" customWidth="1"/>
    <col min="4" max="4" width="7.44140625" style="301" customWidth="1"/>
    <col min="5" max="5" width="11" style="301" customWidth="1"/>
    <col min="6" max="6" width="11.5546875" style="301" customWidth="1"/>
    <col min="7" max="7" width="13.88671875" style="301" customWidth="1"/>
    <col min="8" max="8" width="17" style="301" customWidth="1"/>
    <col min="9" max="9" width="3" style="301" customWidth="1"/>
    <col min="10" max="10" width="19.33203125" style="301" bestFit="1" customWidth="1"/>
    <col min="11" max="11" width="15.5546875" style="301" customWidth="1"/>
    <col min="12" max="12" width="11.6640625" style="301" bestFit="1" customWidth="1"/>
    <col min="13" max="13" width="11.5546875" style="301"/>
    <col min="14" max="14" width="11.5546875" style="301" bestFit="1" customWidth="1"/>
    <col min="15" max="16384" width="11.5546875" style="301"/>
  </cols>
  <sheetData>
    <row r="1" spans="1:12" s="444" customFormat="1" ht="13.5" customHeight="1">
      <c r="A1" s="923" t="str">
        <f>RESÚMEN!B4</f>
        <v xml:space="preserve">PROYECTO : “MEJORAMIENTO DEL SERVICIO EDUCATIVO DE LA I.E ESTHER ROBERTI GAMERO, DISTRITO DE ABANCAY- REGIÓN APURÍMAC”
</v>
      </c>
      <c r="B1" s="924"/>
      <c r="C1" s="924"/>
      <c r="D1" s="924"/>
      <c r="E1" s="924"/>
      <c r="F1" s="924"/>
      <c r="G1" s="924"/>
      <c r="H1" s="925"/>
      <c r="I1" s="443"/>
    </row>
    <row r="2" spans="1:12" s="444" customFormat="1" ht="75.75" customHeight="1" thickBot="1">
      <c r="A2" s="926"/>
      <c r="B2" s="927"/>
      <c r="C2" s="927"/>
      <c r="D2" s="927"/>
      <c r="E2" s="927"/>
      <c r="F2" s="927"/>
      <c r="G2" s="927"/>
      <c r="H2" s="928"/>
      <c r="I2" s="443"/>
      <c r="J2" s="445"/>
    </row>
    <row r="3" spans="1:12" ht="14.25" customHeight="1">
      <c r="A3" s="310"/>
      <c r="B3" s="929" t="s">
        <v>366</v>
      </c>
      <c r="C3" s="929"/>
      <c r="D3" s="929"/>
      <c r="E3" s="929"/>
      <c r="F3" s="929"/>
      <c r="G3" s="929"/>
      <c r="H3" s="929"/>
      <c r="I3" s="446"/>
    </row>
    <row r="4" spans="1:12" ht="16.5" customHeight="1" thickBot="1">
      <c r="A4" s="310"/>
      <c r="B4" s="929" t="s">
        <v>352</v>
      </c>
      <c r="C4" s="929"/>
      <c r="D4" s="929"/>
      <c r="E4" s="929"/>
      <c r="F4" s="929"/>
      <c r="G4" s="929"/>
      <c r="H4" s="929"/>
      <c r="I4" s="446"/>
    </row>
    <row r="5" spans="1:12" ht="37.5" customHeight="1">
      <c r="A5" s="310"/>
      <c r="B5" s="447" t="s">
        <v>362</v>
      </c>
      <c r="C5" s="448" t="s">
        <v>361</v>
      </c>
      <c r="D5" s="448" t="s">
        <v>360</v>
      </c>
      <c r="E5" s="449" t="s">
        <v>367</v>
      </c>
      <c r="F5" s="449" t="s">
        <v>368</v>
      </c>
      <c r="G5" s="449" t="s">
        <v>358</v>
      </c>
      <c r="H5" s="450" t="s">
        <v>357</v>
      </c>
      <c r="I5" s="310"/>
    </row>
    <row r="6" spans="1:12" ht="14.25" customHeight="1">
      <c r="A6" s="310"/>
      <c r="B6" s="451" t="s">
        <v>356</v>
      </c>
      <c r="C6" s="452" t="s">
        <v>369</v>
      </c>
      <c r="D6" s="453"/>
      <c r="E6" s="453"/>
      <c r="F6" s="453"/>
      <c r="G6" s="453"/>
      <c r="H6" s="454"/>
      <c r="I6" s="310"/>
      <c r="K6" s="302"/>
      <c r="L6" s="302"/>
    </row>
    <row r="7" spans="1:12" ht="18" customHeight="1">
      <c r="A7" s="310"/>
      <c r="B7" s="455" t="s">
        <v>370</v>
      </c>
      <c r="C7" s="456" t="s">
        <v>371</v>
      </c>
      <c r="D7" s="457"/>
      <c r="E7" s="458"/>
      <c r="F7" s="458"/>
      <c r="G7" s="458"/>
      <c r="H7" s="459"/>
      <c r="I7" s="310"/>
      <c r="J7" s="352"/>
    </row>
    <row r="8" spans="1:12" ht="11.25" customHeight="1">
      <c r="A8" s="310"/>
      <c r="B8" s="460">
        <v>1</v>
      </c>
      <c r="C8" s="461" t="str">
        <f>+Remuneraciones!B7</f>
        <v>Ing  y/o Arq  Residente de Obra</v>
      </c>
      <c r="D8" s="462" t="s">
        <v>372</v>
      </c>
      <c r="E8" s="463">
        <f>+Remuneraciones!C28</f>
        <v>1</v>
      </c>
      <c r="F8" s="463">
        <v>9.5</v>
      </c>
      <c r="G8" s="464">
        <f>+Remuneraciones!E7</f>
        <v>2681.65</v>
      </c>
      <c r="H8" s="465">
        <f t="shared" ref="H8:H16" si="0">E8*F8*G8</f>
        <v>25475.674999999999</v>
      </c>
      <c r="I8" s="310"/>
      <c r="K8" s="302"/>
    </row>
    <row r="9" spans="1:12" ht="11.25" customHeight="1">
      <c r="A9" s="310"/>
      <c r="B9" s="460">
        <f>+B8+1</f>
        <v>2</v>
      </c>
      <c r="C9" s="461" t="s">
        <v>373</v>
      </c>
      <c r="D9" s="462" t="s">
        <v>372</v>
      </c>
      <c r="E9" s="463">
        <f>+Remuneraciones!C31</f>
        <v>1</v>
      </c>
      <c r="F9" s="463">
        <v>3</v>
      </c>
      <c r="G9" s="464">
        <v>4500</v>
      </c>
      <c r="H9" s="465">
        <f t="shared" si="0"/>
        <v>13500</v>
      </c>
      <c r="I9" s="310"/>
      <c r="K9" s="302"/>
    </row>
    <row r="10" spans="1:12" ht="11.25" customHeight="1">
      <c r="A10" s="310"/>
      <c r="B10" s="460">
        <f t="shared" ref="B10:B16" si="1">+B9+1</f>
        <v>3</v>
      </c>
      <c r="C10" s="461" t="s">
        <v>374</v>
      </c>
      <c r="D10" s="462" t="s">
        <v>372</v>
      </c>
      <c r="E10" s="463">
        <v>1</v>
      </c>
      <c r="F10" s="463">
        <v>1</v>
      </c>
      <c r="G10" s="464">
        <v>4500</v>
      </c>
      <c r="H10" s="465">
        <f t="shared" si="0"/>
        <v>4500</v>
      </c>
      <c r="I10" s="310"/>
      <c r="K10" s="302"/>
    </row>
    <row r="11" spans="1:12" ht="11.25" customHeight="1">
      <c r="A11" s="310"/>
      <c r="B11" s="460">
        <f t="shared" si="1"/>
        <v>4</v>
      </c>
      <c r="C11" s="461" t="str">
        <f>+Remuneraciones!B10</f>
        <v>Asistente Tecnico</v>
      </c>
      <c r="D11" s="462" t="s">
        <v>372</v>
      </c>
      <c r="E11" s="463">
        <f>+Remuneraciones!C31</f>
        <v>1</v>
      </c>
      <c r="F11" s="463">
        <v>9</v>
      </c>
      <c r="G11" s="464">
        <f>+Remuneraciones!E10</f>
        <v>1547.885</v>
      </c>
      <c r="H11" s="465">
        <f t="shared" si="0"/>
        <v>13930.965</v>
      </c>
      <c r="I11" s="310"/>
    </row>
    <row r="12" spans="1:12" ht="11.25" customHeight="1">
      <c r="A12" s="310"/>
      <c r="B12" s="460">
        <f t="shared" si="1"/>
        <v>5</v>
      </c>
      <c r="C12" s="461" t="str">
        <f>+Remuneraciones!B11</f>
        <v>Secretaria</v>
      </c>
      <c r="D12" s="462" t="s">
        <v>372</v>
      </c>
      <c r="E12" s="466">
        <f>+Remuneraciones!C32</f>
        <v>0</v>
      </c>
      <c r="F12" s="466">
        <v>0</v>
      </c>
      <c r="G12" s="467">
        <f>+Remuneraciones!E11</f>
        <v>0</v>
      </c>
      <c r="H12" s="467">
        <f t="shared" si="0"/>
        <v>0</v>
      </c>
      <c r="I12" s="310"/>
    </row>
    <row r="13" spans="1:12" ht="12" customHeight="1">
      <c r="A13" s="310"/>
      <c r="B13" s="460">
        <f t="shared" si="1"/>
        <v>6</v>
      </c>
      <c r="C13" s="461" t="str">
        <f>+Remuneraciones!B12</f>
        <v xml:space="preserve">Guardián </v>
      </c>
      <c r="D13" s="462" t="s">
        <v>372</v>
      </c>
      <c r="E13" s="463">
        <f>+Remuneraciones!C33</f>
        <v>1</v>
      </c>
      <c r="F13" s="463">
        <v>9</v>
      </c>
      <c r="G13" s="464">
        <f>+Remuneraciones!E12</f>
        <v>1389.28</v>
      </c>
      <c r="H13" s="465">
        <f t="shared" si="0"/>
        <v>12503.52</v>
      </c>
      <c r="I13" s="310"/>
    </row>
    <row r="14" spans="1:12" ht="12" customHeight="1">
      <c r="A14" s="310"/>
      <c r="B14" s="460">
        <f t="shared" si="1"/>
        <v>7</v>
      </c>
      <c r="C14" s="461" t="str">
        <f>+Remuneraciones!B13</f>
        <v>Maestro de Obra</v>
      </c>
      <c r="D14" s="462" t="s">
        <v>372</v>
      </c>
      <c r="E14" s="463">
        <f>+Remuneraciones!C34</f>
        <v>1</v>
      </c>
      <c r="F14" s="463">
        <v>9</v>
      </c>
      <c r="G14" s="464">
        <f>+Remuneraciones!E13</f>
        <v>2083.92</v>
      </c>
      <c r="H14" s="465">
        <f t="shared" si="0"/>
        <v>18755.28</v>
      </c>
      <c r="I14" s="310"/>
    </row>
    <row r="15" spans="1:12" ht="12" customHeight="1">
      <c r="A15" s="310"/>
      <c r="B15" s="460">
        <f t="shared" si="1"/>
        <v>8</v>
      </c>
      <c r="C15" s="461" t="str">
        <f>+Remuneraciones!B14</f>
        <v>Almacenero</v>
      </c>
      <c r="D15" s="462" t="s">
        <v>372</v>
      </c>
      <c r="E15" s="463">
        <f>+Remuneraciones!C35</f>
        <v>1</v>
      </c>
      <c r="F15" s="463">
        <v>9</v>
      </c>
      <c r="G15" s="464">
        <f>+Remuneraciones!E14</f>
        <v>1910.26</v>
      </c>
      <c r="H15" s="465">
        <f t="shared" si="0"/>
        <v>17192.34</v>
      </c>
      <c r="I15" s="310"/>
      <c r="J15" s="348"/>
      <c r="K15" s="348"/>
    </row>
    <row r="16" spans="1:12" ht="12" customHeight="1">
      <c r="A16" s="310"/>
      <c r="B16" s="460">
        <f t="shared" si="1"/>
        <v>9</v>
      </c>
      <c r="C16" s="461" t="str">
        <f>+Remuneraciones!B15</f>
        <v>Asistente Administrativo</v>
      </c>
      <c r="D16" s="462" t="s">
        <v>372</v>
      </c>
      <c r="E16" s="463">
        <f>+Remuneraciones!C36</f>
        <v>1</v>
      </c>
      <c r="F16" s="463">
        <v>9</v>
      </c>
      <c r="G16" s="464">
        <f>+Remuneraciones!E15</f>
        <v>1736.6</v>
      </c>
      <c r="H16" s="465">
        <f t="shared" si="0"/>
        <v>15629.4</v>
      </c>
      <c r="I16" s="310"/>
      <c r="J16" s="468"/>
      <c r="K16" s="348"/>
    </row>
    <row r="17" spans="1:14" ht="12" customHeight="1">
      <c r="A17" s="310"/>
      <c r="B17" s="451" t="s">
        <v>375</v>
      </c>
      <c r="C17" s="469" t="s">
        <v>376</v>
      </c>
      <c r="D17" s="470"/>
      <c r="E17" s="470"/>
      <c r="F17" s="470"/>
      <c r="G17" s="470"/>
      <c r="H17" s="471"/>
      <c r="I17" s="310"/>
      <c r="J17" s="472"/>
      <c r="K17" s="348"/>
    </row>
    <row r="18" spans="1:14" ht="12" customHeight="1">
      <c r="A18" s="310"/>
      <c r="B18" s="451">
        <v>1</v>
      </c>
      <c r="C18" s="473">
        <v>10</v>
      </c>
      <c r="D18" s="462" t="s">
        <v>350</v>
      </c>
      <c r="E18" s="458">
        <v>1</v>
      </c>
      <c r="F18" s="458">
        <v>1</v>
      </c>
      <c r="G18" s="464">
        <f>+Remuneraciones!H37</f>
        <v>11421.378000000001</v>
      </c>
      <c r="H18" s="465">
        <f t="shared" ref="H18:H23" si="2">E18*F18*G18</f>
        <v>11421.378000000001</v>
      </c>
      <c r="I18" s="310"/>
      <c r="J18" s="472"/>
      <c r="K18" s="363"/>
    </row>
    <row r="19" spans="1:14" ht="12" customHeight="1">
      <c r="A19" s="310"/>
      <c r="B19" s="460">
        <f>+B18+1</f>
        <v>2</v>
      </c>
      <c r="C19" s="474">
        <v>9</v>
      </c>
      <c r="D19" s="462" t="s">
        <v>350</v>
      </c>
      <c r="E19" s="458">
        <v>1</v>
      </c>
      <c r="F19" s="458">
        <v>1</v>
      </c>
      <c r="G19" s="464">
        <f>+Remuneraciones!I37</f>
        <v>10279.2402</v>
      </c>
      <c r="H19" s="465">
        <f t="shared" si="2"/>
        <v>10279.2402</v>
      </c>
      <c r="I19" s="310"/>
      <c r="J19" s="472"/>
      <c r="K19" s="348"/>
    </row>
    <row r="20" spans="1:14" ht="12" customHeight="1">
      <c r="A20" s="310"/>
      <c r="B20" s="460">
        <f>+B19+1</f>
        <v>3</v>
      </c>
      <c r="C20" s="475">
        <v>2</v>
      </c>
      <c r="D20" s="462" t="s">
        <v>350</v>
      </c>
      <c r="E20" s="458">
        <v>1</v>
      </c>
      <c r="F20" s="458">
        <v>1</v>
      </c>
      <c r="G20" s="464">
        <f>+Remuneraciones!J37</f>
        <v>1153.1371319999998</v>
      </c>
      <c r="H20" s="465">
        <f t="shared" si="2"/>
        <v>1153.1371319999998</v>
      </c>
      <c r="I20" s="310"/>
      <c r="J20" s="472"/>
      <c r="K20" s="348"/>
    </row>
    <row r="21" spans="1:14" ht="12" customHeight="1">
      <c r="A21" s="310"/>
      <c r="B21" s="460">
        <f>+B20+1</f>
        <v>4</v>
      </c>
      <c r="C21" s="476">
        <v>15</v>
      </c>
      <c r="D21" s="462" t="s">
        <v>350</v>
      </c>
      <c r="E21" s="458">
        <v>1</v>
      </c>
      <c r="F21" s="458">
        <v>1</v>
      </c>
      <c r="G21" s="464">
        <f>+Remuneraciones!K37</f>
        <v>21986.152650000004</v>
      </c>
      <c r="H21" s="465">
        <f t="shared" si="2"/>
        <v>21986.152650000004</v>
      </c>
      <c r="I21" s="310"/>
      <c r="J21" s="472"/>
      <c r="K21" s="348"/>
    </row>
    <row r="22" spans="1:14" ht="12" customHeight="1">
      <c r="A22" s="310"/>
      <c r="B22" s="460">
        <f>+B21+1</f>
        <v>5</v>
      </c>
      <c r="C22" s="461" t="s">
        <v>377</v>
      </c>
      <c r="D22" s="462" t="s">
        <v>350</v>
      </c>
      <c r="E22" s="458">
        <v>1</v>
      </c>
      <c r="F22" s="458">
        <v>1</v>
      </c>
      <c r="G22" s="464">
        <f>+Remuneraciones!L37</f>
        <v>12563.515800000001</v>
      </c>
      <c r="H22" s="465">
        <f t="shared" si="2"/>
        <v>12563.515800000001</v>
      </c>
      <c r="I22" s="310"/>
      <c r="J22" s="472"/>
      <c r="K22" s="348"/>
    </row>
    <row r="23" spans="1:14" ht="12" customHeight="1">
      <c r="A23" s="310"/>
      <c r="B23" s="460">
        <f>+B22+1</f>
        <v>6</v>
      </c>
      <c r="C23" s="461" t="s">
        <v>378</v>
      </c>
      <c r="D23" s="462" t="s">
        <v>350</v>
      </c>
      <c r="E23" s="458">
        <v>1</v>
      </c>
      <c r="F23" s="458">
        <v>1</v>
      </c>
      <c r="G23" s="464">
        <f>+Remuneraciones!M37</f>
        <v>20939.192999999999</v>
      </c>
      <c r="H23" s="465">
        <f t="shared" si="2"/>
        <v>20939.192999999999</v>
      </c>
      <c r="I23" s="310"/>
      <c r="J23" s="352"/>
      <c r="K23" s="348"/>
    </row>
    <row r="24" spans="1:14" ht="12" customHeight="1">
      <c r="A24" s="310"/>
      <c r="B24" s="451"/>
      <c r="C24" s="461"/>
      <c r="D24" s="462"/>
      <c r="E24" s="458"/>
      <c r="F24" s="458"/>
      <c r="G24" s="464"/>
      <c r="H24" s="465"/>
      <c r="I24" s="310"/>
      <c r="J24" s="472"/>
      <c r="K24" s="348"/>
    </row>
    <row r="25" spans="1:14" ht="12" customHeight="1">
      <c r="A25" s="310"/>
      <c r="B25" s="477" t="s">
        <v>379</v>
      </c>
      <c r="C25" s="469" t="s">
        <v>380</v>
      </c>
      <c r="D25" s="462"/>
      <c r="E25" s="463"/>
      <c r="F25" s="463"/>
      <c r="G25" s="478"/>
      <c r="H25" s="479"/>
      <c r="I25" s="310"/>
      <c r="J25" s="363"/>
      <c r="K25" s="348"/>
    </row>
    <row r="26" spans="1:14" s="482" customFormat="1" ht="12" customHeight="1">
      <c r="A26" s="332"/>
      <c r="B26" s="477">
        <v>1</v>
      </c>
      <c r="C26" s="461" t="s">
        <v>381</v>
      </c>
      <c r="D26" s="457" t="s">
        <v>382</v>
      </c>
      <c r="E26" s="463">
        <v>1</v>
      </c>
      <c r="F26" s="463">
        <v>1</v>
      </c>
      <c r="G26" s="480">
        <f>+'[2]Elementos de Seguridad'!G18</f>
        <v>3890</v>
      </c>
      <c r="H26" s="481">
        <f>ROUND(E26*F26*G26,2)</f>
        <v>3890</v>
      </c>
      <c r="I26" s="332"/>
    </row>
    <row r="27" spans="1:14" s="482" customFormat="1" ht="12" customHeight="1">
      <c r="A27" s="332"/>
      <c r="B27" s="477">
        <f>B26+1</f>
        <v>2</v>
      </c>
      <c r="C27" s="461" t="s">
        <v>383</v>
      </c>
      <c r="D27" s="457" t="s">
        <v>382</v>
      </c>
      <c r="E27" s="463">
        <v>1</v>
      </c>
      <c r="F27" s="463">
        <v>1</v>
      </c>
      <c r="G27" s="480">
        <f>+'[2]Elementos de Seguridad'!G29</f>
        <v>2280</v>
      </c>
      <c r="H27" s="481">
        <f>ROUND(E27*F27*G27,2)</f>
        <v>2280</v>
      </c>
      <c r="I27" s="332"/>
      <c r="N27" s="483"/>
    </row>
    <row r="28" spans="1:14" s="482" customFormat="1" ht="12" customHeight="1">
      <c r="A28" s="332"/>
      <c r="B28" s="460"/>
      <c r="C28" s="461"/>
      <c r="D28" s="457"/>
      <c r="E28" s="463"/>
      <c r="F28" s="458"/>
      <c r="G28" s="458"/>
      <c r="H28" s="479"/>
      <c r="I28" s="332"/>
      <c r="J28" s="484"/>
    </row>
    <row r="29" spans="1:14" ht="12" customHeight="1">
      <c r="A29" s="310"/>
      <c r="B29" s="477" t="s">
        <v>384</v>
      </c>
      <c r="C29" s="469" t="s">
        <v>385</v>
      </c>
      <c r="D29" s="485"/>
      <c r="E29" s="485"/>
      <c r="F29" s="485"/>
      <c r="G29" s="485"/>
      <c r="H29" s="486"/>
      <c r="I29" s="310"/>
      <c r="K29" s="302"/>
    </row>
    <row r="30" spans="1:14" ht="12" customHeight="1">
      <c r="A30" s="310"/>
      <c r="B30" s="477">
        <v>1</v>
      </c>
      <c r="C30" s="461" t="s">
        <v>386</v>
      </c>
      <c r="D30" s="462" t="s">
        <v>372</v>
      </c>
      <c r="E30" s="463">
        <v>1</v>
      </c>
      <c r="F30" s="463">
        <v>9.5</v>
      </c>
      <c r="G30" s="464">
        <v>440.5</v>
      </c>
      <c r="H30" s="465">
        <f>+E30*F30*G30</f>
        <v>4184.75</v>
      </c>
      <c r="I30" s="310"/>
      <c r="K30" s="302"/>
    </row>
    <row r="31" spans="1:14" ht="12" customHeight="1">
      <c r="A31" s="310"/>
      <c r="B31" s="477"/>
      <c r="C31" s="461"/>
      <c r="D31" s="462"/>
      <c r="E31" s="463"/>
      <c r="F31" s="463"/>
      <c r="G31" s="478"/>
      <c r="H31" s="479"/>
      <c r="I31" s="310"/>
      <c r="K31" s="302"/>
    </row>
    <row r="32" spans="1:14" ht="12" customHeight="1">
      <c r="A32" s="310"/>
      <c r="B32" s="451" t="s">
        <v>387</v>
      </c>
      <c r="C32" s="469" t="s">
        <v>388</v>
      </c>
      <c r="D32" s="457"/>
      <c r="E32" s="458"/>
      <c r="F32" s="458"/>
      <c r="G32" s="478"/>
      <c r="H32" s="479"/>
      <c r="I32" s="310"/>
      <c r="J32" s="468"/>
      <c r="K32" s="302"/>
    </row>
    <row r="33" spans="1:12" ht="18" customHeight="1">
      <c r="A33" s="310"/>
      <c r="B33" s="451">
        <v>1</v>
      </c>
      <c r="C33" s="461" t="s">
        <v>389</v>
      </c>
      <c r="D33" s="457" t="s">
        <v>382</v>
      </c>
      <c r="E33" s="458">
        <v>1</v>
      </c>
      <c r="F33" s="458">
        <v>1</v>
      </c>
      <c r="G33" s="464">
        <f>+'[2]Seguros '!Q10*1.03</f>
        <v>23550.646357853999</v>
      </c>
      <c r="H33" s="465">
        <f>+ROUND(G33*E33,2)</f>
        <v>23550.65</v>
      </c>
      <c r="I33" s="310"/>
      <c r="K33" s="302"/>
      <c r="L33" s="302"/>
    </row>
    <row r="34" spans="1:12">
      <c r="A34" s="310"/>
      <c r="B34" s="451">
        <v>2</v>
      </c>
      <c r="C34" s="461" t="s">
        <v>390</v>
      </c>
      <c r="D34" s="457" t="s">
        <v>382</v>
      </c>
      <c r="E34" s="458">
        <v>1</v>
      </c>
      <c r="F34" s="458">
        <v>1</v>
      </c>
      <c r="G34" s="464">
        <f>+'[2]Seguros '!Q14*1.03</f>
        <v>31718.042232799999</v>
      </c>
      <c r="H34" s="465">
        <f>+ROUND(G34*E34,2)</f>
        <v>31718.04</v>
      </c>
      <c r="I34" s="310"/>
    </row>
    <row r="35" spans="1:12">
      <c r="B35" s="451">
        <v>3</v>
      </c>
      <c r="C35" s="461" t="s">
        <v>391</v>
      </c>
      <c r="D35" s="457" t="s">
        <v>382</v>
      </c>
      <c r="E35" s="458">
        <v>1</v>
      </c>
      <c r="F35" s="458">
        <v>1</v>
      </c>
      <c r="G35" s="464">
        <f>+'[2]Seguros '!Q18*1.03</f>
        <v>5074.8867572479994</v>
      </c>
      <c r="H35" s="465">
        <f>+ROUND(G35*E35,2)</f>
        <v>5074.8900000000003</v>
      </c>
    </row>
    <row r="36" spans="1:12" ht="13.8" thickBot="1">
      <c r="B36" s="930" t="s">
        <v>392</v>
      </c>
      <c r="C36" s="931"/>
      <c r="D36" s="931"/>
      <c r="E36" s="931"/>
      <c r="F36" s="931"/>
      <c r="G36" s="932"/>
      <c r="H36" s="487">
        <f>+H8+H9+H10+H11+H13+H14+H15+H16+H18+H19+H20+H21+H22+H23+H26+H27+H30+H33+H34</f>
        <v>265453.23678199999</v>
      </c>
      <c r="J36" s="352"/>
    </row>
    <row r="37" spans="1:12" ht="13.8">
      <c r="B37" s="488" t="s">
        <v>393</v>
      </c>
      <c r="C37" s="310"/>
      <c r="D37" s="310"/>
      <c r="E37" s="310"/>
      <c r="F37" s="310"/>
      <c r="G37" s="310"/>
      <c r="H37" s="310"/>
    </row>
    <row r="39" spans="1:12">
      <c r="H39" s="354"/>
    </row>
    <row r="41" spans="1:12">
      <c r="B41" s="304"/>
    </row>
    <row r="42" spans="1:12">
      <c r="B42" s="489"/>
    </row>
    <row r="43" spans="1:12">
      <c r="B43" s="490"/>
    </row>
    <row r="44" spans="1:12">
      <c r="B44" s="491"/>
    </row>
  </sheetData>
  <mergeCells count="4">
    <mergeCell ref="A1:H2"/>
    <mergeCell ref="B3:H3"/>
    <mergeCell ref="B4:H4"/>
    <mergeCell ref="B36:G36"/>
  </mergeCells>
  <printOptions horizontalCentered="1"/>
  <pageMargins left="0.4" right="0.31" top="0.93" bottom="0.54" header="0.32" footer="0.51181102362204722"/>
  <pageSetup paperSize="9" scale="75" fitToHeight="2"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indexed="43"/>
    <pageSetUpPr fitToPage="1"/>
  </sheetPr>
  <dimension ref="B2:P169"/>
  <sheetViews>
    <sheetView showGridLines="0" view="pageBreakPreview" topLeftCell="A27" zoomScale="70" zoomScaleNormal="100" zoomScaleSheetLayoutView="70" workbookViewId="0">
      <selection activeCell="C38" sqref="C38:F38"/>
    </sheetView>
  </sheetViews>
  <sheetFormatPr baseColWidth="10" defaultColWidth="11.44140625" defaultRowHeight="13.8"/>
  <cols>
    <col min="1" max="1" width="2.109375" style="571" customWidth="1"/>
    <col min="2" max="2" width="7.5546875" style="569" customWidth="1"/>
    <col min="3" max="3" width="40.6640625" style="569" customWidth="1"/>
    <col min="4" max="4" width="20.88671875" style="569" customWidth="1"/>
    <col min="5" max="5" width="18.88671875" style="569" customWidth="1"/>
    <col min="6" max="6" width="18.88671875" style="570" customWidth="1"/>
    <col min="7" max="7" width="11.44140625" style="569" customWidth="1"/>
    <col min="8" max="8" width="18.33203125" style="569" customWidth="1"/>
    <col min="9" max="16384" width="11.44140625" style="571"/>
  </cols>
  <sheetData>
    <row r="2" spans="2:9">
      <c r="E2" s="570"/>
    </row>
    <row r="3" spans="2:9" ht="28.8">
      <c r="B3" s="1007" t="s">
        <v>476</v>
      </c>
      <c r="C3" s="1007"/>
      <c r="D3" s="1007"/>
      <c r="E3" s="1007"/>
      <c r="F3" s="1007"/>
      <c r="G3" s="1007"/>
      <c r="H3" s="1007"/>
    </row>
    <row r="4" spans="2:9" ht="23.4">
      <c r="B4" s="1008" t="s">
        <v>477</v>
      </c>
      <c r="C4" s="1008"/>
      <c r="D4" s="1008"/>
      <c r="E4" s="1008"/>
      <c r="F4" s="1008"/>
      <c r="G4" s="1008"/>
      <c r="H4" s="1008"/>
    </row>
    <row r="5" spans="2:9" ht="20.399999999999999">
      <c r="B5" s="1009" t="s">
        <v>478</v>
      </c>
      <c r="C5" s="1009"/>
      <c r="D5" s="1009"/>
      <c r="E5" s="1009"/>
      <c r="F5" s="1009"/>
      <c r="G5" s="1009"/>
      <c r="H5" s="1009"/>
    </row>
    <row r="6" spans="2:9" ht="14.4" thickBot="1">
      <c r="B6" s="1010" t="str">
        <f>+G.General!C6</f>
        <v>"Año de la Universalización de la Salud"</v>
      </c>
      <c r="C6" s="1010"/>
      <c r="D6" s="1010"/>
      <c r="E6" s="1010"/>
      <c r="F6" s="1010"/>
      <c r="G6" s="1010"/>
      <c r="H6" s="1010"/>
    </row>
    <row r="8" spans="2:9" ht="27" customHeight="1">
      <c r="B8" s="1006" t="s">
        <v>512</v>
      </c>
      <c r="C8" s="1006"/>
      <c r="D8" s="1006"/>
      <c r="E8" s="1006"/>
      <c r="F8" s="1006"/>
      <c r="G8" s="1006"/>
      <c r="H8" s="1006"/>
      <c r="I8" s="862"/>
    </row>
    <row r="9" spans="2:9" ht="12.6" customHeight="1">
      <c r="B9" s="573"/>
      <c r="C9" s="573"/>
      <c r="D9" s="573"/>
      <c r="E9" s="573"/>
      <c r="F9" s="574"/>
      <c r="G9" s="573"/>
      <c r="H9" s="573"/>
    </row>
    <row r="10" spans="2:9" ht="18" customHeight="1">
      <c r="C10" s="826" t="s">
        <v>623</v>
      </c>
      <c r="D10" s="575" t="str">
        <f>+'RESUMEN TOTAL'!D9</f>
        <v>: 2485224</v>
      </c>
      <c r="E10" s="573"/>
      <c r="F10" s="574"/>
      <c r="G10" s="573"/>
      <c r="H10" s="573"/>
    </row>
    <row r="11" spans="2:9" ht="18" customHeight="1">
      <c r="C11" s="826" t="str">
        <f>+'RESUMEN TOTAL'!B11</f>
        <v>Departamento</v>
      </c>
      <c r="D11" s="575" t="str">
        <f>+'RESUMEN TOTAL'!D10</f>
        <v>: GOBIERNO REGIONAL DE APURÍMAC</v>
      </c>
      <c r="H11" s="575" t="s">
        <v>1</v>
      </c>
    </row>
    <row r="12" spans="2:9" ht="18" customHeight="1">
      <c r="C12" s="826" t="str">
        <f>+'RESUMEN TOTAL'!B12</f>
        <v>Provincia</v>
      </c>
      <c r="D12" s="575" t="str">
        <f>+'RESUMEN TOTAL'!D11</f>
        <v>: APURIMAC</v>
      </c>
      <c r="H12" s="575"/>
    </row>
    <row r="13" spans="2:9" ht="18" customHeight="1">
      <c r="C13" s="826" t="str">
        <f>+'RESUMEN TOTAL'!B13</f>
        <v>Distrito</v>
      </c>
      <c r="D13" s="575" t="str">
        <f>+'RESUMEN TOTAL'!D12</f>
        <v>: ABANCAY</v>
      </c>
      <c r="H13" s="575"/>
    </row>
    <row r="14" spans="2:9" ht="33" customHeight="1">
      <c r="C14" s="827" t="s">
        <v>467</v>
      </c>
      <c r="D14" s="980" t="str">
        <f>'G. Exp. Tecnico'!D14:I15</f>
        <v>"ADQUISICION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APURIMAC"</v>
      </c>
      <c r="E14" s="980"/>
      <c r="F14" s="980"/>
      <c r="G14" s="980"/>
      <c r="H14" s="980"/>
    </row>
    <row r="15" spans="2:9" ht="33" customHeight="1" thickBot="1">
      <c r="C15" s="669"/>
      <c r="D15" s="980"/>
      <c r="E15" s="980"/>
      <c r="F15" s="980"/>
      <c r="G15" s="980"/>
      <c r="H15" s="980"/>
    </row>
    <row r="16" spans="2:9" s="831" customFormat="1" ht="20.25" customHeight="1" thickBot="1">
      <c r="B16" s="828"/>
      <c r="C16" s="829" t="s">
        <v>475</v>
      </c>
      <c r="D16" s="1055" t="s">
        <v>468</v>
      </c>
      <c r="E16" s="1056"/>
      <c r="F16" s="1056"/>
      <c r="G16" s="1057"/>
      <c r="H16" s="863" t="s">
        <v>514</v>
      </c>
    </row>
    <row r="17" spans="2:11" s="831" customFormat="1" ht="16.2" customHeight="1">
      <c r="B17" s="828"/>
      <c r="C17" s="657" t="s">
        <v>262</v>
      </c>
      <c r="D17" s="917" t="s">
        <v>656</v>
      </c>
      <c r="E17" s="917"/>
      <c r="F17" s="917"/>
      <c r="G17" s="917"/>
      <c r="H17" s="576">
        <f>+H27</f>
        <v>13400.76</v>
      </c>
    </row>
    <row r="18" spans="2:11" s="831" customFormat="1" ht="16.2" customHeight="1">
      <c r="B18" s="828"/>
      <c r="C18" s="657" t="s">
        <v>263</v>
      </c>
      <c r="D18" s="917" t="s">
        <v>657</v>
      </c>
      <c r="E18" s="917"/>
      <c r="F18" s="917"/>
      <c r="G18" s="917"/>
      <c r="H18" s="576">
        <f>+H106</f>
        <v>1488</v>
      </c>
    </row>
    <row r="19" spans="2:11" s="831" customFormat="1" ht="16.2" customHeight="1">
      <c r="B19" s="828"/>
      <c r="C19" s="657" t="s">
        <v>264</v>
      </c>
      <c r="D19" s="917" t="s">
        <v>658</v>
      </c>
      <c r="E19" s="917"/>
      <c r="F19" s="917"/>
      <c r="G19" s="917"/>
      <c r="H19" s="576">
        <f>+H137</f>
        <v>1050</v>
      </c>
    </row>
    <row r="20" spans="2:11" s="831" customFormat="1" ht="16.2" customHeight="1">
      <c r="B20" s="828"/>
      <c r="C20" s="657" t="s">
        <v>660</v>
      </c>
      <c r="D20" s="917" t="s">
        <v>659</v>
      </c>
      <c r="E20" s="917"/>
      <c r="F20" s="917"/>
      <c r="G20" s="917"/>
      <c r="H20" s="576">
        <v>0</v>
      </c>
    </row>
    <row r="21" spans="2:11" s="831" customFormat="1" ht="20.25" customHeight="1" thickBot="1">
      <c r="B21" s="828"/>
      <c r="C21" s="1051" t="s">
        <v>106</v>
      </c>
      <c r="D21" s="1052"/>
      <c r="E21" s="1052"/>
      <c r="F21" s="1052"/>
      <c r="G21" s="1052"/>
      <c r="H21" s="577">
        <f>ROUND(SUM(H17:H20),2)</f>
        <v>15938.76</v>
      </c>
      <c r="I21" s="835"/>
      <c r="J21" s="668"/>
      <c r="K21" s="835"/>
    </row>
    <row r="22" spans="2:11" ht="18" customHeight="1">
      <c r="C22" s="864"/>
      <c r="D22" s="864"/>
      <c r="E22" s="864"/>
      <c r="F22" s="864"/>
      <c r="G22" s="703"/>
      <c r="H22" s="573"/>
    </row>
    <row r="23" spans="2:11" ht="27" customHeight="1">
      <c r="B23" s="993" t="s">
        <v>479</v>
      </c>
      <c r="C23" s="993"/>
      <c r="D23" s="993"/>
      <c r="E23" s="993"/>
      <c r="F23" s="993"/>
      <c r="G23" s="993"/>
      <c r="H23" s="993"/>
      <c r="I23" s="865"/>
    </row>
    <row r="24" spans="2:11" ht="12" customHeight="1">
      <c r="B24" s="672"/>
      <c r="C24" s="673"/>
      <c r="D24" s="674"/>
      <c r="E24" s="673"/>
      <c r="F24" s="675"/>
      <c r="G24" s="673"/>
      <c r="H24" s="673"/>
    </row>
    <row r="25" spans="2:11" ht="21.6" customHeight="1">
      <c r="B25" s="994" t="s">
        <v>517</v>
      </c>
      <c r="C25" s="994"/>
      <c r="D25" s="994"/>
      <c r="E25" s="994"/>
      <c r="F25" s="994"/>
      <c r="G25" s="994"/>
      <c r="H25" s="994"/>
    </row>
    <row r="26" spans="2:11" ht="12.75" customHeight="1">
      <c r="B26" s="866"/>
      <c r="C26" s="866"/>
      <c r="D26" s="867"/>
      <c r="E26" s="868"/>
      <c r="F26" s="869"/>
      <c r="G26" s="866"/>
      <c r="H26" s="866"/>
    </row>
    <row r="27" spans="2:11" s="831" customFormat="1" ht="15.6">
      <c r="B27" s="836" t="s">
        <v>509</v>
      </c>
      <c r="C27" s="837"/>
      <c r="D27" s="838"/>
      <c r="E27" s="838"/>
      <c r="F27" s="840"/>
      <c r="G27" s="840" t="s">
        <v>0</v>
      </c>
      <c r="H27" s="841">
        <f>ROUND((H29+H41+H62+H82+H93),2)</f>
        <v>13400.76</v>
      </c>
      <c r="I27" s="842"/>
    </row>
    <row r="28" spans="2:11" s="831" customFormat="1" ht="15.6">
      <c r="B28" s="843"/>
      <c r="C28" s="844"/>
      <c r="D28" s="845"/>
      <c r="E28" s="845"/>
      <c r="F28" s="847"/>
      <c r="G28" s="847"/>
      <c r="H28" s="848"/>
      <c r="I28" s="842"/>
    </row>
    <row r="29" spans="2:11" ht="18" customHeight="1">
      <c r="B29" s="740">
        <v>1</v>
      </c>
      <c r="C29" s="870" t="s">
        <v>10</v>
      </c>
      <c r="D29" s="871"/>
      <c r="E29" s="871"/>
      <c r="F29" s="872"/>
      <c r="G29" s="873" t="s">
        <v>0</v>
      </c>
      <c r="H29" s="874">
        <f>+G38</f>
        <v>10300</v>
      </c>
    </row>
    <row r="30" spans="2:11" ht="12.75" customHeight="1">
      <c r="B30" s="697"/>
      <c r="C30" s="698"/>
      <c r="D30" s="699"/>
      <c r="E30" s="699"/>
      <c r="F30" s="700"/>
      <c r="G30" s="699"/>
      <c r="H30" s="699"/>
    </row>
    <row r="31" spans="2:11" ht="12.75" customHeight="1">
      <c r="B31" s="715">
        <v>1.01</v>
      </c>
      <c r="C31" s="641" t="s">
        <v>12</v>
      </c>
      <c r="D31" s="699"/>
      <c r="E31" s="699"/>
      <c r="F31" s="700"/>
      <c r="G31" s="699"/>
      <c r="H31" s="699"/>
    </row>
    <row r="32" spans="2:11" ht="12.75" customHeight="1">
      <c r="B32" s="704"/>
      <c r="C32" s="705"/>
      <c r="D32" s="699"/>
      <c r="E32" s="699"/>
      <c r="F32" s="700"/>
      <c r="G32" s="699"/>
      <c r="H32" s="699"/>
    </row>
    <row r="33" spans="2:8" ht="12.75" customHeight="1">
      <c r="B33" s="572"/>
      <c r="C33" s="641" t="s">
        <v>29</v>
      </c>
      <c r="D33" s="705"/>
      <c r="E33" s="705"/>
      <c r="F33" s="706"/>
      <c r="G33" s="705"/>
      <c r="H33" s="699"/>
    </row>
    <row r="34" spans="2:8" ht="12.75" customHeight="1">
      <c r="B34" s="572"/>
      <c r="C34" s="641"/>
      <c r="D34" s="705"/>
      <c r="E34" s="705"/>
      <c r="F34" s="706"/>
      <c r="G34" s="705"/>
      <c r="H34" s="699"/>
    </row>
    <row r="35" spans="2:8" ht="12.75" customHeight="1">
      <c r="B35" s="704"/>
      <c r="C35" s="708" t="s">
        <v>30</v>
      </c>
      <c r="D35" s="784" t="s">
        <v>31</v>
      </c>
      <c r="E35" s="784" t="s">
        <v>32</v>
      </c>
      <c r="F35" s="784" t="s">
        <v>13</v>
      </c>
      <c r="G35" s="784" t="s">
        <v>4</v>
      </c>
      <c r="H35" s="699"/>
    </row>
    <row r="36" spans="2:8" ht="12.75" customHeight="1">
      <c r="B36" s="704"/>
      <c r="C36" s="711" t="s">
        <v>216</v>
      </c>
      <c r="D36" s="640">
        <v>1</v>
      </c>
      <c r="E36" s="640">
        <v>1</v>
      </c>
      <c r="F36" s="640">
        <v>5300</v>
      </c>
      <c r="G36" s="776">
        <f>+D36*E36*F36</f>
        <v>5300</v>
      </c>
      <c r="H36" s="699"/>
    </row>
    <row r="37" spans="2:8" ht="12.75" customHeight="1">
      <c r="B37" s="572"/>
      <c r="C37" s="711" t="s">
        <v>215</v>
      </c>
      <c r="D37" s="640">
        <v>1</v>
      </c>
      <c r="E37" s="640">
        <v>1</v>
      </c>
      <c r="F37" s="640">
        <v>5000</v>
      </c>
      <c r="G37" s="776">
        <f>+D37*E37*F37</f>
        <v>5000</v>
      </c>
      <c r="H37" s="699"/>
    </row>
    <row r="38" spans="2:8" ht="12.75" customHeight="1">
      <c r="B38" s="642"/>
      <c r="C38" s="986" t="s">
        <v>3</v>
      </c>
      <c r="D38" s="986"/>
      <c r="E38" s="986"/>
      <c r="F38" s="986"/>
      <c r="G38" s="714">
        <f>SUM(G36:G37)</f>
        <v>10300</v>
      </c>
      <c r="H38" s="705"/>
    </row>
    <row r="39" spans="2:8" ht="12.75" customHeight="1">
      <c r="B39" s="572"/>
      <c r="C39" s="699"/>
      <c r="D39" s="699"/>
      <c r="E39" s="699"/>
      <c r="F39" s="700"/>
      <c r="G39" s="699"/>
      <c r="H39" s="699"/>
    </row>
    <row r="40" spans="2:8" ht="15.75" customHeight="1">
      <c r="B40" s="572"/>
      <c r="C40" s="699"/>
      <c r="D40" s="699"/>
      <c r="E40" s="699"/>
      <c r="F40" s="700"/>
      <c r="G40" s="699"/>
      <c r="H40" s="699"/>
    </row>
    <row r="41" spans="2:8" ht="18" customHeight="1">
      <c r="B41" s="740">
        <v>2</v>
      </c>
      <c r="C41" s="870" t="s">
        <v>15</v>
      </c>
      <c r="D41" s="871"/>
      <c r="E41" s="871"/>
      <c r="F41" s="872"/>
      <c r="G41" s="873" t="s">
        <v>0</v>
      </c>
      <c r="H41" s="874">
        <f>+G50+G60</f>
        <v>1241.1500000000001</v>
      </c>
    </row>
    <row r="42" spans="2:8" ht="12.75" customHeight="1">
      <c r="B42" s="697"/>
      <c r="C42" s="698"/>
      <c r="D42" s="699"/>
      <c r="E42" s="699"/>
      <c r="F42" s="700"/>
      <c r="G42" s="699"/>
      <c r="H42" s="699"/>
    </row>
    <row r="43" spans="2:8" ht="12.75" customHeight="1">
      <c r="B43" s="715">
        <v>2.0099999999999998</v>
      </c>
      <c r="C43" s="641" t="s">
        <v>95</v>
      </c>
      <c r="D43" s="699"/>
      <c r="E43" s="699"/>
      <c r="F43" s="700"/>
      <c r="G43" s="699"/>
      <c r="H43" s="699"/>
    </row>
    <row r="44" spans="2:8" ht="12.75" customHeight="1">
      <c r="B44" s="715"/>
      <c r="C44" s="641"/>
      <c r="D44" s="699"/>
      <c r="E44" s="699"/>
      <c r="F44" s="700"/>
      <c r="G44" s="699"/>
      <c r="H44" s="699"/>
    </row>
    <row r="45" spans="2:8" ht="12.75" customHeight="1">
      <c r="B45" s="704"/>
      <c r="C45" s="641" t="s">
        <v>29</v>
      </c>
      <c r="D45" s="705"/>
      <c r="E45" s="705"/>
      <c r="F45" s="706"/>
      <c r="G45" s="699"/>
      <c r="H45" s="699"/>
    </row>
    <row r="46" spans="2:8" ht="12.75" customHeight="1">
      <c r="B46" s="704"/>
      <c r="C46" s="641"/>
      <c r="D46" s="705"/>
      <c r="E46" s="705"/>
      <c r="F46" s="706"/>
      <c r="G46" s="699"/>
      <c r="H46" s="699"/>
    </row>
    <row r="47" spans="2:8" ht="12.75" customHeight="1">
      <c r="B47" s="572"/>
      <c r="C47" s="708" t="s">
        <v>30</v>
      </c>
      <c r="D47" s="784" t="s">
        <v>31</v>
      </c>
      <c r="E47" s="784" t="s">
        <v>32</v>
      </c>
      <c r="F47" s="784" t="s">
        <v>13</v>
      </c>
      <c r="G47" s="784" t="s">
        <v>4</v>
      </c>
      <c r="H47" s="699"/>
    </row>
    <row r="48" spans="2:8" ht="12.75" customHeight="1">
      <c r="B48" s="572"/>
      <c r="C48" s="711" t="str">
        <f t="shared" ref="C48:E49" si="0">+C36</f>
        <v>LIQUIDADOR TECNICO</v>
      </c>
      <c r="D48" s="640">
        <f t="shared" si="0"/>
        <v>1</v>
      </c>
      <c r="E48" s="640">
        <f t="shared" si="0"/>
        <v>1</v>
      </c>
      <c r="F48" s="640">
        <f>+F36*0.09</f>
        <v>477</v>
      </c>
      <c r="G48" s="776">
        <f>+D48*E48*F48</f>
        <v>477</v>
      </c>
      <c r="H48" s="699"/>
    </row>
    <row r="49" spans="2:8" ht="12.75" customHeight="1">
      <c r="B49" s="572"/>
      <c r="C49" s="711" t="str">
        <f t="shared" si="0"/>
        <v>LIQUIDADOR FINANCIERO</v>
      </c>
      <c r="D49" s="640">
        <f t="shared" si="0"/>
        <v>1</v>
      </c>
      <c r="E49" s="640">
        <f t="shared" si="0"/>
        <v>1</v>
      </c>
      <c r="F49" s="640">
        <f>+F37*0.09</f>
        <v>450</v>
      </c>
      <c r="G49" s="776">
        <f>+D49*E49*F49</f>
        <v>450</v>
      </c>
      <c r="H49" s="699"/>
    </row>
    <row r="50" spans="2:8" ht="12.75" customHeight="1">
      <c r="B50" s="572"/>
      <c r="C50" s="1054" t="s">
        <v>3</v>
      </c>
      <c r="D50" s="1054"/>
      <c r="E50" s="1054"/>
      <c r="F50" s="1054"/>
      <c r="G50" s="714">
        <f>SUM(G48:G49)</f>
        <v>927</v>
      </c>
      <c r="H50" s="699"/>
    </row>
    <row r="51" spans="2:8" ht="13.5" customHeight="1">
      <c r="B51" s="572"/>
      <c r="C51" s="716"/>
      <c r="D51" s="716"/>
      <c r="E51" s="716"/>
      <c r="F51" s="700"/>
      <c r="G51" s="699"/>
      <c r="H51" s="699"/>
    </row>
    <row r="52" spans="2:8" ht="13.5" customHeight="1">
      <c r="B52" s="572"/>
      <c r="C52" s="716"/>
      <c r="D52" s="699"/>
      <c r="E52" s="716"/>
      <c r="F52" s="700"/>
      <c r="G52" s="699"/>
      <c r="H52" s="699"/>
    </row>
    <row r="53" spans="2:8" ht="12.75" customHeight="1">
      <c r="B53" s="875">
        <v>2.02</v>
      </c>
      <c r="C53" s="641" t="s">
        <v>557</v>
      </c>
      <c r="D53" s="699"/>
      <c r="E53" s="699"/>
      <c r="F53" s="700"/>
      <c r="G53" s="699"/>
      <c r="H53" s="699"/>
    </row>
    <row r="54" spans="2:8" ht="12.75" customHeight="1">
      <c r="B54" s="715"/>
      <c r="C54" s="641"/>
      <c r="D54" s="699"/>
      <c r="E54" s="699"/>
      <c r="F54" s="700"/>
      <c r="G54" s="699"/>
      <c r="H54" s="699"/>
    </row>
    <row r="55" spans="2:8" ht="12.75" customHeight="1">
      <c r="B55" s="572"/>
      <c r="C55" s="641" t="s">
        <v>29</v>
      </c>
      <c r="D55" s="705"/>
      <c r="E55" s="705"/>
      <c r="F55" s="706"/>
      <c r="G55" s="699"/>
      <c r="H55" s="699"/>
    </row>
    <row r="56" spans="2:8" ht="12.75" customHeight="1">
      <c r="B56" s="572"/>
      <c r="C56" s="641"/>
      <c r="D56" s="705"/>
      <c r="E56" s="705"/>
      <c r="F56" s="706"/>
      <c r="G56" s="699"/>
      <c r="H56" s="699"/>
    </row>
    <row r="57" spans="2:8" ht="12.75" customHeight="1">
      <c r="B57" s="572"/>
      <c r="C57" s="708" t="s">
        <v>30</v>
      </c>
      <c r="D57" s="784" t="s">
        <v>31</v>
      </c>
      <c r="E57" s="784" t="s">
        <v>32</v>
      </c>
      <c r="F57" s="784" t="s">
        <v>13</v>
      </c>
      <c r="G57" s="784" t="s">
        <v>4</v>
      </c>
      <c r="H57" s="699"/>
    </row>
    <row r="58" spans="2:8" ht="12.75" customHeight="1">
      <c r="B58" s="572"/>
      <c r="C58" s="711" t="str">
        <f t="shared" ref="C58:E59" si="1">+C36</f>
        <v>LIQUIDADOR TECNICO</v>
      </c>
      <c r="D58" s="640">
        <f t="shared" si="1"/>
        <v>1</v>
      </c>
      <c r="E58" s="640">
        <f t="shared" si="1"/>
        <v>1</v>
      </c>
      <c r="F58" s="640">
        <f>+F36*0.0305</f>
        <v>161.65</v>
      </c>
      <c r="G58" s="776">
        <f>+D58*E58*F58</f>
        <v>161.65</v>
      </c>
      <c r="H58" s="699"/>
    </row>
    <row r="59" spans="2:8" ht="12.75" customHeight="1">
      <c r="B59" s="572"/>
      <c r="C59" s="711" t="str">
        <f t="shared" si="1"/>
        <v>LIQUIDADOR FINANCIERO</v>
      </c>
      <c r="D59" s="640">
        <f t="shared" si="1"/>
        <v>1</v>
      </c>
      <c r="E59" s="640">
        <f t="shared" si="1"/>
        <v>1</v>
      </c>
      <c r="F59" s="640">
        <f>+F37*0.0305</f>
        <v>152.5</v>
      </c>
      <c r="G59" s="776">
        <f>+D59*E59*F59</f>
        <v>152.5</v>
      </c>
      <c r="H59" s="699"/>
    </row>
    <row r="60" spans="2:8" ht="12.75" customHeight="1">
      <c r="B60" s="572"/>
      <c r="C60" s="962" t="s">
        <v>3</v>
      </c>
      <c r="D60" s="962"/>
      <c r="E60" s="962"/>
      <c r="F60" s="962"/>
      <c r="G60" s="714">
        <f>SUM(G58:G59)</f>
        <v>314.14999999999998</v>
      </c>
      <c r="H60" s="699"/>
    </row>
    <row r="61" spans="2:8" ht="12.75" customHeight="1">
      <c r="B61" s="572"/>
      <c r="C61" s="716"/>
      <c r="D61" s="699"/>
      <c r="E61" s="716"/>
      <c r="F61" s="700"/>
      <c r="G61" s="699"/>
      <c r="H61" s="699"/>
    </row>
    <row r="62" spans="2:8" ht="18" customHeight="1">
      <c r="B62" s="740">
        <v>3</v>
      </c>
      <c r="C62" s="870" t="s">
        <v>16</v>
      </c>
      <c r="D62" s="871"/>
      <c r="E62" s="871"/>
      <c r="F62" s="872"/>
      <c r="G62" s="873" t="s">
        <v>0</v>
      </c>
      <c r="H62" s="874">
        <f>+G71+G80</f>
        <v>1573.6111111111111</v>
      </c>
    </row>
    <row r="63" spans="2:8" ht="12.75" customHeight="1">
      <c r="B63" s="715"/>
      <c r="C63" s="641"/>
      <c r="D63" s="699"/>
      <c r="E63" s="699"/>
      <c r="F63" s="700"/>
      <c r="G63" s="699"/>
      <c r="H63" s="699"/>
    </row>
    <row r="64" spans="2:8" ht="12.75" customHeight="1">
      <c r="B64" s="875">
        <v>3.01</v>
      </c>
      <c r="C64" s="641" t="s">
        <v>558</v>
      </c>
      <c r="D64" s="699"/>
      <c r="E64" s="699"/>
      <c r="F64" s="700"/>
      <c r="G64" s="699"/>
      <c r="H64" s="699"/>
    </row>
    <row r="65" spans="2:8" ht="12.75" customHeight="1">
      <c r="B65" s="704"/>
      <c r="C65" s="737"/>
      <c r="D65" s="699"/>
      <c r="E65" s="699"/>
      <c r="F65" s="700"/>
      <c r="G65" s="699"/>
      <c r="H65" s="699"/>
    </row>
    <row r="66" spans="2:8" ht="12.75" customHeight="1">
      <c r="B66" s="572"/>
      <c r="C66" s="641" t="s">
        <v>29</v>
      </c>
      <c r="D66" s="705"/>
      <c r="E66" s="705"/>
      <c r="F66" s="706"/>
      <c r="G66" s="705"/>
      <c r="H66" s="699"/>
    </row>
    <row r="67" spans="2:8" ht="12.75" customHeight="1">
      <c r="B67" s="572"/>
      <c r="C67" s="641"/>
      <c r="D67" s="705"/>
      <c r="E67" s="705"/>
      <c r="F67" s="706"/>
      <c r="G67" s="705"/>
      <c r="H67" s="699"/>
    </row>
    <row r="68" spans="2:8" ht="12.75" customHeight="1">
      <c r="B68" s="572"/>
      <c r="C68" s="708" t="s">
        <v>30</v>
      </c>
      <c r="D68" s="784" t="s">
        <v>31</v>
      </c>
      <c r="E68" s="784" t="s">
        <v>32</v>
      </c>
      <c r="F68" s="784" t="s">
        <v>13</v>
      </c>
      <c r="G68" s="784" t="s">
        <v>4</v>
      </c>
      <c r="H68" s="699"/>
    </row>
    <row r="69" spans="2:8" ht="12.75" customHeight="1">
      <c r="B69" s="572"/>
      <c r="C69" s="711" t="str">
        <f t="shared" ref="C69:E70" si="2">+C36</f>
        <v>LIQUIDADOR TECNICO</v>
      </c>
      <c r="D69" s="640">
        <f t="shared" si="2"/>
        <v>1</v>
      </c>
      <c r="E69" s="640">
        <f t="shared" si="2"/>
        <v>1</v>
      </c>
      <c r="F69" s="640">
        <f>+F36*0.15</f>
        <v>795</v>
      </c>
      <c r="G69" s="776">
        <f>+D69*E69*F69</f>
        <v>795</v>
      </c>
      <c r="H69" s="699"/>
    </row>
    <row r="70" spans="2:8" ht="12.75" customHeight="1">
      <c r="B70" s="642"/>
      <c r="C70" s="711" t="str">
        <f t="shared" si="2"/>
        <v>LIQUIDADOR FINANCIERO</v>
      </c>
      <c r="D70" s="640">
        <f t="shared" si="2"/>
        <v>1</v>
      </c>
      <c r="E70" s="640">
        <f t="shared" si="2"/>
        <v>1</v>
      </c>
      <c r="F70" s="640">
        <f>+F37*0.15</f>
        <v>750</v>
      </c>
      <c r="G70" s="776">
        <f>+D70*E70*F70</f>
        <v>750</v>
      </c>
      <c r="H70" s="699"/>
    </row>
    <row r="71" spans="2:8" ht="12.75" customHeight="1">
      <c r="B71" s="572"/>
      <c r="C71" s="986" t="s">
        <v>3</v>
      </c>
      <c r="D71" s="986"/>
      <c r="E71" s="986"/>
      <c r="F71" s="986"/>
      <c r="G71" s="714">
        <f>SUM(G69:G70)</f>
        <v>1545</v>
      </c>
      <c r="H71" s="699"/>
    </row>
    <row r="72" spans="2:8" ht="12.75" customHeight="1">
      <c r="B72" s="715"/>
      <c r="C72" s="641"/>
      <c r="D72" s="699"/>
      <c r="E72" s="699"/>
      <c r="F72" s="700"/>
      <c r="G72" s="699"/>
      <c r="H72" s="699"/>
    </row>
    <row r="73" spans="2:8" ht="12.75" customHeight="1">
      <c r="B73" s="875">
        <v>3.02</v>
      </c>
      <c r="C73" s="641" t="s">
        <v>97</v>
      </c>
      <c r="D73" s="699"/>
      <c r="E73" s="699"/>
      <c r="F73" s="700"/>
      <c r="G73" s="699"/>
      <c r="H73" s="699"/>
    </row>
    <row r="74" spans="2:8" ht="12.75" customHeight="1">
      <c r="B74" s="704"/>
      <c r="C74" s="737"/>
      <c r="D74" s="699"/>
      <c r="E74" s="699"/>
      <c r="F74" s="700"/>
      <c r="G74" s="699"/>
      <c r="H74" s="699"/>
    </row>
    <row r="75" spans="2:8" ht="12.75" customHeight="1">
      <c r="B75" s="572"/>
      <c r="C75" s="641" t="s">
        <v>29</v>
      </c>
      <c r="D75" s="705"/>
      <c r="E75" s="705"/>
      <c r="F75" s="706"/>
      <c r="G75" s="705"/>
      <c r="H75" s="699"/>
    </row>
    <row r="76" spans="2:8" ht="12.75" customHeight="1">
      <c r="B76" s="572"/>
      <c r="C76" s="641"/>
      <c r="D76" s="705"/>
      <c r="E76" s="705"/>
      <c r="F76" s="706"/>
      <c r="G76" s="705"/>
      <c r="H76" s="699"/>
    </row>
    <row r="77" spans="2:8" ht="12.75" customHeight="1">
      <c r="B77" s="572"/>
      <c r="C77" s="708" t="s">
        <v>30</v>
      </c>
      <c r="D77" s="784" t="s">
        <v>31</v>
      </c>
      <c r="E77" s="784" t="s">
        <v>32</v>
      </c>
      <c r="F77" s="784" t="s">
        <v>13</v>
      </c>
      <c r="G77" s="784" t="s">
        <v>4</v>
      </c>
      <c r="H77" s="699"/>
    </row>
    <row r="78" spans="2:8" ht="12.75" customHeight="1">
      <c r="B78" s="572"/>
      <c r="C78" s="711" t="str">
        <f t="shared" ref="C78:E79" si="3">+C36</f>
        <v>LIQUIDADOR TECNICO</v>
      </c>
      <c r="D78" s="640">
        <f t="shared" si="3"/>
        <v>1</v>
      </c>
      <c r="E78" s="640">
        <f t="shared" si="3"/>
        <v>1</v>
      </c>
      <c r="F78" s="640">
        <f>+F36/360</f>
        <v>14.722222222222221</v>
      </c>
      <c r="G78" s="776">
        <f>+D78*E78*F78</f>
        <v>14.722222222222221</v>
      </c>
      <c r="H78" s="699"/>
    </row>
    <row r="79" spans="2:8" ht="12.75" customHeight="1">
      <c r="B79" s="642"/>
      <c r="C79" s="711" t="str">
        <f t="shared" si="3"/>
        <v>LIQUIDADOR FINANCIERO</v>
      </c>
      <c r="D79" s="640">
        <f t="shared" si="3"/>
        <v>1</v>
      </c>
      <c r="E79" s="640">
        <f t="shared" si="3"/>
        <v>1</v>
      </c>
      <c r="F79" s="640">
        <f>+F37/360</f>
        <v>13.888888888888889</v>
      </c>
      <c r="G79" s="776">
        <f>+D79*E79*F79</f>
        <v>13.888888888888889</v>
      </c>
      <c r="H79" s="699"/>
    </row>
    <row r="80" spans="2:8" ht="12.75" customHeight="1">
      <c r="B80" s="572"/>
      <c r="C80" s="986" t="s">
        <v>3</v>
      </c>
      <c r="D80" s="986"/>
      <c r="E80" s="986"/>
      <c r="F80" s="986"/>
      <c r="G80" s="714">
        <f>SUM(G78:G79)</f>
        <v>28.611111111111111</v>
      </c>
      <c r="H80" s="699"/>
    </row>
    <row r="81" spans="2:9" ht="12.75" customHeight="1">
      <c r="B81" s="715"/>
      <c r="C81" s="641"/>
      <c r="D81" s="699"/>
      <c r="E81" s="699"/>
      <c r="F81" s="700"/>
      <c r="G81" s="699"/>
      <c r="H81" s="699"/>
    </row>
    <row r="82" spans="2:9" ht="18" customHeight="1">
      <c r="B82" s="740">
        <v>4</v>
      </c>
      <c r="C82" s="870" t="s">
        <v>75</v>
      </c>
      <c r="D82" s="871"/>
      <c r="E82" s="871"/>
      <c r="F82" s="872"/>
      <c r="G82" s="873" t="s">
        <v>0</v>
      </c>
      <c r="H82" s="874">
        <f>H84</f>
        <v>100</v>
      </c>
    </row>
    <row r="83" spans="2:9" ht="12.75" customHeight="1">
      <c r="B83" s="715"/>
      <c r="C83" s="641"/>
      <c r="D83" s="699"/>
      <c r="E83" s="699"/>
      <c r="F83" s="700"/>
      <c r="G83" s="699"/>
      <c r="H83" s="699"/>
    </row>
    <row r="84" spans="2:9" ht="14.25" customHeight="1">
      <c r="B84" s="715">
        <v>4.01</v>
      </c>
      <c r="C84" s="641" t="s">
        <v>96</v>
      </c>
      <c r="D84" s="721">
        <v>300</v>
      </c>
      <c r="E84" s="705"/>
      <c r="F84" s="706"/>
      <c r="G84" s="702" t="s">
        <v>0</v>
      </c>
      <c r="H84" s="703">
        <f>G91</f>
        <v>100</v>
      </c>
    </row>
    <row r="85" spans="2:9" ht="12.75" customHeight="1">
      <c r="B85" s="875"/>
      <c r="C85" s="641"/>
      <c r="D85" s="705"/>
      <c r="E85" s="705"/>
      <c r="F85" s="706"/>
      <c r="G85" s="705"/>
      <c r="H85" s="699"/>
    </row>
    <row r="86" spans="2:9" ht="12.75" customHeight="1">
      <c r="B86" s="875"/>
      <c r="C86" s="641" t="s">
        <v>29</v>
      </c>
      <c r="D86" s="705"/>
      <c r="E86" s="705"/>
      <c r="F86" s="706"/>
      <c r="G86" s="705"/>
      <c r="H86" s="699"/>
    </row>
    <row r="87" spans="2:9" ht="14.25" customHeight="1">
      <c r="B87" s="572"/>
      <c r="C87" s="641"/>
      <c r="D87" s="705"/>
      <c r="E87" s="705"/>
      <c r="F87" s="706"/>
      <c r="G87" s="705"/>
      <c r="H87" s="699"/>
    </row>
    <row r="88" spans="2:9" ht="14.25" customHeight="1">
      <c r="B88" s="572"/>
      <c r="C88" s="708" t="s">
        <v>30</v>
      </c>
      <c r="D88" s="784" t="s">
        <v>31</v>
      </c>
      <c r="E88" s="784" t="s">
        <v>32</v>
      </c>
      <c r="F88" s="784" t="s">
        <v>13</v>
      </c>
      <c r="G88" s="784" t="s">
        <v>4</v>
      </c>
      <c r="H88" s="699"/>
    </row>
    <row r="89" spans="2:9" ht="14.25" customHeight="1">
      <c r="B89" s="572"/>
      <c r="C89" s="711" t="str">
        <f t="shared" ref="C89:E90" si="4">+C36</f>
        <v>LIQUIDADOR TECNICO</v>
      </c>
      <c r="D89" s="640">
        <f t="shared" si="4"/>
        <v>1</v>
      </c>
      <c r="E89" s="640">
        <f t="shared" si="4"/>
        <v>1</v>
      </c>
      <c r="F89" s="640">
        <f>($D$84*2)/12*(E89*D89)</f>
        <v>50</v>
      </c>
      <c r="G89" s="711">
        <f>+D89*E89*F89</f>
        <v>50</v>
      </c>
      <c r="H89" s="699"/>
    </row>
    <row r="90" spans="2:9" ht="14.25" customHeight="1">
      <c r="B90" s="572"/>
      <c r="C90" s="711" t="str">
        <f t="shared" si="4"/>
        <v>LIQUIDADOR FINANCIERO</v>
      </c>
      <c r="D90" s="640">
        <f t="shared" si="4"/>
        <v>1</v>
      </c>
      <c r="E90" s="640">
        <f t="shared" si="4"/>
        <v>1</v>
      </c>
      <c r="F90" s="640">
        <f>($D$84*2)/12*(E90*D90)</f>
        <v>50</v>
      </c>
      <c r="G90" s="711">
        <f>+D90*E90*F90</f>
        <v>50</v>
      </c>
      <c r="H90" s="699"/>
    </row>
    <row r="91" spans="2:9" ht="14.25" customHeight="1">
      <c r="B91" s="642"/>
      <c r="C91" s="986" t="s">
        <v>3</v>
      </c>
      <c r="D91" s="986"/>
      <c r="E91" s="986"/>
      <c r="F91" s="986"/>
      <c r="G91" s="714">
        <f>SUM(G89:G90)</f>
        <v>100</v>
      </c>
      <c r="H91" s="699"/>
    </row>
    <row r="92" spans="2:9" ht="14.25" customHeight="1">
      <c r="B92" s="642"/>
      <c r="C92" s="876"/>
      <c r="D92" s="876"/>
      <c r="E92" s="876"/>
      <c r="F92" s="876"/>
      <c r="G92" s="698"/>
      <c r="H92" s="699"/>
    </row>
    <row r="93" spans="2:9" ht="14.25" customHeight="1">
      <c r="B93" s="690">
        <v>5</v>
      </c>
      <c r="C93" s="691" t="s">
        <v>417</v>
      </c>
      <c r="D93" s="692"/>
      <c r="E93" s="692"/>
      <c r="F93" s="693"/>
      <c r="G93" s="873" t="s">
        <v>0</v>
      </c>
      <c r="H93" s="874">
        <f>+H95</f>
        <v>186</v>
      </c>
    </row>
    <row r="94" spans="2:9" ht="14.25" customHeight="1">
      <c r="B94" s="717"/>
      <c r="C94" s="718"/>
      <c r="D94" s="699"/>
      <c r="E94" s="699"/>
      <c r="F94" s="705"/>
      <c r="G94" s="699"/>
      <c r="H94" s="703"/>
    </row>
    <row r="95" spans="2:9" ht="14.25" customHeight="1">
      <c r="B95" s="701">
        <v>4.01</v>
      </c>
      <c r="C95" s="641" t="s">
        <v>418</v>
      </c>
      <c r="D95" s="721"/>
      <c r="E95" s="721"/>
      <c r="F95" s="700"/>
      <c r="G95" s="702" t="s">
        <v>0</v>
      </c>
      <c r="H95" s="703">
        <f>G102</f>
        <v>186</v>
      </c>
    </row>
    <row r="96" spans="2:9" ht="14.25" customHeight="1">
      <c r="B96" s="715"/>
      <c r="C96" s="641"/>
      <c r="D96" s="699"/>
      <c r="E96" s="699"/>
      <c r="F96" s="700"/>
      <c r="G96" s="700"/>
      <c r="H96" s="699"/>
      <c r="I96" s="699"/>
    </row>
    <row r="97" spans="2:15" ht="14.2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15" ht="14.25" customHeight="1">
      <c r="B98" s="572"/>
      <c r="C98" s="720"/>
      <c r="D98" s="705"/>
      <c r="E98" s="705"/>
      <c r="F98" s="706"/>
      <c r="G98" s="706"/>
      <c r="H98" s="705"/>
      <c r="I98" s="700"/>
    </row>
    <row r="99" spans="2:15" ht="14.25" customHeight="1">
      <c r="B99" s="642"/>
      <c r="C99" s="708" t="s">
        <v>30</v>
      </c>
      <c r="D99" s="784" t="s">
        <v>31</v>
      </c>
      <c r="E99" s="784" t="s">
        <v>32</v>
      </c>
      <c r="F99" s="784" t="s">
        <v>13</v>
      </c>
      <c r="G99" s="784" t="s">
        <v>4</v>
      </c>
      <c r="H99" s="699"/>
    </row>
    <row r="100" spans="2:15" ht="14.25" customHeight="1">
      <c r="B100" s="642"/>
      <c r="C100" s="711" t="str">
        <f t="shared" ref="C100:E101" si="5">C36</f>
        <v>LIQUIDADOR TECNICO</v>
      </c>
      <c r="D100" s="640">
        <f t="shared" si="5"/>
        <v>1</v>
      </c>
      <c r="E100" s="640">
        <f t="shared" si="5"/>
        <v>1</v>
      </c>
      <c r="F100" s="640">
        <f>930/10</f>
        <v>93</v>
      </c>
      <c r="G100" s="711">
        <f>+D100*E100*F100</f>
        <v>93</v>
      </c>
      <c r="H100" s="699"/>
    </row>
    <row r="101" spans="2:15" ht="14.25" customHeight="1">
      <c r="B101" s="642"/>
      <c r="C101" s="711" t="str">
        <f t="shared" si="5"/>
        <v>LIQUIDADOR FINANCIERO</v>
      </c>
      <c r="D101" s="640">
        <f t="shared" si="5"/>
        <v>1</v>
      </c>
      <c r="E101" s="640">
        <f t="shared" si="5"/>
        <v>1</v>
      </c>
      <c r="F101" s="640">
        <f>930/10</f>
        <v>93</v>
      </c>
      <c r="G101" s="711">
        <f>+D101*E101*F101</f>
        <v>93</v>
      </c>
      <c r="H101" s="699"/>
    </row>
    <row r="102" spans="2:15" ht="14.25" customHeight="1">
      <c r="B102" s="642"/>
      <c r="C102" s="986" t="s">
        <v>3</v>
      </c>
      <c r="D102" s="986"/>
      <c r="E102" s="986"/>
      <c r="F102" s="986"/>
      <c r="G102" s="714">
        <f>SUM(G100:G101)</f>
        <v>186</v>
      </c>
      <c r="H102" s="699"/>
    </row>
    <row r="103" spans="2:15" ht="14.25" customHeight="1">
      <c r="B103" s="642"/>
      <c r="C103" s="876"/>
      <c r="D103" s="876"/>
      <c r="E103" s="876"/>
      <c r="F103" s="876"/>
      <c r="G103" s="698"/>
      <c r="H103" s="699"/>
    </row>
    <row r="104" spans="2:15" ht="14.25" customHeight="1">
      <c r="B104" s="642"/>
      <c r="C104" s="876"/>
      <c r="D104" s="876"/>
      <c r="E104" s="876"/>
      <c r="F104" s="876"/>
      <c r="G104" s="698"/>
      <c r="H104" s="699"/>
    </row>
    <row r="105" spans="2:15" ht="14.25" customHeight="1">
      <c r="B105" s="572"/>
      <c r="C105" s="699"/>
      <c r="D105" s="699"/>
      <c r="E105" s="699"/>
      <c r="F105" s="700"/>
      <c r="G105" s="699"/>
      <c r="H105" s="699"/>
    </row>
    <row r="106" spans="2:15" s="831" customFormat="1" ht="15.6">
      <c r="B106" s="850" t="s">
        <v>510</v>
      </c>
      <c r="C106" s="851"/>
      <c r="D106" s="838"/>
      <c r="E106" s="838"/>
      <c r="F106" s="840"/>
      <c r="G106" s="840" t="s">
        <v>0</v>
      </c>
      <c r="H106" s="841">
        <f>+H108+H116</f>
        <v>1488</v>
      </c>
      <c r="I106" s="842"/>
    </row>
    <row r="107" spans="2:15" ht="12.75" customHeight="1">
      <c r="B107" s="715"/>
      <c r="C107" s="641"/>
      <c r="D107" s="699"/>
      <c r="E107" s="699"/>
      <c r="F107" s="700"/>
      <c r="G107" s="699"/>
      <c r="H107" s="699"/>
    </row>
    <row r="108" spans="2:15" ht="12.75" hidden="1" customHeight="1">
      <c r="B108" s="740">
        <v>1</v>
      </c>
      <c r="C108" s="870" t="s">
        <v>270</v>
      </c>
      <c r="D108" s="871"/>
      <c r="E108" s="871"/>
      <c r="F108" s="872"/>
      <c r="G108" s="873" t="s">
        <v>0</v>
      </c>
      <c r="H108" s="874">
        <f>G114</f>
        <v>0</v>
      </c>
    </row>
    <row r="109" spans="2:15" ht="15" hidden="1" customHeight="1">
      <c r="B109" s="715"/>
      <c r="C109" s="641"/>
      <c r="D109" s="699"/>
      <c r="E109" s="699"/>
      <c r="F109" s="700"/>
      <c r="G109" s="699"/>
      <c r="H109" s="699"/>
    </row>
    <row r="110" spans="2:15" ht="15" hidden="1" customHeight="1">
      <c r="B110" s="715">
        <v>1.01</v>
      </c>
      <c r="C110" s="641" t="s">
        <v>271</v>
      </c>
      <c r="D110" s="705"/>
      <c r="E110" s="705"/>
      <c r="F110" s="706"/>
      <c r="G110" s="702"/>
      <c r="H110" s="703"/>
    </row>
    <row r="111" spans="2:15" ht="12.75" hidden="1" customHeight="1">
      <c r="B111" s="747"/>
      <c r="C111" s="748"/>
      <c r="D111" s="749"/>
      <c r="E111" s="750"/>
      <c r="F111" s="749"/>
      <c r="G111" s="750"/>
    </row>
    <row r="112" spans="2:15" ht="13.5" hidden="1" customHeight="1">
      <c r="B112" s="747"/>
      <c r="C112" s="785" t="s">
        <v>17</v>
      </c>
      <c r="D112" s="785" t="s">
        <v>2</v>
      </c>
      <c r="E112" s="785" t="s">
        <v>304</v>
      </c>
      <c r="F112" s="785" t="s">
        <v>5</v>
      </c>
      <c r="G112" s="785" t="s">
        <v>4</v>
      </c>
      <c r="J112" s="741" t="s">
        <v>459</v>
      </c>
      <c r="K112" s="741" t="s">
        <v>460</v>
      </c>
      <c r="L112" s="741" t="s">
        <v>461</v>
      </c>
      <c r="M112" s="741" t="s">
        <v>462</v>
      </c>
      <c r="N112" s="741" t="s">
        <v>466</v>
      </c>
      <c r="O112" s="741" t="s">
        <v>463</v>
      </c>
    </row>
    <row r="113" spans="2:15" ht="13.5" hidden="1" customHeight="1">
      <c r="B113" s="747"/>
      <c r="C113" s="877" t="s">
        <v>108</v>
      </c>
      <c r="D113" s="878" t="s">
        <v>6</v>
      </c>
      <c r="E113" s="879">
        <v>0</v>
      </c>
      <c r="F113" s="878">
        <v>13.5</v>
      </c>
      <c r="G113" s="880">
        <f>+E113*F113</f>
        <v>0</v>
      </c>
      <c r="J113" s="581">
        <v>1.5</v>
      </c>
      <c r="K113" s="581">
        <v>3.5</v>
      </c>
      <c r="L113" s="581">
        <v>2</v>
      </c>
      <c r="M113" s="581">
        <v>2</v>
      </c>
      <c r="N113" s="743">
        <f>+E36</f>
        <v>1</v>
      </c>
      <c r="O113" s="581">
        <f>PRODUCT(J113:N113)</f>
        <v>21</v>
      </c>
    </row>
    <row r="114" spans="2:15" ht="13.5" hidden="1" customHeight="1">
      <c r="B114" s="767"/>
      <c r="C114" s="962" t="s">
        <v>3</v>
      </c>
      <c r="D114" s="962"/>
      <c r="E114" s="962"/>
      <c r="F114" s="962"/>
      <c r="G114" s="768">
        <f>SUM(G113:G113)</f>
        <v>0</v>
      </c>
    </row>
    <row r="115" spans="2:15" ht="12.75" customHeight="1">
      <c r="B115" s="767"/>
      <c r="C115" s="881"/>
      <c r="D115" s="869"/>
      <c r="E115" s="882"/>
      <c r="F115" s="869"/>
      <c r="G115" s="882"/>
    </row>
    <row r="116" spans="2:15" ht="18" customHeight="1">
      <c r="B116" s="740">
        <v>1</v>
      </c>
      <c r="C116" s="870" t="s">
        <v>36</v>
      </c>
      <c r="D116" s="871"/>
      <c r="E116" s="871"/>
      <c r="F116" s="872"/>
      <c r="G116" s="873" t="s">
        <v>0</v>
      </c>
      <c r="H116" s="874">
        <f>+G134</f>
        <v>1488</v>
      </c>
    </row>
    <row r="117" spans="2:15" ht="12.75" customHeight="1">
      <c r="B117" s="715"/>
      <c r="C117" s="641"/>
      <c r="D117" s="699"/>
      <c r="E117" s="699"/>
      <c r="F117" s="700"/>
      <c r="G117" s="699"/>
      <c r="H117" s="705"/>
    </row>
    <row r="118" spans="2:15" ht="12.75" customHeight="1">
      <c r="B118" s="572"/>
      <c r="C118" s="708" t="s">
        <v>34</v>
      </c>
      <c r="D118" s="784" t="s">
        <v>44</v>
      </c>
      <c r="E118" s="784" t="s">
        <v>304</v>
      </c>
      <c r="F118" s="784" t="s">
        <v>5</v>
      </c>
      <c r="G118" s="784" t="s">
        <v>4</v>
      </c>
      <c r="H118" s="705"/>
    </row>
    <row r="119" spans="2:15">
      <c r="B119" s="572"/>
      <c r="C119" s="757" t="s">
        <v>71</v>
      </c>
      <c r="D119" s="756" t="s">
        <v>2</v>
      </c>
      <c r="E119" s="756">
        <v>0</v>
      </c>
      <c r="F119" s="756">
        <v>1.5</v>
      </c>
      <c r="G119" s="757">
        <f t="shared" ref="G119:G133" si="6">+E119*F119</f>
        <v>0</v>
      </c>
      <c r="H119" s="705"/>
    </row>
    <row r="120" spans="2:15">
      <c r="B120" s="572"/>
      <c r="C120" s="711" t="s">
        <v>163</v>
      </c>
      <c r="D120" s="756" t="s">
        <v>2</v>
      </c>
      <c r="E120" s="756">
        <v>1</v>
      </c>
      <c r="F120" s="756">
        <v>300</v>
      </c>
      <c r="G120" s="757">
        <f t="shared" si="6"/>
        <v>300</v>
      </c>
      <c r="H120" s="705"/>
    </row>
    <row r="121" spans="2:15">
      <c r="B121" s="572"/>
      <c r="C121" s="711" t="s">
        <v>524</v>
      </c>
      <c r="D121" s="756" t="s">
        <v>2</v>
      </c>
      <c r="E121" s="756">
        <v>1</v>
      </c>
      <c r="F121" s="756">
        <v>700</v>
      </c>
      <c r="G121" s="757">
        <f t="shared" si="6"/>
        <v>700</v>
      </c>
      <c r="H121" s="705"/>
    </row>
    <row r="122" spans="2:15" ht="12.75" customHeight="1">
      <c r="B122" s="572"/>
      <c r="C122" s="757" t="s">
        <v>40</v>
      </c>
      <c r="D122" s="756" t="s">
        <v>2</v>
      </c>
      <c r="E122" s="756">
        <v>15</v>
      </c>
      <c r="F122" s="756">
        <v>7</v>
      </c>
      <c r="G122" s="757">
        <f t="shared" si="6"/>
        <v>105</v>
      </c>
      <c r="H122" s="705"/>
    </row>
    <row r="123" spans="2:15">
      <c r="B123" s="572"/>
      <c r="C123" s="757" t="s">
        <v>38</v>
      </c>
      <c r="D123" s="756" t="s">
        <v>2</v>
      </c>
      <c r="E123" s="756">
        <v>0</v>
      </c>
      <c r="F123" s="756">
        <v>4</v>
      </c>
      <c r="G123" s="757">
        <f t="shared" si="6"/>
        <v>0</v>
      </c>
      <c r="H123" s="705"/>
    </row>
    <row r="124" spans="2:15">
      <c r="B124" s="572"/>
      <c r="C124" s="757" t="s">
        <v>525</v>
      </c>
      <c r="D124" s="756" t="s">
        <v>2</v>
      </c>
      <c r="E124" s="756">
        <v>20</v>
      </c>
      <c r="F124" s="756">
        <v>0.7</v>
      </c>
      <c r="G124" s="757">
        <f t="shared" si="6"/>
        <v>14</v>
      </c>
      <c r="H124" s="705"/>
    </row>
    <row r="125" spans="2:15">
      <c r="B125" s="572"/>
      <c r="C125" s="757" t="s">
        <v>67</v>
      </c>
      <c r="D125" s="756" t="s">
        <v>2</v>
      </c>
      <c r="E125" s="756">
        <v>1</v>
      </c>
      <c r="F125" s="756">
        <v>4</v>
      </c>
      <c r="G125" s="757">
        <f t="shared" si="6"/>
        <v>4</v>
      </c>
      <c r="H125" s="705"/>
    </row>
    <row r="126" spans="2:15" ht="13.5" customHeight="1">
      <c r="B126" s="572"/>
      <c r="C126" s="757" t="s">
        <v>57</v>
      </c>
      <c r="D126" s="756" t="s">
        <v>2</v>
      </c>
      <c r="E126" s="756">
        <v>0</v>
      </c>
      <c r="F126" s="756">
        <v>1</v>
      </c>
      <c r="G126" s="757">
        <f t="shared" si="6"/>
        <v>0</v>
      </c>
      <c r="H126" s="705"/>
    </row>
    <row r="127" spans="2:15" ht="13.5" customHeight="1">
      <c r="B127" s="572"/>
      <c r="C127" s="757" t="s">
        <v>85</v>
      </c>
      <c r="D127" s="756" t="s">
        <v>240</v>
      </c>
      <c r="E127" s="756">
        <v>1</v>
      </c>
      <c r="F127" s="756">
        <v>50</v>
      </c>
      <c r="G127" s="757">
        <f t="shared" si="6"/>
        <v>50</v>
      </c>
      <c r="H127" s="705"/>
    </row>
    <row r="128" spans="2:15" ht="12" customHeight="1">
      <c r="B128" s="572"/>
      <c r="C128" s="757" t="s">
        <v>43</v>
      </c>
      <c r="D128" s="756" t="s">
        <v>37</v>
      </c>
      <c r="E128" s="756">
        <v>5</v>
      </c>
      <c r="F128" s="756">
        <v>30</v>
      </c>
      <c r="G128" s="757">
        <f t="shared" si="6"/>
        <v>150</v>
      </c>
      <c r="H128" s="705"/>
    </row>
    <row r="129" spans="2:9">
      <c r="B129" s="572"/>
      <c r="C129" s="757" t="s">
        <v>65</v>
      </c>
      <c r="D129" s="756" t="s">
        <v>2</v>
      </c>
      <c r="E129" s="756">
        <v>1</v>
      </c>
      <c r="F129" s="756">
        <v>5</v>
      </c>
      <c r="G129" s="757">
        <f t="shared" si="6"/>
        <v>5</v>
      </c>
      <c r="H129" s="705"/>
    </row>
    <row r="130" spans="2:9">
      <c r="B130" s="572"/>
      <c r="C130" s="757" t="s">
        <v>247</v>
      </c>
      <c r="D130" s="756" t="s">
        <v>2</v>
      </c>
      <c r="E130" s="756">
        <v>2</v>
      </c>
      <c r="F130" s="756">
        <v>60</v>
      </c>
      <c r="G130" s="757">
        <f t="shared" si="6"/>
        <v>120</v>
      </c>
      <c r="H130" s="705"/>
    </row>
    <row r="131" spans="2:9">
      <c r="B131" s="572"/>
      <c r="C131" s="757" t="s">
        <v>62</v>
      </c>
      <c r="D131" s="756" t="s">
        <v>2</v>
      </c>
      <c r="E131" s="756">
        <v>2</v>
      </c>
      <c r="F131" s="756">
        <v>15</v>
      </c>
      <c r="G131" s="757">
        <f t="shared" si="6"/>
        <v>30</v>
      </c>
      <c r="H131" s="705"/>
    </row>
    <row r="132" spans="2:9">
      <c r="B132" s="572"/>
      <c r="C132" s="757" t="s">
        <v>73</v>
      </c>
      <c r="D132" s="756" t="s">
        <v>54</v>
      </c>
      <c r="E132" s="756">
        <v>2</v>
      </c>
      <c r="F132" s="756">
        <v>5</v>
      </c>
      <c r="G132" s="757">
        <f t="shared" si="6"/>
        <v>10</v>
      </c>
      <c r="H132" s="705"/>
    </row>
    <row r="133" spans="2:9">
      <c r="B133" s="572"/>
      <c r="C133" s="757" t="s">
        <v>63</v>
      </c>
      <c r="D133" s="756" t="s">
        <v>2</v>
      </c>
      <c r="E133" s="756">
        <v>0</v>
      </c>
      <c r="F133" s="756">
        <v>5</v>
      </c>
      <c r="G133" s="757">
        <f t="shared" si="6"/>
        <v>0</v>
      </c>
      <c r="H133" s="705"/>
    </row>
    <row r="134" spans="2:9" ht="12.75" customHeight="1">
      <c r="B134" s="704"/>
      <c r="C134" s="962" t="s">
        <v>3</v>
      </c>
      <c r="D134" s="962"/>
      <c r="E134" s="962"/>
      <c r="F134" s="962"/>
      <c r="G134" s="714">
        <f>SUM(G119:G133)</f>
        <v>1488</v>
      </c>
      <c r="H134" s="705"/>
    </row>
    <row r="135" spans="2:9" ht="15.75" customHeight="1">
      <c r="B135" s="883"/>
      <c r="C135" s="715"/>
      <c r="D135" s="641"/>
      <c r="E135" s="884"/>
      <c r="F135" s="885"/>
      <c r="G135" s="886"/>
      <c r="H135" s="887"/>
    </row>
    <row r="136" spans="2:9" ht="12.75" customHeight="1">
      <c r="B136" s="572"/>
      <c r="C136" s="578"/>
      <c r="D136" s="578"/>
      <c r="E136" s="578"/>
      <c r="F136" s="578"/>
      <c r="G136" s="699"/>
      <c r="H136" s="705"/>
    </row>
    <row r="137" spans="2:9" s="831" customFormat="1" ht="15.6">
      <c r="B137" s="850" t="s">
        <v>516</v>
      </c>
      <c r="C137" s="851"/>
      <c r="D137" s="838"/>
      <c r="E137" s="838"/>
      <c r="F137" s="840"/>
      <c r="G137" s="840" t="s">
        <v>0</v>
      </c>
      <c r="H137" s="841">
        <f>+H145+H153</f>
        <v>1050</v>
      </c>
      <c r="I137" s="842"/>
    </row>
    <row r="138" spans="2:9" ht="16.5" customHeight="1">
      <c r="B138" s="883"/>
      <c r="C138" s="888"/>
      <c r="D138" s="889"/>
      <c r="E138" s="889"/>
      <c r="F138" s="885"/>
      <c r="G138" s="886"/>
      <c r="H138" s="887"/>
    </row>
    <row r="139" spans="2:9" ht="13.5" hidden="1" customHeight="1">
      <c r="B139" s="883" t="s">
        <v>21</v>
      </c>
      <c r="C139" s="890" t="s">
        <v>50</v>
      </c>
      <c r="D139" s="889"/>
      <c r="E139" s="889"/>
      <c r="F139" s="885"/>
      <c r="G139" s="886" t="s">
        <v>0</v>
      </c>
      <c r="H139" s="887">
        <f>+G143</f>
        <v>0</v>
      </c>
    </row>
    <row r="140" spans="2:9" ht="13.5" hidden="1" customHeight="1">
      <c r="B140" s="747"/>
      <c r="C140" s="891"/>
      <c r="D140" s="892"/>
      <c r="E140" s="892"/>
      <c r="F140" s="893"/>
      <c r="G140" s="892"/>
    </row>
    <row r="141" spans="2:9" ht="12.75" hidden="1" customHeight="1">
      <c r="B141" s="767"/>
      <c r="C141" s="894" t="s">
        <v>17</v>
      </c>
      <c r="D141" s="895" t="s">
        <v>19</v>
      </c>
      <c r="E141" s="896" t="s">
        <v>19</v>
      </c>
      <c r="F141" s="896" t="s">
        <v>33</v>
      </c>
      <c r="G141" s="896" t="s">
        <v>4</v>
      </c>
    </row>
    <row r="142" spans="2:9" hidden="1">
      <c r="B142" s="572"/>
      <c r="C142" s="897"/>
      <c r="D142" s="898"/>
      <c r="E142" s="899">
        <v>0</v>
      </c>
      <c r="F142" s="898">
        <v>0</v>
      </c>
      <c r="G142" s="899">
        <f>+E142*F142</f>
        <v>0</v>
      </c>
      <c r="H142" s="705"/>
    </row>
    <row r="143" spans="2:9" ht="13.5" hidden="1" customHeight="1">
      <c r="B143" s="767"/>
      <c r="C143" s="962" t="s">
        <v>3</v>
      </c>
      <c r="D143" s="962"/>
      <c r="E143" s="962"/>
      <c r="F143" s="962"/>
      <c r="G143" s="711">
        <f>SUM(G142:G142)</f>
        <v>0</v>
      </c>
    </row>
    <row r="144" spans="2:9" ht="12" hidden="1" customHeight="1">
      <c r="B144" s="767"/>
      <c r="C144" s="677"/>
      <c r="D144" s="677"/>
      <c r="E144" s="677"/>
      <c r="F144" s="677"/>
      <c r="G144" s="900"/>
    </row>
    <row r="145" spans="2:16" ht="13.5" customHeight="1">
      <c r="B145" s="875" t="s">
        <v>11</v>
      </c>
      <c r="C145" s="641" t="s">
        <v>20</v>
      </c>
      <c r="D145" s="889"/>
      <c r="E145" s="889"/>
      <c r="F145" s="885"/>
      <c r="G145" s="886" t="s">
        <v>0</v>
      </c>
      <c r="H145" s="887">
        <f>G150</f>
        <v>1050</v>
      </c>
    </row>
    <row r="146" spans="2:16" ht="13.5" customHeight="1">
      <c r="B146" s="883"/>
      <c r="C146" s="708" t="s">
        <v>34</v>
      </c>
      <c r="D146" s="784" t="s">
        <v>44</v>
      </c>
      <c r="E146" s="784" t="s">
        <v>304</v>
      </c>
      <c r="F146" s="784" t="s">
        <v>5</v>
      </c>
      <c r="G146" s="784" t="s">
        <v>4</v>
      </c>
      <c r="H146" s="887"/>
    </row>
    <row r="147" spans="2:16" ht="13.5" customHeight="1">
      <c r="B147" s="883"/>
      <c r="C147" s="786" t="s">
        <v>94</v>
      </c>
      <c r="D147" s="640" t="s">
        <v>241</v>
      </c>
      <c r="E147" s="640">
        <v>1</v>
      </c>
      <c r="F147" s="640">
        <v>150</v>
      </c>
      <c r="G147" s="776">
        <f>+E147*F147</f>
        <v>150</v>
      </c>
      <c r="H147" s="887"/>
      <c r="I147" s="571">
        <f>100*5</f>
        <v>500</v>
      </c>
    </row>
    <row r="148" spans="2:16" ht="13.5" customHeight="1">
      <c r="B148" s="883"/>
      <c r="C148" s="786" t="s">
        <v>249</v>
      </c>
      <c r="D148" s="640" t="s">
        <v>241</v>
      </c>
      <c r="E148" s="640">
        <v>1</v>
      </c>
      <c r="F148" s="640">
        <v>150</v>
      </c>
      <c r="G148" s="776">
        <v>500</v>
      </c>
      <c r="H148" s="887"/>
    </row>
    <row r="149" spans="2:16" ht="13.5" customHeight="1">
      <c r="B149" s="883"/>
      <c r="C149" s="786" t="s">
        <v>239</v>
      </c>
      <c r="D149" s="640" t="s">
        <v>241</v>
      </c>
      <c r="E149" s="640">
        <v>1</v>
      </c>
      <c r="F149" s="640">
        <v>400</v>
      </c>
      <c r="G149" s="776">
        <f>+E149*F149</f>
        <v>400</v>
      </c>
      <c r="H149" s="887"/>
    </row>
    <row r="150" spans="2:16" ht="13.5" customHeight="1">
      <c r="B150" s="883"/>
      <c r="C150" s="964" t="s">
        <v>3</v>
      </c>
      <c r="D150" s="965"/>
      <c r="E150" s="965"/>
      <c r="F150" s="966"/>
      <c r="G150" s="714">
        <f>SUM(G147:G149)</f>
        <v>1050</v>
      </c>
      <c r="H150" s="887"/>
    </row>
    <row r="151" spans="2:16" ht="13.5" customHeight="1">
      <c r="B151" s="767"/>
      <c r="C151" s="677"/>
      <c r="D151" s="677"/>
      <c r="E151" s="677"/>
      <c r="F151" s="677"/>
      <c r="G151" s="900"/>
    </row>
    <row r="152" spans="2:16" ht="13.5" customHeight="1">
      <c r="B152" s="715"/>
      <c r="C152" s="641"/>
      <c r="D152" s="699"/>
      <c r="E152" s="699"/>
      <c r="F152" s="700"/>
      <c r="G152" s="699"/>
      <c r="H152" s="705"/>
      <c r="J152" s="641"/>
      <c r="K152" s="699"/>
      <c r="L152" s="699"/>
      <c r="M152" s="700"/>
      <c r="N152" s="700"/>
      <c r="O152" s="702"/>
      <c r="P152" s="703"/>
    </row>
    <row r="153" spans="2:16" ht="13.5" hidden="1" customHeight="1">
      <c r="B153" s="875" t="s">
        <v>14</v>
      </c>
      <c r="C153" s="641" t="s">
        <v>457</v>
      </c>
      <c r="D153" s="699"/>
      <c r="E153" s="699"/>
      <c r="F153" s="700"/>
      <c r="G153" s="886" t="s">
        <v>0</v>
      </c>
      <c r="H153" s="887">
        <f>+G157</f>
        <v>0</v>
      </c>
      <c r="P153" s="703"/>
    </row>
    <row r="154" spans="2:16" ht="13.5" hidden="1" customHeight="1">
      <c r="B154" s="715"/>
      <c r="C154" s="641"/>
      <c r="D154" s="699"/>
      <c r="E154" s="699"/>
      <c r="F154" s="700"/>
      <c r="G154" s="699"/>
      <c r="H154" s="705"/>
      <c r="P154" s="703"/>
    </row>
    <row r="155" spans="2:16" ht="13.5" hidden="1" customHeight="1">
      <c r="B155" s="715"/>
      <c r="C155" s="708" t="s">
        <v>34</v>
      </c>
      <c r="D155" s="784" t="s">
        <v>44</v>
      </c>
      <c r="E155" s="784" t="s">
        <v>458</v>
      </c>
      <c r="F155" s="784" t="s">
        <v>5</v>
      </c>
      <c r="G155" s="784" t="s">
        <v>4</v>
      </c>
      <c r="H155" s="705"/>
      <c r="J155" s="741" t="s">
        <v>464</v>
      </c>
      <c r="K155" s="741" t="s">
        <v>465</v>
      </c>
      <c r="L155" s="741" t="s">
        <v>466</v>
      </c>
      <c r="M155" s="741" t="s">
        <v>463</v>
      </c>
      <c r="P155" s="703"/>
    </row>
    <row r="156" spans="2:16" ht="13.5" hidden="1" customHeight="1">
      <c r="B156" s="715"/>
      <c r="C156" s="777" t="s">
        <v>109</v>
      </c>
      <c r="D156" s="778" t="s">
        <v>122</v>
      </c>
      <c r="E156" s="778">
        <v>0</v>
      </c>
      <c r="F156" s="778">
        <v>280</v>
      </c>
      <c r="G156" s="780">
        <f>PRODUCT(E156:F156)</f>
        <v>0</v>
      </c>
      <c r="H156" s="705"/>
      <c r="J156" s="581">
        <v>2</v>
      </c>
      <c r="K156" s="581">
        <v>2</v>
      </c>
      <c r="L156" s="743">
        <f>+N113</f>
        <v>1</v>
      </c>
      <c r="M156" s="581">
        <f>PRODUCT(J156:L156)</f>
        <v>4</v>
      </c>
    </row>
    <row r="157" spans="2:16" ht="13.5" hidden="1" customHeight="1">
      <c r="B157" s="715"/>
      <c r="C157" s="964" t="s">
        <v>3</v>
      </c>
      <c r="D157" s="965"/>
      <c r="E157" s="965"/>
      <c r="F157" s="966"/>
      <c r="G157" s="711">
        <f>SUM(G156:G156)</f>
        <v>0</v>
      </c>
      <c r="H157" s="705"/>
    </row>
    <row r="158" spans="2:16" ht="13.5" customHeight="1">
      <c r="B158" s="704"/>
      <c r="C158" s="578"/>
      <c r="D158" s="578"/>
      <c r="E158" s="578"/>
      <c r="F158" s="578"/>
      <c r="G158" s="699"/>
      <c r="H158" s="705"/>
    </row>
    <row r="159" spans="2:16" ht="13.5" customHeight="1">
      <c r="B159" s="704"/>
      <c r="C159" s="578"/>
      <c r="D159" s="578"/>
      <c r="E159" s="578"/>
      <c r="F159" s="578"/>
      <c r="G159" s="699"/>
      <c r="H159" s="705"/>
    </row>
    <row r="160" spans="2:16" ht="13.5" customHeight="1">
      <c r="B160" s="1053" t="s">
        <v>106</v>
      </c>
      <c r="C160" s="1053"/>
      <c r="D160" s="1053"/>
      <c r="E160" s="1053"/>
      <c r="F160" s="1053"/>
      <c r="G160" s="702" t="s">
        <v>0</v>
      </c>
      <c r="H160" s="901">
        <f>+H21</f>
        <v>15938.76</v>
      </c>
    </row>
    <row r="163" spans="2:8" ht="15.6">
      <c r="H163" s="901"/>
    </row>
    <row r="164" spans="2:8" ht="15.6">
      <c r="H164" s="901"/>
    </row>
    <row r="165" spans="2:8" ht="15.6">
      <c r="B165" s="769" t="s">
        <v>225</v>
      </c>
      <c r="C165" s="769" t="s">
        <v>217</v>
      </c>
      <c r="D165" s="902" t="s">
        <v>219</v>
      </c>
      <c r="H165" s="901"/>
    </row>
    <row r="166" spans="2:8" ht="15.6">
      <c r="B166" s="903">
        <v>1</v>
      </c>
      <c r="C166" s="904" t="s">
        <v>218</v>
      </c>
      <c r="D166" s="904" t="s">
        <v>220</v>
      </c>
      <c r="H166" s="901"/>
    </row>
    <row r="167" spans="2:8" ht="15.6">
      <c r="B167" s="903">
        <v>2</v>
      </c>
      <c r="C167" s="904" t="s">
        <v>221</v>
      </c>
      <c r="D167" s="904" t="s">
        <v>222</v>
      </c>
      <c r="H167" s="901"/>
    </row>
    <row r="168" spans="2:8" ht="15.6">
      <c r="B168" s="903">
        <v>3</v>
      </c>
      <c r="C168" s="904" t="s">
        <v>223</v>
      </c>
      <c r="D168" s="904" t="s">
        <v>224</v>
      </c>
      <c r="G168" s="781"/>
      <c r="H168" s="901"/>
    </row>
    <row r="169" spans="2:8">
      <c r="B169" s="570"/>
    </row>
  </sheetData>
  <mergeCells count="23">
    <mergeCell ref="D14:H15"/>
    <mergeCell ref="B25:H25"/>
    <mergeCell ref="B3:H3"/>
    <mergeCell ref="B4:H4"/>
    <mergeCell ref="B5:H5"/>
    <mergeCell ref="B6:H6"/>
    <mergeCell ref="B8:H8"/>
    <mergeCell ref="D16:G16"/>
    <mergeCell ref="C21:G21"/>
    <mergeCell ref="B23:H23"/>
    <mergeCell ref="B160:F160"/>
    <mergeCell ref="C60:F60"/>
    <mergeCell ref="C50:F50"/>
    <mergeCell ref="C38:F38"/>
    <mergeCell ref="C114:F114"/>
    <mergeCell ref="C134:F134"/>
    <mergeCell ref="C91:F91"/>
    <mergeCell ref="C71:F71"/>
    <mergeCell ref="C157:F157"/>
    <mergeCell ref="C150:F150"/>
    <mergeCell ref="C102:F102"/>
    <mergeCell ref="C80:F80"/>
    <mergeCell ref="C143:F143"/>
  </mergeCells>
  <phoneticPr fontId="0" type="noConversion"/>
  <printOptions horizontalCentered="1"/>
  <pageMargins left="0.78740157480314965" right="0.59055118110236227" top="0.72" bottom="0.98425196850393704" header="0" footer="0"/>
  <pageSetup paperSize="9" scale="65" fitToHeight="3" orientation="portrait" horizontalDpi="4294967293" verticalDpi="180" r:id="rId1"/>
  <headerFooter alignWithMargins="0">
    <oddFooter>&amp;C&amp;G</oddFooter>
  </headerFooter>
  <rowBreaks count="3" manualBreakCount="3">
    <brk id="72" min="1" max="7" man="1"/>
    <brk id="115" min="1" max="7" man="1"/>
    <brk id="161" min="1" max="7" man="1"/>
  </rowBreaks>
  <drawing r:id="rId2"/>
  <legacyDrawing r:id="rId3"/>
  <legacyDrawingHF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indexed="43"/>
    <pageSetUpPr fitToPage="1"/>
  </sheetPr>
  <dimension ref="B2:L288"/>
  <sheetViews>
    <sheetView showGridLines="0" view="pageBreakPreview" topLeftCell="A16" zoomScale="85" zoomScaleNormal="85" zoomScaleSheetLayoutView="85" zoomScalePageLayoutView="75" workbookViewId="0">
      <selection activeCell="D17" sqref="D17:H17"/>
    </sheetView>
  </sheetViews>
  <sheetFormatPr baseColWidth="10" defaultColWidth="11.44140625" defaultRowHeight="13.8"/>
  <cols>
    <col min="1" max="1" width="2.33203125" style="571" customWidth="1"/>
    <col min="2" max="2" width="6.109375" style="642" customWidth="1"/>
    <col min="3" max="3" width="38.33203125" style="569" customWidth="1"/>
    <col min="4" max="4" width="16.6640625" style="569" customWidth="1"/>
    <col min="5" max="5" width="14.33203125" style="569" customWidth="1"/>
    <col min="6" max="6" width="10.33203125" style="570" customWidth="1"/>
    <col min="7" max="7" width="12.5546875" style="570" customWidth="1"/>
    <col min="8" max="8" width="13.109375" style="569" customWidth="1"/>
    <col min="9" max="9" width="20" style="569" customWidth="1"/>
    <col min="10" max="10" width="5.109375" style="571" customWidth="1"/>
    <col min="11" max="11" width="11.6640625" style="571" bestFit="1" customWidth="1"/>
    <col min="12" max="12" width="18.109375" style="571" bestFit="1" customWidth="1"/>
    <col min="13" max="16384" width="11.44140625" style="571"/>
  </cols>
  <sheetData>
    <row r="2" spans="2:9">
      <c r="B2" s="571"/>
    </row>
    <row r="3" spans="2:9" ht="28.8">
      <c r="B3" s="571"/>
      <c r="C3" s="1007" t="s">
        <v>476</v>
      </c>
      <c r="D3" s="1007"/>
      <c r="E3" s="1007"/>
      <c r="F3" s="1007"/>
      <c r="G3" s="1007"/>
      <c r="H3" s="1007"/>
      <c r="I3" s="1007"/>
    </row>
    <row r="4" spans="2:9" ht="23.4">
      <c r="B4" s="571"/>
      <c r="C4" s="1008" t="s">
        <v>477</v>
      </c>
      <c r="D4" s="1008"/>
      <c r="E4" s="1008"/>
      <c r="F4" s="1008"/>
      <c r="G4" s="1008"/>
      <c r="H4" s="1008"/>
      <c r="I4" s="1008"/>
    </row>
    <row r="5" spans="2:9" ht="20.399999999999999">
      <c r="B5" s="571"/>
      <c r="C5" s="1009" t="s">
        <v>478</v>
      </c>
      <c r="D5" s="1009"/>
      <c r="E5" s="1009"/>
      <c r="F5" s="1009"/>
      <c r="G5" s="1009"/>
      <c r="H5" s="1009"/>
      <c r="I5" s="1009"/>
    </row>
    <row r="6" spans="2:9" ht="14.4" thickBot="1">
      <c r="B6" s="571"/>
      <c r="C6" s="1010" t="str">
        <f>+G.General!C6</f>
        <v>"Año de la Universalización de la Salud"</v>
      </c>
      <c r="D6" s="1010"/>
      <c r="E6" s="1010"/>
      <c r="F6" s="1010"/>
      <c r="G6" s="1010"/>
      <c r="H6" s="1010"/>
      <c r="I6" s="1010"/>
    </row>
    <row r="7" spans="2:9">
      <c r="B7" s="571"/>
      <c r="F7" s="569"/>
    </row>
    <row r="8" spans="2:9" ht="27" customHeight="1">
      <c r="B8" s="1006" t="s">
        <v>515</v>
      </c>
      <c r="C8" s="1006"/>
      <c r="D8" s="1006"/>
      <c r="E8" s="1006"/>
      <c r="F8" s="1006"/>
      <c r="G8" s="1006"/>
      <c r="H8" s="1006"/>
      <c r="I8" s="1006"/>
    </row>
    <row r="9" spans="2:9" ht="18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6" t="s">
        <v>623</v>
      </c>
      <c r="D10" s="575" t="str">
        <f>+'RESUMEN TOTAL'!D9</f>
        <v>: 2485224</v>
      </c>
      <c r="E10" s="575"/>
      <c r="F10" s="573"/>
      <c r="G10" s="573"/>
      <c r="H10" s="573"/>
      <c r="I10" s="573"/>
    </row>
    <row r="11" spans="2:9" ht="18" customHeight="1">
      <c r="C11" s="826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826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826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35.25" customHeight="1">
      <c r="C14" s="827" t="s">
        <v>467</v>
      </c>
      <c r="D14" s="980" t="str">
        <f>'G. Supervision'!D14:I15</f>
        <v>"ADQUISICION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APURIMAC"</v>
      </c>
      <c r="E14" s="980"/>
      <c r="F14" s="980"/>
      <c r="G14" s="980"/>
      <c r="H14" s="980"/>
      <c r="I14" s="980"/>
    </row>
    <row r="15" spans="2:9" ht="18" customHeight="1" thickBot="1">
      <c r="C15" s="669"/>
      <c r="D15" s="980"/>
      <c r="E15" s="980"/>
      <c r="F15" s="980"/>
      <c r="G15" s="980"/>
      <c r="H15" s="980"/>
      <c r="I15" s="980"/>
    </row>
    <row r="16" spans="2:9" s="831" customFormat="1" ht="20.25" customHeight="1">
      <c r="B16" s="828"/>
      <c r="C16" s="854" t="s">
        <v>23</v>
      </c>
      <c r="D16" s="1050" t="s">
        <v>24</v>
      </c>
      <c r="E16" s="1050"/>
      <c r="F16" s="1050"/>
      <c r="G16" s="1050"/>
      <c r="H16" s="1050"/>
      <c r="I16" s="855" t="s">
        <v>436</v>
      </c>
    </row>
    <row r="17" spans="2:12" s="831" customFormat="1" ht="17.399999999999999" customHeight="1">
      <c r="B17" s="828"/>
      <c r="C17" s="639" t="s">
        <v>311</v>
      </c>
      <c r="D17" s="1049" t="s">
        <v>312</v>
      </c>
      <c r="E17" s="1049"/>
      <c r="F17" s="1049"/>
      <c r="G17" s="1049"/>
      <c r="H17" s="1049"/>
      <c r="I17" s="576">
        <f>+I27+I168+I235</f>
        <v>11640.48</v>
      </c>
    </row>
    <row r="18" spans="2:12" s="831" customFormat="1" ht="20.25" hidden="1" customHeight="1">
      <c r="B18" s="828"/>
      <c r="C18" s="639" t="s">
        <v>316</v>
      </c>
      <c r="D18" s="1049" t="s">
        <v>100</v>
      </c>
      <c r="E18" s="1049"/>
      <c r="F18" s="1049"/>
      <c r="G18" s="1049"/>
      <c r="H18" s="1049"/>
      <c r="I18" s="576"/>
      <c r="K18" s="831">
        <v>18000</v>
      </c>
    </row>
    <row r="19" spans="2:12" s="831" customFormat="1" ht="20.25" hidden="1" customHeight="1">
      <c r="B19" s="828"/>
      <c r="C19" s="639" t="s">
        <v>317</v>
      </c>
      <c r="D19" s="1049" t="s">
        <v>101</v>
      </c>
      <c r="E19" s="1049"/>
      <c r="F19" s="1049"/>
      <c r="G19" s="1049"/>
      <c r="H19" s="1049"/>
      <c r="I19" s="576"/>
      <c r="K19" s="831">
        <v>62000</v>
      </c>
    </row>
    <row r="20" spans="2:12" s="831" customFormat="1" ht="20.25" hidden="1" customHeight="1">
      <c r="B20" s="828"/>
      <c r="C20" s="639" t="s">
        <v>318</v>
      </c>
      <c r="D20" s="1049" t="s">
        <v>102</v>
      </c>
      <c r="E20" s="1049"/>
      <c r="F20" s="1049"/>
      <c r="G20" s="1049"/>
      <c r="H20" s="1049"/>
      <c r="I20" s="576">
        <v>0</v>
      </c>
    </row>
    <row r="21" spans="2:12" s="831" customFormat="1" ht="20.25" customHeight="1" thickBot="1">
      <c r="B21" s="828"/>
      <c r="C21" s="1051" t="s">
        <v>51</v>
      </c>
      <c r="D21" s="1052"/>
      <c r="E21" s="1052"/>
      <c r="F21" s="1052"/>
      <c r="G21" s="1052"/>
      <c r="H21" s="1052"/>
      <c r="I21" s="577">
        <f>SUM(I17:I20)</f>
        <v>11640.48</v>
      </c>
      <c r="J21" s="835"/>
      <c r="K21" s="668">
        <v>223745</v>
      </c>
      <c r="L21" s="835"/>
    </row>
    <row r="22" spans="2:12" ht="18" customHeight="1">
      <c r="C22" s="669"/>
      <c r="D22" s="670"/>
      <c r="E22" s="670"/>
      <c r="F22" s="671"/>
      <c r="K22" s="668">
        <f>K21-I21</f>
        <v>212104.52</v>
      </c>
    </row>
    <row r="23" spans="2:12" ht="27" customHeight="1">
      <c r="B23" s="993" t="s">
        <v>479</v>
      </c>
      <c r="C23" s="993"/>
      <c r="D23" s="993"/>
      <c r="E23" s="993"/>
      <c r="F23" s="993"/>
      <c r="G23" s="993"/>
      <c r="H23" s="993"/>
      <c r="I23" s="993"/>
    </row>
    <row r="24" spans="2:12" ht="8.25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6.5" customHeight="1">
      <c r="B25" s="994" t="s">
        <v>518</v>
      </c>
      <c r="C25" s="994"/>
      <c r="D25" s="994"/>
      <c r="E25" s="994"/>
      <c r="F25" s="994"/>
      <c r="G25" s="994"/>
      <c r="H25" s="994"/>
      <c r="I25" s="994"/>
    </row>
    <row r="26" spans="2:12" ht="12.7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831" customFormat="1" ht="13.5" customHeight="1">
      <c r="B27" s="836" t="s">
        <v>319</v>
      </c>
      <c r="C27" s="837"/>
      <c r="D27" s="838"/>
      <c r="E27" s="838"/>
      <c r="F27" s="838"/>
      <c r="G27" s="840"/>
      <c r="H27" s="840" t="s">
        <v>0</v>
      </c>
      <c r="I27" s="841">
        <f>+ROUND((I29+I51+I90+I128+I148),2)</f>
        <v>9318.82</v>
      </c>
      <c r="J27" s="842"/>
    </row>
    <row r="28" spans="2:12" s="844" customFormat="1" ht="13.5" customHeight="1">
      <c r="B28" s="843"/>
      <c r="D28" s="845"/>
      <c r="E28" s="845"/>
      <c r="F28" s="845"/>
      <c r="G28" s="847"/>
      <c r="H28" s="847"/>
      <c r="I28" s="848"/>
      <c r="J28" s="849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+H47</f>
        <v>6712.5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+H47</f>
        <v>6712.5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2" ht="13.5" customHeight="1">
      <c r="B33" s="572"/>
      <c r="C33" s="641" t="s">
        <v>29</v>
      </c>
      <c r="D33" s="705"/>
      <c r="E33" s="705"/>
      <c r="F33" s="706"/>
      <c r="G33" s="706"/>
      <c r="H33" s="705"/>
      <c r="I33" s="699"/>
    </row>
    <row r="34" spans="2:12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2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</row>
    <row r="36" spans="2:12" ht="13.5" customHeight="1">
      <c r="B36" s="707"/>
      <c r="C36" s="786" t="s">
        <v>433</v>
      </c>
      <c r="D36" s="640">
        <v>1</v>
      </c>
      <c r="E36" s="640">
        <v>1</v>
      </c>
      <c r="F36" s="640">
        <v>0.5</v>
      </c>
      <c r="G36" s="640">
        <v>5000</v>
      </c>
      <c r="H36" s="640">
        <f>PRODUCT(D36:G36)</f>
        <v>2500</v>
      </c>
      <c r="I36" s="699"/>
    </row>
    <row r="37" spans="2:12" ht="13.5" hidden="1" customHeight="1">
      <c r="B37" s="707"/>
      <c r="C37" s="786" t="s">
        <v>529</v>
      </c>
      <c r="D37" s="640">
        <v>0</v>
      </c>
      <c r="E37" s="640">
        <v>1</v>
      </c>
      <c r="F37" s="640">
        <v>4</v>
      </c>
      <c r="G37" s="640">
        <v>4000</v>
      </c>
      <c r="H37" s="640">
        <f t="shared" ref="H37:H46" si="0">PRODUCT(D37:G37)</f>
        <v>0</v>
      </c>
      <c r="I37" s="699"/>
    </row>
    <row r="38" spans="2:12" ht="13.5" hidden="1" customHeight="1">
      <c r="B38" s="707"/>
      <c r="C38" s="786" t="s">
        <v>528</v>
      </c>
      <c r="D38" s="640">
        <v>0</v>
      </c>
      <c r="E38" s="640">
        <v>1</v>
      </c>
      <c r="F38" s="640">
        <v>4</v>
      </c>
      <c r="G38" s="640">
        <v>4000</v>
      </c>
      <c r="H38" s="640">
        <f t="shared" si="0"/>
        <v>0</v>
      </c>
      <c r="I38" s="699"/>
    </row>
    <row r="39" spans="2:12" ht="13.5" hidden="1" customHeight="1">
      <c r="B39" s="707"/>
      <c r="C39" s="786" t="s">
        <v>533</v>
      </c>
      <c r="D39" s="640">
        <v>0</v>
      </c>
      <c r="E39" s="640">
        <v>1</v>
      </c>
      <c r="F39" s="640">
        <v>2</v>
      </c>
      <c r="G39" s="640">
        <v>4000</v>
      </c>
      <c r="H39" s="640">
        <f>PRODUCT(D39:G39)</f>
        <v>0</v>
      </c>
      <c r="I39" s="699"/>
    </row>
    <row r="40" spans="2:12" s="569" customFormat="1" ht="13.5" hidden="1" customHeight="1">
      <c r="B40" s="710"/>
      <c r="C40" s="711" t="s">
        <v>530</v>
      </c>
      <c r="D40" s="640">
        <v>0</v>
      </c>
      <c r="E40" s="640">
        <v>1</v>
      </c>
      <c r="F40" s="640">
        <v>2</v>
      </c>
      <c r="G40" s="640">
        <v>4000</v>
      </c>
      <c r="H40" s="640">
        <f t="shared" si="0"/>
        <v>0</v>
      </c>
      <c r="I40" s="699"/>
    </row>
    <row r="41" spans="2:12" s="569" customFormat="1" ht="13.5" hidden="1" customHeight="1">
      <c r="B41" s="710"/>
      <c r="C41" s="711" t="s">
        <v>531</v>
      </c>
      <c r="D41" s="640">
        <v>0</v>
      </c>
      <c r="E41" s="640">
        <v>1</v>
      </c>
      <c r="F41" s="640">
        <v>1</v>
      </c>
      <c r="G41" s="640">
        <v>4000</v>
      </c>
      <c r="H41" s="640">
        <f t="shared" si="0"/>
        <v>0</v>
      </c>
      <c r="I41" s="699"/>
    </row>
    <row r="42" spans="2:12" s="569" customFormat="1" ht="13.5" customHeight="1">
      <c r="B42" s="710"/>
      <c r="C42" s="711" t="s">
        <v>532</v>
      </c>
      <c r="D42" s="640">
        <v>1</v>
      </c>
      <c r="E42" s="640">
        <v>1</v>
      </c>
      <c r="F42" s="640">
        <v>0.5</v>
      </c>
      <c r="G42" s="640">
        <v>5000</v>
      </c>
      <c r="H42" s="640">
        <f t="shared" si="0"/>
        <v>2500</v>
      </c>
      <c r="I42" s="699"/>
      <c r="K42" s="569">
        <v>70000</v>
      </c>
    </row>
    <row r="43" spans="2:12" s="569" customFormat="1" ht="13.5" hidden="1" customHeight="1">
      <c r="B43" s="710"/>
      <c r="C43" s="711" t="s">
        <v>435</v>
      </c>
      <c r="D43" s="640">
        <v>0</v>
      </c>
      <c r="E43" s="640">
        <v>1</v>
      </c>
      <c r="F43" s="640">
        <v>1</v>
      </c>
      <c r="G43" s="640">
        <v>4000</v>
      </c>
      <c r="H43" s="640">
        <f t="shared" si="0"/>
        <v>0</v>
      </c>
      <c r="I43" s="699"/>
      <c r="K43" s="569" t="e">
        <f>+#REF!+K42</f>
        <v>#REF!</v>
      </c>
    </row>
    <row r="44" spans="2:12" s="569" customFormat="1" ht="13.5" customHeight="1">
      <c r="B44" s="710"/>
      <c r="C44" s="711" t="s">
        <v>237</v>
      </c>
      <c r="D44" s="640">
        <v>1</v>
      </c>
      <c r="E44" s="640">
        <v>0.5</v>
      </c>
      <c r="F44" s="640">
        <v>0.5</v>
      </c>
      <c r="G44" s="640">
        <v>3350</v>
      </c>
      <c r="H44" s="640">
        <f t="shared" si="0"/>
        <v>837.5</v>
      </c>
      <c r="I44" s="699"/>
    </row>
    <row r="45" spans="2:12" s="569" customFormat="1" ht="13.5" hidden="1" customHeight="1">
      <c r="B45" s="710"/>
      <c r="C45" s="711" t="s">
        <v>434</v>
      </c>
      <c r="D45" s="640">
        <v>0</v>
      </c>
      <c r="E45" s="640">
        <v>0.5</v>
      </c>
      <c r="F45" s="640">
        <v>2</v>
      </c>
      <c r="G45" s="640">
        <v>3000</v>
      </c>
      <c r="H45" s="640">
        <f t="shared" si="0"/>
        <v>0</v>
      </c>
      <c r="I45" s="699"/>
      <c r="K45" s="569" t="s">
        <v>437</v>
      </c>
      <c r="L45" s="569">
        <v>17000</v>
      </c>
    </row>
    <row r="46" spans="2:12" s="569" customFormat="1" ht="13.5" customHeight="1">
      <c r="B46" s="710"/>
      <c r="C46" s="711" t="s">
        <v>308</v>
      </c>
      <c r="D46" s="640">
        <v>1</v>
      </c>
      <c r="E46" s="640">
        <v>0.5</v>
      </c>
      <c r="F46" s="640">
        <v>0.5</v>
      </c>
      <c r="G46" s="640">
        <v>3500</v>
      </c>
      <c r="H46" s="640">
        <f t="shared" si="0"/>
        <v>875</v>
      </c>
      <c r="I46" s="699"/>
      <c r="K46" s="569" t="s">
        <v>438</v>
      </c>
      <c r="L46" s="569">
        <v>4000</v>
      </c>
    </row>
    <row r="47" spans="2:12" ht="13.5" customHeight="1">
      <c r="C47" s="986" t="s">
        <v>3</v>
      </c>
      <c r="D47" s="986"/>
      <c r="E47" s="986"/>
      <c r="F47" s="986"/>
      <c r="G47" s="986"/>
      <c r="H47" s="714">
        <f>SUM(H36:H46)</f>
        <v>6712.5</v>
      </c>
      <c r="I47" s="705"/>
      <c r="K47" s="571" t="s">
        <v>439</v>
      </c>
      <c r="L47" s="571">
        <v>11000</v>
      </c>
    </row>
    <row r="48" spans="2:12" ht="13.5" customHeight="1">
      <c r="B48" s="572"/>
      <c r="C48" s="699"/>
      <c r="D48" s="699"/>
      <c r="E48" s="699"/>
      <c r="F48" s="700"/>
      <c r="G48" s="700"/>
      <c r="H48" s="699"/>
      <c r="I48" s="699"/>
    </row>
    <row r="49" spans="2:9" ht="13.5" customHeight="1">
      <c r="B49" s="697"/>
      <c r="C49" s="698"/>
      <c r="D49" s="699"/>
      <c r="E49" s="699"/>
      <c r="F49" s="700"/>
      <c r="G49" s="700"/>
      <c r="H49" s="699"/>
      <c r="I49" s="699"/>
    </row>
    <row r="50" spans="2:9" ht="13.5" customHeight="1">
      <c r="B50" s="572"/>
      <c r="C50" s="699"/>
      <c r="D50" s="699"/>
      <c r="E50" s="699"/>
      <c r="F50" s="700"/>
      <c r="G50" s="700"/>
      <c r="H50" s="699"/>
      <c r="I50" s="699"/>
    </row>
    <row r="51" spans="2:9" ht="13.5" customHeight="1">
      <c r="B51" s="690">
        <v>2</v>
      </c>
      <c r="C51" s="691" t="s">
        <v>15</v>
      </c>
      <c r="D51" s="692"/>
      <c r="E51" s="692"/>
      <c r="F51" s="693"/>
      <c r="G51" s="694"/>
      <c r="H51" s="695" t="s">
        <v>0</v>
      </c>
      <c r="I51" s="696">
        <f>+H69+H87</f>
        <v>786.06731250000007</v>
      </c>
    </row>
    <row r="52" spans="2:9" ht="13.5" customHeight="1">
      <c r="B52" s="697"/>
      <c r="C52" s="698"/>
      <c r="D52" s="699"/>
      <c r="E52" s="699"/>
      <c r="F52" s="700"/>
      <c r="G52" s="700"/>
      <c r="H52" s="699"/>
      <c r="I52" s="699"/>
    </row>
    <row r="53" spans="2:9" ht="13.5" customHeight="1">
      <c r="B53" s="701">
        <v>2.0099999999999998</v>
      </c>
      <c r="C53" s="641" t="s">
        <v>95</v>
      </c>
      <c r="D53" s="699"/>
      <c r="E53" s="699"/>
      <c r="F53" s="700"/>
      <c r="G53" s="700"/>
      <c r="H53" s="702" t="s">
        <v>0</v>
      </c>
      <c r="I53" s="703">
        <f>+H69</f>
        <v>670.57875000000001</v>
      </c>
    </row>
    <row r="54" spans="2:9" ht="13.5" customHeight="1">
      <c r="B54" s="715"/>
      <c r="C54" s="641"/>
      <c r="D54" s="699"/>
      <c r="E54" s="699"/>
      <c r="F54" s="700"/>
      <c r="G54" s="700"/>
      <c r="H54" s="699"/>
      <c r="I54" s="699"/>
    </row>
    <row r="55" spans="2:9" ht="13.5" customHeight="1">
      <c r="B55" s="704"/>
      <c r="C55" s="641" t="s">
        <v>29</v>
      </c>
      <c r="D55" s="705"/>
      <c r="E55" s="705"/>
      <c r="F55" s="706"/>
      <c r="G55" s="706"/>
      <c r="H55" s="699"/>
      <c r="I55" s="699"/>
    </row>
    <row r="56" spans="2:9" ht="13.5" customHeight="1">
      <c r="B56" s="704"/>
      <c r="C56" s="641"/>
      <c r="D56" s="705"/>
      <c r="E56" s="705"/>
      <c r="F56" s="706"/>
      <c r="G56" s="706"/>
      <c r="H56" s="699"/>
      <c r="I56" s="699"/>
    </row>
    <row r="57" spans="2:9" ht="13.5" customHeight="1">
      <c r="B57" s="572"/>
      <c r="C57" s="708" t="s">
        <v>30</v>
      </c>
      <c r="D57" s="784" t="s">
        <v>31</v>
      </c>
      <c r="E57" s="784" t="str">
        <f t="shared" ref="E57:E68" si="1">+E35</f>
        <v>COEF. PARTIC.</v>
      </c>
      <c r="F57" s="784" t="s">
        <v>32</v>
      </c>
      <c r="G57" s="784" t="s">
        <v>13</v>
      </c>
      <c r="H57" s="784" t="s">
        <v>4</v>
      </c>
      <c r="I57" s="699"/>
    </row>
    <row r="58" spans="2:9" ht="13.5" customHeight="1">
      <c r="B58" s="572"/>
      <c r="C58" s="786" t="str">
        <f t="shared" ref="C58:D68" si="2">+C36</f>
        <v>INGENIERO CIVIL O ARQUITECTO (COORDINADOR)</v>
      </c>
      <c r="D58" s="640">
        <f t="shared" si="2"/>
        <v>1</v>
      </c>
      <c r="E58" s="640">
        <f t="shared" si="1"/>
        <v>1</v>
      </c>
      <c r="F58" s="640">
        <f t="shared" ref="F58:F68" si="3">+F36</f>
        <v>0.5</v>
      </c>
      <c r="G58" s="640">
        <f t="shared" ref="G58:G68" si="4">+(G36+G115)*0.09</f>
        <v>499.5</v>
      </c>
      <c r="H58" s="640">
        <f>PRODUCT(D58:G58)</f>
        <v>249.75</v>
      </c>
      <c r="I58" s="699"/>
    </row>
    <row r="59" spans="2:9" ht="13.5" hidden="1" customHeight="1">
      <c r="B59" s="572"/>
      <c r="C59" s="786" t="str">
        <f t="shared" si="2"/>
        <v>ARQUITECTO</v>
      </c>
      <c r="D59" s="640">
        <f t="shared" si="2"/>
        <v>0</v>
      </c>
      <c r="E59" s="640">
        <f t="shared" si="1"/>
        <v>1</v>
      </c>
      <c r="F59" s="640">
        <f t="shared" si="3"/>
        <v>4</v>
      </c>
      <c r="G59" s="640">
        <f t="shared" si="4"/>
        <v>399.59999999999997</v>
      </c>
      <c r="H59" s="640">
        <f t="shared" ref="H59:H68" si="5">PRODUCT(D59:G59)</f>
        <v>0</v>
      </c>
      <c r="I59" s="699"/>
    </row>
    <row r="60" spans="2:9" ht="13.5" hidden="1" customHeight="1">
      <c r="B60" s="572"/>
      <c r="C60" s="786" t="str">
        <f t="shared" si="2"/>
        <v>INGENIERO ESPECIALISTA EN ESTRUCTURAS</v>
      </c>
      <c r="D60" s="640">
        <f t="shared" si="2"/>
        <v>0</v>
      </c>
      <c r="E60" s="640">
        <f t="shared" si="1"/>
        <v>1</v>
      </c>
      <c r="F60" s="640">
        <f t="shared" si="3"/>
        <v>4</v>
      </c>
      <c r="G60" s="640">
        <f t="shared" si="4"/>
        <v>399.59999999999997</v>
      </c>
      <c r="H60" s="640">
        <f t="shared" si="5"/>
        <v>0</v>
      </c>
      <c r="I60" s="699"/>
    </row>
    <row r="61" spans="2:9" ht="13.5" hidden="1" customHeight="1">
      <c r="B61" s="572"/>
      <c r="C61" s="786" t="str">
        <f t="shared" si="2"/>
        <v>INGENIERO ESPECIALISTA EN EN COSTOS Y PRESUPUESTO</v>
      </c>
      <c r="D61" s="640">
        <f t="shared" si="2"/>
        <v>0</v>
      </c>
      <c r="E61" s="640">
        <f t="shared" si="1"/>
        <v>1</v>
      </c>
      <c r="F61" s="640">
        <f t="shared" si="3"/>
        <v>2</v>
      </c>
      <c r="G61" s="640">
        <f t="shared" si="4"/>
        <v>399.59999999999997</v>
      </c>
      <c r="H61" s="640">
        <f>PRODUCT(D61:G61)</f>
        <v>0</v>
      </c>
      <c r="I61" s="699"/>
    </row>
    <row r="62" spans="2:9" ht="13.5" hidden="1" customHeight="1">
      <c r="B62" s="572"/>
      <c r="C62" s="786" t="str">
        <f t="shared" si="2"/>
        <v>INGENIERO ESPECIALISTA EN INSTALACIONES SANITARIAS</v>
      </c>
      <c r="D62" s="640">
        <f t="shared" si="2"/>
        <v>0</v>
      </c>
      <c r="E62" s="640">
        <f t="shared" si="1"/>
        <v>1</v>
      </c>
      <c r="F62" s="640">
        <f t="shared" si="3"/>
        <v>2</v>
      </c>
      <c r="G62" s="640">
        <f t="shared" si="4"/>
        <v>399.59999999999997</v>
      </c>
      <c r="H62" s="640">
        <f t="shared" si="5"/>
        <v>0</v>
      </c>
      <c r="I62" s="699"/>
    </row>
    <row r="63" spans="2:9" ht="13.5" hidden="1" customHeight="1">
      <c r="B63" s="572"/>
      <c r="C63" s="786" t="str">
        <f t="shared" si="2"/>
        <v>INGENIERO ESPECIALISTA EN INSTALACIONES ELECTRICAS</v>
      </c>
      <c r="D63" s="640">
        <f t="shared" si="2"/>
        <v>0</v>
      </c>
      <c r="E63" s="640">
        <f t="shared" si="1"/>
        <v>1</v>
      </c>
      <c r="F63" s="640">
        <f t="shared" si="3"/>
        <v>1</v>
      </c>
      <c r="G63" s="640">
        <f t="shared" si="4"/>
        <v>399.59999999999997</v>
      </c>
      <c r="H63" s="640">
        <f t="shared" si="5"/>
        <v>0</v>
      </c>
      <c r="I63" s="699"/>
    </row>
    <row r="64" spans="2:9" ht="13.5" customHeight="1">
      <c r="B64" s="572"/>
      <c r="C64" s="786" t="str">
        <f t="shared" si="2"/>
        <v>INGENIERO ESPECIALISTA EN INSTALACIONES ESPECIALES</v>
      </c>
      <c r="D64" s="640">
        <f t="shared" si="2"/>
        <v>1</v>
      </c>
      <c r="E64" s="640">
        <f t="shared" si="1"/>
        <v>1</v>
      </c>
      <c r="F64" s="640">
        <f t="shared" si="3"/>
        <v>0.5</v>
      </c>
      <c r="G64" s="640">
        <f t="shared" si="4"/>
        <v>499.5</v>
      </c>
      <c r="H64" s="640">
        <f t="shared" si="5"/>
        <v>249.75</v>
      </c>
      <c r="I64" s="699"/>
    </row>
    <row r="65" spans="2:12" ht="13.5" hidden="1" customHeight="1">
      <c r="B65" s="572"/>
      <c r="C65" s="786" t="str">
        <f t="shared" si="2"/>
        <v>INGENIERO GEOLOGO</v>
      </c>
      <c r="D65" s="640">
        <f t="shared" si="2"/>
        <v>0</v>
      </c>
      <c r="E65" s="640">
        <f t="shared" si="1"/>
        <v>1</v>
      </c>
      <c r="F65" s="640">
        <f t="shared" si="3"/>
        <v>1</v>
      </c>
      <c r="G65" s="640">
        <f t="shared" si="4"/>
        <v>399.59999999999997</v>
      </c>
      <c r="H65" s="640">
        <f t="shared" si="5"/>
        <v>0</v>
      </c>
      <c r="I65" s="699"/>
    </row>
    <row r="66" spans="2:12" ht="13.5" customHeight="1">
      <c r="B66" s="572"/>
      <c r="C66" s="786" t="str">
        <f t="shared" si="2"/>
        <v>ASISTENTE TECNICO</v>
      </c>
      <c r="D66" s="640">
        <f t="shared" si="2"/>
        <v>1</v>
      </c>
      <c r="E66" s="640">
        <f t="shared" si="1"/>
        <v>0.5</v>
      </c>
      <c r="F66" s="640">
        <f t="shared" si="3"/>
        <v>0.5</v>
      </c>
      <c r="G66" s="640">
        <f t="shared" si="4"/>
        <v>334.66499999999996</v>
      </c>
      <c r="H66" s="640">
        <f t="shared" si="5"/>
        <v>83.666249999999991</v>
      </c>
      <c r="I66" s="699"/>
    </row>
    <row r="67" spans="2:12" ht="13.5" hidden="1" customHeight="1">
      <c r="B67" s="572"/>
      <c r="C67" s="786" t="str">
        <f t="shared" si="2"/>
        <v>PROFESIONAL ADMINISTRATIVO</v>
      </c>
      <c r="D67" s="640">
        <f t="shared" si="2"/>
        <v>0</v>
      </c>
      <c r="E67" s="640">
        <f t="shared" si="1"/>
        <v>0.5</v>
      </c>
      <c r="F67" s="640">
        <f t="shared" si="3"/>
        <v>2</v>
      </c>
      <c r="G67" s="640">
        <f t="shared" si="4"/>
        <v>299.7</v>
      </c>
      <c r="H67" s="640">
        <f t="shared" si="5"/>
        <v>0</v>
      </c>
      <c r="I67" s="699"/>
    </row>
    <row r="68" spans="2:12" ht="13.5" customHeight="1">
      <c r="B68" s="572"/>
      <c r="C68" s="786" t="str">
        <f t="shared" si="2"/>
        <v>ASISTENTE ADMINISTRATIVO</v>
      </c>
      <c r="D68" s="640">
        <f t="shared" si="2"/>
        <v>1</v>
      </c>
      <c r="E68" s="640">
        <f t="shared" si="1"/>
        <v>0.5</v>
      </c>
      <c r="F68" s="640">
        <f t="shared" si="3"/>
        <v>0.5</v>
      </c>
      <c r="G68" s="640">
        <f t="shared" si="4"/>
        <v>349.65</v>
      </c>
      <c r="H68" s="640">
        <f t="shared" si="5"/>
        <v>87.412499999999994</v>
      </c>
      <c r="I68" s="699"/>
    </row>
    <row r="69" spans="2:12" ht="13.5" customHeight="1">
      <c r="B69" s="572"/>
      <c r="C69" s="964" t="s">
        <v>3</v>
      </c>
      <c r="D69" s="965"/>
      <c r="E69" s="965"/>
      <c r="F69" s="965"/>
      <c r="G69" s="966"/>
      <c r="H69" s="714">
        <f>SUM(H58:H68)</f>
        <v>670.57875000000001</v>
      </c>
      <c r="I69" s="699"/>
    </row>
    <row r="70" spans="2:12" ht="13.5" customHeight="1">
      <c r="B70" s="572"/>
      <c r="C70" s="716"/>
      <c r="D70" s="716"/>
      <c r="E70" s="716"/>
      <c r="F70" s="700"/>
      <c r="G70" s="700"/>
      <c r="H70" s="699"/>
      <c r="I70" s="699"/>
    </row>
    <row r="71" spans="2:12" ht="13.5" customHeight="1">
      <c r="B71" s="701">
        <v>2.02</v>
      </c>
      <c r="C71" s="641" t="s">
        <v>55</v>
      </c>
      <c r="D71" s="699"/>
      <c r="E71" s="699"/>
      <c r="F71" s="700"/>
      <c r="G71" s="700"/>
      <c r="H71" s="702" t="s">
        <v>0</v>
      </c>
      <c r="I71" s="703">
        <f>+H87</f>
        <v>115.4885625</v>
      </c>
    </row>
    <row r="72" spans="2:12" ht="13.5" customHeight="1">
      <c r="B72" s="715"/>
      <c r="C72" s="641"/>
      <c r="D72" s="699"/>
      <c r="E72" s="699"/>
      <c r="F72" s="700"/>
      <c r="G72" s="700"/>
      <c r="H72" s="699"/>
      <c r="I72" s="699"/>
    </row>
    <row r="73" spans="2:12" ht="13.5" customHeight="1">
      <c r="B73" s="572"/>
      <c r="C73" s="641" t="s">
        <v>29</v>
      </c>
      <c r="D73" s="705"/>
      <c r="E73" s="705"/>
      <c r="F73" s="706"/>
      <c r="G73" s="706"/>
      <c r="H73" s="699"/>
      <c r="I73" s="699"/>
    </row>
    <row r="74" spans="2:12" ht="13.5" customHeight="1">
      <c r="B74" s="572"/>
      <c r="C74" s="641"/>
      <c r="D74" s="705"/>
      <c r="E74" s="705"/>
      <c r="F74" s="706"/>
      <c r="G74" s="706"/>
      <c r="H74" s="699"/>
      <c r="I74" s="699"/>
    </row>
    <row r="75" spans="2:12" ht="13.5" customHeight="1">
      <c r="B75" s="572"/>
      <c r="C75" s="708" t="s">
        <v>30</v>
      </c>
      <c r="D75" s="784" t="s">
        <v>31</v>
      </c>
      <c r="E75" s="784" t="str">
        <f t="shared" ref="E75:E86" si="6">+E35</f>
        <v>COEF. PARTIC.</v>
      </c>
      <c r="F75" s="784" t="s">
        <v>32</v>
      </c>
      <c r="G75" s="784" t="s">
        <v>13</v>
      </c>
      <c r="H75" s="784" t="s">
        <v>4</v>
      </c>
      <c r="I75" s="699"/>
    </row>
    <row r="76" spans="2:12" ht="13.5" customHeight="1">
      <c r="B76" s="572"/>
      <c r="C76" s="786" t="str">
        <f t="shared" ref="C76:D86" si="7">+C36</f>
        <v>INGENIERO CIVIL O ARQUITECTO (COORDINADOR)</v>
      </c>
      <c r="D76" s="640">
        <f t="shared" si="7"/>
        <v>1</v>
      </c>
      <c r="E76" s="640">
        <f t="shared" si="6"/>
        <v>1</v>
      </c>
      <c r="F76" s="640">
        <f t="shared" ref="F76:F86" si="8">+F36</f>
        <v>0.5</v>
      </c>
      <c r="G76" s="640">
        <f t="shared" ref="G76:G86" si="9">+(G36+G115)*0.0155</f>
        <v>86.025000000000006</v>
      </c>
      <c r="H76" s="640">
        <f>PRODUCT(D76:G76)</f>
        <v>43.012500000000003</v>
      </c>
      <c r="I76" s="699"/>
    </row>
    <row r="77" spans="2:12" ht="13.5" hidden="1" customHeight="1">
      <c r="B77" s="572"/>
      <c r="C77" s="786" t="str">
        <f t="shared" si="7"/>
        <v>ARQUITECTO</v>
      </c>
      <c r="D77" s="640">
        <f t="shared" si="7"/>
        <v>0</v>
      </c>
      <c r="E77" s="640">
        <f t="shared" si="6"/>
        <v>1</v>
      </c>
      <c r="F77" s="640">
        <f t="shared" si="8"/>
        <v>4</v>
      </c>
      <c r="G77" s="640">
        <f t="shared" si="9"/>
        <v>68.819999999999993</v>
      </c>
      <c r="H77" s="640">
        <f t="shared" ref="H77:H86" si="10">PRODUCT(D77:G77)</f>
        <v>0</v>
      </c>
      <c r="I77" s="699"/>
      <c r="L77" s="571">
        <v>4000</v>
      </c>
    </row>
    <row r="78" spans="2:12" ht="13.5" hidden="1" customHeight="1">
      <c r="B78" s="572"/>
      <c r="C78" s="786" t="str">
        <f t="shared" si="7"/>
        <v>INGENIERO ESPECIALISTA EN ESTRUCTURAS</v>
      </c>
      <c r="D78" s="640">
        <f t="shared" si="7"/>
        <v>0</v>
      </c>
      <c r="E78" s="640">
        <f t="shared" si="6"/>
        <v>1</v>
      </c>
      <c r="F78" s="640">
        <f t="shared" si="8"/>
        <v>4</v>
      </c>
      <c r="G78" s="640">
        <f t="shared" si="9"/>
        <v>68.819999999999993</v>
      </c>
      <c r="H78" s="640">
        <f t="shared" si="10"/>
        <v>0</v>
      </c>
      <c r="I78" s="699"/>
      <c r="L78" s="571">
        <v>360</v>
      </c>
    </row>
    <row r="79" spans="2:12" ht="13.5" hidden="1" customHeight="1">
      <c r="B79" s="572"/>
      <c r="C79" s="786" t="str">
        <f t="shared" si="7"/>
        <v>INGENIERO ESPECIALISTA EN EN COSTOS Y PRESUPUESTO</v>
      </c>
      <c r="D79" s="640">
        <f t="shared" si="7"/>
        <v>0</v>
      </c>
      <c r="E79" s="640">
        <f t="shared" si="6"/>
        <v>1</v>
      </c>
      <c r="F79" s="640">
        <f t="shared" si="8"/>
        <v>2</v>
      </c>
      <c r="G79" s="640">
        <f t="shared" si="9"/>
        <v>68.819999999999993</v>
      </c>
      <c r="H79" s="640">
        <f>PRODUCT(D79:G79)</f>
        <v>0</v>
      </c>
      <c r="I79" s="699"/>
    </row>
    <row r="80" spans="2:12" ht="13.5" hidden="1" customHeight="1">
      <c r="B80" s="572"/>
      <c r="C80" s="786" t="str">
        <f t="shared" si="7"/>
        <v>INGENIERO ESPECIALISTA EN INSTALACIONES SANITARIAS</v>
      </c>
      <c r="D80" s="640">
        <f t="shared" si="7"/>
        <v>0</v>
      </c>
      <c r="E80" s="640">
        <f t="shared" si="6"/>
        <v>1</v>
      </c>
      <c r="F80" s="640">
        <f t="shared" si="8"/>
        <v>2</v>
      </c>
      <c r="G80" s="640">
        <f t="shared" si="9"/>
        <v>68.819999999999993</v>
      </c>
      <c r="H80" s="640">
        <f t="shared" si="10"/>
        <v>0</v>
      </c>
      <c r="I80" s="699"/>
      <c r="L80" s="571">
        <f>+L77+L78</f>
        <v>4360</v>
      </c>
    </row>
    <row r="81" spans="2:12" ht="13.5" hidden="1" customHeight="1">
      <c r="B81" s="572"/>
      <c r="C81" s="786" t="str">
        <f t="shared" si="7"/>
        <v>INGENIERO ESPECIALISTA EN INSTALACIONES ELECTRICAS</v>
      </c>
      <c r="D81" s="640">
        <f t="shared" si="7"/>
        <v>0</v>
      </c>
      <c r="E81" s="640">
        <f t="shared" si="6"/>
        <v>1</v>
      </c>
      <c r="F81" s="640">
        <f t="shared" si="8"/>
        <v>1</v>
      </c>
      <c r="G81" s="640">
        <f t="shared" si="9"/>
        <v>68.819999999999993</v>
      </c>
      <c r="H81" s="640">
        <f t="shared" si="10"/>
        <v>0</v>
      </c>
      <c r="I81" s="699"/>
      <c r="L81" s="571" t="e">
        <f>+L77-#REF!</f>
        <v>#REF!</v>
      </c>
    </row>
    <row r="82" spans="2:12" ht="13.5" customHeight="1">
      <c r="B82" s="572"/>
      <c r="C82" s="786" t="str">
        <f t="shared" si="7"/>
        <v>INGENIERO ESPECIALISTA EN INSTALACIONES ESPECIALES</v>
      </c>
      <c r="D82" s="640">
        <f t="shared" si="7"/>
        <v>1</v>
      </c>
      <c r="E82" s="640">
        <f t="shared" si="6"/>
        <v>1</v>
      </c>
      <c r="F82" s="640">
        <f t="shared" si="8"/>
        <v>0.5</v>
      </c>
      <c r="G82" s="640">
        <f t="shared" si="9"/>
        <v>86.025000000000006</v>
      </c>
      <c r="H82" s="640">
        <f t="shared" si="10"/>
        <v>43.012500000000003</v>
      </c>
      <c r="I82" s="699"/>
    </row>
    <row r="83" spans="2:12" ht="13.5" hidden="1" customHeight="1">
      <c r="B83" s="572"/>
      <c r="C83" s="786" t="str">
        <f t="shared" si="7"/>
        <v>INGENIERO GEOLOGO</v>
      </c>
      <c r="D83" s="640">
        <f t="shared" si="7"/>
        <v>0</v>
      </c>
      <c r="E83" s="640">
        <f t="shared" si="6"/>
        <v>1</v>
      </c>
      <c r="F83" s="640">
        <f t="shared" si="8"/>
        <v>1</v>
      </c>
      <c r="G83" s="640">
        <f t="shared" si="9"/>
        <v>68.819999999999993</v>
      </c>
      <c r="H83" s="640">
        <f t="shared" si="10"/>
        <v>0</v>
      </c>
      <c r="I83" s="699"/>
    </row>
    <row r="84" spans="2:12" ht="13.5" customHeight="1">
      <c r="B84" s="572"/>
      <c r="C84" s="786" t="str">
        <f t="shared" si="7"/>
        <v>ASISTENTE TECNICO</v>
      </c>
      <c r="D84" s="640">
        <f t="shared" si="7"/>
        <v>1</v>
      </c>
      <c r="E84" s="640">
        <f t="shared" si="6"/>
        <v>0.5</v>
      </c>
      <c r="F84" s="640">
        <f t="shared" si="8"/>
        <v>0.5</v>
      </c>
      <c r="G84" s="640">
        <f t="shared" si="9"/>
        <v>57.636749999999999</v>
      </c>
      <c r="H84" s="640">
        <f t="shared" si="10"/>
        <v>14.4091875</v>
      </c>
      <c r="I84" s="699"/>
    </row>
    <row r="85" spans="2:12" ht="13.5" hidden="1" customHeight="1">
      <c r="B85" s="572"/>
      <c r="C85" s="786" t="str">
        <f t="shared" si="7"/>
        <v>PROFESIONAL ADMINISTRATIVO</v>
      </c>
      <c r="D85" s="640">
        <f t="shared" si="7"/>
        <v>0</v>
      </c>
      <c r="E85" s="640">
        <f t="shared" si="6"/>
        <v>0.5</v>
      </c>
      <c r="F85" s="640">
        <f t="shared" si="8"/>
        <v>2</v>
      </c>
      <c r="G85" s="640">
        <f t="shared" si="9"/>
        <v>51.615000000000002</v>
      </c>
      <c r="H85" s="640">
        <f t="shared" si="10"/>
        <v>0</v>
      </c>
      <c r="I85" s="699"/>
    </row>
    <row r="86" spans="2:12" ht="13.5" customHeight="1">
      <c r="B86" s="572"/>
      <c r="C86" s="786" t="str">
        <f t="shared" si="7"/>
        <v>ASISTENTE ADMINISTRATIVO</v>
      </c>
      <c r="D86" s="640">
        <f t="shared" si="7"/>
        <v>1</v>
      </c>
      <c r="E86" s="640">
        <f t="shared" si="6"/>
        <v>0.5</v>
      </c>
      <c r="F86" s="640">
        <f t="shared" si="8"/>
        <v>0.5</v>
      </c>
      <c r="G86" s="640">
        <f t="shared" si="9"/>
        <v>60.217500000000001</v>
      </c>
      <c r="H86" s="640">
        <f t="shared" si="10"/>
        <v>15.054375</v>
      </c>
      <c r="I86" s="699"/>
    </row>
    <row r="87" spans="2:12" ht="13.5" customHeight="1">
      <c r="B87" s="572"/>
      <c r="C87" s="964" t="s">
        <v>3</v>
      </c>
      <c r="D87" s="965"/>
      <c r="E87" s="965"/>
      <c r="F87" s="965"/>
      <c r="G87" s="966"/>
      <c r="H87" s="714">
        <f>SUM(H76:H86)</f>
        <v>115.4885625</v>
      </c>
      <c r="I87" s="699"/>
    </row>
    <row r="88" spans="2:12" ht="13.5" customHeight="1">
      <c r="B88" s="572"/>
      <c r="C88" s="578"/>
      <c r="D88" s="578"/>
      <c r="E88" s="578"/>
      <c r="F88" s="578"/>
      <c r="G88" s="578"/>
      <c r="H88" s="699"/>
      <c r="I88" s="699"/>
    </row>
    <row r="89" spans="2:12" ht="13.5" customHeight="1">
      <c r="B89" s="572"/>
      <c r="C89" s="699"/>
      <c r="D89" s="699"/>
      <c r="E89" s="699"/>
      <c r="F89" s="700"/>
      <c r="G89" s="700"/>
      <c r="H89" s="699"/>
      <c r="I89" s="699"/>
    </row>
    <row r="90" spans="2:12" ht="13.5" customHeight="1">
      <c r="B90" s="690">
        <v>3</v>
      </c>
      <c r="C90" s="691" t="s">
        <v>16</v>
      </c>
      <c r="D90" s="692"/>
      <c r="E90" s="692"/>
      <c r="F90" s="693"/>
      <c r="G90" s="694"/>
      <c r="H90" s="695" t="s">
        <v>0</v>
      </c>
      <c r="I90" s="696">
        <f>+H108+H126</f>
        <v>1745.25</v>
      </c>
    </row>
    <row r="91" spans="2:12" ht="13.5" customHeight="1">
      <c r="B91" s="717"/>
      <c r="C91" s="718"/>
      <c r="D91" s="699"/>
      <c r="E91" s="699"/>
      <c r="F91" s="705"/>
      <c r="G91" s="787"/>
      <c r="H91" s="702"/>
      <c r="I91" s="703"/>
    </row>
    <row r="92" spans="2:12" ht="13.5" customHeight="1">
      <c r="B92" s="701">
        <v>3.01</v>
      </c>
      <c r="C92" s="641" t="s">
        <v>157</v>
      </c>
      <c r="D92" s="699"/>
      <c r="E92" s="699"/>
      <c r="F92" s="700"/>
      <c r="G92" s="700"/>
      <c r="H92" s="702" t="s">
        <v>0</v>
      </c>
      <c r="I92" s="703">
        <f>+H108</f>
        <v>1006.875</v>
      </c>
    </row>
    <row r="93" spans="2:12" ht="13.5" customHeight="1">
      <c r="B93" s="715"/>
      <c r="C93" s="641"/>
      <c r="D93" s="699"/>
      <c r="E93" s="699"/>
      <c r="F93" s="700"/>
      <c r="G93" s="700"/>
      <c r="H93" s="699"/>
      <c r="I93" s="699"/>
    </row>
    <row r="94" spans="2:12" ht="13.5" customHeight="1">
      <c r="B94" s="572"/>
      <c r="C94" s="720" t="s">
        <v>29</v>
      </c>
      <c r="D94" s="705"/>
      <c r="E94" s="705"/>
      <c r="F94" s="706"/>
      <c r="G94" s="706"/>
      <c r="H94" s="705"/>
      <c r="I94" s="700"/>
    </row>
    <row r="95" spans="2:12" ht="13.5" customHeight="1">
      <c r="B95" s="572"/>
      <c r="C95" s="720"/>
      <c r="D95" s="705"/>
      <c r="E95" s="705"/>
      <c r="F95" s="706"/>
      <c r="G95" s="706"/>
      <c r="H95" s="705"/>
      <c r="I95" s="700"/>
    </row>
    <row r="96" spans="2:12" ht="13.5" customHeight="1">
      <c r="B96" s="572"/>
      <c r="C96" s="708" t="s">
        <v>30</v>
      </c>
      <c r="D96" s="784" t="s">
        <v>31</v>
      </c>
      <c r="E96" s="784" t="str">
        <f t="shared" ref="E96:E107" si="11">+E35</f>
        <v>COEF. PARTIC.</v>
      </c>
      <c r="F96" s="784" t="s">
        <v>32</v>
      </c>
      <c r="G96" s="784" t="s">
        <v>13</v>
      </c>
      <c r="H96" s="784" t="s">
        <v>4</v>
      </c>
      <c r="I96" s="699"/>
    </row>
    <row r="97" spans="2:9" ht="13.5" customHeight="1">
      <c r="B97" s="572"/>
      <c r="C97" s="786" t="str">
        <f t="shared" ref="C97:D107" si="12">+C36</f>
        <v>INGENIERO CIVIL O ARQUITECTO (COORDINADOR)</v>
      </c>
      <c r="D97" s="640">
        <f t="shared" si="12"/>
        <v>1</v>
      </c>
      <c r="E97" s="640">
        <f t="shared" si="11"/>
        <v>1</v>
      </c>
      <c r="F97" s="640">
        <f t="shared" ref="F97:F107" si="13">+F36</f>
        <v>0.5</v>
      </c>
      <c r="G97" s="640">
        <f t="shared" ref="G97:G107" si="14">+G36*0.15</f>
        <v>750</v>
      </c>
      <c r="H97" s="640">
        <f t="shared" ref="H97:H107" si="15">PRODUCT(D97:G97)</f>
        <v>375</v>
      </c>
      <c r="I97" s="699"/>
    </row>
    <row r="98" spans="2:9" ht="13.5" hidden="1" customHeight="1">
      <c r="B98" s="572"/>
      <c r="C98" s="786" t="str">
        <f t="shared" si="12"/>
        <v>ARQUITECTO</v>
      </c>
      <c r="D98" s="640">
        <f t="shared" si="12"/>
        <v>0</v>
      </c>
      <c r="E98" s="640">
        <f t="shared" si="11"/>
        <v>1</v>
      </c>
      <c r="F98" s="640">
        <f t="shared" si="13"/>
        <v>4</v>
      </c>
      <c r="G98" s="640">
        <f t="shared" si="14"/>
        <v>600</v>
      </c>
      <c r="H98" s="640">
        <f t="shared" si="15"/>
        <v>0</v>
      </c>
      <c r="I98" s="699"/>
    </row>
    <row r="99" spans="2:9" ht="13.5" hidden="1" customHeight="1">
      <c r="B99" s="572"/>
      <c r="C99" s="786" t="str">
        <f t="shared" si="12"/>
        <v>INGENIERO ESPECIALISTA EN ESTRUCTURAS</v>
      </c>
      <c r="D99" s="640">
        <f t="shared" si="12"/>
        <v>0</v>
      </c>
      <c r="E99" s="640">
        <f t="shared" si="11"/>
        <v>1</v>
      </c>
      <c r="F99" s="640">
        <f t="shared" si="13"/>
        <v>4</v>
      </c>
      <c r="G99" s="640">
        <f t="shared" si="14"/>
        <v>600</v>
      </c>
      <c r="H99" s="640">
        <f t="shared" si="15"/>
        <v>0</v>
      </c>
      <c r="I99" s="699"/>
    </row>
    <row r="100" spans="2:9" ht="13.5" hidden="1" customHeight="1">
      <c r="B100" s="572"/>
      <c r="C100" s="786" t="str">
        <f t="shared" si="12"/>
        <v>INGENIERO ESPECIALISTA EN EN COSTOS Y PRESUPUESTO</v>
      </c>
      <c r="D100" s="640">
        <f t="shared" si="12"/>
        <v>0</v>
      </c>
      <c r="E100" s="640">
        <f t="shared" si="11"/>
        <v>1</v>
      </c>
      <c r="F100" s="640">
        <f t="shared" si="13"/>
        <v>2</v>
      </c>
      <c r="G100" s="640">
        <f t="shared" si="14"/>
        <v>600</v>
      </c>
      <c r="H100" s="640">
        <f>PRODUCT(D100:G100)</f>
        <v>0</v>
      </c>
      <c r="I100" s="699"/>
    </row>
    <row r="101" spans="2:9" ht="13.5" hidden="1" customHeight="1">
      <c r="B101" s="572"/>
      <c r="C101" s="786" t="str">
        <f t="shared" si="12"/>
        <v>INGENIERO ESPECIALISTA EN INSTALACIONES SANITARIAS</v>
      </c>
      <c r="D101" s="640">
        <f t="shared" si="12"/>
        <v>0</v>
      </c>
      <c r="E101" s="640">
        <f t="shared" si="11"/>
        <v>1</v>
      </c>
      <c r="F101" s="640">
        <f t="shared" si="13"/>
        <v>2</v>
      </c>
      <c r="G101" s="640">
        <f t="shared" si="14"/>
        <v>600</v>
      </c>
      <c r="H101" s="640">
        <f t="shared" si="15"/>
        <v>0</v>
      </c>
      <c r="I101" s="699"/>
    </row>
    <row r="102" spans="2:9" ht="13.5" hidden="1" customHeight="1">
      <c r="B102" s="572"/>
      <c r="C102" s="786" t="str">
        <f t="shared" si="12"/>
        <v>INGENIERO ESPECIALISTA EN INSTALACIONES ELECTRICAS</v>
      </c>
      <c r="D102" s="640">
        <f t="shared" si="12"/>
        <v>0</v>
      </c>
      <c r="E102" s="640">
        <f t="shared" si="11"/>
        <v>1</v>
      </c>
      <c r="F102" s="640">
        <f t="shared" si="13"/>
        <v>1</v>
      </c>
      <c r="G102" s="640">
        <f t="shared" si="14"/>
        <v>600</v>
      </c>
      <c r="H102" s="640">
        <f t="shared" si="15"/>
        <v>0</v>
      </c>
      <c r="I102" s="699"/>
    </row>
    <row r="103" spans="2:9" ht="13.5" customHeight="1">
      <c r="B103" s="572"/>
      <c r="C103" s="786" t="str">
        <f t="shared" si="12"/>
        <v>INGENIERO ESPECIALISTA EN INSTALACIONES ESPECIALES</v>
      </c>
      <c r="D103" s="640">
        <f t="shared" si="12"/>
        <v>1</v>
      </c>
      <c r="E103" s="640">
        <f t="shared" si="11"/>
        <v>1</v>
      </c>
      <c r="F103" s="640">
        <f t="shared" si="13"/>
        <v>0.5</v>
      </c>
      <c r="G103" s="640">
        <f t="shared" si="14"/>
        <v>750</v>
      </c>
      <c r="H103" s="640">
        <f t="shared" si="15"/>
        <v>375</v>
      </c>
      <c r="I103" s="699"/>
    </row>
    <row r="104" spans="2:9" ht="13.5" hidden="1" customHeight="1">
      <c r="B104" s="572"/>
      <c r="C104" s="786" t="str">
        <f t="shared" si="12"/>
        <v>INGENIERO GEOLOGO</v>
      </c>
      <c r="D104" s="640">
        <f t="shared" si="12"/>
        <v>0</v>
      </c>
      <c r="E104" s="640">
        <f t="shared" si="11"/>
        <v>1</v>
      </c>
      <c r="F104" s="640">
        <f t="shared" si="13"/>
        <v>1</v>
      </c>
      <c r="G104" s="640">
        <f t="shared" si="14"/>
        <v>600</v>
      </c>
      <c r="H104" s="640">
        <f t="shared" si="15"/>
        <v>0</v>
      </c>
      <c r="I104" s="699"/>
    </row>
    <row r="105" spans="2:9" ht="13.5" customHeight="1">
      <c r="B105" s="572"/>
      <c r="C105" s="786" t="str">
        <f t="shared" si="12"/>
        <v>ASISTENTE TECNICO</v>
      </c>
      <c r="D105" s="640">
        <f t="shared" si="12"/>
        <v>1</v>
      </c>
      <c r="E105" s="640">
        <f t="shared" si="11"/>
        <v>0.5</v>
      </c>
      <c r="F105" s="640">
        <f t="shared" si="13"/>
        <v>0.5</v>
      </c>
      <c r="G105" s="640">
        <f t="shared" si="14"/>
        <v>502.5</v>
      </c>
      <c r="H105" s="640">
        <f t="shared" si="15"/>
        <v>125.625</v>
      </c>
      <c r="I105" s="699"/>
    </row>
    <row r="106" spans="2:9" ht="13.5" hidden="1" customHeight="1">
      <c r="B106" s="572"/>
      <c r="C106" s="786" t="str">
        <f t="shared" si="12"/>
        <v>PROFESIONAL ADMINISTRATIVO</v>
      </c>
      <c r="D106" s="640">
        <f t="shared" si="12"/>
        <v>0</v>
      </c>
      <c r="E106" s="640">
        <f t="shared" si="11"/>
        <v>0.5</v>
      </c>
      <c r="F106" s="640">
        <f t="shared" si="13"/>
        <v>2</v>
      </c>
      <c r="G106" s="640">
        <f t="shared" si="14"/>
        <v>450</v>
      </c>
      <c r="H106" s="640">
        <f t="shared" si="15"/>
        <v>0</v>
      </c>
      <c r="I106" s="699"/>
    </row>
    <row r="107" spans="2:9" ht="13.5" customHeight="1">
      <c r="B107" s="572"/>
      <c r="C107" s="786" t="str">
        <f t="shared" si="12"/>
        <v>ASISTENTE ADMINISTRATIVO</v>
      </c>
      <c r="D107" s="640">
        <f t="shared" si="12"/>
        <v>1</v>
      </c>
      <c r="E107" s="640">
        <f t="shared" si="11"/>
        <v>0.5</v>
      </c>
      <c r="F107" s="640">
        <f t="shared" si="13"/>
        <v>0.5</v>
      </c>
      <c r="G107" s="640">
        <f t="shared" si="14"/>
        <v>525</v>
      </c>
      <c r="H107" s="640">
        <f t="shared" si="15"/>
        <v>131.25</v>
      </c>
      <c r="I107" s="699"/>
    </row>
    <row r="108" spans="2:9" ht="13.5" customHeight="1">
      <c r="B108" s="572"/>
      <c r="C108" s="964" t="s">
        <v>3</v>
      </c>
      <c r="D108" s="965"/>
      <c r="E108" s="965"/>
      <c r="F108" s="965"/>
      <c r="G108" s="966"/>
      <c r="H108" s="714">
        <f>SUM(H97:H107)</f>
        <v>1006.875</v>
      </c>
      <c r="I108" s="699"/>
    </row>
    <row r="109" spans="2:9" ht="13.5" customHeight="1">
      <c r="B109" s="572"/>
      <c r="C109" s="699"/>
      <c r="D109" s="699"/>
      <c r="E109" s="699"/>
      <c r="F109" s="700"/>
      <c r="G109" s="700"/>
      <c r="H109" s="699"/>
      <c r="I109" s="699"/>
    </row>
    <row r="110" spans="2:9" ht="13.5" customHeight="1">
      <c r="B110" s="701">
        <v>3.02</v>
      </c>
      <c r="C110" s="641" t="s">
        <v>97</v>
      </c>
      <c r="D110" s="699"/>
      <c r="E110" s="699"/>
      <c r="F110" s="700"/>
      <c r="G110" s="700"/>
      <c r="H110" s="702" t="s">
        <v>0</v>
      </c>
      <c r="I110" s="703">
        <f>+H126</f>
        <v>738.375</v>
      </c>
    </row>
    <row r="111" spans="2:9" ht="13.5" customHeight="1">
      <c r="B111" s="715"/>
      <c r="C111" s="641"/>
      <c r="D111" s="699"/>
      <c r="E111" s="699"/>
      <c r="F111" s="700"/>
      <c r="G111" s="700"/>
      <c r="H111" s="699"/>
      <c r="I111" s="699"/>
    </row>
    <row r="112" spans="2:9" ht="13.5" customHeight="1">
      <c r="B112" s="572"/>
      <c r="C112" s="720" t="s">
        <v>29</v>
      </c>
      <c r="D112" s="705"/>
      <c r="E112" s="705"/>
      <c r="F112" s="706"/>
      <c r="G112" s="706"/>
      <c r="H112" s="705"/>
      <c r="I112" s="700"/>
    </row>
    <row r="113" spans="2:9" ht="13.5" customHeight="1">
      <c r="B113" s="572"/>
      <c r="C113" s="720"/>
      <c r="D113" s="705"/>
      <c r="E113" s="705"/>
      <c r="F113" s="706"/>
      <c r="G113" s="706"/>
      <c r="H113" s="705"/>
      <c r="I113" s="700"/>
    </row>
    <row r="114" spans="2:9" ht="13.5" customHeight="1">
      <c r="B114" s="572"/>
      <c r="C114" s="708" t="s">
        <v>30</v>
      </c>
      <c r="D114" s="784" t="s">
        <v>31</v>
      </c>
      <c r="E114" s="784" t="str">
        <f t="shared" ref="E114:E125" si="16">+E35</f>
        <v>COEF. PARTIC.</v>
      </c>
      <c r="F114" s="784" t="s">
        <v>32</v>
      </c>
      <c r="G114" s="784" t="s">
        <v>13</v>
      </c>
      <c r="H114" s="784" t="s">
        <v>4</v>
      </c>
      <c r="I114" s="699"/>
    </row>
    <row r="115" spans="2:9" ht="13.5" customHeight="1">
      <c r="B115" s="572"/>
      <c r="C115" s="786" t="str">
        <f t="shared" ref="C115:D125" si="17">+C36</f>
        <v>INGENIERO CIVIL O ARQUITECTO (COORDINADOR)</v>
      </c>
      <c r="D115" s="640">
        <f t="shared" si="17"/>
        <v>1</v>
      </c>
      <c r="E115" s="640">
        <f t="shared" si="16"/>
        <v>1</v>
      </c>
      <c r="F115" s="640">
        <f t="shared" ref="F115:F125" si="18">+F36</f>
        <v>0.5</v>
      </c>
      <c r="G115" s="640">
        <f t="shared" ref="G115:G125" si="19">(+G36+G155)/10</f>
        <v>550</v>
      </c>
      <c r="H115" s="640">
        <f t="shared" ref="H115:H125" si="20">PRODUCT(D115:G115)</f>
        <v>275</v>
      </c>
      <c r="I115" s="699"/>
    </row>
    <row r="116" spans="2:9" ht="13.5" hidden="1" customHeight="1">
      <c r="B116" s="572"/>
      <c r="C116" s="786" t="str">
        <f t="shared" si="17"/>
        <v>ARQUITECTO</v>
      </c>
      <c r="D116" s="640">
        <f t="shared" si="17"/>
        <v>0</v>
      </c>
      <c r="E116" s="640">
        <f t="shared" si="16"/>
        <v>1</v>
      </c>
      <c r="F116" s="640">
        <f t="shared" si="18"/>
        <v>4</v>
      </c>
      <c r="G116" s="640">
        <f t="shared" si="19"/>
        <v>440</v>
      </c>
      <c r="H116" s="640">
        <f t="shared" si="20"/>
        <v>0</v>
      </c>
      <c r="I116" s="699"/>
    </row>
    <row r="117" spans="2:9" ht="13.5" hidden="1" customHeight="1">
      <c r="B117" s="572"/>
      <c r="C117" s="786" t="str">
        <f t="shared" si="17"/>
        <v>INGENIERO ESPECIALISTA EN ESTRUCTURAS</v>
      </c>
      <c r="D117" s="640">
        <f t="shared" si="17"/>
        <v>0</v>
      </c>
      <c r="E117" s="640">
        <f t="shared" si="16"/>
        <v>1</v>
      </c>
      <c r="F117" s="640">
        <f t="shared" si="18"/>
        <v>4</v>
      </c>
      <c r="G117" s="640">
        <f t="shared" si="19"/>
        <v>440</v>
      </c>
      <c r="H117" s="640">
        <f t="shared" si="20"/>
        <v>0</v>
      </c>
      <c r="I117" s="699"/>
    </row>
    <row r="118" spans="2:9" ht="13.5" hidden="1" customHeight="1">
      <c r="B118" s="572"/>
      <c r="C118" s="786" t="str">
        <f t="shared" si="17"/>
        <v>INGENIERO ESPECIALISTA EN EN COSTOS Y PRESUPUESTO</v>
      </c>
      <c r="D118" s="640">
        <f t="shared" si="17"/>
        <v>0</v>
      </c>
      <c r="E118" s="640">
        <f t="shared" si="16"/>
        <v>1</v>
      </c>
      <c r="F118" s="640">
        <f t="shared" si="18"/>
        <v>2</v>
      </c>
      <c r="G118" s="640">
        <f t="shared" si="19"/>
        <v>440</v>
      </c>
      <c r="H118" s="640">
        <f>PRODUCT(D118:G118)</f>
        <v>0</v>
      </c>
      <c r="I118" s="699"/>
    </row>
    <row r="119" spans="2:9" ht="13.5" hidden="1" customHeight="1">
      <c r="B119" s="572"/>
      <c r="C119" s="786" t="str">
        <f t="shared" si="17"/>
        <v>INGENIERO ESPECIALISTA EN INSTALACIONES SANITARIAS</v>
      </c>
      <c r="D119" s="640">
        <f t="shared" si="17"/>
        <v>0</v>
      </c>
      <c r="E119" s="640">
        <f t="shared" si="16"/>
        <v>1</v>
      </c>
      <c r="F119" s="640">
        <f t="shared" si="18"/>
        <v>2</v>
      </c>
      <c r="G119" s="640">
        <f t="shared" si="19"/>
        <v>440</v>
      </c>
      <c r="H119" s="640">
        <f t="shared" si="20"/>
        <v>0</v>
      </c>
      <c r="I119" s="699"/>
    </row>
    <row r="120" spans="2:9" ht="13.5" hidden="1" customHeight="1">
      <c r="B120" s="572"/>
      <c r="C120" s="786" t="str">
        <f t="shared" si="17"/>
        <v>INGENIERO ESPECIALISTA EN INSTALACIONES ELECTRICAS</v>
      </c>
      <c r="D120" s="640">
        <f t="shared" si="17"/>
        <v>0</v>
      </c>
      <c r="E120" s="640">
        <f t="shared" si="16"/>
        <v>1</v>
      </c>
      <c r="F120" s="640">
        <f t="shared" si="18"/>
        <v>1</v>
      </c>
      <c r="G120" s="640">
        <f t="shared" si="19"/>
        <v>440</v>
      </c>
      <c r="H120" s="640">
        <f t="shared" si="20"/>
        <v>0</v>
      </c>
      <c r="I120" s="699"/>
    </row>
    <row r="121" spans="2:9" ht="13.5" customHeight="1">
      <c r="B121" s="572"/>
      <c r="C121" s="786" t="str">
        <f t="shared" si="17"/>
        <v>INGENIERO ESPECIALISTA EN INSTALACIONES ESPECIALES</v>
      </c>
      <c r="D121" s="640">
        <f t="shared" si="17"/>
        <v>1</v>
      </c>
      <c r="E121" s="640">
        <f t="shared" si="16"/>
        <v>1</v>
      </c>
      <c r="F121" s="640">
        <f t="shared" si="18"/>
        <v>0.5</v>
      </c>
      <c r="G121" s="640">
        <f t="shared" si="19"/>
        <v>550</v>
      </c>
      <c r="H121" s="640">
        <f t="shared" si="20"/>
        <v>275</v>
      </c>
      <c r="I121" s="699"/>
    </row>
    <row r="122" spans="2:9" ht="13.5" hidden="1" customHeight="1">
      <c r="B122" s="572"/>
      <c r="C122" s="786" t="str">
        <f t="shared" si="17"/>
        <v>INGENIERO GEOLOGO</v>
      </c>
      <c r="D122" s="640">
        <f t="shared" si="17"/>
        <v>0</v>
      </c>
      <c r="E122" s="640">
        <f t="shared" si="16"/>
        <v>1</v>
      </c>
      <c r="F122" s="640">
        <f t="shared" si="18"/>
        <v>1</v>
      </c>
      <c r="G122" s="640">
        <f t="shared" si="19"/>
        <v>440</v>
      </c>
      <c r="H122" s="640">
        <f t="shared" si="20"/>
        <v>0</v>
      </c>
      <c r="I122" s="699"/>
    </row>
    <row r="123" spans="2:9" ht="13.5" customHeight="1">
      <c r="B123" s="572"/>
      <c r="C123" s="786" t="str">
        <f t="shared" si="17"/>
        <v>ASISTENTE TECNICO</v>
      </c>
      <c r="D123" s="640">
        <f t="shared" si="17"/>
        <v>1</v>
      </c>
      <c r="E123" s="640">
        <f t="shared" si="16"/>
        <v>0.5</v>
      </c>
      <c r="F123" s="640">
        <f t="shared" si="18"/>
        <v>0.5</v>
      </c>
      <c r="G123" s="640">
        <f t="shared" si="19"/>
        <v>368.5</v>
      </c>
      <c r="H123" s="640">
        <f t="shared" si="20"/>
        <v>92.125</v>
      </c>
      <c r="I123" s="699"/>
    </row>
    <row r="124" spans="2:9" ht="13.5" hidden="1" customHeight="1">
      <c r="B124" s="572"/>
      <c r="C124" s="786" t="str">
        <f t="shared" si="17"/>
        <v>PROFESIONAL ADMINISTRATIVO</v>
      </c>
      <c r="D124" s="640">
        <f t="shared" si="17"/>
        <v>0</v>
      </c>
      <c r="E124" s="640">
        <f t="shared" si="16"/>
        <v>0.5</v>
      </c>
      <c r="F124" s="640">
        <f t="shared" si="18"/>
        <v>2</v>
      </c>
      <c r="G124" s="640">
        <f t="shared" si="19"/>
        <v>330</v>
      </c>
      <c r="H124" s="640">
        <f t="shared" si="20"/>
        <v>0</v>
      </c>
      <c r="I124" s="699"/>
    </row>
    <row r="125" spans="2:9" ht="13.5" customHeight="1">
      <c r="B125" s="572"/>
      <c r="C125" s="786" t="str">
        <f t="shared" si="17"/>
        <v>ASISTENTE ADMINISTRATIVO</v>
      </c>
      <c r="D125" s="640">
        <f t="shared" si="17"/>
        <v>1</v>
      </c>
      <c r="E125" s="640">
        <f t="shared" si="16"/>
        <v>0.5</v>
      </c>
      <c r="F125" s="640">
        <f t="shared" si="18"/>
        <v>0.5</v>
      </c>
      <c r="G125" s="640">
        <f t="shared" si="19"/>
        <v>385</v>
      </c>
      <c r="H125" s="640">
        <f t="shared" si="20"/>
        <v>96.25</v>
      </c>
      <c r="I125" s="699"/>
    </row>
    <row r="126" spans="2:9" ht="13.5" customHeight="1">
      <c r="B126" s="572"/>
      <c r="C126" s="964" t="s">
        <v>3</v>
      </c>
      <c r="D126" s="965"/>
      <c r="E126" s="965"/>
      <c r="F126" s="965"/>
      <c r="G126" s="966"/>
      <c r="H126" s="714">
        <f>SUM(H115:H125)</f>
        <v>738.375</v>
      </c>
      <c r="I126" s="699"/>
    </row>
    <row r="127" spans="2:9" ht="13.5" customHeight="1">
      <c r="B127" s="572"/>
      <c r="C127" s="699"/>
      <c r="D127" s="699"/>
      <c r="E127" s="699"/>
      <c r="F127" s="700"/>
      <c r="G127" s="700"/>
      <c r="H127" s="699"/>
      <c r="I127" s="699"/>
    </row>
    <row r="128" spans="2:9" ht="13.5" customHeight="1">
      <c r="B128" s="690">
        <v>4</v>
      </c>
      <c r="C128" s="691" t="s">
        <v>214</v>
      </c>
      <c r="D128" s="692"/>
      <c r="E128" s="692"/>
      <c r="F128" s="693"/>
      <c r="G128" s="694"/>
      <c r="H128" s="695" t="s">
        <v>0</v>
      </c>
      <c r="I128" s="696">
        <f>+I130</f>
        <v>75</v>
      </c>
    </row>
    <row r="129" spans="2:9" ht="13.5" customHeight="1">
      <c r="B129" s="717"/>
      <c r="C129" s="718"/>
      <c r="D129" s="699"/>
      <c r="E129" s="699"/>
      <c r="F129" s="705"/>
      <c r="G129" s="787"/>
      <c r="H129" s="702"/>
      <c r="I129" s="703"/>
    </row>
    <row r="130" spans="2:9" ht="13.5" customHeight="1">
      <c r="B130" s="701">
        <v>4.01</v>
      </c>
      <c r="C130" s="641" t="s">
        <v>96</v>
      </c>
      <c r="D130" s="721">
        <v>300</v>
      </c>
      <c r="E130" s="721"/>
      <c r="F130" s="700"/>
      <c r="G130" s="700"/>
      <c r="H130" s="702" t="s">
        <v>0</v>
      </c>
      <c r="I130" s="703">
        <f>+H146</f>
        <v>75</v>
      </c>
    </row>
    <row r="131" spans="2:9" ht="13.5" customHeight="1">
      <c r="B131" s="715"/>
      <c r="C131" s="641"/>
      <c r="D131" s="699"/>
      <c r="E131" s="699"/>
      <c r="F131" s="700"/>
      <c r="G131" s="700"/>
      <c r="H131" s="699"/>
      <c r="I131" s="699"/>
    </row>
    <row r="132" spans="2:9" ht="13.5" customHeight="1">
      <c r="B132" s="572"/>
      <c r="C132" s="720" t="s">
        <v>29</v>
      </c>
      <c r="D132" s="705"/>
      <c r="E132" s="705"/>
      <c r="F132" s="706"/>
      <c r="G132" s="706"/>
      <c r="H132" s="705"/>
      <c r="I132" s="700"/>
    </row>
    <row r="133" spans="2:9" ht="13.5" customHeight="1">
      <c r="B133" s="572"/>
      <c r="C133" s="720"/>
      <c r="D133" s="705"/>
      <c r="E133" s="705"/>
      <c r="F133" s="706"/>
      <c r="G133" s="706"/>
      <c r="H133" s="705"/>
      <c r="I133" s="700"/>
    </row>
    <row r="134" spans="2:9" ht="13.5" customHeight="1">
      <c r="B134" s="572"/>
      <c r="C134" s="708" t="s">
        <v>30</v>
      </c>
      <c r="D134" s="784" t="s">
        <v>31</v>
      </c>
      <c r="E134" s="784" t="str">
        <f>+E35</f>
        <v>COEF. PARTIC.</v>
      </c>
      <c r="F134" s="784" t="s">
        <v>32</v>
      </c>
      <c r="G134" s="784" t="s">
        <v>13</v>
      </c>
      <c r="H134" s="784" t="s">
        <v>4</v>
      </c>
      <c r="I134" s="699"/>
    </row>
    <row r="135" spans="2:9" ht="13.5" customHeight="1">
      <c r="B135" s="572"/>
      <c r="C135" s="786" t="str">
        <f t="shared" ref="C135:F145" si="21">C36</f>
        <v>INGENIERO CIVIL O ARQUITECTO (COORDINADOR)</v>
      </c>
      <c r="D135" s="640">
        <f t="shared" si="21"/>
        <v>1</v>
      </c>
      <c r="E135" s="640">
        <f t="shared" si="21"/>
        <v>1</v>
      </c>
      <c r="F135" s="640">
        <f t="shared" si="21"/>
        <v>0.5</v>
      </c>
      <c r="G135" s="640">
        <f>($D$130*2)/12*(F135*E135)</f>
        <v>25</v>
      </c>
      <c r="H135" s="640">
        <f>+D135*G135</f>
        <v>25</v>
      </c>
      <c r="I135" s="699"/>
    </row>
    <row r="136" spans="2:9" ht="13.5" hidden="1" customHeight="1">
      <c r="B136" s="572"/>
      <c r="C136" s="786" t="str">
        <f t="shared" si="21"/>
        <v>ARQUITECTO</v>
      </c>
      <c r="D136" s="640">
        <f t="shared" si="21"/>
        <v>0</v>
      </c>
      <c r="E136" s="640">
        <f t="shared" si="21"/>
        <v>1</v>
      </c>
      <c r="F136" s="640">
        <f t="shared" si="21"/>
        <v>4</v>
      </c>
      <c r="G136" s="640">
        <f t="shared" ref="G136:G145" si="22">($D$130*2)/12*(F136*E136)</f>
        <v>200</v>
      </c>
      <c r="H136" s="640">
        <f t="shared" ref="H136:H145" si="23">+D136*G136</f>
        <v>0</v>
      </c>
      <c r="I136" s="699"/>
    </row>
    <row r="137" spans="2:9" ht="13.5" hidden="1" customHeight="1">
      <c r="B137" s="572"/>
      <c r="C137" s="786" t="str">
        <f t="shared" si="21"/>
        <v>INGENIERO ESPECIALISTA EN ESTRUCTURAS</v>
      </c>
      <c r="D137" s="640">
        <f t="shared" si="21"/>
        <v>0</v>
      </c>
      <c r="E137" s="640">
        <f t="shared" si="21"/>
        <v>1</v>
      </c>
      <c r="F137" s="640">
        <f t="shared" si="21"/>
        <v>4</v>
      </c>
      <c r="G137" s="640">
        <f t="shared" si="22"/>
        <v>200</v>
      </c>
      <c r="H137" s="640">
        <f t="shared" si="23"/>
        <v>0</v>
      </c>
      <c r="I137" s="699"/>
    </row>
    <row r="138" spans="2:9" ht="13.5" hidden="1" customHeight="1">
      <c r="B138" s="572"/>
      <c r="C138" s="786" t="str">
        <f t="shared" si="21"/>
        <v>INGENIERO ESPECIALISTA EN EN COSTOS Y PRESUPUESTO</v>
      </c>
      <c r="D138" s="640">
        <f t="shared" si="21"/>
        <v>0</v>
      </c>
      <c r="E138" s="640">
        <f t="shared" si="21"/>
        <v>1</v>
      </c>
      <c r="F138" s="640">
        <f t="shared" si="21"/>
        <v>2</v>
      </c>
      <c r="G138" s="640">
        <f>($D$130*2)/12*(F138*E138)</f>
        <v>100</v>
      </c>
      <c r="H138" s="640">
        <f>+D138*G138</f>
        <v>0</v>
      </c>
      <c r="I138" s="699"/>
    </row>
    <row r="139" spans="2:9" ht="13.5" hidden="1" customHeight="1">
      <c r="B139" s="572"/>
      <c r="C139" s="786" t="str">
        <f t="shared" si="21"/>
        <v>INGENIERO ESPECIALISTA EN INSTALACIONES SANITARIAS</v>
      </c>
      <c r="D139" s="640">
        <f t="shared" si="21"/>
        <v>0</v>
      </c>
      <c r="E139" s="640">
        <f t="shared" si="21"/>
        <v>1</v>
      </c>
      <c r="F139" s="640">
        <f t="shared" si="21"/>
        <v>2</v>
      </c>
      <c r="G139" s="640">
        <f t="shared" si="22"/>
        <v>100</v>
      </c>
      <c r="H139" s="640">
        <f t="shared" si="23"/>
        <v>0</v>
      </c>
      <c r="I139" s="699"/>
    </row>
    <row r="140" spans="2:9" ht="13.5" hidden="1" customHeight="1">
      <c r="B140" s="572"/>
      <c r="C140" s="786" t="str">
        <f t="shared" si="21"/>
        <v>INGENIERO ESPECIALISTA EN INSTALACIONES ELECTRICAS</v>
      </c>
      <c r="D140" s="640">
        <f t="shared" si="21"/>
        <v>0</v>
      </c>
      <c r="E140" s="640">
        <f t="shared" si="21"/>
        <v>1</v>
      </c>
      <c r="F140" s="640">
        <f t="shared" si="21"/>
        <v>1</v>
      </c>
      <c r="G140" s="640">
        <f t="shared" si="22"/>
        <v>50</v>
      </c>
      <c r="H140" s="640">
        <f t="shared" si="23"/>
        <v>0</v>
      </c>
      <c r="I140" s="699"/>
    </row>
    <row r="141" spans="2:9" ht="13.5" customHeight="1">
      <c r="B141" s="572"/>
      <c r="C141" s="786" t="str">
        <f t="shared" si="21"/>
        <v>INGENIERO ESPECIALISTA EN INSTALACIONES ESPECIALES</v>
      </c>
      <c r="D141" s="640">
        <f t="shared" si="21"/>
        <v>1</v>
      </c>
      <c r="E141" s="640">
        <f t="shared" si="21"/>
        <v>1</v>
      </c>
      <c r="F141" s="640">
        <f t="shared" si="21"/>
        <v>0.5</v>
      </c>
      <c r="G141" s="640">
        <f t="shared" si="22"/>
        <v>25</v>
      </c>
      <c r="H141" s="640">
        <f t="shared" si="23"/>
        <v>25</v>
      </c>
      <c r="I141" s="699"/>
    </row>
    <row r="142" spans="2:9" ht="13.5" hidden="1" customHeight="1">
      <c r="B142" s="572"/>
      <c r="C142" s="786" t="str">
        <f t="shared" si="21"/>
        <v>INGENIERO GEOLOGO</v>
      </c>
      <c r="D142" s="640">
        <f t="shared" si="21"/>
        <v>0</v>
      </c>
      <c r="E142" s="640">
        <f t="shared" si="21"/>
        <v>1</v>
      </c>
      <c r="F142" s="640">
        <f t="shared" si="21"/>
        <v>1</v>
      </c>
      <c r="G142" s="640">
        <f t="shared" si="22"/>
        <v>50</v>
      </c>
      <c r="H142" s="640">
        <f t="shared" si="23"/>
        <v>0</v>
      </c>
      <c r="I142" s="699"/>
    </row>
    <row r="143" spans="2:9" ht="13.5" customHeight="1">
      <c r="B143" s="572"/>
      <c r="C143" s="786" t="str">
        <f t="shared" si="21"/>
        <v>ASISTENTE TECNICO</v>
      </c>
      <c r="D143" s="640">
        <f t="shared" si="21"/>
        <v>1</v>
      </c>
      <c r="E143" s="640">
        <f t="shared" si="21"/>
        <v>0.5</v>
      </c>
      <c r="F143" s="640">
        <f t="shared" si="21"/>
        <v>0.5</v>
      </c>
      <c r="G143" s="640">
        <f t="shared" si="22"/>
        <v>12.5</v>
      </c>
      <c r="H143" s="640">
        <f t="shared" si="23"/>
        <v>12.5</v>
      </c>
      <c r="I143" s="699"/>
    </row>
    <row r="144" spans="2:9" ht="13.5" hidden="1" customHeight="1">
      <c r="B144" s="572"/>
      <c r="C144" s="786" t="str">
        <f t="shared" si="21"/>
        <v>PROFESIONAL ADMINISTRATIVO</v>
      </c>
      <c r="D144" s="640">
        <f t="shared" si="21"/>
        <v>0</v>
      </c>
      <c r="E144" s="640">
        <f t="shared" si="21"/>
        <v>0.5</v>
      </c>
      <c r="F144" s="640">
        <f t="shared" si="21"/>
        <v>2</v>
      </c>
      <c r="G144" s="640">
        <f t="shared" si="22"/>
        <v>50</v>
      </c>
      <c r="H144" s="640">
        <f t="shared" si="23"/>
        <v>0</v>
      </c>
      <c r="I144" s="699"/>
    </row>
    <row r="145" spans="2:9" ht="13.5" customHeight="1">
      <c r="B145" s="572"/>
      <c r="C145" s="786" t="str">
        <f t="shared" si="21"/>
        <v>ASISTENTE ADMINISTRATIVO</v>
      </c>
      <c r="D145" s="640">
        <f t="shared" si="21"/>
        <v>1</v>
      </c>
      <c r="E145" s="640">
        <f t="shared" si="21"/>
        <v>0.5</v>
      </c>
      <c r="F145" s="640">
        <f t="shared" si="21"/>
        <v>0.5</v>
      </c>
      <c r="G145" s="640">
        <f t="shared" si="22"/>
        <v>12.5</v>
      </c>
      <c r="H145" s="640">
        <f t="shared" si="23"/>
        <v>12.5</v>
      </c>
      <c r="I145" s="699"/>
    </row>
    <row r="146" spans="2:9" ht="13.5" customHeight="1">
      <c r="B146" s="572"/>
      <c r="C146" s="962" t="s">
        <v>3</v>
      </c>
      <c r="D146" s="962"/>
      <c r="E146" s="962"/>
      <c r="F146" s="962"/>
      <c r="G146" s="962"/>
      <c r="H146" s="784">
        <f>SUM(H135:H145)</f>
        <v>75</v>
      </c>
      <c r="I146" s="699"/>
    </row>
    <row r="147" spans="2:9" ht="13.5" customHeight="1">
      <c r="B147" s="572"/>
      <c r="C147" s="578"/>
      <c r="D147" s="578"/>
      <c r="E147" s="578"/>
      <c r="F147" s="578"/>
      <c r="G147" s="578"/>
      <c r="H147" s="578"/>
      <c r="I147" s="699"/>
    </row>
    <row r="148" spans="2:9" ht="13.5" customHeight="1">
      <c r="B148" s="905">
        <v>5</v>
      </c>
      <c r="C148" s="870" t="s">
        <v>417</v>
      </c>
      <c r="D148" s="871"/>
      <c r="E148" s="871"/>
      <c r="F148" s="906"/>
      <c r="G148" s="907"/>
      <c r="H148" s="873" t="s">
        <v>0</v>
      </c>
      <c r="I148" s="874">
        <f>+I150</f>
        <v>0</v>
      </c>
    </row>
    <row r="149" spans="2:9" ht="13.5" customHeight="1">
      <c r="B149" s="717"/>
      <c r="C149" s="718"/>
      <c r="D149" s="699"/>
      <c r="E149" s="699"/>
      <c r="F149" s="705"/>
      <c r="G149" s="571"/>
      <c r="H149" s="699"/>
      <c r="I149" s="703"/>
    </row>
    <row r="150" spans="2:9" ht="13.5" customHeight="1">
      <c r="B150" s="701">
        <v>4.01</v>
      </c>
      <c r="C150" s="641" t="s">
        <v>418</v>
      </c>
      <c r="D150" s="721"/>
      <c r="E150" s="721"/>
      <c r="F150" s="700"/>
      <c r="G150" s="571"/>
      <c r="H150" s="702" t="s">
        <v>0</v>
      </c>
      <c r="I150" s="703">
        <f>H159</f>
        <v>0</v>
      </c>
    </row>
    <row r="151" spans="2:9" ht="13.5" customHeight="1">
      <c r="B151" s="715"/>
      <c r="C151" s="641"/>
      <c r="D151" s="699"/>
      <c r="E151" s="699"/>
      <c r="F151" s="700"/>
      <c r="G151" s="700"/>
      <c r="H151" s="699"/>
      <c r="I151" s="699"/>
    </row>
    <row r="152" spans="2:9" ht="13.5" customHeight="1">
      <c r="B152" s="572"/>
      <c r="C152" s="720" t="s">
        <v>29</v>
      </c>
      <c r="D152" s="705"/>
      <c r="E152" s="705"/>
      <c r="F152" s="706"/>
      <c r="G152" s="706"/>
      <c r="H152" s="705"/>
      <c r="I152" s="699"/>
    </row>
    <row r="153" spans="2:9" ht="13.5" customHeight="1">
      <c r="B153" s="572"/>
      <c r="C153" s="720"/>
      <c r="D153" s="705"/>
      <c r="E153" s="705"/>
      <c r="F153" s="706"/>
      <c r="G153" s="706"/>
      <c r="H153" s="705"/>
      <c r="I153" s="699"/>
    </row>
    <row r="154" spans="2:9" ht="13.5" customHeight="1">
      <c r="B154" s="572"/>
      <c r="C154" s="708" t="s">
        <v>30</v>
      </c>
      <c r="D154" s="784" t="s">
        <v>31</v>
      </c>
      <c r="E154" s="784" t="s">
        <v>291</v>
      </c>
      <c r="F154" s="784" t="s">
        <v>32</v>
      </c>
      <c r="G154" s="784" t="s">
        <v>13</v>
      </c>
      <c r="H154" s="784" t="s">
        <v>4</v>
      </c>
      <c r="I154" s="699"/>
    </row>
    <row r="155" spans="2:9" ht="13.5" customHeight="1">
      <c r="B155" s="572"/>
      <c r="C155" s="786" t="str">
        <f t="shared" ref="C155:F165" si="24">C36</f>
        <v>INGENIERO CIVIL O ARQUITECTO (COORDINADOR)</v>
      </c>
      <c r="D155" s="640">
        <f t="shared" si="24"/>
        <v>1</v>
      </c>
      <c r="E155" s="640">
        <f t="shared" si="24"/>
        <v>1</v>
      </c>
      <c r="F155" s="640">
        <f t="shared" si="24"/>
        <v>0.5</v>
      </c>
      <c r="G155" s="640">
        <f t="shared" ref="G155:G165" si="25">G36/10</f>
        <v>500</v>
      </c>
      <c r="H155" s="640">
        <f t="shared" ref="H155:H165" si="26">PRODUCT(D155:G155)</f>
        <v>250</v>
      </c>
      <c r="I155" s="699"/>
    </row>
    <row r="156" spans="2:9" ht="13.5" hidden="1" customHeight="1">
      <c r="B156" s="572"/>
      <c r="C156" s="786" t="str">
        <f t="shared" si="24"/>
        <v>ARQUITECTO</v>
      </c>
      <c r="D156" s="640">
        <f t="shared" si="24"/>
        <v>0</v>
      </c>
      <c r="E156" s="640">
        <f t="shared" si="24"/>
        <v>1</v>
      </c>
      <c r="F156" s="640">
        <f t="shared" si="24"/>
        <v>4</v>
      </c>
      <c r="G156" s="640">
        <f t="shared" si="25"/>
        <v>400</v>
      </c>
      <c r="H156" s="640">
        <f t="shared" si="26"/>
        <v>0</v>
      </c>
      <c r="I156" s="699"/>
    </row>
    <row r="157" spans="2:9" ht="13.5" hidden="1" customHeight="1">
      <c r="B157" s="572"/>
      <c r="C157" s="786" t="str">
        <f t="shared" si="24"/>
        <v>INGENIERO ESPECIALISTA EN ESTRUCTURAS</v>
      </c>
      <c r="D157" s="640">
        <f t="shared" si="24"/>
        <v>0</v>
      </c>
      <c r="E157" s="640">
        <f t="shared" si="24"/>
        <v>1</v>
      </c>
      <c r="F157" s="640">
        <f t="shared" si="24"/>
        <v>4</v>
      </c>
      <c r="G157" s="640">
        <f t="shared" si="25"/>
        <v>400</v>
      </c>
      <c r="H157" s="640">
        <f t="shared" si="26"/>
        <v>0</v>
      </c>
      <c r="I157" s="699"/>
    </row>
    <row r="158" spans="2:9" ht="13.5" hidden="1" customHeight="1">
      <c r="B158" s="572"/>
      <c r="C158" s="786" t="str">
        <f t="shared" si="24"/>
        <v>INGENIERO ESPECIALISTA EN EN COSTOS Y PRESUPUESTO</v>
      </c>
      <c r="D158" s="640">
        <f t="shared" si="24"/>
        <v>0</v>
      </c>
      <c r="E158" s="640">
        <f t="shared" si="24"/>
        <v>1</v>
      </c>
      <c r="F158" s="640">
        <f t="shared" si="24"/>
        <v>2</v>
      </c>
      <c r="G158" s="640">
        <f t="shared" si="25"/>
        <v>400</v>
      </c>
      <c r="H158" s="640">
        <f>PRODUCT(D158:G158)</f>
        <v>0</v>
      </c>
      <c r="I158" s="699"/>
    </row>
    <row r="159" spans="2:9" ht="13.5" hidden="1" customHeight="1">
      <c r="B159" s="572"/>
      <c r="C159" s="786" t="str">
        <f t="shared" si="24"/>
        <v>INGENIERO ESPECIALISTA EN INSTALACIONES SANITARIAS</v>
      </c>
      <c r="D159" s="640">
        <f t="shared" si="24"/>
        <v>0</v>
      </c>
      <c r="E159" s="640">
        <f t="shared" si="24"/>
        <v>1</v>
      </c>
      <c r="F159" s="640">
        <f t="shared" si="24"/>
        <v>2</v>
      </c>
      <c r="G159" s="640">
        <f t="shared" si="25"/>
        <v>400</v>
      </c>
      <c r="H159" s="640">
        <f t="shared" si="26"/>
        <v>0</v>
      </c>
      <c r="I159" s="699"/>
    </row>
    <row r="160" spans="2:9" ht="13.5" hidden="1" customHeight="1">
      <c r="B160" s="572"/>
      <c r="C160" s="786" t="str">
        <f t="shared" si="24"/>
        <v>INGENIERO ESPECIALISTA EN INSTALACIONES ELECTRICAS</v>
      </c>
      <c r="D160" s="640">
        <f t="shared" si="24"/>
        <v>0</v>
      </c>
      <c r="E160" s="640">
        <f t="shared" si="24"/>
        <v>1</v>
      </c>
      <c r="F160" s="640">
        <f t="shared" si="24"/>
        <v>1</v>
      </c>
      <c r="G160" s="640">
        <f t="shared" si="25"/>
        <v>400</v>
      </c>
      <c r="H160" s="640">
        <f t="shared" si="26"/>
        <v>0</v>
      </c>
      <c r="I160" s="699"/>
    </row>
    <row r="161" spans="2:11" ht="13.5" customHeight="1">
      <c r="B161" s="572"/>
      <c r="C161" s="786" t="str">
        <f t="shared" si="24"/>
        <v>INGENIERO ESPECIALISTA EN INSTALACIONES ESPECIALES</v>
      </c>
      <c r="D161" s="640">
        <f t="shared" si="24"/>
        <v>1</v>
      </c>
      <c r="E161" s="640">
        <f t="shared" si="24"/>
        <v>1</v>
      </c>
      <c r="F161" s="640">
        <f t="shared" si="24"/>
        <v>0.5</v>
      </c>
      <c r="G161" s="640">
        <f t="shared" si="25"/>
        <v>500</v>
      </c>
      <c r="H161" s="640">
        <f t="shared" si="26"/>
        <v>250</v>
      </c>
      <c r="I161" s="699"/>
    </row>
    <row r="162" spans="2:11" ht="13.5" hidden="1" customHeight="1">
      <c r="B162" s="572"/>
      <c r="C162" s="786" t="str">
        <f t="shared" si="24"/>
        <v>INGENIERO GEOLOGO</v>
      </c>
      <c r="D162" s="640">
        <f t="shared" si="24"/>
        <v>0</v>
      </c>
      <c r="E162" s="640">
        <f t="shared" si="24"/>
        <v>1</v>
      </c>
      <c r="F162" s="640">
        <f t="shared" si="24"/>
        <v>1</v>
      </c>
      <c r="G162" s="640">
        <f t="shared" si="25"/>
        <v>400</v>
      </c>
      <c r="H162" s="640">
        <f t="shared" si="26"/>
        <v>0</v>
      </c>
      <c r="I162" s="699"/>
    </row>
    <row r="163" spans="2:11" ht="13.5" customHeight="1">
      <c r="B163" s="572"/>
      <c r="C163" s="786" t="str">
        <f t="shared" si="24"/>
        <v>ASISTENTE TECNICO</v>
      </c>
      <c r="D163" s="640">
        <f t="shared" si="24"/>
        <v>1</v>
      </c>
      <c r="E163" s="640">
        <f t="shared" si="24"/>
        <v>0.5</v>
      </c>
      <c r="F163" s="640">
        <f t="shared" si="24"/>
        <v>0.5</v>
      </c>
      <c r="G163" s="640">
        <f t="shared" si="25"/>
        <v>335</v>
      </c>
      <c r="H163" s="640">
        <f t="shared" si="26"/>
        <v>83.75</v>
      </c>
      <c r="I163" s="699"/>
    </row>
    <row r="164" spans="2:11" ht="13.5" hidden="1" customHeight="1">
      <c r="B164" s="572"/>
      <c r="C164" s="786" t="str">
        <f t="shared" si="24"/>
        <v>PROFESIONAL ADMINISTRATIVO</v>
      </c>
      <c r="D164" s="640">
        <f t="shared" si="24"/>
        <v>0</v>
      </c>
      <c r="E164" s="640">
        <f t="shared" si="24"/>
        <v>0.5</v>
      </c>
      <c r="F164" s="640">
        <f t="shared" si="24"/>
        <v>2</v>
      </c>
      <c r="G164" s="640">
        <f t="shared" si="25"/>
        <v>300</v>
      </c>
      <c r="H164" s="640">
        <f t="shared" si="26"/>
        <v>0</v>
      </c>
      <c r="I164" s="699"/>
    </row>
    <row r="165" spans="2:11" ht="13.5" customHeight="1">
      <c r="B165" s="572"/>
      <c r="C165" s="786" t="str">
        <f t="shared" si="24"/>
        <v>ASISTENTE ADMINISTRATIVO</v>
      </c>
      <c r="D165" s="640">
        <f t="shared" si="24"/>
        <v>1</v>
      </c>
      <c r="E165" s="640">
        <f t="shared" si="24"/>
        <v>0.5</v>
      </c>
      <c r="F165" s="640">
        <f t="shared" si="24"/>
        <v>0.5</v>
      </c>
      <c r="G165" s="640">
        <f t="shared" si="25"/>
        <v>350</v>
      </c>
      <c r="H165" s="640">
        <f t="shared" si="26"/>
        <v>87.5</v>
      </c>
      <c r="I165" s="699"/>
    </row>
    <row r="166" spans="2:11" ht="13.5" customHeight="1">
      <c r="B166" s="572"/>
      <c r="C166" s="962" t="s">
        <v>3</v>
      </c>
      <c r="D166" s="962"/>
      <c r="E166" s="962"/>
      <c r="F166" s="962"/>
      <c r="G166" s="962"/>
      <c r="H166" s="784">
        <f>SUM(H155:H165)</f>
        <v>671.25</v>
      </c>
      <c r="I166" s="699"/>
    </row>
    <row r="167" spans="2:11" ht="13.5" customHeight="1">
      <c r="B167" s="572"/>
      <c r="C167" s="699"/>
      <c r="D167" s="699"/>
      <c r="E167" s="699"/>
      <c r="F167" s="700"/>
      <c r="G167" s="700"/>
      <c r="H167" s="699"/>
      <c r="I167" s="699"/>
    </row>
    <row r="168" spans="2:11" s="831" customFormat="1" ht="13.5" customHeight="1">
      <c r="B168" s="850" t="s">
        <v>320</v>
      </c>
      <c r="C168" s="851"/>
      <c r="D168" s="838"/>
      <c r="E168" s="838"/>
      <c r="F168" s="838"/>
      <c r="G168" s="840"/>
      <c r="H168" s="840" t="s">
        <v>0</v>
      </c>
      <c r="I168" s="841">
        <f>+ROUND((I170+I178+I186+I204+I228),2)</f>
        <v>2321.66</v>
      </c>
      <c r="J168" s="842"/>
    </row>
    <row r="169" spans="2:11" s="831" customFormat="1" ht="13.5" customHeight="1">
      <c r="B169" s="852"/>
      <c r="C169" s="853"/>
      <c r="D169" s="845"/>
      <c r="E169" s="845"/>
      <c r="F169" s="845"/>
      <c r="G169" s="847"/>
      <c r="H169" s="847"/>
      <c r="I169" s="848"/>
      <c r="J169" s="842"/>
    </row>
    <row r="170" spans="2:11" s="831" customFormat="1" ht="13.5" hidden="1" customHeight="1">
      <c r="B170" s="690">
        <v>1</v>
      </c>
      <c r="C170" s="691" t="s">
        <v>255</v>
      </c>
      <c r="D170" s="692"/>
      <c r="E170" s="692"/>
      <c r="F170" s="693"/>
      <c r="G170" s="694"/>
      <c r="H170" s="695" t="s">
        <v>0</v>
      </c>
      <c r="I170" s="696">
        <f>H176</f>
        <v>0</v>
      </c>
      <c r="J170" s="842"/>
    </row>
    <row r="171" spans="2:11" s="831" customFormat="1" ht="13.5" hidden="1" customHeight="1">
      <c r="B171" s="852"/>
      <c r="C171" s="853"/>
      <c r="D171" s="845"/>
      <c r="E171" s="845"/>
      <c r="F171" s="845"/>
      <c r="G171" s="847"/>
      <c r="H171" s="847"/>
      <c r="I171" s="848"/>
      <c r="J171" s="842"/>
    </row>
    <row r="172" spans="2:11" ht="13.5" hidden="1" customHeight="1">
      <c r="B172" s="701">
        <v>1.01</v>
      </c>
      <c r="C172" s="641" t="s">
        <v>25</v>
      </c>
      <c r="D172" s="699"/>
      <c r="E172" s="699"/>
      <c r="F172" s="699"/>
      <c r="G172" s="700"/>
      <c r="H172" s="702" t="s">
        <v>0</v>
      </c>
      <c r="I172" s="728">
        <f>H176</f>
        <v>0</v>
      </c>
    </row>
    <row r="173" spans="2:11" ht="13.5" hidden="1" customHeight="1">
      <c r="B173" s="715"/>
      <c r="C173" s="641"/>
      <c r="D173" s="699"/>
      <c r="E173" s="699"/>
      <c r="F173" s="699"/>
      <c r="G173" s="700"/>
      <c r="H173" s="699"/>
      <c r="I173" s="699"/>
      <c r="J173" s="668"/>
    </row>
    <row r="174" spans="2:11" ht="13.5" hidden="1" customHeight="1">
      <c r="B174" s="572"/>
      <c r="C174" s="1011" t="s">
        <v>17</v>
      </c>
      <c r="D174" s="1012"/>
      <c r="E174" s="785" t="s">
        <v>2</v>
      </c>
      <c r="F174" s="785" t="s">
        <v>18</v>
      </c>
      <c r="G174" s="785" t="s">
        <v>5</v>
      </c>
      <c r="H174" s="785" t="s">
        <v>4</v>
      </c>
      <c r="I174" s="578"/>
    </row>
    <row r="175" spans="2:11" ht="13.5" hidden="1" customHeight="1">
      <c r="B175" s="572"/>
      <c r="C175" s="1058" t="s">
        <v>253</v>
      </c>
      <c r="D175" s="1059"/>
      <c r="E175" s="908" t="s">
        <v>2</v>
      </c>
      <c r="F175" s="909">
        <v>0</v>
      </c>
      <c r="G175" s="910">
        <v>100</v>
      </c>
      <c r="H175" s="911">
        <f>F175*G175</f>
        <v>0</v>
      </c>
      <c r="I175" s="578"/>
    </row>
    <row r="176" spans="2:11" ht="13.5" hidden="1" customHeight="1">
      <c r="B176" s="572"/>
      <c r="C176" s="962" t="s">
        <v>3</v>
      </c>
      <c r="D176" s="962"/>
      <c r="E176" s="962"/>
      <c r="F176" s="962"/>
      <c r="G176" s="962"/>
      <c r="H176" s="744">
        <f>SUM(H175:H175)</f>
        <v>0</v>
      </c>
      <c r="I176" s="737"/>
      <c r="K176" s="571" t="e">
        <f>365-#REF!</f>
        <v>#REF!</v>
      </c>
    </row>
    <row r="177" spans="2:11" ht="13.5" customHeight="1">
      <c r="B177" s="704"/>
      <c r="C177" s="578"/>
      <c r="D177" s="578"/>
      <c r="E177" s="578"/>
      <c r="F177" s="578"/>
      <c r="G177" s="578"/>
      <c r="H177" s="699"/>
      <c r="I177" s="705"/>
    </row>
    <row r="178" spans="2:11" ht="13.5" hidden="1" customHeight="1">
      <c r="B178" s="740">
        <v>1</v>
      </c>
      <c r="C178" s="691" t="s">
        <v>93</v>
      </c>
      <c r="D178" s="692"/>
      <c r="E178" s="692"/>
      <c r="F178" s="693"/>
      <c r="G178" s="694"/>
      <c r="H178" s="695" t="s">
        <v>0</v>
      </c>
      <c r="I178" s="696">
        <f>H184</f>
        <v>0</v>
      </c>
    </row>
    <row r="179" spans="2:11" ht="13.5" hidden="1" customHeight="1">
      <c r="B179" s="852"/>
      <c r="C179" s="853"/>
      <c r="D179" s="845"/>
      <c r="E179" s="845"/>
      <c r="F179" s="845"/>
      <c r="G179" s="847"/>
      <c r="H179" s="847"/>
      <c r="I179" s="848"/>
    </row>
    <row r="180" spans="2:11" ht="13.5" hidden="1" customHeight="1">
      <c r="B180" s="701">
        <v>2.0099999999999998</v>
      </c>
      <c r="C180" s="641" t="s">
        <v>172</v>
      </c>
      <c r="D180" s="699"/>
      <c r="E180" s="699"/>
      <c r="F180" s="699"/>
      <c r="G180" s="700"/>
      <c r="H180" s="702" t="s">
        <v>0</v>
      </c>
      <c r="I180" s="728">
        <f>H184</f>
        <v>0</v>
      </c>
    </row>
    <row r="181" spans="2:11" ht="13.5" hidden="1" customHeight="1">
      <c r="B181" s="715"/>
      <c r="C181" s="641"/>
      <c r="D181" s="699"/>
      <c r="E181" s="699"/>
      <c r="F181" s="699"/>
      <c r="G181" s="700"/>
      <c r="H181" s="699"/>
      <c r="I181" s="699"/>
    </row>
    <row r="182" spans="2:11" ht="13.5" hidden="1" customHeight="1">
      <c r="B182" s="572"/>
      <c r="C182" s="973" t="s">
        <v>17</v>
      </c>
      <c r="D182" s="973"/>
      <c r="E182" s="785" t="s">
        <v>2</v>
      </c>
      <c r="F182" s="785" t="s">
        <v>18</v>
      </c>
      <c r="G182" s="785" t="s">
        <v>5</v>
      </c>
      <c r="H182" s="785" t="s">
        <v>4</v>
      </c>
      <c r="I182" s="578"/>
    </row>
    <row r="183" spans="2:11" ht="13.5" hidden="1" customHeight="1">
      <c r="B183" s="572"/>
      <c r="C183" s="974" t="s">
        <v>279</v>
      </c>
      <c r="D183" s="974"/>
      <c r="E183" s="579" t="s">
        <v>6</v>
      </c>
      <c r="F183" s="909">
        <v>0</v>
      </c>
      <c r="G183" s="912">
        <v>13.5</v>
      </c>
      <c r="H183" s="742">
        <f>F183*G183</f>
        <v>0</v>
      </c>
      <c r="I183" s="578"/>
      <c r="K183" s="571">
        <f>1000/12</f>
        <v>83.333333333333329</v>
      </c>
    </row>
    <row r="184" spans="2:11" ht="13.5" hidden="1" customHeight="1">
      <c r="B184" s="572"/>
      <c r="C184" s="962" t="s">
        <v>3</v>
      </c>
      <c r="D184" s="962"/>
      <c r="E184" s="962"/>
      <c r="F184" s="962"/>
      <c r="G184" s="962"/>
      <c r="H184" s="744">
        <f>SUM(H183)</f>
        <v>0</v>
      </c>
      <c r="I184" s="578"/>
    </row>
    <row r="185" spans="2:11" ht="13.5" customHeight="1">
      <c r="B185" s="704"/>
      <c r="C185" s="578"/>
      <c r="D185" s="578"/>
      <c r="E185" s="578"/>
      <c r="F185" s="578"/>
      <c r="G185" s="578"/>
      <c r="H185" s="699"/>
      <c r="I185" s="705"/>
    </row>
    <row r="186" spans="2:11" ht="13.5" hidden="1" customHeight="1">
      <c r="B186" s="745">
        <v>3</v>
      </c>
      <c r="C186" s="691" t="s">
        <v>292</v>
      </c>
      <c r="D186" s="692"/>
      <c r="E186" s="692"/>
      <c r="F186" s="692"/>
      <c r="G186" s="694"/>
      <c r="H186" s="695" t="s">
        <v>0</v>
      </c>
      <c r="I186" s="696">
        <f>+I188</f>
        <v>0</v>
      </c>
    </row>
    <row r="187" spans="2:11" ht="13.5" hidden="1" customHeight="1">
      <c r="B187" s="715"/>
      <c r="C187" s="641"/>
      <c r="D187" s="699"/>
      <c r="E187" s="699"/>
      <c r="F187" s="699"/>
      <c r="G187" s="700"/>
      <c r="H187" s="699"/>
      <c r="I187" s="699"/>
    </row>
    <row r="188" spans="2:11" ht="13.5" hidden="1" customHeight="1">
      <c r="B188" s="715">
        <v>3.01</v>
      </c>
      <c r="C188" s="641" t="s">
        <v>288</v>
      </c>
      <c r="D188" s="705"/>
      <c r="E188" s="705"/>
      <c r="F188" s="705"/>
      <c r="G188" s="706"/>
      <c r="H188" s="702" t="s">
        <v>0</v>
      </c>
      <c r="I188" s="746">
        <f>H200</f>
        <v>0</v>
      </c>
    </row>
    <row r="189" spans="2:11" ht="13.5" hidden="1" customHeight="1">
      <c r="B189" s="747"/>
      <c r="C189" s="748"/>
      <c r="D189" s="749"/>
      <c r="E189" s="749"/>
      <c r="F189" s="750"/>
      <c r="G189" s="749"/>
      <c r="H189" s="750"/>
    </row>
    <row r="190" spans="2:11" ht="13.5" hidden="1" customHeight="1">
      <c r="B190" s="747"/>
      <c r="C190" s="1061" t="s">
        <v>17</v>
      </c>
      <c r="D190" s="1061"/>
      <c r="E190" s="731" t="s">
        <v>2</v>
      </c>
      <c r="F190" s="913" t="s">
        <v>18</v>
      </c>
      <c r="G190" s="731" t="s">
        <v>5</v>
      </c>
      <c r="H190" s="751" t="s">
        <v>4</v>
      </c>
    </row>
    <row r="191" spans="2:11" ht="13.5" hidden="1" customHeight="1">
      <c r="B191" s="747"/>
      <c r="C191" s="989" t="s">
        <v>293</v>
      </c>
      <c r="D191" s="989"/>
      <c r="E191" s="756" t="s">
        <v>2</v>
      </c>
      <c r="F191" s="756">
        <v>0</v>
      </c>
      <c r="G191" s="756">
        <v>1200</v>
      </c>
      <c r="H191" s="757">
        <f>+F191*G191</f>
        <v>0</v>
      </c>
    </row>
    <row r="192" spans="2:11" ht="13.5" hidden="1" customHeight="1">
      <c r="B192" s="747"/>
      <c r="C192" s="914" t="s">
        <v>426</v>
      </c>
      <c r="D192" s="914"/>
      <c r="E192" s="756" t="s">
        <v>2</v>
      </c>
      <c r="F192" s="756">
        <v>0</v>
      </c>
      <c r="G192" s="756">
        <v>300</v>
      </c>
      <c r="H192" s="757">
        <f t="shared" ref="H192:H199" si="27">+F192*G192</f>
        <v>0</v>
      </c>
    </row>
    <row r="193" spans="2:9" ht="13.5" hidden="1" customHeight="1">
      <c r="B193" s="747"/>
      <c r="C193" s="914" t="s">
        <v>425</v>
      </c>
      <c r="D193" s="914"/>
      <c r="E193" s="756" t="s">
        <v>2</v>
      </c>
      <c r="F193" s="756">
        <v>0</v>
      </c>
      <c r="G193" s="756">
        <v>250</v>
      </c>
      <c r="H193" s="757">
        <f t="shared" si="27"/>
        <v>0</v>
      </c>
    </row>
    <row r="194" spans="2:9" ht="13.5" hidden="1" customHeight="1">
      <c r="B194" s="747"/>
      <c r="C194" s="914" t="s">
        <v>424</v>
      </c>
      <c r="D194" s="914"/>
      <c r="E194" s="756" t="s">
        <v>2</v>
      </c>
      <c r="F194" s="756">
        <v>0</v>
      </c>
      <c r="G194" s="756">
        <v>300</v>
      </c>
      <c r="H194" s="757">
        <f t="shared" si="27"/>
        <v>0</v>
      </c>
    </row>
    <row r="195" spans="2:9" ht="13.5" hidden="1" customHeight="1">
      <c r="B195" s="747"/>
      <c r="C195" s="914" t="s">
        <v>427</v>
      </c>
      <c r="D195" s="914"/>
      <c r="E195" s="756" t="s">
        <v>2</v>
      </c>
      <c r="F195" s="756">
        <v>0</v>
      </c>
      <c r="G195" s="756">
        <v>150</v>
      </c>
      <c r="H195" s="757">
        <f t="shared" si="27"/>
        <v>0</v>
      </c>
    </row>
    <row r="196" spans="2:9" ht="13.5" hidden="1" customHeight="1">
      <c r="B196" s="747"/>
      <c r="C196" s="914" t="s">
        <v>428</v>
      </c>
      <c r="D196" s="914"/>
      <c r="E196" s="756" t="s">
        <v>2</v>
      </c>
      <c r="F196" s="756">
        <v>0</v>
      </c>
      <c r="G196" s="756">
        <v>150</v>
      </c>
      <c r="H196" s="757">
        <f t="shared" si="27"/>
        <v>0</v>
      </c>
    </row>
    <row r="197" spans="2:9" ht="13.5" hidden="1" customHeight="1">
      <c r="B197" s="747"/>
      <c r="C197" s="914" t="s">
        <v>429</v>
      </c>
      <c r="D197" s="914"/>
      <c r="E197" s="756" t="s">
        <v>2</v>
      </c>
      <c r="F197" s="756">
        <v>0</v>
      </c>
      <c r="G197" s="756">
        <v>360</v>
      </c>
      <c r="H197" s="757">
        <f t="shared" si="27"/>
        <v>0</v>
      </c>
    </row>
    <row r="198" spans="2:9" ht="13.5" hidden="1" customHeight="1">
      <c r="B198" s="747"/>
      <c r="C198" s="914" t="s">
        <v>430</v>
      </c>
      <c r="D198" s="914"/>
      <c r="E198" s="756" t="s">
        <v>2</v>
      </c>
      <c r="F198" s="756">
        <v>0</v>
      </c>
      <c r="G198" s="756">
        <v>450</v>
      </c>
      <c r="H198" s="757">
        <f t="shared" si="27"/>
        <v>0</v>
      </c>
    </row>
    <row r="199" spans="2:9" ht="13.5" hidden="1" customHeight="1">
      <c r="B199" s="747"/>
      <c r="C199" s="914" t="s">
        <v>431</v>
      </c>
      <c r="D199" s="914"/>
      <c r="E199" s="756" t="s">
        <v>2</v>
      </c>
      <c r="F199" s="756">
        <v>0</v>
      </c>
      <c r="G199" s="756">
        <v>60</v>
      </c>
      <c r="H199" s="757">
        <f t="shared" si="27"/>
        <v>0</v>
      </c>
    </row>
    <row r="200" spans="2:9" ht="13.5" hidden="1" customHeight="1">
      <c r="B200" s="767"/>
      <c r="C200" s="963" t="s">
        <v>3</v>
      </c>
      <c r="D200" s="963"/>
      <c r="E200" s="962"/>
      <c r="F200" s="962"/>
      <c r="G200" s="962"/>
      <c r="H200" s="768">
        <f>SUM(H191:H199)</f>
        <v>0</v>
      </c>
    </row>
    <row r="201" spans="2:9" ht="13.5" hidden="1" customHeight="1">
      <c r="B201" s="704"/>
      <c r="C201" s="578"/>
      <c r="D201" s="578"/>
      <c r="E201" s="578"/>
      <c r="F201" s="578"/>
      <c r="G201" s="578"/>
      <c r="H201" s="699"/>
      <c r="I201" s="705"/>
    </row>
    <row r="202" spans="2:9" ht="13.5" hidden="1" customHeight="1">
      <c r="B202" s="704"/>
      <c r="C202" s="578"/>
      <c r="D202" s="578"/>
      <c r="E202" s="578"/>
      <c r="F202" s="578"/>
      <c r="G202" s="578"/>
      <c r="H202" s="699"/>
      <c r="I202" s="705"/>
    </row>
    <row r="203" spans="2:9" ht="13.5" hidden="1" customHeight="1">
      <c r="B203" s="704"/>
      <c r="C203" s="578"/>
      <c r="D203" s="578"/>
      <c r="E203" s="578"/>
      <c r="F203" s="578"/>
      <c r="G203" s="578"/>
      <c r="H203" s="699"/>
      <c r="I203" s="705"/>
    </row>
    <row r="204" spans="2:9" ht="13.5" customHeight="1">
      <c r="B204" s="690">
        <v>4</v>
      </c>
      <c r="C204" s="691" t="s">
        <v>92</v>
      </c>
      <c r="D204" s="692"/>
      <c r="E204" s="692"/>
      <c r="F204" s="693"/>
      <c r="G204" s="694"/>
      <c r="H204" s="695" t="s">
        <v>0</v>
      </c>
      <c r="I204" s="696">
        <f>+I206</f>
        <v>1954</v>
      </c>
    </row>
    <row r="205" spans="2:9" ht="13.5" customHeight="1">
      <c r="B205" s="717"/>
      <c r="C205" s="718"/>
      <c r="D205" s="699"/>
      <c r="E205" s="699"/>
      <c r="F205" s="700"/>
      <c r="G205" s="787"/>
      <c r="H205" s="702"/>
      <c r="I205" s="703"/>
    </row>
    <row r="206" spans="2:9" ht="13.5" customHeight="1">
      <c r="B206" s="701">
        <v>4.01</v>
      </c>
      <c r="C206" s="641" t="s">
        <v>36</v>
      </c>
      <c r="D206" s="699"/>
      <c r="E206" s="699"/>
      <c r="F206" s="700"/>
      <c r="G206" s="700"/>
      <c r="H206" s="702" t="s">
        <v>0</v>
      </c>
      <c r="I206" s="746">
        <f>+H226</f>
        <v>1954</v>
      </c>
    </row>
    <row r="207" spans="2:9" ht="13.5" customHeight="1">
      <c r="B207" s="715"/>
      <c r="C207" s="641"/>
      <c r="D207" s="699"/>
      <c r="E207" s="699"/>
      <c r="F207" s="700"/>
      <c r="G207" s="700"/>
      <c r="H207" s="699"/>
      <c r="I207" s="705"/>
    </row>
    <row r="208" spans="2:9" ht="13.5" customHeight="1">
      <c r="B208" s="572"/>
      <c r="C208" s="714" t="s">
        <v>34</v>
      </c>
      <c r="D208" s="784" t="s">
        <v>44</v>
      </c>
      <c r="E208" s="783" t="s">
        <v>18</v>
      </c>
      <c r="F208" s="769" t="s">
        <v>535</v>
      </c>
      <c r="G208" s="784" t="s">
        <v>5</v>
      </c>
      <c r="H208" s="784" t="s">
        <v>4</v>
      </c>
      <c r="I208" s="705"/>
    </row>
    <row r="209" spans="2:12" ht="13.5" customHeight="1">
      <c r="B209" s="572"/>
      <c r="C209" s="711" t="s">
        <v>163</v>
      </c>
      <c r="D209" s="640" t="s">
        <v>2</v>
      </c>
      <c r="E209" s="915">
        <v>2</v>
      </c>
      <c r="F209" s="756">
        <v>1</v>
      </c>
      <c r="G209" s="640">
        <v>300</v>
      </c>
      <c r="H209" s="776">
        <f>PRODUCT(E209:G209)</f>
        <v>600</v>
      </c>
      <c r="I209" s="705"/>
    </row>
    <row r="210" spans="2:12" ht="13.5" customHeight="1">
      <c r="B210" s="572"/>
      <c r="C210" s="711" t="s">
        <v>524</v>
      </c>
      <c r="D210" s="640" t="s">
        <v>258</v>
      </c>
      <c r="E210" s="915">
        <v>1</v>
      </c>
      <c r="F210" s="756">
        <v>1</v>
      </c>
      <c r="G210" s="640">
        <v>700</v>
      </c>
      <c r="H210" s="776">
        <f>PRODUCT(E210:G210)</f>
        <v>700</v>
      </c>
      <c r="I210" s="705"/>
    </row>
    <row r="211" spans="2:12" ht="13.5" customHeight="1">
      <c r="B211" s="572"/>
      <c r="C211" s="757" t="s">
        <v>71</v>
      </c>
      <c r="D211" s="756" t="s">
        <v>2</v>
      </c>
      <c r="E211" s="756">
        <v>0</v>
      </c>
      <c r="F211" s="756">
        <v>1</v>
      </c>
      <c r="G211" s="756">
        <v>1.5</v>
      </c>
      <c r="H211" s="776">
        <f t="shared" ref="H211:H225" si="28">PRODUCT(E211:G211)</f>
        <v>0</v>
      </c>
      <c r="I211" s="705"/>
    </row>
    <row r="212" spans="2:12" ht="13.5" customHeight="1">
      <c r="B212" s="572"/>
      <c r="C212" s="757" t="s">
        <v>40</v>
      </c>
      <c r="D212" s="756" t="s">
        <v>2</v>
      </c>
      <c r="E212" s="756">
        <v>6</v>
      </c>
      <c r="F212" s="756">
        <v>1</v>
      </c>
      <c r="G212" s="756">
        <v>8</v>
      </c>
      <c r="H212" s="776">
        <f t="shared" si="28"/>
        <v>48</v>
      </c>
      <c r="I212" s="705"/>
    </row>
    <row r="213" spans="2:12" ht="13.5" customHeight="1">
      <c r="B213" s="572"/>
      <c r="C213" s="757" t="s">
        <v>38</v>
      </c>
      <c r="D213" s="756" t="s">
        <v>2</v>
      </c>
      <c r="E213" s="756">
        <v>0</v>
      </c>
      <c r="F213" s="756">
        <v>1</v>
      </c>
      <c r="G213" s="756">
        <v>4</v>
      </c>
      <c r="H213" s="776">
        <f t="shared" si="28"/>
        <v>0</v>
      </c>
      <c r="I213" s="705"/>
    </row>
    <row r="214" spans="2:12" ht="13.5" customHeight="1">
      <c r="B214" s="572"/>
      <c r="C214" s="757" t="s">
        <v>67</v>
      </c>
      <c r="D214" s="756" t="s">
        <v>2</v>
      </c>
      <c r="E214" s="756">
        <v>1</v>
      </c>
      <c r="F214" s="756">
        <v>1</v>
      </c>
      <c r="G214" s="756">
        <v>4</v>
      </c>
      <c r="H214" s="776">
        <f t="shared" si="28"/>
        <v>4</v>
      </c>
      <c r="I214" s="705"/>
    </row>
    <row r="215" spans="2:12" ht="13.5" customHeight="1">
      <c r="B215" s="572"/>
      <c r="C215" s="757" t="s">
        <v>57</v>
      </c>
      <c r="D215" s="756" t="s">
        <v>2</v>
      </c>
      <c r="E215" s="756">
        <v>0</v>
      </c>
      <c r="F215" s="756">
        <v>1</v>
      </c>
      <c r="G215" s="756">
        <v>1</v>
      </c>
      <c r="H215" s="776">
        <f t="shared" si="28"/>
        <v>0</v>
      </c>
      <c r="I215" s="705"/>
    </row>
    <row r="216" spans="2:12" ht="13.5" customHeight="1">
      <c r="B216" s="572"/>
      <c r="C216" s="757" t="s">
        <v>85</v>
      </c>
      <c r="D216" s="756" t="s">
        <v>240</v>
      </c>
      <c r="E216" s="756">
        <v>1</v>
      </c>
      <c r="F216" s="756">
        <v>1</v>
      </c>
      <c r="G216" s="756">
        <v>50</v>
      </c>
      <c r="H216" s="776">
        <f t="shared" si="28"/>
        <v>50</v>
      </c>
      <c r="I216" s="705"/>
    </row>
    <row r="217" spans="2:12" ht="13.5" customHeight="1">
      <c r="B217" s="572"/>
      <c r="C217" s="757" t="s">
        <v>43</v>
      </c>
      <c r="D217" s="756" t="s">
        <v>37</v>
      </c>
      <c r="E217" s="756">
        <v>10</v>
      </c>
      <c r="F217" s="756">
        <v>1</v>
      </c>
      <c r="G217" s="756">
        <v>30</v>
      </c>
      <c r="H217" s="776">
        <f t="shared" si="28"/>
        <v>300</v>
      </c>
      <c r="I217" s="705"/>
    </row>
    <row r="218" spans="2:12" ht="13.5" customHeight="1">
      <c r="B218" s="572"/>
      <c r="C218" s="757" t="s">
        <v>65</v>
      </c>
      <c r="D218" s="756" t="s">
        <v>2</v>
      </c>
      <c r="E218" s="756">
        <v>1</v>
      </c>
      <c r="F218" s="756">
        <v>1</v>
      </c>
      <c r="G218" s="756">
        <v>5</v>
      </c>
      <c r="H218" s="776">
        <f t="shared" si="28"/>
        <v>5</v>
      </c>
      <c r="I218" s="705"/>
      <c r="L218" s="916"/>
    </row>
    <row r="219" spans="2:12" ht="13.5" customHeight="1">
      <c r="B219" s="572"/>
      <c r="C219" s="757" t="s">
        <v>431</v>
      </c>
      <c r="D219" s="756" t="s">
        <v>2</v>
      </c>
      <c r="E219" s="756">
        <v>2</v>
      </c>
      <c r="F219" s="756">
        <v>1</v>
      </c>
      <c r="G219" s="756">
        <v>60</v>
      </c>
      <c r="H219" s="776">
        <f t="shared" si="28"/>
        <v>120</v>
      </c>
      <c r="I219" s="705"/>
    </row>
    <row r="220" spans="2:12" ht="13.5" customHeight="1">
      <c r="B220" s="572"/>
      <c r="C220" s="757" t="s">
        <v>62</v>
      </c>
      <c r="D220" s="756" t="s">
        <v>2</v>
      </c>
      <c r="E220" s="756">
        <v>1</v>
      </c>
      <c r="F220" s="756">
        <v>1</v>
      </c>
      <c r="G220" s="756">
        <v>15</v>
      </c>
      <c r="H220" s="776">
        <f t="shared" si="28"/>
        <v>15</v>
      </c>
      <c r="I220" s="705"/>
    </row>
    <row r="221" spans="2:12" ht="13.5" customHeight="1">
      <c r="B221" s="572"/>
      <c r="C221" s="757" t="s">
        <v>73</v>
      </c>
      <c r="D221" s="756" t="s">
        <v>54</v>
      </c>
      <c r="E221" s="756">
        <v>0</v>
      </c>
      <c r="F221" s="756">
        <v>1</v>
      </c>
      <c r="G221" s="756">
        <v>12</v>
      </c>
      <c r="H221" s="776">
        <f t="shared" si="28"/>
        <v>0</v>
      </c>
      <c r="I221" s="705"/>
    </row>
    <row r="222" spans="2:12" ht="13.5" customHeight="1">
      <c r="B222" s="572"/>
      <c r="C222" s="757" t="s">
        <v>63</v>
      </c>
      <c r="D222" s="756" t="s">
        <v>2</v>
      </c>
      <c r="E222" s="756">
        <v>0</v>
      </c>
      <c r="F222" s="756">
        <v>1</v>
      </c>
      <c r="G222" s="756">
        <v>5</v>
      </c>
      <c r="H222" s="776">
        <f t="shared" si="28"/>
        <v>0</v>
      </c>
      <c r="I222" s="705"/>
    </row>
    <row r="223" spans="2:12" ht="13.5" customHeight="1">
      <c r="B223" s="572"/>
      <c r="C223" s="757" t="s">
        <v>534</v>
      </c>
      <c r="D223" s="756" t="s">
        <v>2</v>
      </c>
      <c r="E223" s="756">
        <v>1</v>
      </c>
      <c r="F223" s="756">
        <v>1</v>
      </c>
      <c r="G223" s="756">
        <v>100</v>
      </c>
      <c r="H223" s="776">
        <f t="shared" si="28"/>
        <v>100</v>
      </c>
      <c r="I223" s="705"/>
    </row>
    <row r="224" spans="2:12" ht="13.5" customHeight="1">
      <c r="B224" s="572"/>
      <c r="C224" s="757" t="s">
        <v>86</v>
      </c>
      <c r="D224" s="756" t="s">
        <v>2</v>
      </c>
      <c r="E224" s="756">
        <v>1</v>
      </c>
      <c r="F224" s="756">
        <v>1</v>
      </c>
      <c r="G224" s="756">
        <v>2</v>
      </c>
      <c r="H224" s="776">
        <f t="shared" si="28"/>
        <v>2</v>
      </c>
      <c r="I224" s="705"/>
    </row>
    <row r="225" spans="2:11" ht="13.5" customHeight="1">
      <c r="B225" s="572"/>
      <c r="C225" s="757" t="s">
        <v>525</v>
      </c>
      <c r="D225" s="756" t="s">
        <v>2</v>
      </c>
      <c r="E225" s="756">
        <v>10</v>
      </c>
      <c r="F225" s="756">
        <v>1</v>
      </c>
      <c r="G225" s="756">
        <v>1</v>
      </c>
      <c r="H225" s="776">
        <f t="shared" si="28"/>
        <v>10</v>
      </c>
      <c r="I225" s="705"/>
    </row>
    <row r="226" spans="2:11" ht="13.5" customHeight="1">
      <c r="B226" s="704"/>
      <c r="C226" s="962" t="s">
        <v>3</v>
      </c>
      <c r="D226" s="962"/>
      <c r="E226" s="962"/>
      <c r="F226" s="962"/>
      <c r="G226" s="962"/>
      <c r="H226" s="714">
        <f>SUM(H209:H225)</f>
        <v>1954</v>
      </c>
      <c r="I226" s="705"/>
    </row>
    <row r="227" spans="2:11" ht="13.5" customHeight="1">
      <c r="B227" s="704"/>
      <c r="C227" s="578"/>
      <c r="D227" s="578"/>
      <c r="E227" s="578"/>
      <c r="F227" s="578"/>
      <c r="G227" s="578"/>
      <c r="H227" s="699"/>
      <c r="I227" s="705"/>
    </row>
    <row r="228" spans="2:11" ht="13.5" customHeight="1">
      <c r="B228" s="701">
        <v>4.0199999999999996</v>
      </c>
      <c r="C228" s="641" t="s">
        <v>440</v>
      </c>
      <c r="D228" s="699"/>
      <c r="E228" s="699"/>
      <c r="F228" s="700"/>
      <c r="G228" s="700"/>
      <c r="H228" s="702" t="s">
        <v>0</v>
      </c>
      <c r="I228" s="703">
        <f>G232</f>
        <v>367.66</v>
      </c>
    </row>
    <row r="229" spans="2:11" ht="13.5" customHeight="1">
      <c r="B229" s="715"/>
      <c r="C229" s="641"/>
      <c r="D229" s="699"/>
      <c r="E229" s="699"/>
      <c r="F229" s="700"/>
      <c r="G229" s="700"/>
      <c r="H229" s="699"/>
      <c r="I229" s="705"/>
    </row>
    <row r="230" spans="2:11" ht="13.5" customHeight="1">
      <c r="B230" s="572"/>
      <c r="C230" s="708" t="s">
        <v>34</v>
      </c>
      <c r="D230" s="784" t="s">
        <v>44</v>
      </c>
      <c r="E230" s="784" t="s">
        <v>304</v>
      </c>
      <c r="F230" s="784" t="s">
        <v>5</v>
      </c>
      <c r="G230" s="784" t="s">
        <v>4</v>
      </c>
      <c r="H230" s="578"/>
      <c r="I230" s="705"/>
      <c r="K230" s="668"/>
    </row>
    <row r="231" spans="2:11" ht="13.5" customHeight="1">
      <c r="B231" s="572"/>
      <c r="C231" s="786" t="s">
        <v>441</v>
      </c>
      <c r="D231" s="640" t="s">
        <v>241</v>
      </c>
      <c r="E231" s="640">
        <v>1</v>
      </c>
      <c r="F231" s="640"/>
      <c r="G231" s="776">
        <v>367.66</v>
      </c>
      <c r="H231" s="737"/>
      <c r="I231" s="705"/>
    </row>
    <row r="232" spans="2:11" ht="13.5" customHeight="1">
      <c r="B232" s="701"/>
      <c r="C232" s="962" t="s">
        <v>3</v>
      </c>
      <c r="D232" s="962"/>
      <c r="E232" s="962"/>
      <c r="F232" s="962"/>
      <c r="G232" s="714">
        <f>SUM(G231:G231)</f>
        <v>367.66</v>
      </c>
      <c r="H232" s="702"/>
      <c r="I232" s="703"/>
      <c r="K232" s="668"/>
    </row>
    <row r="233" spans="2:11" ht="13.5" customHeight="1">
      <c r="B233" s="715"/>
      <c r="C233" s="641"/>
      <c r="D233" s="699"/>
      <c r="E233" s="699"/>
      <c r="F233" s="700"/>
      <c r="G233" s="700"/>
      <c r="H233" s="699"/>
      <c r="I233" s="705"/>
    </row>
    <row r="234" spans="2:11" ht="13.5" customHeight="1">
      <c r="B234" s="704"/>
      <c r="C234" s="578"/>
      <c r="D234" s="578"/>
      <c r="E234" s="578"/>
      <c r="F234" s="578"/>
      <c r="G234" s="578"/>
      <c r="H234" s="699"/>
      <c r="I234" s="705"/>
    </row>
    <row r="235" spans="2:11" s="831" customFormat="1" ht="13.5" hidden="1" customHeight="1">
      <c r="B235" s="850" t="s">
        <v>321</v>
      </c>
      <c r="C235" s="851"/>
      <c r="D235" s="838"/>
      <c r="E235" s="838"/>
      <c r="F235" s="838"/>
      <c r="G235" s="840"/>
      <c r="H235" s="840" t="s">
        <v>0</v>
      </c>
      <c r="I235" s="841">
        <f>+I238+I251+I246</f>
        <v>0</v>
      </c>
      <c r="J235" s="842"/>
    </row>
    <row r="236" spans="2:11" s="844" customFormat="1" ht="13.5" hidden="1" customHeight="1">
      <c r="B236" s="852"/>
      <c r="C236" s="853"/>
      <c r="D236" s="845"/>
      <c r="E236" s="845"/>
      <c r="F236" s="845"/>
      <c r="G236" s="847"/>
      <c r="H236" s="847"/>
      <c r="I236" s="848"/>
      <c r="J236" s="849"/>
    </row>
    <row r="237" spans="2:11" ht="13.5" hidden="1" customHeight="1">
      <c r="B237" s="715"/>
      <c r="C237" s="641"/>
      <c r="D237" s="699"/>
      <c r="E237" s="699"/>
      <c r="F237" s="700"/>
      <c r="G237" s="700"/>
      <c r="H237" s="699"/>
      <c r="I237" s="705"/>
    </row>
    <row r="238" spans="2:11" ht="13.5" hidden="1" customHeight="1">
      <c r="B238" s="701"/>
      <c r="C238" s="641" t="s">
        <v>442</v>
      </c>
      <c r="D238" s="699"/>
      <c r="E238" s="699"/>
      <c r="F238" s="700"/>
      <c r="G238" s="700"/>
      <c r="H238" s="702" t="s">
        <v>0</v>
      </c>
      <c r="I238" s="703">
        <f>G244</f>
        <v>0</v>
      </c>
    </row>
    <row r="239" spans="2:11" ht="13.5" hidden="1" customHeight="1">
      <c r="B239" s="715"/>
      <c r="C239" s="641"/>
      <c r="D239" s="699"/>
      <c r="E239" s="699"/>
      <c r="F239" s="700"/>
      <c r="G239" s="700"/>
      <c r="H239" s="699"/>
      <c r="I239" s="705"/>
    </row>
    <row r="240" spans="2:11" ht="13.5" hidden="1" customHeight="1">
      <c r="B240" s="572"/>
      <c r="C240" s="708" t="s">
        <v>34</v>
      </c>
      <c r="D240" s="784" t="s">
        <v>44</v>
      </c>
      <c r="E240" s="784" t="s">
        <v>304</v>
      </c>
      <c r="F240" s="784" t="s">
        <v>5</v>
      </c>
      <c r="G240" s="784" t="s">
        <v>4</v>
      </c>
      <c r="H240" s="578"/>
      <c r="I240" s="705"/>
    </row>
    <row r="241" spans="2:9" ht="13.5" hidden="1" customHeight="1">
      <c r="B241" s="572"/>
      <c r="C241" s="786" t="s">
        <v>536</v>
      </c>
      <c r="D241" s="640" t="s">
        <v>241</v>
      </c>
      <c r="E241" s="640">
        <v>0</v>
      </c>
      <c r="F241" s="640">
        <v>10000</v>
      </c>
      <c r="G241" s="776">
        <f>+E241*F241</f>
        <v>0</v>
      </c>
      <c r="H241" s="737"/>
      <c r="I241" s="705"/>
    </row>
    <row r="242" spans="2:9" ht="13.5" hidden="1" customHeight="1">
      <c r="B242" s="704"/>
      <c r="C242" s="786" t="s">
        <v>537</v>
      </c>
      <c r="D242" s="640" t="s">
        <v>241</v>
      </c>
      <c r="E242" s="640">
        <v>0</v>
      </c>
      <c r="F242" s="640">
        <v>6000</v>
      </c>
      <c r="G242" s="776">
        <f>+E242*F242</f>
        <v>0</v>
      </c>
      <c r="H242" s="699"/>
      <c r="I242" s="705"/>
    </row>
    <row r="243" spans="2:9" ht="13.5" hidden="1" customHeight="1">
      <c r="B243" s="704"/>
      <c r="C243" s="786" t="s">
        <v>526</v>
      </c>
      <c r="D243" s="640" t="s">
        <v>241</v>
      </c>
      <c r="E243" s="640">
        <v>0</v>
      </c>
      <c r="F243" s="640">
        <v>1500</v>
      </c>
      <c r="G243" s="776">
        <f>+E243*F243</f>
        <v>0</v>
      </c>
      <c r="H243" s="699"/>
      <c r="I243" s="705"/>
    </row>
    <row r="244" spans="2:9" ht="13.5" hidden="1" customHeight="1">
      <c r="B244" s="701"/>
      <c r="C244" s="962" t="s">
        <v>3</v>
      </c>
      <c r="D244" s="962"/>
      <c r="E244" s="962"/>
      <c r="F244" s="962"/>
      <c r="G244" s="714">
        <f>SUM(G241:G243)</f>
        <v>0</v>
      </c>
      <c r="H244" s="702"/>
      <c r="I244" s="703"/>
    </row>
    <row r="245" spans="2:9" ht="13.5" hidden="1" customHeight="1">
      <c r="B245" s="715"/>
      <c r="C245" s="641"/>
      <c r="D245" s="699"/>
      <c r="E245" s="699"/>
      <c r="F245" s="700"/>
      <c r="G245" s="700"/>
      <c r="H245" s="699"/>
      <c r="I245" s="705"/>
    </row>
    <row r="246" spans="2:9" ht="13.5" hidden="1" customHeight="1">
      <c r="B246" s="715"/>
      <c r="C246" s="641" t="s">
        <v>521</v>
      </c>
      <c r="D246" s="699"/>
      <c r="E246" s="699"/>
      <c r="F246" s="700"/>
      <c r="G246" s="700"/>
      <c r="H246" s="702" t="s">
        <v>0</v>
      </c>
      <c r="I246" s="703">
        <f>G250</f>
        <v>0</v>
      </c>
    </row>
    <row r="247" spans="2:9" ht="13.5" hidden="1" customHeight="1">
      <c r="B247" s="715"/>
      <c r="C247" s="641"/>
      <c r="D247" s="699"/>
      <c r="E247" s="699"/>
      <c r="F247" s="700"/>
      <c r="G247" s="700"/>
      <c r="H247" s="699"/>
      <c r="I247" s="705"/>
    </row>
    <row r="248" spans="2:9" ht="13.5" hidden="1" customHeight="1">
      <c r="B248" s="715"/>
      <c r="C248" s="708" t="s">
        <v>34</v>
      </c>
      <c r="D248" s="784" t="s">
        <v>44</v>
      </c>
      <c r="E248" s="784" t="s">
        <v>304</v>
      </c>
      <c r="F248" s="784" t="s">
        <v>5</v>
      </c>
      <c r="G248" s="784" t="s">
        <v>4</v>
      </c>
      <c r="H248" s="578"/>
      <c r="I248" s="705"/>
    </row>
    <row r="249" spans="2:9" ht="13.5" hidden="1" customHeight="1">
      <c r="B249" s="715"/>
      <c r="C249" s="786" t="s">
        <v>522</v>
      </c>
      <c r="D249" s="640" t="s">
        <v>122</v>
      </c>
      <c r="E249" s="640">
        <v>0</v>
      </c>
      <c r="F249" s="640">
        <v>120</v>
      </c>
      <c r="G249" s="776">
        <f>+E249*F249</f>
        <v>0</v>
      </c>
      <c r="H249" s="737"/>
      <c r="I249" s="705"/>
    </row>
    <row r="250" spans="2:9" ht="13.5" hidden="1" customHeight="1">
      <c r="B250" s="715"/>
      <c r="C250" s="962" t="s">
        <v>3</v>
      </c>
      <c r="D250" s="962"/>
      <c r="E250" s="962"/>
      <c r="F250" s="962"/>
      <c r="G250" s="714">
        <f>SUM(G249:G249)</f>
        <v>0</v>
      </c>
      <c r="H250" s="702"/>
      <c r="I250" s="703"/>
    </row>
    <row r="251" spans="2:9" ht="13.5" hidden="1" customHeight="1">
      <c r="B251" s="701"/>
      <c r="C251" s="641" t="s">
        <v>443</v>
      </c>
      <c r="D251" s="699"/>
      <c r="E251" s="699"/>
      <c r="F251" s="700"/>
      <c r="G251" s="700"/>
      <c r="H251" s="702" t="s">
        <v>0</v>
      </c>
      <c r="I251" s="703">
        <f>G255</f>
        <v>0</v>
      </c>
    </row>
    <row r="252" spans="2:9" ht="13.5" hidden="1" customHeight="1">
      <c r="B252" s="715"/>
      <c r="C252" s="641"/>
      <c r="D252" s="699"/>
      <c r="E252" s="699"/>
      <c r="F252" s="700"/>
      <c r="G252" s="700"/>
      <c r="H252" s="699"/>
      <c r="I252" s="705"/>
    </row>
    <row r="253" spans="2:9" ht="13.5" hidden="1" customHeight="1">
      <c r="B253" s="572"/>
      <c r="C253" s="708" t="s">
        <v>34</v>
      </c>
      <c r="D253" s="784" t="s">
        <v>44</v>
      </c>
      <c r="E253" s="784" t="s">
        <v>304</v>
      </c>
      <c r="F253" s="784" t="s">
        <v>5</v>
      </c>
      <c r="G253" s="784" t="s">
        <v>4</v>
      </c>
      <c r="H253" s="578"/>
      <c r="I253" s="705"/>
    </row>
    <row r="254" spans="2:9" ht="13.5" hidden="1" customHeight="1">
      <c r="B254" s="572"/>
      <c r="C254" s="786" t="s">
        <v>444</v>
      </c>
      <c r="D254" s="640" t="s">
        <v>122</v>
      </c>
      <c r="E254" s="640">
        <v>0</v>
      </c>
      <c r="F254" s="640">
        <v>200</v>
      </c>
      <c r="G254" s="776">
        <f>+E254*F254</f>
        <v>0</v>
      </c>
      <c r="H254" s="737"/>
      <c r="I254" s="705"/>
    </row>
    <row r="255" spans="2:9" ht="13.5" hidden="1" customHeight="1">
      <c r="B255" s="701"/>
      <c r="C255" s="962" t="s">
        <v>3</v>
      </c>
      <c r="D255" s="962"/>
      <c r="E255" s="962"/>
      <c r="F255" s="962"/>
      <c r="G255" s="714">
        <f>SUM(G254:G254)</f>
        <v>0</v>
      </c>
      <c r="H255" s="702"/>
      <c r="I255" s="703"/>
    </row>
    <row r="256" spans="2:9" ht="13.5" hidden="1" customHeight="1">
      <c r="B256" s="715"/>
      <c r="C256" s="641"/>
      <c r="D256" s="699"/>
      <c r="E256" s="699"/>
      <c r="F256" s="700"/>
      <c r="G256" s="700"/>
      <c r="H256" s="699"/>
      <c r="I256" s="705"/>
    </row>
    <row r="257" spans="2:12" ht="13.5" hidden="1" customHeight="1">
      <c r="B257" s="572"/>
      <c r="C257" s="578"/>
      <c r="D257" s="578"/>
      <c r="E257" s="578"/>
      <c r="F257" s="578"/>
      <c r="G257" s="578"/>
      <c r="H257" s="699"/>
      <c r="I257" s="705"/>
    </row>
    <row r="258" spans="2:12" ht="13.5" customHeight="1">
      <c r="B258" s="704"/>
      <c r="C258" s="578"/>
      <c r="D258" s="578"/>
      <c r="E258" s="578"/>
      <c r="F258" s="578"/>
      <c r="G258" s="578"/>
      <c r="H258" s="699"/>
      <c r="I258" s="705"/>
      <c r="L258" s="668"/>
    </row>
    <row r="259" spans="2:12" ht="13.5" customHeight="1">
      <c r="B259" s="1060" t="s">
        <v>303</v>
      </c>
      <c r="C259" s="1060"/>
      <c r="D259" s="1060"/>
      <c r="E259" s="1060"/>
      <c r="F259" s="1060"/>
      <c r="G259" s="1060"/>
      <c r="H259" s="702" t="s">
        <v>0</v>
      </c>
      <c r="I259" s="703">
        <f>+I21</f>
        <v>11640.48</v>
      </c>
      <c r="K259" s="712"/>
      <c r="L259" s="712"/>
    </row>
    <row r="260" spans="2:12" ht="13.5" customHeight="1"/>
    <row r="261" spans="2:12" ht="13.5" customHeight="1">
      <c r="I261" s="781"/>
    </row>
    <row r="262" spans="2:12" ht="13.5" customHeight="1">
      <c r="I262" s="703"/>
    </row>
    <row r="263" spans="2:12" ht="13.5" customHeight="1">
      <c r="I263" s="703"/>
    </row>
    <row r="264" spans="2:12" ht="13.5" customHeight="1">
      <c r="I264" s="703"/>
    </row>
    <row r="265" spans="2:12" ht="12.75" customHeight="1">
      <c r="I265" s="703"/>
    </row>
    <row r="266" spans="2:12" ht="12.75" customHeight="1"/>
    <row r="267" spans="2:12" ht="12.75" customHeight="1"/>
    <row r="268" spans="2:12" ht="12.75" customHeight="1"/>
    <row r="269" spans="2:12" ht="12.75" customHeight="1"/>
    <row r="270" spans="2:12" ht="12.75" customHeight="1"/>
    <row r="271" spans="2:12" ht="12.75" customHeight="1"/>
    <row r="272" spans="2:12" ht="12.75" customHeight="1"/>
    <row r="273" spans="2:9" ht="12.75" customHeight="1"/>
    <row r="274" spans="2:9" ht="12.75" customHeight="1"/>
    <row r="275" spans="2:9" ht="12.75" customHeight="1"/>
    <row r="276" spans="2:9" ht="12.75" customHeight="1"/>
    <row r="277" spans="2:9" ht="12.75" customHeight="1"/>
    <row r="278" spans="2:9" ht="12.75" customHeight="1"/>
    <row r="279" spans="2:9" ht="12.75" customHeight="1"/>
    <row r="280" spans="2:9" ht="12.75" customHeight="1"/>
    <row r="281" spans="2:9" ht="12.75" customHeight="1"/>
    <row r="282" spans="2:9" ht="18" customHeight="1"/>
    <row r="283" spans="2:9" ht="12.75" customHeight="1"/>
    <row r="284" spans="2:9" ht="12.75" customHeight="1"/>
    <row r="285" spans="2:9" ht="12.75" customHeight="1"/>
    <row r="286" spans="2:9" ht="12.75" customHeight="1"/>
    <row r="287" spans="2:9" ht="12.75" customHeight="1"/>
    <row r="288" spans="2:9" s="782" customFormat="1" ht="18" customHeight="1">
      <c r="B288" s="642"/>
      <c r="C288" s="569"/>
      <c r="D288" s="569"/>
      <c r="E288" s="569"/>
      <c r="F288" s="570"/>
      <c r="G288" s="570"/>
      <c r="H288" s="569"/>
      <c r="I288" s="569"/>
    </row>
  </sheetData>
  <mergeCells count="36">
    <mergeCell ref="C3:I3"/>
    <mergeCell ref="C4:I4"/>
    <mergeCell ref="C5:I5"/>
    <mergeCell ref="C6:I6"/>
    <mergeCell ref="C69:G69"/>
    <mergeCell ref="C47:G47"/>
    <mergeCell ref="B8:I8"/>
    <mergeCell ref="D14:I15"/>
    <mergeCell ref="B23:I23"/>
    <mergeCell ref="B25:I25"/>
    <mergeCell ref="D16:H16"/>
    <mergeCell ref="C21:H21"/>
    <mergeCell ref="D17:H17"/>
    <mergeCell ref="D18:H18"/>
    <mergeCell ref="D19:H19"/>
    <mergeCell ref="D20:H20"/>
    <mergeCell ref="B259:G259"/>
    <mergeCell ref="C184:G184"/>
    <mergeCell ref="C190:D190"/>
    <mergeCell ref="C191:D191"/>
    <mergeCell ref="C200:G200"/>
    <mergeCell ref="C244:F244"/>
    <mergeCell ref="C232:F232"/>
    <mergeCell ref="C250:F250"/>
    <mergeCell ref="C87:G87"/>
    <mergeCell ref="C255:F255"/>
    <mergeCell ref="C176:G176"/>
    <mergeCell ref="C182:D182"/>
    <mergeCell ref="C183:D183"/>
    <mergeCell ref="C226:G226"/>
    <mergeCell ref="C146:G146"/>
    <mergeCell ref="C175:D175"/>
    <mergeCell ref="C126:G126"/>
    <mergeCell ref="C166:G166"/>
    <mergeCell ref="C174:D174"/>
    <mergeCell ref="C108:G108"/>
  </mergeCells>
  <conditionalFormatting sqref="D14:E14">
    <cfRule type="aboveAverage" dxfId="0" priority="1" stopIfTrue="1" aboveAverage="0"/>
  </conditionalFormatting>
  <printOptions horizontalCentered="1"/>
  <pageMargins left="0.82" right="0.61" top="0.62" bottom="0.98425196850393704" header="0" footer="0"/>
  <pageSetup paperSize="9" scale="67" fitToHeight="4" orientation="portrait" horizontalDpi="4294967293" r:id="rId1"/>
  <headerFooter alignWithMargins="0">
    <oddFooter>&amp;C&amp;G</oddFooter>
  </headerFooter>
  <rowBreaks count="4" manualBreakCount="4">
    <brk id="70" min="1" max="8" man="1"/>
    <brk id="127" min="1" max="8" man="1"/>
    <brk id="185" min="1" max="8" man="1"/>
    <brk id="203" min="1" max="8" man="1"/>
  </rowBreaks>
  <drawing r:id="rId2"/>
  <legacyDrawing r:id="rId3"/>
  <legacyDrawingHF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3"/>
  </sheetPr>
  <dimension ref="B2:D11"/>
  <sheetViews>
    <sheetView workbookViewId="0">
      <selection activeCell="D16" sqref="D16"/>
    </sheetView>
  </sheetViews>
  <sheetFormatPr baseColWidth="10" defaultRowHeight="13.2"/>
  <cols>
    <col min="2" max="2" width="13" customWidth="1"/>
    <col min="3" max="3" width="65.5546875" customWidth="1"/>
    <col min="4" max="4" width="13.5546875" customWidth="1"/>
  </cols>
  <sheetData>
    <row r="2" spans="2:4" s="919" customFormat="1">
      <c r="B2" s="920" t="s">
        <v>471</v>
      </c>
      <c r="C2" s="921" t="s">
        <v>99</v>
      </c>
      <c r="D2" s="922">
        <f>SUM(G.General!I17+'Gestion del proyecto'!I17)</f>
        <v>69833.58</v>
      </c>
    </row>
    <row r="3" spans="2:4" s="919" customFormat="1">
      <c r="B3" s="920" t="s">
        <v>472</v>
      </c>
      <c r="C3" s="921" t="s">
        <v>100</v>
      </c>
      <c r="D3" s="922">
        <f>SUM(G.General!I18+'Gestion del proyecto'!I18)</f>
        <v>8595</v>
      </c>
    </row>
    <row r="4" spans="2:4" s="919" customFormat="1">
      <c r="B4" s="920" t="s">
        <v>473</v>
      </c>
      <c r="C4" s="921" t="s">
        <v>101</v>
      </c>
      <c r="D4" s="922">
        <f>SUM(G.General!I19+'Gestion del proyecto'!I19)</f>
        <v>2380</v>
      </c>
    </row>
    <row r="5" spans="2:4" s="919" customFormat="1">
      <c r="B5" s="920" t="s">
        <v>474</v>
      </c>
      <c r="C5" s="921" t="s">
        <v>102</v>
      </c>
      <c r="D5" s="922">
        <f>SUM(G.General!I20+'Gestion del proyecto'!I20)</f>
        <v>0</v>
      </c>
    </row>
    <row r="6" spans="2:4" s="919" customFormat="1">
      <c r="B6" s="920" t="s">
        <v>262</v>
      </c>
      <c r="C6" s="920" t="s">
        <v>656</v>
      </c>
      <c r="D6" s="922">
        <f>SUM('G. Supervision'!I17+'G. Liquidacion'!H17)</f>
        <v>36265.340000000004</v>
      </c>
    </row>
    <row r="7" spans="2:4" s="919" customFormat="1">
      <c r="B7" s="920" t="s">
        <v>263</v>
      </c>
      <c r="C7" s="920" t="s">
        <v>657</v>
      </c>
      <c r="D7" s="922">
        <f>SUM('G. Supervision'!I18+'G. Liquidacion'!H18)</f>
        <v>3391.8</v>
      </c>
    </row>
    <row r="8" spans="2:4" s="919" customFormat="1">
      <c r="B8" s="920" t="s">
        <v>264</v>
      </c>
      <c r="C8" s="920" t="s">
        <v>658</v>
      </c>
      <c r="D8" s="922">
        <f>SUM('G. Supervision'!I19+'G. Liquidacion'!H19)</f>
        <v>2100</v>
      </c>
    </row>
    <row r="9" spans="2:4" s="919" customFormat="1">
      <c r="B9" s="920" t="s">
        <v>660</v>
      </c>
      <c r="C9" s="920" t="s">
        <v>659</v>
      </c>
      <c r="D9" s="922">
        <f>SUM('G. Supervision'!I20+'G. Liquidacion'!H20)</f>
        <v>0</v>
      </c>
    </row>
    <row r="10" spans="2:4" s="919" customFormat="1">
      <c r="B10" s="920" t="s">
        <v>311</v>
      </c>
      <c r="C10" s="920" t="s">
        <v>312</v>
      </c>
      <c r="D10" s="922">
        <f>'G. Exp. Tecnico'!I17</f>
        <v>11640.48</v>
      </c>
    </row>
    <row r="11" spans="2:4">
      <c r="D11" s="918">
        <f>SUM(D2:D10)</f>
        <v>134206.20000000001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43"/>
  </sheetPr>
  <dimension ref="A1:BG16"/>
  <sheetViews>
    <sheetView zoomScale="115" zoomScaleNormal="115" workbookViewId="0">
      <selection activeCell="E19" sqref="E19"/>
    </sheetView>
  </sheetViews>
  <sheetFormatPr baseColWidth="10" defaultColWidth="11.44140625" defaultRowHeight="11.4"/>
  <cols>
    <col min="1" max="1" width="3.109375" style="594" customWidth="1"/>
    <col min="2" max="2" width="31.109375" style="594" customWidth="1"/>
    <col min="3" max="3" width="7.5546875" style="594" customWidth="1"/>
    <col min="4" max="5" width="6.6640625" style="594" customWidth="1"/>
    <col min="6" max="6" width="8" style="594" customWidth="1"/>
    <col min="7" max="8" width="6.6640625" style="594" customWidth="1"/>
    <col min="9" max="9" width="7.6640625" style="594" customWidth="1"/>
    <col min="10" max="14" width="6.6640625" style="594" customWidth="1"/>
    <col min="15" max="20" width="6.6640625" style="594" hidden="1" customWidth="1"/>
    <col min="21" max="23" width="6.6640625" style="594" customWidth="1"/>
    <col min="24" max="24" width="7.44140625" style="594" hidden="1" customWidth="1"/>
    <col min="25" max="32" width="6.6640625" style="594" hidden="1" customWidth="1"/>
    <col min="33" max="38" width="6.6640625" style="594" customWidth="1"/>
    <col min="39" max="39" width="7.6640625" style="594" customWidth="1"/>
    <col min="40" max="41" width="6.6640625" style="594" customWidth="1"/>
    <col min="42" max="42" width="6.88671875" style="594" hidden="1" customWidth="1"/>
    <col min="43" max="44" width="6.6640625" style="594" hidden="1" customWidth="1"/>
    <col min="45" max="50" width="6.6640625" style="594" customWidth="1"/>
    <col min="51" max="53" width="6.6640625" style="594" hidden="1" customWidth="1"/>
    <col min="54" max="55" width="8.33203125" style="594" customWidth="1"/>
    <col min="56" max="56" width="28.33203125" style="594" customWidth="1"/>
    <col min="57" max="58" width="8.33203125" style="594" customWidth="1"/>
    <col min="59" max="59" width="10.33203125" style="594" customWidth="1"/>
    <col min="60" max="16384" width="11.44140625" style="594"/>
  </cols>
  <sheetData>
    <row r="1" spans="1:59" s="582" customFormat="1" ht="18" customHeight="1">
      <c r="B1" s="1068" t="s">
        <v>507</v>
      </c>
      <c r="C1" s="1068"/>
      <c r="D1" s="1068"/>
      <c r="E1" s="1068"/>
      <c r="F1" s="1068"/>
      <c r="G1" s="1068"/>
      <c r="H1" s="1068"/>
      <c r="I1" s="1068"/>
      <c r="J1" s="1068"/>
      <c r="K1" s="1068"/>
      <c r="L1" s="1068"/>
      <c r="M1" s="1068"/>
      <c r="N1" s="1068"/>
      <c r="O1" s="1068"/>
      <c r="P1" s="1068"/>
      <c r="Q1" s="1068"/>
      <c r="R1" s="1068"/>
      <c r="S1" s="1068"/>
      <c r="T1" s="1068"/>
      <c r="U1" s="1068"/>
      <c r="V1" s="1068"/>
      <c r="W1" s="1068"/>
      <c r="X1" s="1068"/>
      <c r="Y1" s="1068"/>
      <c r="Z1" s="1068"/>
      <c r="AA1" s="1068"/>
      <c r="AB1" s="1068"/>
      <c r="AC1" s="1068"/>
      <c r="AD1" s="1068"/>
      <c r="AE1" s="1068"/>
      <c r="AF1" s="1068"/>
      <c r="AG1" s="1068"/>
      <c r="AH1" s="1068"/>
      <c r="AI1" s="1068"/>
      <c r="AJ1" s="1068"/>
      <c r="AK1" s="1068"/>
      <c r="AL1" s="1068"/>
      <c r="AM1" s="1068"/>
      <c r="AN1" s="1068"/>
      <c r="AO1" s="1068"/>
      <c r="AP1" s="1068"/>
      <c r="AQ1" s="1068"/>
      <c r="AR1" s="1068"/>
      <c r="AS1" s="1068"/>
      <c r="AT1" s="1068"/>
      <c r="AU1" s="1068"/>
      <c r="AV1" s="1068"/>
      <c r="AW1" s="1068"/>
      <c r="AX1" s="1068"/>
      <c r="AY1" s="1068"/>
      <c r="AZ1" s="1068"/>
      <c r="BA1" s="1068"/>
      <c r="BB1" s="583"/>
      <c r="BC1" s="583"/>
      <c r="BD1" s="583"/>
      <c r="BE1" s="583"/>
      <c r="BF1" s="583"/>
      <c r="BG1" s="583"/>
    </row>
    <row r="2" spans="1:59" s="582" customFormat="1" ht="18" customHeight="1" thickBot="1">
      <c r="B2" s="1069"/>
      <c r="C2" s="1069"/>
      <c r="D2" s="1069"/>
      <c r="E2" s="1069"/>
      <c r="F2" s="1069"/>
      <c r="G2" s="1069"/>
      <c r="H2" s="1069"/>
      <c r="I2" s="1069"/>
      <c r="J2" s="1069"/>
      <c r="K2" s="1069"/>
      <c r="L2" s="1069"/>
      <c r="M2" s="1069"/>
      <c r="N2" s="1069"/>
      <c r="O2" s="1069"/>
      <c r="P2" s="1069"/>
      <c r="Q2" s="1069"/>
      <c r="R2" s="1069"/>
      <c r="S2" s="1069"/>
      <c r="T2" s="1069"/>
      <c r="U2" s="1069"/>
      <c r="V2" s="1069"/>
      <c r="W2" s="1069"/>
      <c r="X2" s="1069"/>
      <c r="Y2" s="1069"/>
      <c r="Z2" s="1069"/>
      <c r="AA2" s="1069"/>
      <c r="AB2" s="1069"/>
      <c r="AC2" s="1069"/>
      <c r="AD2" s="1069"/>
      <c r="AE2" s="1069"/>
      <c r="AF2" s="1069"/>
      <c r="AG2" s="1069"/>
      <c r="AH2" s="1069"/>
      <c r="AI2" s="1069"/>
      <c r="AJ2" s="1069"/>
      <c r="AK2" s="1069"/>
      <c r="AL2" s="1069"/>
      <c r="AM2" s="1069"/>
      <c r="AN2" s="1069"/>
      <c r="AO2" s="1069"/>
      <c r="AP2" s="1069"/>
      <c r="AQ2" s="1069"/>
      <c r="AR2" s="1069"/>
      <c r="AS2" s="1069"/>
      <c r="AT2" s="1069"/>
      <c r="AU2" s="1069"/>
      <c r="AV2" s="1069"/>
      <c r="AW2" s="1069"/>
      <c r="AX2" s="1069"/>
      <c r="AY2" s="1069"/>
      <c r="AZ2" s="1069"/>
      <c r="BA2" s="1069"/>
      <c r="BB2" s="583"/>
      <c r="BC2" s="583"/>
      <c r="BD2" s="583"/>
      <c r="BE2" s="583"/>
      <c r="BF2" s="583"/>
      <c r="BG2" s="583"/>
    </row>
    <row r="3" spans="1:59" s="587" customFormat="1" ht="35.25" customHeight="1">
      <c r="A3" s="1062" t="s">
        <v>225</v>
      </c>
      <c r="B3" s="1064" t="s">
        <v>480</v>
      </c>
      <c r="C3" s="1066" t="s">
        <v>236</v>
      </c>
      <c r="D3" s="1066"/>
      <c r="E3" s="1066"/>
      <c r="F3" s="1066" t="s">
        <v>485</v>
      </c>
      <c r="G3" s="1066"/>
      <c r="H3" s="1066"/>
      <c r="I3" s="1066" t="s">
        <v>421</v>
      </c>
      <c r="J3" s="1066"/>
      <c r="K3" s="1066"/>
      <c r="L3" s="1066" t="s">
        <v>481</v>
      </c>
      <c r="M3" s="1066"/>
      <c r="N3" s="1066"/>
      <c r="O3" s="1066" t="s">
        <v>482</v>
      </c>
      <c r="P3" s="1066"/>
      <c r="Q3" s="1066"/>
      <c r="R3" s="1066" t="s">
        <v>483</v>
      </c>
      <c r="S3" s="1066"/>
      <c r="T3" s="1066"/>
      <c r="U3" s="1066" t="s">
        <v>484</v>
      </c>
      <c r="V3" s="1066"/>
      <c r="W3" s="1066"/>
      <c r="X3" s="1066" t="s">
        <v>485</v>
      </c>
      <c r="Y3" s="1066"/>
      <c r="Z3" s="1066"/>
      <c r="AA3" s="1066" t="s">
        <v>486</v>
      </c>
      <c r="AB3" s="1066"/>
      <c r="AC3" s="1066"/>
      <c r="AD3" s="1066" t="s">
        <v>487</v>
      </c>
      <c r="AE3" s="1066"/>
      <c r="AF3" s="1066"/>
      <c r="AG3" s="1066" t="s">
        <v>488</v>
      </c>
      <c r="AH3" s="1066"/>
      <c r="AI3" s="1066"/>
      <c r="AJ3" s="1066" t="s">
        <v>489</v>
      </c>
      <c r="AK3" s="1066"/>
      <c r="AL3" s="1066"/>
      <c r="AM3" s="1066" t="s">
        <v>490</v>
      </c>
      <c r="AN3" s="1066"/>
      <c r="AO3" s="1066"/>
      <c r="AP3" s="1066" t="s">
        <v>491</v>
      </c>
      <c r="AQ3" s="1066"/>
      <c r="AR3" s="1066"/>
      <c r="AS3" s="1066" t="s">
        <v>492</v>
      </c>
      <c r="AT3" s="1066"/>
      <c r="AU3" s="1066"/>
      <c r="AV3" s="1066" t="s">
        <v>493</v>
      </c>
      <c r="AW3" s="1066"/>
      <c r="AX3" s="1066"/>
      <c r="AY3" s="1066" t="s">
        <v>494</v>
      </c>
      <c r="AZ3" s="1066"/>
      <c r="BA3" s="1070"/>
      <c r="BB3" s="584"/>
      <c r="BC3" s="585"/>
      <c r="BD3" s="586"/>
      <c r="BE3" s="1067"/>
      <c r="BF3" s="1067"/>
      <c r="BG3" s="1067"/>
    </row>
    <row r="4" spans="1:59" ht="18" customHeight="1" thickBot="1">
      <c r="A4" s="1063"/>
      <c r="B4" s="1065"/>
      <c r="C4" s="588" t="s">
        <v>394</v>
      </c>
      <c r="D4" s="588" t="s">
        <v>420</v>
      </c>
      <c r="E4" s="588" t="s">
        <v>495</v>
      </c>
      <c r="F4" s="588" t="s">
        <v>394</v>
      </c>
      <c r="G4" s="588" t="s">
        <v>420</v>
      </c>
      <c r="H4" s="588" t="s">
        <v>495</v>
      </c>
      <c r="I4" s="588" t="s">
        <v>394</v>
      </c>
      <c r="J4" s="588" t="s">
        <v>420</v>
      </c>
      <c r="K4" s="588" t="s">
        <v>495</v>
      </c>
      <c r="L4" s="588" t="s">
        <v>394</v>
      </c>
      <c r="M4" s="588" t="s">
        <v>420</v>
      </c>
      <c r="N4" s="588" t="s">
        <v>495</v>
      </c>
      <c r="O4" s="588" t="s">
        <v>394</v>
      </c>
      <c r="P4" s="588" t="s">
        <v>420</v>
      </c>
      <c r="Q4" s="588" t="s">
        <v>495</v>
      </c>
      <c r="R4" s="588" t="s">
        <v>394</v>
      </c>
      <c r="S4" s="588" t="s">
        <v>420</v>
      </c>
      <c r="T4" s="588" t="s">
        <v>495</v>
      </c>
      <c r="U4" s="588" t="s">
        <v>394</v>
      </c>
      <c r="V4" s="588" t="s">
        <v>420</v>
      </c>
      <c r="W4" s="588" t="s">
        <v>495</v>
      </c>
      <c r="X4" s="588" t="s">
        <v>394</v>
      </c>
      <c r="Y4" s="588" t="s">
        <v>420</v>
      </c>
      <c r="Z4" s="588" t="s">
        <v>495</v>
      </c>
      <c r="AA4" s="588" t="s">
        <v>394</v>
      </c>
      <c r="AB4" s="588" t="s">
        <v>420</v>
      </c>
      <c r="AC4" s="588" t="s">
        <v>495</v>
      </c>
      <c r="AD4" s="588" t="s">
        <v>394</v>
      </c>
      <c r="AE4" s="588" t="s">
        <v>420</v>
      </c>
      <c r="AF4" s="588" t="s">
        <v>495</v>
      </c>
      <c r="AG4" s="588" t="s">
        <v>394</v>
      </c>
      <c r="AH4" s="588" t="s">
        <v>420</v>
      </c>
      <c r="AI4" s="588" t="s">
        <v>495</v>
      </c>
      <c r="AJ4" s="588" t="s">
        <v>394</v>
      </c>
      <c r="AK4" s="588" t="s">
        <v>420</v>
      </c>
      <c r="AL4" s="588" t="s">
        <v>495</v>
      </c>
      <c r="AM4" s="588" t="s">
        <v>394</v>
      </c>
      <c r="AN4" s="588" t="s">
        <v>420</v>
      </c>
      <c r="AO4" s="588" t="s">
        <v>495</v>
      </c>
      <c r="AP4" s="588" t="s">
        <v>394</v>
      </c>
      <c r="AQ4" s="588" t="s">
        <v>420</v>
      </c>
      <c r="AR4" s="588" t="s">
        <v>495</v>
      </c>
      <c r="AS4" s="588" t="s">
        <v>394</v>
      </c>
      <c r="AT4" s="588" t="s">
        <v>420</v>
      </c>
      <c r="AU4" s="588" t="s">
        <v>495</v>
      </c>
      <c r="AV4" s="588" t="s">
        <v>394</v>
      </c>
      <c r="AW4" s="588" t="s">
        <v>420</v>
      </c>
      <c r="AX4" s="588" t="s">
        <v>495</v>
      </c>
      <c r="AY4" s="588" t="s">
        <v>394</v>
      </c>
      <c r="AZ4" s="588" t="s">
        <v>420</v>
      </c>
      <c r="BA4" s="589" t="s">
        <v>495</v>
      </c>
      <c r="BB4" s="590"/>
      <c r="BC4" s="591"/>
      <c r="BD4" s="592"/>
      <c r="BE4" s="593"/>
      <c r="BF4" s="593"/>
      <c r="BG4" s="593"/>
    </row>
    <row r="5" spans="1:59" ht="18" customHeight="1">
      <c r="A5" s="595">
        <v>1</v>
      </c>
      <c r="B5" s="596" t="s">
        <v>496</v>
      </c>
      <c r="C5" s="597">
        <v>4150</v>
      </c>
      <c r="D5" s="598">
        <f>ROUND(C5/208,2)</f>
        <v>19.95</v>
      </c>
      <c r="E5" s="598"/>
      <c r="F5" s="597">
        <v>4500</v>
      </c>
      <c r="G5" s="598">
        <f>ROUND(F5/208,2)</f>
        <v>21.63</v>
      </c>
      <c r="H5" s="598"/>
      <c r="I5" s="597">
        <v>3000</v>
      </c>
      <c r="J5" s="598">
        <f>ROUND(I5/208,2)</f>
        <v>14.42</v>
      </c>
      <c r="K5" s="598"/>
      <c r="L5" s="597">
        <v>2600</v>
      </c>
      <c r="M5" s="598">
        <f>ROUND(L5/208,2)</f>
        <v>12.5</v>
      </c>
      <c r="N5" s="598"/>
      <c r="O5" s="597">
        <v>2247</v>
      </c>
      <c r="P5" s="598">
        <f>ROUND(O5/208,2)</f>
        <v>10.8</v>
      </c>
      <c r="Q5" s="598"/>
      <c r="R5" s="597">
        <v>1608.78</v>
      </c>
      <c r="S5" s="598">
        <f>ROUND(R5/208,2)</f>
        <v>7.73</v>
      </c>
      <c r="T5" s="598"/>
      <c r="U5" s="597">
        <v>1900</v>
      </c>
      <c r="V5" s="598">
        <f>ROUND(U5/208,2)</f>
        <v>9.1300000000000008</v>
      </c>
      <c r="W5" s="598"/>
      <c r="X5" s="597">
        <v>8022.3</v>
      </c>
      <c r="Y5" s="598">
        <f>ROUND(X5/208,2)</f>
        <v>38.57</v>
      </c>
      <c r="Z5" s="598"/>
      <c r="AA5" s="597">
        <v>6520.8</v>
      </c>
      <c r="AB5" s="598">
        <f>ROUND(AA5/208,2)</f>
        <v>31.35</v>
      </c>
      <c r="AC5" s="598"/>
      <c r="AD5" s="597">
        <v>5148</v>
      </c>
      <c r="AE5" s="598">
        <f>ROUND(AD5/208,2)</f>
        <v>24.75</v>
      </c>
      <c r="AF5" s="598"/>
      <c r="AG5" s="597">
        <v>4000</v>
      </c>
      <c r="AH5" s="598">
        <f>ROUND(AG5/208,2)</f>
        <v>19.23</v>
      </c>
      <c r="AI5" s="598"/>
      <c r="AJ5" s="597">
        <v>2600</v>
      </c>
      <c r="AK5" s="598">
        <f>ROUND(AJ5/208,2)</f>
        <v>12.5</v>
      </c>
      <c r="AL5" s="598"/>
      <c r="AM5" s="597">
        <v>5000</v>
      </c>
      <c r="AN5" s="598">
        <f>ROUND(AM5/208,2)</f>
        <v>24.04</v>
      </c>
      <c r="AO5" s="598"/>
      <c r="AP5" s="597">
        <v>6520.8</v>
      </c>
      <c r="AQ5" s="598">
        <f>ROUND(AP5/208,2)</f>
        <v>31.35</v>
      </c>
      <c r="AR5" s="598"/>
      <c r="AS5" s="597">
        <v>4000</v>
      </c>
      <c r="AT5" s="598">
        <f>ROUND(AS5/208,2)</f>
        <v>19.23</v>
      </c>
      <c r="AU5" s="598"/>
      <c r="AV5" s="597">
        <v>5662.48</v>
      </c>
      <c r="AW5" s="598">
        <f>ROUND(AV5/208,2)</f>
        <v>27.22</v>
      </c>
      <c r="AX5" s="598"/>
      <c r="AY5" s="597">
        <v>690</v>
      </c>
      <c r="AZ5" s="598">
        <f>ROUND(AY5/208,2)</f>
        <v>3.32</v>
      </c>
      <c r="BA5" s="599"/>
      <c r="BB5" s="600">
        <v>2250</v>
      </c>
      <c r="BC5" s="601">
        <f>BB5*0.22</f>
        <v>495</v>
      </c>
      <c r="BD5" s="602">
        <f>BB5+BC5</f>
        <v>2745</v>
      </c>
      <c r="BE5" s="603"/>
      <c r="BF5" s="604"/>
      <c r="BG5" s="604"/>
    </row>
    <row r="6" spans="1:59" ht="18" customHeight="1">
      <c r="A6" s="605">
        <f t="shared" ref="A6:A14" si="0">1+A5</f>
        <v>2</v>
      </c>
      <c r="B6" s="606" t="s">
        <v>497</v>
      </c>
      <c r="C6" s="607"/>
      <c r="D6" s="607">
        <f>ROUND(C6/208,2)</f>
        <v>0</v>
      </c>
      <c r="E6" s="607"/>
      <c r="F6" s="607"/>
      <c r="G6" s="607">
        <f>ROUND(F6/208,2)</f>
        <v>0</v>
      </c>
      <c r="H6" s="607"/>
      <c r="I6" s="607"/>
      <c r="J6" s="607">
        <f>ROUND(I6/208,2)</f>
        <v>0</v>
      </c>
      <c r="K6" s="607"/>
      <c r="L6" s="607"/>
      <c r="M6" s="607">
        <f>ROUND(L6/208,2)</f>
        <v>0</v>
      </c>
      <c r="N6" s="607"/>
      <c r="O6" s="607"/>
      <c r="P6" s="607">
        <f>ROUND(O6/208,2)</f>
        <v>0</v>
      </c>
      <c r="Q6" s="607"/>
      <c r="R6" s="607"/>
      <c r="S6" s="607">
        <f>ROUND(R6/208,2)</f>
        <v>0</v>
      </c>
      <c r="T6" s="607"/>
      <c r="U6" s="607"/>
      <c r="V6" s="607">
        <f>ROUND(U6/208,2)</f>
        <v>0</v>
      </c>
      <c r="W6" s="607"/>
      <c r="X6" s="607"/>
      <c r="Y6" s="607">
        <f>ROUND(X6/208,2)</f>
        <v>0</v>
      </c>
      <c r="Z6" s="607"/>
      <c r="AA6" s="607"/>
      <c r="AB6" s="607">
        <f>ROUND(AA6/208,2)</f>
        <v>0</v>
      </c>
      <c r="AC6" s="607"/>
      <c r="AD6" s="607"/>
      <c r="AE6" s="607">
        <f>ROUND(AD6/208,2)</f>
        <v>0</v>
      </c>
      <c r="AF6" s="607"/>
      <c r="AG6" s="607"/>
      <c r="AH6" s="607">
        <f>ROUND(AG6/208,2)</f>
        <v>0</v>
      </c>
      <c r="AI6" s="607"/>
      <c r="AJ6" s="607"/>
      <c r="AK6" s="607">
        <f>ROUND(AJ6/208,2)</f>
        <v>0</v>
      </c>
      <c r="AL6" s="607"/>
      <c r="AM6" s="607"/>
      <c r="AN6" s="607">
        <f>ROUND(AM6/208,2)</f>
        <v>0</v>
      </c>
      <c r="AO6" s="607"/>
      <c r="AP6" s="607"/>
      <c r="AQ6" s="607">
        <f>ROUND(AP6/208,2)</f>
        <v>0</v>
      </c>
      <c r="AR6" s="607"/>
      <c r="AS6" s="607"/>
      <c r="AT6" s="607">
        <f>ROUND(AS6/208,2)</f>
        <v>0</v>
      </c>
      <c r="AU6" s="607"/>
      <c r="AV6" s="607"/>
      <c r="AW6" s="607">
        <f>ROUND(AV6/208,2)</f>
        <v>0</v>
      </c>
      <c r="AX6" s="607"/>
      <c r="AY6" s="607"/>
      <c r="AZ6" s="607">
        <f>ROUND(AY6/208,2)</f>
        <v>0</v>
      </c>
      <c r="BA6" s="608"/>
      <c r="BB6" s="600">
        <v>1590</v>
      </c>
      <c r="BC6" s="601">
        <f>BB6*0.22</f>
        <v>349.8</v>
      </c>
      <c r="BD6" s="602">
        <f>BB6+BC6</f>
        <v>1939.8</v>
      </c>
      <c r="BE6" s="603"/>
      <c r="BF6" s="604"/>
      <c r="BG6" s="604"/>
    </row>
    <row r="7" spans="1:59" s="615" customFormat="1" ht="18" customHeight="1">
      <c r="A7" s="609">
        <f t="shared" si="0"/>
        <v>3</v>
      </c>
      <c r="B7" s="610" t="s">
        <v>498</v>
      </c>
      <c r="C7" s="611">
        <v>0</v>
      </c>
      <c r="D7" s="611">
        <f>ROUND(C7/208,2)</f>
        <v>0</v>
      </c>
      <c r="E7" s="611"/>
      <c r="F7" s="611">
        <v>0</v>
      </c>
      <c r="G7" s="611">
        <f>ROUND(F7/208,2)</f>
        <v>0</v>
      </c>
      <c r="H7" s="611"/>
      <c r="I7" s="611">
        <v>0</v>
      </c>
      <c r="J7" s="611">
        <f>ROUND(I7/208,2)</f>
        <v>0</v>
      </c>
      <c r="K7" s="611"/>
      <c r="L7" s="611">
        <v>0</v>
      </c>
      <c r="M7" s="611">
        <f>ROUND(L7/208,2)</f>
        <v>0</v>
      </c>
      <c r="N7" s="611"/>
      <c r="O7" s="611">
        <v>0</v>
      </c>
      <c r="P7" s="611">
        <f>ROUND(O7/208,2)</f>
        <v>0</v>
      </c>
      <c r="Q7" s="611"/>
      <c r="R7" s="611">
        <v>0</v>
      </c>
      <c r="S7" s="611">
        <f>ROUND(R7/208,2)</f>
        <v>0</v>
      </c>
      <c r="T7" s="611"/>
      <c r="U7" s="611">
        <v>0</v>
      </c>
      <c r="V7" s="611">
        <f>ROUND(U7/208,2)</f>
        <v>0</v>
      </c>
      <c r="W7" s="611"/>
      <c r="X7" s="611">
        <v>0</v>
      </c>
      <c r="Y7" s="611">
        <f>ROUND(X7/208,2)</f>
        <v>0</v>
      </c>
      <c r="Z7" s="611"/>
      <c r="AA7" s="611">
        <v>0</v>
      </c>
      <c r="AB7" s="611">
        <f>ROUND(AA7/208,2)</f>
        <v>0</v>
      </c>
      <c r="AC7" s="611"/>
      <c r="AD7" s="611">
        <v>0</v>
      </c>
      <c r="AE7" s="611">
        <f>ROUND(AD7/208,2)</f>
        <v>0</v>
      </c>
      <c r="AF7" s="611"/>
      <c r="AG7" s="611">
        <v>0</v>
      </c>
      <c r="AH7" s="611">
        <f>ROUND(AG7/208,2)</f>
        <v>0</v>
      </c>
      <c r="AI7" s="611"/>
      <c r="AJ7" s="611">
        <v>0</v>
      </c>
      <c r="AK7" s="611">
        <f>ROUND(AJ7/208,2)</f>
        <v>0</v>
      </c>
      <c r="AL7" s="611"/>
      <c r="AM7" s="611">
        <v>0</v>
      </c>
      <c r="AN7" s="611">
        <f>ROUND(AM7/208,2)</f>
        <v>0</v>
      </c>
      <c r="AO7" s="611"/>
      <c r="AP7" s="611">
        <v>0</v>
      </c>
      <c r="AQ7" s="611">
        <f>ROUND(AP7/208,2)</f>
        <v>0</v>
      </c>
      <c r="AR7" s="611"/>
      <c r="AS7" s="611">
        <v>0</v>
      </c>
      <c r="AT7" s="611">
        <f>ROUND(AS7/208,2)</f>
        <v>0</v>
      </c>
      <c r="AU7" s="611"/>
      <c r="AV7" s="611">
        <v>0</v>
      </c>
      <c r="AW7" s="611">
        <f>ROUND(AV7/208,2)</f>
        <v>0</v>
      </c>
      <c r="AX7" s="611"/>
      <c r="AY7" s="611">
        <v>0</v>
      </c>
      <c r="AZ7" s="611">
        <f>ROUND(AY7/208,2)</f>
        <v>0</v>
      </c>
      <c r="BA7" s="612"/>
      <c r="BB7" s="613"/>
      <c r="BC7" s="614"/>
      <c r="BD7" s="603"/>
      <c r="BE7" s="603"/>
      <c r="BF7" s="604"/>
      <c r="BG7" s="604"/>
    </row>
    <row r="8" spans="1:59" ht="18" customHeight="1">
      <c r="A8" s="609">
        <f t="shared" si="0"/>
        <v>4</v>
      </c>
      <c r="B8" s="616" t="s">
        <v>499</v>
      </c>
      <c r="C8" s="607">
        <f>(C$5)/12</f>
        <v>345.83333333333331</v>
      </c>
      <c r="D8" s="607">
        <f>(D$5)/12</f>
        <v>1.6624999999999999</v>
      </c>
      <c r="E8" s="607"/>
      <c r="F8" s="607">
        <f>(F$5)/12</f>
        <v>375</v>
      </c>
      <c r="G8" s="607">
        <f>(G$5)/12</f>
        <v>1.8025</v>
      </c>
      <c r="H8" s="607"/>
      <c r="I8" s="607">
        <f>(I$5)/12</f>
        <v>250</v>
      </c>
      <c r="J8" s="607">
        <f>(J$5)/12</f>
        <v>1.2016666666666667</v>
      </c>
      <c r="K8" s="607"/>
      <c r="L8" s="607">
        <f>(L$5)/12</f>
        <v>216.66666666666666</v>
      </c>
      <c r="M8" s="607">
        <f>(M$5)/12</f>
        <v>1.0416666666666667</v>
      </c>
      <c r="N8" s="607"/>
      <c r="O8" s="607">
        <f>(O$5)/12</f>
        <v>187.25</v>
      </c>
      <c r="P8" s="607">
        <f>(P$5)/12</f>
        <v>0.9</v>
      </c>
      <c r="Q8" s="607"/>
      <c r="R8" s="607">
        <f>(R$5)/12</f>
        <v>134.065</v>
      </c>
      <c r="S8" s="607">
        <f>(S$5)/12</f>
        <v>0.64416666666666667</v>
      </c>
      <c r="T8" s="607"/>
      <c r="U8" s="607">
        <f>(U$5)/12</f>
        <v>158.33333333333334</v>
      </c>
      <c r="V8" s="607">
        <f>(V$5)/12</f>
        <v>0.76083333333333336</v>
      </c>
      <c r="W8" s="607"/>
      <c r="X8" s="607">
        <f>(X$5)/12</f>
        <v>668.52499999999998</v>
      </c>
      <c r="Y8" s="607">
        <f>(Y$5)/12</f>
        <v>3.2141666666666668</v>
      </c>
      <c r="Z8" s="607"/>
      <c r="AA8" s="607">
        <f>(AA$5)/12</f>
        <v>543.4</v>
      </c>
      <c r="AB8" s="607">
        <f>(AB$5)/12</f>
        <v>2.6125000000000003</v>
      </c>
      <c r="AC8" s="607"/>
      <c r="AD8" s="607">
        <f>(AD$5)/12</f>
        <v>429</v>
      </c>
      <c r="AE8" s="607">
        <f>(AE$5)/12</f>
        <v>2.0625</v>
      </c>
      <c r="AF8" s="607"/>
      <c r="AG8" s="607">
        <f>(AG$5)/12</f>
        <v>333.33333333333331</v>
      </c>
      <c r="AH8" s="607">
        <f>(AH$5)/12</f>
        <v>1.6025</v>
      </c>
      <c r="AI8" s="607"/>
      <c r="AJ8" s="607">
        <f>(AJ$5)/12</f>
        <v>216.66666666666666</v>
      </c>
      <c r="AK8" s="607">
        <f>(AK$5)/12</f>
        <v>1.0416666666666667</v>
      </c>
      <c r="AL8" s="607"/>
      <c r="AM8" s="607">
        <f>(AM$5)/12</f>
        <v>416.66666666666669</v>
      </c>
      <c r="AN8" s="607">
        <f>(AN$5)/12</f>
        <v>2.0033333333333334</v>
      </c>
      <c r="AO8" s="607"/>
      <c r="AP8" s="607">
        <f>(AP$5)/12</f>
        <v>543.4</v>
      </c>
      <c r="AQ8" s="607">
        <f>(AQ$5)/12</f>
        <v>2.6125000000000003</v>
      </c>
      <c r="AR8" s="607"/>
      <c r="AS8" s="607">
        <f>(AS$5)/12</f>
        <v>333.33333333333331</v>
      </c>
      <c r="AT8" s="607">
        <f>(AT$5)/12</f>
        <v>1.6025</v>
      </c>
      <c r="AU8" s="607"/>
      <c r="AV8" s="607">
        <f>(AV$5)/12</f>
        <v>471.87333333333328</v>
      </c>
      <c r="AW8" s="607">
        <f>(AW$5)/12</f>
        <v>2.2683333333333331</v>
      </c>
      <c r="AX8" s="607"/>
      <c r="AY8" s="607">
        <f>(AY$5)/12</f>
        <v>57.5</v>
      </c>
      <c r="AZ8" s="607">
        <f>(AZ$5)/12</f>
        <v>0.27666666666666667</v>
      </c>
      <c r="BA8" s="608"/>
      <c r="BB8" s="600"/>
      <c r="BC8" s="601"/>
      <c r="BD8" s="617"/>
      <c r="BE8" s="603"/>
      <c r="BF8" s="604"/>
      <c r="BG8" s="604"/>
    </row>
    <row r="9" spans="1:59" ht="18" customHeight="1">
      <c r="A9" s="605">
        <f t="shared" si="0"/>
        <v>5</v>
      </c>
      <c r="B9" s="616" t="s">
        <v>500</v>
      </c>
      <c r="C9" s="607"/>
      <c r="D9" s="607"/>
      <c r="E9" s="607"/>
      <c r="F9" s="607"/>
      <c r="G9" s="607"/>
      <c r="H9" s="607"/>
      <c r="I9" s="607"/>
      <c r="J9" s="607"/>
      <c r="K9" s="607"/>
      <c r="L9" s="607"/>
      <c r="M9" s="607"/>
      <c r="N9" s="607"/>
      <c r="O9" s="607"/>
      <c r="P9" s="607"/>
      <c r="Q9" s="607"/>
      <c r="R9" s="607"/>
      <c r="S9" s="607"/>
      <c r="T9" s="607"/>
      <c r="U9" s="607"/>
      <c r="V9" s="607"/>
      <c r="W9" s="607"/>
      <c r="X9" s="607"/>
      <c r="Y9" s="607"/>
      <c r="Z9" s="607"/>
      <c r="AA9" s="607"/>
      <c r="AB9" s="607"/>
      <c r="AC9" s="607"/>
      <c r="AD9" s="607"/>
      <c r="AE9" s="607"/>
      <c r="AF9" s="607"/>
      <c r="AG9" s="607"/>
      <c r="AH9" s="607"/>
      <c r="AI9" s="607"/>
      <c r="AJ9" s="607"/>
      <c r="AK9" s="607"/>
      <c r="AL9" s="607"/>
      <c r="AM9" s="607"/>
      <c r="AN9" s="607"/>
      <c r="AO9" s="607"/>
      <c r="AP9" s="607"/>
      <c r="AQ9" s="607"/>
      <c r="AR9" s="607"/>
      <c r="AS9" s="607"/>
      <c r="AT9" s="607"/>
      <c r="AU9" s="607"/>
      <c r="AV9" s="607"/>
      <c r="AW9" s="607"/>
      <c r="AX9" s="607"/>
      <c r="AY9" s="607"/>
      <c r="AZ9" s="607"/>
      <c r="BA9" s="608"/>
      <c r="BB9" s="600"/>
      <c r="BC9" s="601"/>
      <c r="BD9" s="617"/>
      <c r="BE9" s="603"/>
      <c r="BF9" s="604"/>
      <c r="BG9" s="604"/>
    </row>
    <row r="10" spans="1:59" ht="18" customHeight="1">
      <c r="A10" s="605">
        <f>1+A9</f>
        <v>6</v>
      </c>
      <c r="B10" s="606" t="s">
        <v>501</v>
      </c>
      <c r="C10" s="607">
        <v>50</v>
      </c>
      <c r="D10" s="607">
        <f>ROUND(C10/208,2)</f>
        <v>0.24</v>
      </c>
      <c r="E10" s="607"/>
      <c r="F10" s="607">
        <v>50</v>
      </c>
      <c r="G10" s="607">
        <f>ROUND(F10/208,2)</f>
        <v>0.24</v>
      </c>
      <c r="H10" s="607"/>
      <c r="I10" s="607">
        <v>50</v>
      </c>
      <c r="J10" s="607">
        <f>ROUND(I10/208,2)</f>
        <v>0.24</v>
      </c>
      <c r="K10" s="607"/>
      <c r="L10" s="607">
        <v>50</v>
      </c>
      <c r="M10" s="607">
        <f>ROUND(L10/208,2)</f>
        <v>0.24</v>
      </c>
      <c r="N10" s="607"/>
      <c r="O10" s="607">
        <v>50</v>
      </c>
      <c r="P10" s="607">
        <f>ROUND(O10/208,2)</f>
        <v>0.24</v>
      </c>
      <c r="Q10" s="607"/>
      <c r="R10" s="607">
        <v>50</v>
      </c>
      <c r="S10" s="607">
        <f>ROUND(R10/208,2)</f>
        <v>0.24</v>
      </c>
      <c r="T10" s="607"/>
      <c r="U10" s="607">
        <v>50</v>
      </c>
      <c r="V10" s="607">
        <f>ROUND(U10/208,2)</f>
        <v>0.24</v>
      </c>
      <c r="W10" s="607"/>
      <c r="X10" s="607">
        <v>50</v>
      </c>
      <c r="Y10" s="607">
        <f>ROUND(X10/208,2)</f>
        <v>0.24</v>
      </c>
      <c r="Z10" s="607"/>
      <c r="AA10" s="607">
        <v>50</v>
      </c>
      <c r="AB10" s="607">
        <f>ROUND(AA10/208,2)</f>
        <v>0.24</v>
      </c>
      <c r="AC10" s="607"/>
      <c r="AD10" s="607">
        <v>50</v>
      </c>
      <c r="AE10" s="607">
        <f>ROUND(AD10/208,2)</f>
        <v>0.24</v>
      </c>
      <c r="AF10" s="607"/>
      <c r="AG10" s="607">
        <v>50</v>
      </c>
      <c r="AH10" s="607">
        <f>ROUND(AG10/208,2)</f>
        <v>0.24</v>
      </c>
      <c r="AI10" s="607"/>
      <c r="AJ10" s="607">
        <v>50</v>
      </c>
      <c r="AK10" s="607">
        <f>ROUND(AJ10/208,2)</f>
        <v>0.24</v>
      </c>
      <c r="AL10" s="607"/>
      <c r="AM10" s="607">
        <v>50</v>
      </c>
      <c r="AN10" s="607">
        <f>ROUND(AM10/208,2)</f>
        <v>0.24</v>
      </c>
      <c r="AO10" s="607"/>
      <c r="AP10" s="607">
        <v>50</v>
      </c>
      <c r="AQ10" s="607">
        <f>ROUND(AP10/208,2)</f>
        <v>0.24</v>
      </c>
      <c r="AR10" s="607"/>
      <c r="AS10" s="607">
        <v>50</v>
      </c>
      <c r="AT10" s="607">
        <f>ROUND(AS10/208,2)</f>
        <v>0.24</v>
      </c>
      <c r="AU10" s="607"/>
      <c r="AV10" s="607">
        <v>50</v>
      </c>
      <c r="AW10" s="607">
        <f>ROUND(AV10/208,2)</f>
        <v>0.24</v>
      </c>
      <c r="AX10" s="607"/>
      <c r="AY10" s="607">
        <v>50</v>
      </c>
      <c r="AZ10" s="607">
        <f>ROUND(AY10/208,2)</f>
        <v>0.24</v>
      </c>
      <c r="BA10" s="608"/>
      <c r="BB10" s="600"/>
      <c r="BC10" s="601"/>
      <c r="BD10" s="603"/>
      <c r="BE10" s="603"/>
      <c r="BF10" s="604"/>
      <c r="BG10" s="604"/>
    </row>
    <row r="11" spans="1:59" ht="18" customHeight="1">
      <c r="A11" s="618">
        <f t="shared" si="0"/>
        <v>7</v>
      </c>
      <c r="B11" s="606" t="s">
        <v>502</v>
      </c>
      <c r="C11" s="607">
        <f>400/12</f>
        <v>33.333333333333336</v>
      </c>
      <c r="D11" s="607">
        <f>ROUND(C11/208,2)</f>
        <v>0.16</v>
      </c>
      <c r="E11" s="607"/>
      <c r="F11" s="607">
        <f>400/12</f>
        <v>33.333333333333336</v>
      </c>
      <c r="G11" s="607">
        <f>ROUND(F11/208,2)</f>
        <v>0.16</v>
      </c>
      <c r="H11" s="607"/>
      <c r="I11" s="607">
        <f>400/12</f>
        <v>33.333333333333336</v>
      </c>
      <c r="J11" s="607">
        <f>ROUND(I11/208,2)</f>
        <v>0.16</v>
      </c>
      <c r="K11" s="607"/>
      <c r="L11" s="607">
        <f>400/12</f>
        <v>33.333333333333336</v>
      </c>
      <c r="M11" s="607">
        <f>ROUND(L11/208,2)</f>
        <v>0.16</v>
      </c>
      <c r="N11" s="607"/>
      <c r="O11" s="607">
        <f>400/12</f>
        <v>33.333333333333336</v>
      </c>
      <c r="P11" s="607">
        <f>ROUND(O11/208,2)</f>
        <v>0.16</v>
      </c>
      <c r="Q11" s="607"/>
      <c r="R11" s="607">
        <f>400/12</f>
        <v>33.333333333333336</v>
      </c>
      <c r="S11" s="607">
        <f>ROUND(R11/208,2)</f>
        <v>0.16</v>
      </c>
      <c r="T11" s="607"/>
      <c r="U11" s="607">
        <f>400/12</f>
        <v>33.333333333333336</v>
      </c>
      <c r="V11" s="607">
        <f>ROUND(U11/208,2)</f>
        <v>0.16</v>
      </c>
      <c r="W11" s="607"/>
      <c r="X11" s="607">
        <f>400/12</f>
        <v>33.333333333333336</v>
      </c>
      <c r="Y11" s="607">
        <f>ROUND(X11/208,2)</f>
        <v>0.16</v>
      </c>
      <c r="Z11" s="607"/>
      <c r="AA11" s="607">
        <f>400/12</f>
        <v>33.333333333333336</v>
      </c>
      <c r="AB11" s="607">
        <f>ROUND(AA11/208,2)</f>
        <v>0.16</v>
      </c>
      <c r="AC11" s="607"/>
      <c r="AD11" s="607">
        <f>400/12</f>
        <v>33.333333333333336</v>
      </c>
      <c r="AE11" s="607">
        <f>ROUND(AD11/208,2)</f>
        <v>0.16</v>
      </c>
      <c r="AF11" s="607"/>
      <c r="AG11" s="607">
        <f>400/12</f>
        <v>33.333333333333336</v>
      </c>
      <c r="AH11" s="607">
        <f>ROUND(AG11/208,2)</f>
        <v>0.16</v>
      </c>
      <c r="AI11" s="607"/>
      <c r="AJ11" s="607">
        <f>400/12</f>
        <v>33.333333333333336</v>
      </c>
      <c r="AK11" s="607">
        <f>ROUND(AJ11/208,2)</f>
        <v>0.16</v>
      </c>
      <c r="AL11" s="607"/>
      <c r="AM11" s="607">
        <f>400/12</f>
        <v>33.333333333333336</v>
      </c>
      <c r="AN11" s="607">
        <f>ROUND(AM11/208,2)</f>
        <v>0.16</v>
      </c>
      <c r="AO11" s="607"/>
      <c r="AP11" s="607">
        <f>400/12</f>
        <v>33.333333333333336</v>
      </c>
      <c r="AQ11" s="607">
        <f>ROUND(AP11/208,2)</f>
        <v>0.16</v>
      </c>
      <c r="AR11" s="607"/>
      <c r="AS11" s="607">
        <f>400/12</f>
        <v>33.333333333333336</v>
      </c>
      <c r="AT11" s="607">
        <f>ROUND(AS11/208,2)</f>
        <v>0.16</v>
      </c>
      <c r="AU11" s="607"/>
      <c r="AV11" s="607">
        <f>400/12</f>
        <v>33.333333333333336</v>
      </c>
      <c r="AW11" s="607">
        <f>ROUND(AV11/208,2)</f>
        <v>0.16</v>
      </c>
      <c r="AX11" s="607"/>
      <c r="AY11" s="607">
        <f>400/12</f>
        <v>33.333333333333336</v>
      </c>
      <c r="AZ11" s="607">
        <f>ROUND(AY11/208,2)</f>
        <v>0.16</v>
      </c>
      <c r="BA11" s="608"/>
      <c r="BB11" s="600"/>
      <c r="BC11" s="601"/>
      <c r="BD11" s="603"/>
      <c r="BE11" s="603"/>
      <c r="BF11" s="604"/>
      <c r="BG11" s="604"/>
    </row>
    <row r="12" spans="1:59" ht="18" customHeight="1">
      <c r="A12" s="619">
        <f t="shared" si="0"/>
        <v>8</v>
      </c>
      <c r="B12" s="616" t="s">
        <v>503</v>
      </c>
      <c r="C12" s="607">
        <f>SUM(C5:C9)</f>
        <v>4495.833333333333</v>
      </c>
      <c r="D12" s="607">
        <f>SUM(D5:D11)</f>
        <v>22.012499999999999</v>
      </c>
      <c r="E12" s="620"/>
      <c r="F12" s="607">
        <f>SUM(F5:F9)</f>
        <v>4875</v>
      </c>
      <c r="G12" s="607">
        <f>SUM(G5:G11)</f>
        <v>23.832499999999996</v>
      </c>
      <c r="H12" s="620"/>
      <c r="I12" s="607">
        <f>SUM(I5:I9)</f>
        <v>3250</v>
      </c>
      <c r="J12" s="607">
        <f>SUM(J5:J11)</f>
        <v>16.021666666666665</v>
      </c>
      <c r="K12" s="620"/>
      <c r="L12" s="607">
        <f>SUM(L5:L9)</f>
        <v>2816.6666666666665</v>
      </c>
      <c r="M12" s="607">
        <f>SUM(M5:M11)</f>
        <v>13.941666666666666</v>
      </c>
      <c r="N12" s="620"/>
      <c r="O12" s="607">
        <f>SUM(O5:O9)</f>
        <v>2434.25</v>
      </c>
      <c r="P12" s="607">
        <f>SUM(P5:P11)</f>
        <v>12.100000000000001</v>
      </c>
      <c r="Q12" s="620"/>
      <c r="R12" s="607">
        <f>SUM(R5:R9)</f>
        <v>1742.845</v>
      </c>
      <c r="S12" s="607">
        <f>SUM(S5:S11)</f>
        <v>8.7741666666666678</v>
      </c>
      <c r="T12" s="620"/>
      <c r="U12" s="607">
        <f>SUM(U5:U9)</f>
        <v>2058.3333333333335</v>
      </c>
      <c r="V12" s="607">
        <f>SUM(V5:V11)</f>
        <v>10.290833333333335</v>
      </c>
      <c r="W12" s="620"/>
      <c r="X12" s="607">
        <f>SUM(X5:X9)</f>
        <v>8690.8250000000007</v>
      </c>
      <c r="Y12" s="607">
        <f>SUM(Y5:Y11)</f>
        <v>42.184166666666663</v>
      </c>
      <c r="Z12" s="620"/>
      <c r="AA12" s="607">
        <f>SUM(AA5:AA9)</f>
        <v>7064.2</v>
      </c>
      <c r="AB12" s="607">
        <f>SUM(AB5:AB11)</f>
        <v>34.362499999999997</v>
      </c>
      <c r="AC12" s="620"/>
      <c r="AD12" s="607">
        <f>SUM(AD5:AD9)</f>
        <v>5577</v>
      </c>
      <c r="AE12" s="607">
        <f>SUM(AE5:AE11)</f>
        <v>27.212499999999999</v>
      </c>
      <c r="AF12" s="620"/>
      <c r="AG12" s="607">
        <f>SUM(AG5:AG9)</f>
        <v>4333.333333333333</v>
      </c>
      <c r="AH12" s="607">
        <f>SUM(AH5:AH11)</f>
        <v>21.232499999999998</v>
      </c>
      <c r="AI12" s="620"/>
      <c r="AJ12" s="607">
        <f>SUM(AJ5:AJ9)</f>
        <v>2816.6666666666665</v>
      </c>
      <c r="AK12" s="607">
        <f>SUM(AK5:AK11)</f>
        <v>13.941666666666666</v>
      </c>
      <c r="AL12" s="607"/>
      <c r="AM12" s="607">
        <f>SUM(AM5:AM9)</f>
        <v>5416.666666666667</v>
      </c>
      <c r="AN12" s="607">
        <f>SUM(AN5:AN11)</f>
        <v>26.443333333333332</v>
      </c>
      <c r="AO12" s="607"/>
      <c r="AP12" s="607">
        <f>SUM(AP5:AP9)</f>
        <v>7064.2</v>
      </c>
      <c r="AQ12" s="607">
        <f>SUM(AQ5:AQ11)</f>
        <v>34.362499999999997</v>
      </c>
      <c r="AR12" s="607"/>
      <c r="AS12" s="607">
        <f>SUM(AS5:AS9)</f>
        <v>4333.333333333333</v>
      </c>
      <c r="AT12" s="607">
        <f>SUM(AT5:AT11)</f>
        <v>21.232499999999998</v>
      </c>
      <c r="AU12" s="607"/>
      <c r="AV12" s="607">
        <f>SUM(AV5:AV9)</f>
        <v>6134.3533333333326</v>
      </c>
      <c r="AW12" s="607">
        <f>SUM(AW5:AW11)</f>
        <v>29.888333333333332</v>
      </c>
      <c r="AX12" s="607"/>
      <c r="AY12" s="607">
        <f>SUM(AY5:AY9)</f>
        <v>747.5</v>
      </c>
      <c r="AZ12" s="607">
        <f>SUM(AZ5:AZ11)</f>
        <v>3.996666666666667</v>
      </c>
      <c r="BA12" s="608"/>
      <c r="BB12" s="600"/>
      <c r="BC12" s="601"/>
      <c r="BD12" s="617"/>
      <c r="BE12" s="603"/>
      <c r="BF12" s="604"/>
      <c r="BG12" s="621"/>
    </row>
    <row r="13" spans="1:59" ht="18" customHeight="1">
      <c r="A13" s="595">
        <f t="shared" si="0"/>
        <v>9</v>
      </c>
      <c r="B13" s="616" t="s">
        <v>504</v>
      </c>
      <c r="C13" s="607">
        <f>(C$5+C$8)*0.09</f>
        <v>404.62499999999994</v>
      </c>
      <c r="D13" s="607">
        <f>(D$5+D$8)*0.09</f>
        <v>1.945125</v>
      </c>
      <c r="E13" s="607"/>
      <c r="F13" s="607">
        <f>(F$5+F$8)*0.09</f>
        <v>438.75</v>
      </c>
      <c r="G13" s="607">
        <f>(G$5+G$8)*0.09</f>
        <v>2.1089249999999997</v>
      </c>
      <c r="H13" s="607"/>
      <c r="I13" s="607">
        <f>(I$5+I$8)*0.09</f>
        <v>292.5</v>
      </c>
      <c r="J13" s="607">
        <f>(J$5+J$8)*0.09</f>
        <v>1.4059499999999998</v>
      </c>
      <c r="K13" s="607"/>
      <c r="L13" s="607">
        <f>(L$5+L$8)*0.09</f>
        <v>253.49999999999997</v>
      </c>
      <c r="M13" s="607">
        <f>(M$5+M$8)*0.09</f>
        <v>1.21875</v>
      </c>
      <c r="N13" s="607"/>
      <c r="O13" s="607">
        <f>(O$5+O$8)*0.09</f>
        <v>219.08249999999998</v>
      </c>
      <c r="P13" s="607">
        <f>(P$5+P$8)*0.09</f>
        <v>1.0530000000000002</v>
      </c>
      <c r="Q13" s="607"/>
      <c r="R13" s="607">
        <f>(R$5+R$8)*0.09</f>
        <v>156.85605000000001</v>
      </c>
      <c r="S13" s="607">
        <f>(S$5+S$8)*0.09</f>
        <v>0.75367500000000009</v>
      </c>
      <c r="T13" s="607"/>
      <c r="U13" s="607">
        <f>(U$5+U$8)*0.09</f>
        <v>185.25</v>
      </c>
      <c r="V13" s="607">
        <f>(V$5+V$8)*0.09</f>
        <v>0.89017500000000016</v>
      </c>
      <c r="W13" s="607"/>
      <c r="X13" s="607">
        <f>(X$5+X$8)*0.09</f>
        <v>782.17425000000003</v>
      </c>
      <c r="Y13" s="607">
        <f>(Y$5+Y$8)*0.09</f>
        <v>3.7605749999999998</v>
      </c>
      <c r="Z13" s="607"/>
      <c r="AA13" s="607">
        <f>(AA$5+AA$8)*0.09</f>
        <v>635.77799999999991</v>
      </c>
      <c r="AB13" s="607">
        <f>(AB$5+AB$8)*0.09</f>
        <v>3.0566249999999999</v>
      </c>
      <c r="AC13" s="607"/>
      <c r="AD13" s="607">
        <f>(AD$5+AD$8)*0.09</f>
        <v>501.93</v>
      </c>
      <c r="AE13" s="607">
        <f>(AE$5+AE$8)*0.09</f>
        <v>2.413125</v>
      </c>
      <c r="AF13" s="607"/>
      <c r="AG13" s="607">
        <f>(AG$5+AG$8)*0.09</f>
        <v>389.99999999999994</v>
      </c>
      <c r="AH13" s="607">
        <f>(AH$5+AH$8)*0.09</f>
        <v>1.874925</v>
      </c>
      <c r="AI13" s="607"/>
      <c r="AJ13" s="607">
        <f>(AJ$5+AJ$8)*0.09</f>
        <v>253.49999999999997</v>
      </c>
      <c r="AK13" s="607">
        <f>(AK$5+AK$8)*0.09</f>
        <v>1.21875</v>
      </c>
      <c r="AL13" s="607"/>
      <c r="AM13" s="607">
        <f>(AM$5+AM$8)*0.09</f>
        <v>487.5</v>
      </c>
      <c r="AN13" s="607">
        <f>(AN$5+AN$8)*0.09</f>
        <v>2.3439000000000001</v>
      </c>
      <c r="AO13" s="607"/>
      <c r="AP13" s="607">
        <f>(AP$5+AP$8)*0.09</f>
        <v>635.77799999999991</v>
      </c>
      <c r="AQ13" s="607">
        <f>(AQ$5+AQ$8)*0.09</f>
        <v>3.0566249999999999</v>
      </c>
      <c r="AR13" s="607"/>
      <c r="AS13" s="607">
        <f>(AS$5+AS$8)*0.09</f>
        <v>389.99999999999994</v>
      </c>
      <c r="AT13" s="607">
        <f>(AT$5+AT$8)*0.09</f>
        <v>1.874925</v>
      </c>
      <c r="AU13" s="607"/>
      <c r="AV13" s="607">
        <f>(AV$5+AV$8)*0.09</f>
        <v>552.09179999999992</v>
      </c>
      <c r="AW13" s="607">
        <f>(AW$5+AW$8)*0.09</f>
        <v>2.65395</v>
      </c>
      <c r="AX13" s="607"/>
      <c r="AY13" s="607">
        <f>(AY$5+AY$8)*0.09</f>
        <v>67.274999999999991</v>
      </c>
      <c r="AZ13" s="607">
        <f>(AZ$5+AZ$8)*0.09</f>
        <v>0.32369999999999999</v>
      </c>
      <c r="BA13" s="608"/>
      <c r="BB13" s="600"/>
      <c r="BC13" s="601"/>
      <c r="BD13" s="617"/>
      <c r="BE13" s="603"/>
      <c r="BF13" s="604"/>
      <c r="BG13" s="604"/>
    </row>
    <row r="14" spans="1:59" ht="18" customHeight="1">
      <c r="A14" s="605">
        <f t="shared" si="0"/>
        <v>10</v>
      </c>
      <c r="B14" s="622" t="s">
        <v>505</v>
      </c>
      <c r="C14" s="607">
        <f>(C$5+C$8)*0.0155</f>
        <v>69.685416666666669</v>
      </c>
      <c r="D14" s="607">
        <f>(D$5+D$8)*0.0675</f>
        <v>1.4588437500000002</v>
      </c>
      <c r="E14" s="607"/>
      <c r="F14" s="607">
        <f>(F$5+F$8)*0.0155</f>
        <v>75.5625</v>
      </c>
      <c r="G14" s="607">
        <f>(G$5+G$8)*0.0675</f>
        <v>1.5816937499999999</v>
      </c>
      <c r="H14" s="607"/>
      <c r="I14" s="607">
        <f>(I$5+I$8)*0.0155</f>
        <v>50.375</v>
      </c>
      <c r="J14" s="607">
        <f>(J$5+J$8)*0.0675</f>
        <v>1.0544625000000001</v>
      </c>
      <c r="K14" s="607"/>
      <c r="L14" s="607">
        <f>(L$5+L$8)*0.0155</f>
        <v>43.658333333333331</v>
      </c>
      <c r="M14" s="607">
        <f>(M$5+M$8)*0.0675</f>
        <v>0.9140625</v>
      </c>
      <c r="N14" s="607"/>
      <c r="O14" s="607">
        <f>(O$5+O$8)*0.0155</f>
        <v>37.730874999999997</v>
      </c>
      <c r="P14" s="607">
        <f>(P$5+P$8)*0.0675</f>
        <v>0.78975000000000017</v>
      </c>
      <c r="Q14" s="607"/>
      <c r="R14" s="607">
        <f>(R$5+R$8)*0.0155</f>
        <v>27.014097500000002</v>
      </c>
      <c r="S14" s="607">
        <f>(S$5+S$8)*0.0675</f>
        <v>0.56525625000000013</v>
      </c>
      <c r="T14" s="607"/>
      <c r="U14" s="607">
        <f>(U$5+U$8)*0.0155</f>
        <v>31.904166666666669</v>
      </c>
      <c r="V14" s="607">
        <f>(V$5+V$8)*0.0675</f>
        <v>0.66763125000000012</v>
      </c>
      <c r="W14" s="607"/>
      <c r="X14" s="607">
        <f>(X$5+X$8)*0.0155</f>
        <v>134.70778750000002</v>
      </c>
      <c r="Y14" s="607">
        <f>(Y$5+Y$8)*0.0675</f>
        <v>2.8204312499999999</v>
      </c>
      <c r="Z14" s="607"/>
      <c r="AA14" s="607">
        <f>(AA$5+AA$8)*0.0155</f>
        <v>109.49509999999999</v>
      </c>
      <c r="AB14" s="607">
        <f>(AB$5+AB$8)*0.0675</f>
        <v>2.2924687499999998</v>
      </c>
      <c r="AC14" s="607"/>
      <c r="AD14" s="607">
        <f>(AD$5+AD$8)*0.0155</f>
        <v>86.4435</v>
      </c>
      <c r="AE14" s="607">
        <f>(AE$5+AE$8)*0.0675</f>
        <v>1.8098437500000002</v>
      </c>
      <c r="AF14" s="607"/>
      <c r="AG14" s="607">
        <f>(AG$5+AG$8)*0.0155</f>
        <v>67.166666666666657</v>
      </c>
      <c r="AH14" s="607">
        <f>(AH$5+AH$8)*0.0675</f>
        <v>1.4061937500000001</v>
      </c>
      <c r="AI14" s="607"/>
      <c r="AJ14" s="607">
        <f>(AJ$5+AJ$8)*0.0155</f>
        <v>43.658333333333331</v>
      </c>
      <c r="AK14" s="607">
        <f>(AK$5+AK$8)*0.0675</f>
        <v>0.9140625</v>
      </c>
      <c r="AL14" s="607"/>
      <c r="AM14" s="607">
        <f>(AM$5+AM$8)*0.0155</f>
        <v>83.958333333333343</v>
      </c>
      <c r="AN14" s="607">
        <f>(AN$5+AN$8)*0.0675</f>
        <v>1.7579250000000002</v>
      </c>
      <c r="AO14" s="607"/>
      <c r="AP14" s="607">
        <f>(AP$5+AP$8)*0.0155</f>
        <v>109.49509999999999</v>
      </c>
      <c r="AQ14" s="607">
        <f>(AQ$5+AQ$8)*0.0675</f>
        <v>2.2924687499999998</v>
      </c>
      <c r="AR14" s="607"/>
      <c r="AS14" s="607">
        <f>(AS$5+AS$8)*0.0155</f>
        <v>67.166666666666657</v>
      </c>
      <c r="AT14" s="607">
        <f>(AT$5+AT$8)*0.0675</f>
        <v>1.4061937500000001</v>
      </c>
      <c r="AU14" s="607"/>
      <c r="AV14" s="607">
        <f>(AV$5+AV$8)*0.0155</f>
        <v>95.082476666666651</v>
      </c>
      <c r="AW14" s="607">
        <f>(AW$5+AW$8)*0.0675</f>
        <v>1.9904625</v>
      </c>
      <c r="AX14" s="607"/>
      <c r="AY14" s="607">
        <f>(AY$5+AY$8)*0.0155</f>
        <v>11.58625</v>
      </c>
      <c r="AZ14" s="607">
        <f>(AZ$5+AZ$8)*0.0675</f>
        <v>0.24277500000000002</v>
      </c>
      <c r="BA14" s="608"/>
      <c r="BB14" s="600"/>
      <c r="BC14" s="601"/>
      <c r="BD14" s="617"/>
      <c r="BE14" s="603"/>
      <c r="BF14" s="604"/>
      <c r="BG14" s="604"/>
    </row>
    <row r="15" spans="1:59" ht="18" customHeight="1" thickBot="1">
      <c r="A15" s="623">
        <f>1+A14</f>
        <v>11</v>
      </c>
      <c r="B15" s="624" t="s">
        <v>506</v>
      </c>
      <c r="C15" s="625">
        <f>SUM(C10:C14)</f>
        <v>5053.4770833333323</v>
      </c>
      <c r="D15" s="626">
        <f>SUM(D12:D14)</f>
        <v>25.41646875</v>
      </c>
      <c r="E15" s="627"/>
      <c r="F15" s="625">
        <f>SUM(F10:F14)</f>
        <v>5472.645833333333</v>
      </c>
      <c r="G15" s="626">
        <f>SUM(G12:G14)</f>
        <v>27.523118749999995</v>
      </c>
      <c r="H15" s="627"/>
      <c r="I15" s="625">
        <f>SUM(I10:I14)</f>
        <v>3676.2083333333335</v>
      </c>
      <c r="J15" s="626">
        <f>SUM(J12:J14)</f>
        <v>18.482079166666665</v>
      </c>
      <c r="K15" s="627"/>
      <c r="L15" s="625">
        <f>SUM(L10:L14)</f>
        <v>3197.1583333333333</v>
      </c>
      <c r="M15" s="626">
        <f>SUM(M12:M14)</f>
        <v>16.074479166666666</v>
      </c>
      <c r="N15" s="627"/>
      <c r="O15" s="625">
        <f>SUM(O10:O14)</f>
        <v>2774.3967083333337</v>
      </c>
      <c r="P15" s="626">
        <f>SUM(P12:P14)</f>
        <v>13.942750000000002</v>
      </c>
      <c r="Q15" s="627"/>
      <c r="R15" s="625">
        <f>SUM(R10:R14)</f>
        <v>2010.0484808333333</v>
      </c>
      <c r="S15" s="626">
        <f>SUM(S12:S14)</f>
        <v>10.093097916666668</v>
      </c>
      <c r="T15" s="627"/>
      <c r="U15" s="625">
        <f>SUM(U10:U14)</f>
        <v>2358.8208333333337</v>
      </c>
      <c r="V15" s="626">
        <f>SUM(V12:V14)</f>
        <v>11.848639583333334</v>
      </c>
      <c r="W15" s="627"/>
      <c r="X15" s="625">
        <f>SUM(X10:X14)</f>
        <v>9691.0403708333342</v>
      </c>
      <c r="Y15" s="626">
        <f>SUM(Y12:Y14)</f>
        <v>48.765172916666664</v>
      </c>
      <c r="Z15" s="627"/>
      <c r="AA15" s="625">
        <f>SUM(AA10:AA14)</f>
        <v>7892.8064333333332</v>
      </c>
      <c r="AB15" s="626">
        <f>SUM(AB12:AB14)</f>
        <v>39.711593749999992</v>
      </c>
      <c r="AC15" s="627"/>
      <c r="AD15" s="625">
        <f>SUM(AD10:AD14)</f>
        <v>6248.7068333333336</v>
      </c>
      <c r="AE15" s="626">
        <f>SUM(AE12:AE14)</f>
        <v>31.435468749999998</v>
      </c>
      <c r="AF15" s="627"/>
      <c r="AG15" s="625">
        <f>SUM(AG10:AG14)</f>
        <v>4873.833333333333</v>
      </c>
      <c r="AH15" s="626">
        <f>SUM(AH12:AH14)</f>
        <v>24.513618749999999</v>
      </c>
      <c r="AI15" s="627"/>
      <c r="AJ15" s="625">
        <f>SUM(AJ10:AJ14)</f>
        <v>3197.1583333333333</v>
      </c>
      <c r="AK15" s="626">
        <f>SUM(AK12:AK14)</f>
        <v>16.074479166666666</v>
      </c>
      <c r="AL15" s="628"/>
      <c r="AM15" s="625">
        <f>SUM(AM10:AM14)</f>
        <v>6071.458333333333</v>
      </c>
      <c r="AN15" s="626">
        <f>SUM(AN12:AN14)</f>
        <v>30.545158333333333</v>
      </c>
      <c r="AO15" s="628"/>
      <c r="AP15" s="625">
        <f>SUM(AP10:AP14)</f>
        <v>7892.8064333333332</v>
      </c>
      <c r="AQ15" s="626">
        <f>SUM(AQ12:AQ14)</f>
        <v>39.711593749999992</v>
      </c>
      <c r="AR15" s="628"/>
      <c r="AS15" s="625">
        <f>SUM(AS10:AS14)</f>
        <v>4873.833333333333</v>
      </c>
      <c r="AT15" s="626">
        <f>SUM(AT12:AT14)</f>
        <v>24.513618749999999</v>
      </c>
      <c r="AU15" s="628"/>
      <c r="AV15" s="625">
        <f>SUM(AV10:AV14)</f>
        <v>6864.8609433333322</v>
      </c>
      <c r="AW15" s="626">
        <f>SUM(AW12:AW14)</f>
        <v>34.53274583333333</v>
      </c>
      <c r="AX15" s="628"/>
      <c r="AY15" s="625">
        <f>SUM(AY10:AY14)</f>
        <v>909.6945833333333</v>
      </c>
      <c r="AZ15" s="626">
        <f>SUM(AZ12:AZ14)</f>
        <v>4.5631416666666667</v>
      </c>
      <c r="BA15" s="629"/>
      <c r="BB15" s="600"/>
      <c r="BC15" s="591"/>
      <c r="BD15" s="630"/>
      <c r="BE15" s="631"/>
      <c r="BF15" s="632"/>
      <c r="BG15" s="633"/>
    </row>
    <row r="16" spans="1:59" s="634" customFormat="1" ht="18" customHeight="1">
      <c r="B16" s="635"/>
      <c r="C16" s="636"/>
      <c r="D16" s="637"/>
      <c r="E16" s="638"/>
      <c r="F16" s="638"/>
      <c r="G16" s="638"/>
      <c r="H16" s="638"/>
      <c r="I16" s="638"/>
      <c r="J16" s="638"/>
      <c r="K16" s="638"/>
      <c r="L16" s="636"/>
      <c r="M16" s="637"/>
      <c r="N16" s="638"/>
      <c r="O16" s="638"/>
      <c r="P16" s="638"/>
      <c r="Q16" s="638"/>
      <c r="R16" s="638"/>
      <c r="S16" s="638"/>
      <c r="T16" s="638"/>
      <c r="U16" s="638"/>
      <c r="V16" s="638"/>
      <c r="W16" s="638"/>
      <c r="X16" s="638"/>
      <c r="Y16" s="638"/>
      <c r="Z16" s="638"/>
      <c r="AA16" s="636"/>
      <c r="AB16" s="637"/>
      <c r="AC16" s="638"/>
      <c r="AD16" s="638"/>
      <c r="AE16" s="638"/>
      <c r="AF16" s="638"/>
      <c r="AG16" s="638"/>
      <c r="AH16" s="638"/>
      <c r="AI16" s="638"/>
      <c r="AJ16" s="638"/>
      <c r="AK16" s="638"/>
      <c r="AL16" s="638"/>
      <c r="AM16" s="636"/>
      <c r="AN16" s="637"/>
      <c r="AO16" s="636"/>
      <c r="AP16" s="636"/>
      <c r="AQ16" s="637"/>
      <c r="AR16" s="636"/>
      <c r="AS16" s="636"/>
      <c r="AT16" s="637"/>
      <c r="AU16" s="636"/>
      <c r="AV16" s="636"/>
      <c r="AW16" s="636"/>
      <c r="AX16" s="636"/>
      <c r="AY16" s="636"/>
      <c r="AZ16" s="637"/>
      <c r="BA16" s="636"/>
      <c r="BB16" s="600"/>
      <c r="BC16" s="590"/>
      <c r="BD16" s="600"/>
      <c r="BE16" s="600"/>
      <c r="BF16" s="590"/>
      <c r="BG16" s="600"/>
    </row>
  </sheetData>
  <mergeCells count="22">
    <mergeCell ref="B1:BA1"/>
    <mergeCell ref="B2:BA2"/>
    <mergeCell ref="O3:Q3"/>
    <mergeCell ref="R3:T3"/>
    <mergeCell ref="AV3:AX3"/>
    <mergeCell ref="AY3:BA3"/>
    <mergeCell ref="U3:W3"/>
    <mergeCell ref="X3:Z3"/>
    <mergeCell ref="AA3:AC3"/>
    <mergeCell ref="AD3:AF3"/>
    <mergeCell ref="AG3:AI3"/>
    <mergeCell ref="L3:N3"/>
    <mergeCell ref="BE3:BG3"/>
    <mergeCell ref="AJ3:AL3"/>
    <mergeCell ref="AM3:AO3"/>
    <mergeCell ref="AP3:AR3"/>
    <mergeCell ref="AS3:AU3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5"/>
  <sheetViews>
    <sheetView view="pageBreakPreview" topLeftCell="A4" workbookViewId="0">
      <selection activeCell="G29" sqref="G29"/>
    </sheetView>
  </sheetViews>
  <sheetFormatPr baseColWidth="10" defaultColWidth="11.5546875" defaultRowHeight="13.2"/>
  <cols>
    <col min="1" max="1" width="0.5546875" style="301" customWidth="1"/>
    <col min="2" max="2" width="10.88671875" style="301" customWidth="1"/>
    <col min="3" max="3" width="38.6640625" style="301" customWidth="1"/>
    <col min="4" max="4" width="6.44140625" style="301" customWidth="1"/>
    <col min="5" max="6" width="14.44140625" style="301" customWidth="1"/>
    <col min="7" max="7" width="18.109375" style="301" customWidth="1"/>
    <col min="8" max="8" width="23.5546875" style="301" customWidth="1"/>
    <col min="9" max="9" width="12.5546875" style="301" bestFit="1" customWidth="1"/>
    <col min="10" max="16384" width="11.5546875" style="301"/>
  </cols>
  <sheetData>
    <row r="1" spans="1:11" ht="59.25" customHeight="1" thickTop="1">
      <c r="A1" s="442"/>
      <c r="B1" s="1071" t="str">
        <f>RESÚMEN!B4</f>
        <v xml:space="preserve">PROYECTO : “MEJORAMIENTO DEL SERVICIO EDUCATIVO DE LA I.E ESTHER ROBERTI GAMERO, DISTRITO DE ABANCAY- REGIÓN APURÍMAC”
</v>
      </c>
      <c r="C1" s="1072"/>
      <c r="D1" s="1072"/>
      <c r="E1" s="1072"/>
      <c r="F1" s="1072"/>
      <c r="G1" s="1073"/>
    </row>
    <row r="2" spans="1:11">
      <c r="A2" s="395"/>
      <c r="B2" s="1074"/>
      <c r="C2" s="1075"/>
      <c r="D2" s="1075"/>
      <c r="E2" s="1075"/>
      <c r="F2" s="1075"/>
      <c r="G2" s="1076"/>
    </row>
    <row r="3" spans="1:11" ht="13.8" thickBot="1">
      <c r="A3" s="395"/>
      <c r="B3" s="926"/>
      <c r="C3" s="927"/>
      <c r="D3" s="927"/>
      <c r="E3" s="927"/>
      <c r="F3" s="927"/>
      <c r="G3" s="1077"/>
    </row>
    <row r="4" spans="1:11" ht="20.25" customHeight="1" thickBot="1">
      <c r="A4" s="395"/>
      <c r="B4" s="310"/>
      <c r="C4" s="310"/>
      <c r="D4" s="310"/>
      <c r="E4" s="310"/>
      <c r="F4" s="310"/>
      <c r="G4" s="309"/>
    </row>
    <row r="5" spans="1:11">
      <c r="A5" s="395"/>
      <c r="B5" s="441"/>
      <c r="C5" s="440"/>
      <c r="D5" s="439"/>
      <c r="E5" s="438"/>
      <c r="F5" s="437"/>
      <c r="G5" s="436" t="s">
        <v>365</v>
      </c>
    </row>
    <row r="6" spans="1:11" ht="20.399999999999999">
      <c r="A6" s="395"/>
      <c r="B6" s="435" t="s">
        <v>364</v>
      </c>
      <c r="C6" s="373"/>
      <c r="D6" s="434" t="s">
        <v>0</v>
      </c>
      <c r="E6" s="423">
        <v>2199586.84</v>
      </c>
      <c r="F6" s="310"/>
      <c r="G6" s="433">
        <f>I10</f>
        <v>0.13331728698649609</v>
      </c>
      <c r="J6" s="432"/>
    </row>
    <row r="7" spans="1:11" ht="20.399999999999999">
      <c r="A7" s="395"/>
      <c r="B7" s="400"/>
      <c r="C7" s="310"/>
      <c r="D7" s="310"/>
      <c r="E7" s="310"/>
      <c r="F7" s="310"/>
      <c r="G7" s="309"/>
      <c r="J7" s="432"/>
    </row>
    <row r="8" spans="1:11" ht="15.6">
      <c r="A8" s="395"/>
      <c r="B8" s="1083" t="s">
        <v>363</v>
      </c>
      <c r="C8" s="1084"/>
      <c r="D8" s="1084"/>
      <c r="E8" s="1084"/>
      <c r="F8" s="1084"/>
      <c r="G8" s="1085"/>
      <c r="H8" s="431"/>
    </row>
    <row r="9" spans="1:11">
      <c r="A9" s="395"/>
      <c r="B9" s="400"/>
      <c r="C9" s="310"/>
      <c r="D9" s="310"/>
      <c r="E9" s="310"/>
      <c r="F9" s="310"/>
      <c r="G9" s="309"/>
    </row>
    <row r="10" spans="1:11" ht="13.8" thickBot="1">
      <c r="A10" s="395"/>
      <c r="B10" s="400"/>
      <c r="C10" s="310"/>
      <c r="D10" s="310"/>
      <c r="E10" s="310"/>
      <c r="F10" s="310"/>
      <c r="G10" s="309"/>
      <c r="I10" s="430">
        <f>+E22/E21</f>
        <v>0.13331728698649609</v>
      </c>
      <c r="K10" s="301">
        <v>0.14658163141506192</v>
      </c>
    </row>
    <row r="11" spans="1:11" ht="26.4">
      <c r="A11" s="395"/>
      <c r="B11" s="429" t="s">
        <v>362</v>
      </c>
      <c r="C11" s="428" t="s">
        <v>361</v>
      </c>
      <c r="D11" s="428" t="s">
        <v>360</v>
      </c>
      <c r="E11" s="427" t="s">
        <v>359</v>
      </c>
      <c r="F11" s="427" t="s">
        <v>358</v>
      </c>
      <c r="G11" s="426" t="s">
        <v>357</v>
      </c>
    </row>
    <row r="12" spans="1:11">
      <c r="A12" s="395"/>
      <c r="B12" s="425" t="s">
        <v>356</v>
      </c>
      <c r="C12" s="1086" t="s">
        <v>355</v>
      </c>
      <c r="D12" s="1086"/>
      <c r="E12" s="1086"/>
      <c r="F12" s="1086"/>
      <c r="G12" s="1087"/>
    </row>
    <row r="13" spans="1:11">
      <c r="A13" s="395"/>
      <c r="B13" s="419">
        <v>1</v>
      </c>
      <c r="C13" s="418" t="s">
        <v>354</v>
      </c>
      <c r="D13" s="417" t="s">
        <v>350</v>
      </c>
      <c r="E13" s="416">
        <v>1</v>
      </c>
      <c r="F13" s="424">
        <f>+[2]FIJOS!$H$36</f>
        <v>27789.706700000002</v>
      </c>
      <c r="G13" s="423">
        <f>+ROUND(F13*E13,2)</f>
        <v>27789.71</v>
      </c>
    </row>
    <row r="14" spans="1:11">
      <c r="A14" s="395"/>
      <c r="B14" s="419"/>
      <c r="C14" s="418"/>
      <c r="D14" s="417"/>
      <c r="E14" s="422"/>
      <c r="F14" s="422"/>
      <c r="G14" s="421"/>
      <c r="J14" s="352">
        <f>+E22/E21</f>
        <v>0.13331728698649609</v>
      </c>
    </row>
    <row r="15" spans="1:11">
      <c r="A15" s="395"/>
      <c r="B15" s="420" t="s">
        <v>353</v>
      </c>
      <c r="C15" s="1088" t="s">
        <v>352</v>
      </c>
      <c r="D15" s="1088"/>
      <c r="E15" s="1088"/>
      <c r="F15" s="1088"/>
      <c r="G15" s="1089"/>
    </row>
    <row r="16" spans="1:11">
      <c r="A16" s="395"/>
      <c r="B16" s="419">
        <v>1</v>
      </c>
      <c r="C16" s="418" t="s">
        <v>351</v>
      </c>
      <c r="D16" s="417" t="s">
        <v>350</v>
      </c>
      <c r="E16" s="416">
        <v>1</v>
      </c>
      <c r="F16" s="415">
        <f>+[2]VARIABLES!H36</f>
        <v>265453.23678199999</v>
      </c>
      <c r="G16" s="414">
        <f>+ROUND(F16*E16,2)</f>
        <v>265453.24</v>
      </c>
    </row>
    <row r="17" spans="1:11">
      <c r="A17" s="395"/>
      <c r="B17" s="413"/>
      <c r="C17" s="1090"/>
      <c r="D17" s="1090"/>
      <c r="E17" s="1090"/>
      <c r="F17" s="1090"/>
      <c r="G17" s="1091"/>
    </row>
    <row r="18" spans="1:11" ht="16.2" thickBot="1">
      <c r="A18" s="395"/>
      <c r="B18" s="1078" t="s">
        <v>349</v>
      </c>
      <c r="C18" s="1079"/>
      <c r="D18" s="1079"/>
      <c r="E18" s="1079"/>
      <c r="F18" s="1080"/>
      <c r="G18" s="412">
        <f>G13+G16</f>
        <v>293242.95</v>
      </c>
      <c r="H18" s="302">
        <f>E6*0.119888247</f>
        <v>263704.61037186946</v>
      </c>
      <c r="I18" s="302"/>
      <c r="J18" s="302"/>
    </row>
    <row r="19" spans="1:11" ht="13.8" thickBot="1">
      <c r="A19" s="395"/>
      <c r="B19" s="400"/>
      <c r="C19" s="310"/>
      <c r="D19" s="310"/>
      <c r="E19" s="310"/>
      <c r="F19" s="310"/>
      <c r="G19" s="309"/>
      <c r="H19" s="302">
        <f>G18-H18</f>
        <v>29538.339628130547</v>
      </c>
      <c r="K19" s="352">
        <f>+E22/E21</f>
        <v>0.13331728698649609</v>
      </c>
    </row>
    <row r="20" spans="1:11" ht="15.6">
      <c r="A20" s="395"/>
      <c r="B20" s="400"/>
      <c r="C20" s="1081" t="s">
        <v>348</v>
      </c>
      <c r="D20" s="1082"/>
      <c r="E20" s="1082"/>
      <c r="F20" s="402">
        <f>+E23</f>
        <v>0.13331728698649609</v>
      </c>
      <c r="G20" s="401"/>
      <c r="H20" s="301">
        <f>H19/8</f>
        <v>3692.2924535163183</v>
      </c>
    </row>
    <row r="21" spans="1:11">
      <c r="A21" s="395"/>
      <c r="B21" s="400"/>
      <c r="C21" s="399" t="s">
        <v>347</v>
      </c>
      <c r="D21" s="398"/>
      <c r="E21" s="397">
        <f>E6</f>
        <v>2199586.84</v>
      </c>
      <c r="F21" s="411"/>
      <c r="G21" s="410"/>
      <c r="H21" s="301">
        <v>0.17966300000261981</v>
      </c>
      <c r="I21" s="302"/>
      <c r="J21" s="302"/>
    </row>
    <row r="22" spans="1:11">
      <c r="A22" s="395"/>
      <c r="B22" s="400"/>
      <c r="C22" s="409" t="s">
        <v>346</v>
      </c>
      <c r="D22" s="408"/>
      <c r="E22" s="407">
        <f>G18</f>
        <v>293242.95</v>
      </c>
      <c r="F22" s="406"/>
      <c r="G22" s="309"/>
      <c r="H22" s="345"/>
      <c r="I22" s="302">
        <v>-0.57408699999359669</v>
      </c>
    </row>
    <row r="23" spans="1:11" ht="13.8" thickBot="1">
      <c r="A23" s="395"/>
      <c r="B23" s="400"/>
      <c r="C23" s="405" t="s">
        <v>345</v>
      </c>
      <c r="D23" s="392"/>
      <c r="E23" s="391">
        <f>((E22/E21))</f>
        <v>0.13331728698649609</v>
      </c>
      <c r="F23" s="404"/>
      <c r="G23" s="309"/>
    </row>
    <row r="24" spans="1:11" ht="13.8" thickBot="1">
      <c r="A24" s="395"/>
      <c r="B24" s="400"/>
      <c r="C24" s="310"/>
      <c r="D24" s="310"/>
      <c r="E24" s="310"/>
      <c r="F24" s="403"/>
      <c r="G24" s="309"/>
    </row>
    <row r="25" spans="1:11" ht="15.6">
      <c r="A25" s="395"/>
      <c r="B25" s="400"/>
      <c r="C25" s="1081" t="s">
        <v>344</v>
      </c>
      <c r="D25" s="1082"/>
      <c r="E25" s="1082"/>
      <c r="F25" s="402">
        <f>E27</f>
        <v>0.08</v>
      </c>
      <c r="G25" s="401"/>
      <c r="H25" s="301">
        <f>+E22/E21</f>
        <v>0.13331728698649609</v>
      </c>
      <c r="K25" s="301">
        <f>100*241226.18</f>
        <v>24122618</v>
      </c>
    </row>
    <row r="26" spans="1:11">
      <c r="A26" s="395"/>
      <c r="B26" s="400"/>
      <c r="C26" s="399" t="s">
        <v>343</v>
      </c>
      <c r="D26" s="398"/>
      <c r="E26" s="397">
        <f>ROUND(E6*E27,2)</f>
        <v>175966.95</v>
      </c>
      <c r="F26" s="396"/>
      <c r="G26" s="309"/>
      <c r="I26" s="301">
        <v>1583801.6</v>
      </c>
      <c r="J26" s="321"/>
      <c r="K26" s="301">
        <f>+K25/1583801.6</f>
        <v>15.230833205371177</v>
      </c>
    </row>
    <row r="27" spans="1:11" ht="13.8" thickBot="1">
      <c r="A27" s="395"/>
      <c r="B27" s="394"/>
      <c r="C27" s="393" t="s">
        <v>342</v>
      </c>
      <c r="D27" s="392"/>
      <c r="E27" s="391">
        <v>0.08</v>
      </c>
      <c r="F27" s="390"/>
      <c r="G27" s="389"/>
    </row>
    <row r="28" spans="1:11" ht="13.8" thickBot="1">
      <c r="A28" s="388"/>
      <c r="B28" s="306"/>
      <c r="C28" s="306"/>
      <c r="D28" s="306"/>
      <c r="E28" s="306"/>
      <c r="F28" s="306"/>
      <c r="G28" s="305"/>
    </row>
    <row r="29" spans="1:11" ht="13.8" thickTop="1">
      <c r="H29" s="387"/>
    </row>
    <row r="30" spans="1:11">
      <c r="B30" s="304"/>
      <c r="E30" s="352"/>
    </row>
    <row r="33" spans="6:9">
      <c r="H33" s="301">
        <v>2081203.59</v>
      </c>
    </row>
    <row r="34" spans="6:9">
      <c r="F34" s="352"/>
    </row>
    <row r="35" spans="6:9">
      <c r="I35" s="301">
        <f>+H33*0.11</f>
        <v>228932.39490000001</v>
      </c>
    </row>
  </sheetData>
  <mergeCells count="8">
    <mergeCell ref="B1:G3"/>
    <mergeCell ref="B18:F18"/>
    <mergeCell ref="C20:E20"/>
    <mergeCell ref="C25:E25"/>
    <mergeCell ref="B8:G8"/>
    <mergeCell ref="C12:G12"/>
    <mergeCell ref="C15:G15"/>
    <mergeCell ref="C17:G17"/>
  </mergeCells>
  <pageMargins left="0.68" right="0.18" top="1.29" bottom="1" header="0" footer="0"/>
  <pageSetup paperSize="9" scale="8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B1:Z43"/>
  <sheetViews>
    <sheetView showGridLines="0" view="pageBreakPreview" zoomScale="90" zoomScaleSheetLayoutView="90" workbookViewId="0">
      <selection activeCell="H7" sqref="H7"/>
    </sheetView>
  </sheetViews>
  <sheetFormatPr baseColWidth="10" defaultColWidth="11.5546875" defaultRowHeight="13.2"/>
  <cols>
    <col min="1" max="1" width="2.6640625" style="301" customWidth="1"/>
    <col min="2" max="2" width="38.88671875" style="301" customWidth="1"/>
    <col min="3" max="3" width="12.109375" style="301" customWidth="1"/>
    <col min="4" max="4" width="13.6640625" style="301" customWidth="1"/>
    <col min="5" max="6" width="15.33203125" style="301" customWidth="1"/>
    <col min="7" max="7" width="12.109375" style="301" customWidth="1"/>
    <col min="8" max="13" width="15.33203125" style="301" customWidth="1"/>
    <col min="14" max="14" width="15.44140625" style="301" bestFit="1" customWidth="1"/>
    <col min="15" max="15" width="13.33203125" style="301" bestFit="1" customWidth="1"/>
    <col min="16" max="16384" width="11.5546875" style="301"/>
  </cols>
  <sheetData>
    <row r="1" spans="2:26" ht="13.8" thickBot="1"/>
    <row r="2" spans="2:26" ht="68.25" customHeight="1" thickBot="1">
      <c r="B2" s="1092" t="str">
        <f>RESÚMEN!B4</f>
        <v xml:space="preserve">PROYECTO : “MEJORAMIENTO DEL SERVICIO EDUCATIVO DE LA I.E ESTHER ROBERTI GAMERO, DISTRITO DE ABANCAY- REGIÓN APURÍMAC”
</v>
      </c>
      <c r="C2" s="1093"/>
      <c r="D2" s="1093"/>
      <c r="E2" s="1093"/>
      <c r="F2" s="1093"/>
      <c r="G2" s="1093"/>
      <c r="H2" s="1093"/>
      <c r="I2" s="1093"/>
      <c r="J2" s="1093"/>
      <c r="K2" s="1093"/>
      <c r="L2" s="1093"/>
      <c r="M2" s="1093"/>
      <c r="N2" s="1094"/>
    </row>
    <row r="3" spans="2:26"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</row>
    <row r="4" spans="2:26" ht="21">
      <c r="B4" s="1095" t="s">
        <v>414</v>
      </c>
      <c r="C4" s="1095"/>
      <c r="D4" s="1095"/>
      <c r="E4" s="1095"/>
      <c r="F4" s="1095"/>
      <c r="G4" s="1095"/>
      <c r="H4" s="1095"/>
      <c r="I4" s="1095"/>
      <c r="J4" s="1095"/>
      <c r="K4" s="1095"/>
      <c r="L4" s="1095"/>
      <c r="M4" s="1095"/>
      <c r="N4" s="1095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</row>
    <row r="5" spans="2:26" ht="14.4" thickBot="1"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49"/>
      <c r="P5" s="549"/>
      <c r="Q5" s="549"/>
      <c r="R5" s="549"/>
      <c r="S5" s="549"/>
      <c r="T5" s="549"/>
      <c r="U5" s="549"/>
      <c r="V5" s="549"/>
      <c r="W5" s="549"/>
      <c r="X5" s="549"/>
      <c r="Y5" s="549"/>
      <c r="Z5" s="549"/>
    </row>
    <row r="6" spans="2:26" s="348" customFormat="1" ht="38.25" customHeight="1" thickBot="1">
      <c r="B6" s="567" t="s">
        <v>401</v>
      </c>
      <c r="C6" s="566" t="s">
        <v>367</v>
      </c>
      <c r="D6" s="565" t="s">
        <v>400</v>
      </c>
      <c r="E6" s="564" t="s">
        <v>413</v>
      </c>
      <c r="F6" s="563">
        <v>13</v>
      </c>
      <c r="G6" s="528" t="s">
        <v>398</v>
      </c>
      <c r="H6" s="528">
        <v>10</v>
      </c>
      <c r="I6" s="562">
        <v>9</v>
      </c>
      <c r="J6" s="561">
        <v>2</v>
      </c>
      <c r="K6" s="560">
        <v>15</v>
      </c>
      <c r="L6" s="559">
        <v>10</v>
      </c>
      <c r="M6" s="558" t="s">
        <v>397</v>
      </c>
      <c r="N6" s="557" t="s">
        <v>396</v>
      </c>
      <c r="O6" s="556"/>
      <c r="P6" s="556"/>
      <c r="Q6" s="556"/>
      <c r="R6" s="556"/>
      <c r="S6" s="556"/>
      <c r="T6" s="556"/>
      <c r="U6" s="556"/>
      <c r="V6" s="556"/>
      <c r="W6" s="556"/>
      <c r="X6" s="556"/>
      <c r="Y6" s="556"/>
      <c r="Z6" s="556"/>
    </row>
    <row r="7" spans="2:26" ht="15.6">
      <c r="B7" s="555" t="s">
        <v>412</v>
      </c>
      <c r="C7" s="554">
        <v>1</v>
      </c>
      <c r="D7" s="553">
        <v>1</v>
      </c>
      <c r="E7" s="499">
        <v>2681.65</v>
      </c>
      <c r="F7" s="516">
        <f t="shared" ref="F7:F16" si="0">(E7+H7)*$F$6/100</f>
        <v>383.47595000000001</v>
      </c>
      <c r="G7" s="499">
        <v>6</v>
      </c>
      <c r="H7" s="499">
        <f t="shared" ref="H7:H16" si="1">+E7*$H$6/100</f>
        <v>268.16500000000002</v>
      </c>
      <c r="I7" s="499">
        <f t="shared" ref="I7:I16" si="2">E7*$I$6/100</f>
        <v>241.34850000000003</v>
      </c>
      <c r="J7" s="499">
        <f>E7*($O$6/100*1.19)</f>
        <v>0</v>
      </c>
      <c r="K7" s="499">
        <f t="shared" ref="K7:K16" si="3">(E7+H7+M7)*$K$6/100</f>
        <v>516.217625</v>
      </c>
      <c r="L7" s="499">
        <f t="shared" ref="L7:L16" si="4">(E7+H7)*$L$6/100</f>
        <v>294.98150000000004</v>
      </c>
      <c r="M7" s="499">
        <f t="shared" ref="M7:M16" si="5">SUM(E7,H7)/6</f>
        <v>491.63583333333332</v>
      </c>
      <c r="N7" s="540">
        <f>SUM(G7:M7)+E7</f>
        <v>4499.9984583333335</v>
      </c>
      <c r="O7" s="552"/>
      <c r="P7" s="551">
        <f>4500-M7-L7-K7-J7-I7-H7-G7</f>
        <v>2681.6515416666671</v>
      </c>
      <c r="Q7" s="549"/>
      <c r="R7" s="549"/>
      <c r="S7" s="549"/>
      <c r="T7" s="549"/>
      <c r="U7" s="549"/>
      <c r="V7" s="549"/>
      <c r="W7" s="549"/>
      <c r="X7" s="549"/>
      <c r="Y7" s="549"/>
      <c r="Z7" s="549"/>
    </row>
    <row r="8" spans="2:26" ht="15.6">
      <c r="B8" s="550" t="s">
        <v>373</v>
      </c>
      <c r="C8" s="542">
        <v>1</v>
      </c>
      <c r="D8" s="541">
        <v>1</v>
      </c>
      <c r="E8" s="499">
        <v>2681.65</v>
      </c>
      <c r="F8" s="515">
        <f t="shared" si="0"/>
        <v>383.47595000000001</v>
      </c>
      <c r="G8" s="507">
        <v>6</v>
      </c>
      <c r="H8" s="507">
        <f t="shared" si="1"/>
        <v>268.16500000000002</v>
      </c>
      <c r="I8" s="507">
        <f t="shared" si="2"/>
        <v>241.34850000000003</v>
      </c>
      <c r="J8" s="507">
        <f>E8*($O$6/100*1.19)</f>
        <v>0</v>
      </c>
      <c r="K8" s="507">
        <f t="shared" si="3"/>
        <v>516.217625</v>
      </c>
      <c r="L8" s="507">
        <f t="shared" si="4"/>
        <v>294.98150000000004</v>
      </c>
      <c r="M8" s="507">
        <f t="shared" si="5"/>
        <v>491.63583333333332</v>
      </c>
      <c r="N8" s="540">
        <f>SUM(G8:M8)+E8</f>
        <v>4499.9984583333335</v>
      </c>
      <c r="O8" s="549"/>
      <c r="P8" s="549"/>
      <c r="Q8" s="549"/>
      <c r="R8" s="549"/>
      <c r="S8" s="549"/>
      <c r="T8" s="549"/>
      <c r="U8" s="549"/>
      <c r="V8" s="549"/>
      <c r="W8" s="549"/>
      <c r="X8" s="549"/>
      <c r="Y8" s="549"/>
      <c r="Z8" s="549"/>
    </row>
    <row r="9" spans="2:26" ht="15.6">
      <c r="B9" s="550" t="s">
        <v>374</v>
      </c>
      <c r="C9" s="542">
        <v>1</v>
      </c>
      <c r="D9" s="541">
        <v>1</v>
      </c>
      <c r="E9" s="499">
        <v>2681.65</v>
      </c>
      <c r="F9" s="515">
        <f t="shared" si="0"/>
        <v>383.47595000000001</v>
      </c>
      <c r="G9" s="507">
        <v>6</v>
      </c>
      <c r="H9" s="507">
        <f t="shared" si="1"/>
        <v>268.16500000000002</v>
      </c>
      <c r="I9" s="507">
        <f t="shared" si="2"/>
        <v>241.34850000000003</v>
      </c>
      <c r="J9" s="507">
        <f>E9*($O$6/100*1.19)</f>
        <v>0</v>
      </c>
      <c r="K9" s="507">
        <f t="shared" si="3"/>
        <v>516.217625</v>
      </c>
      <c r="L9" s="507">
        <f t="shared" si="4"/>
        <v>294.98150000000004</v>
      </c>
      <c r="M9" s="507">
        <f t="shared" si="5"/>
        <v>491.63583333333332</v>
      </c>
      <c r="N9" s="540">
        <f>SUM(G9:M9)+E9</f>
        <v>4499.9984583333335</v>
      </c>
      <c r="O9" s="549"/>
      <c r="P9" s="549"/>
      <c r="Q9" s="549"/>
      <c r="R9" s="549"/>
      <c r="S9" s="549"/>
      <c r="T9" s="549"/>
      <c r="U9" s="549"/>
      <c r="V9" s="549"/>
      <c r="W9" s="549"/>
      <c r="X9" s="549"/>
      <c r="Y9" s="549"/>
      <c r="Z9" s="549"/>
    </row>
    <row r="10" spans="2:26" ht="15.6">
      <c r="B10" s="543" t="s">
        <v>411</v>
      </c>
      <c r="C10" s="542">
        <v>1</v>
      </c>
      <c r="D10" s="541">
        <v>1</v>
      </c>
      <c r="E10" s="507">
        <v>1547.885</v>
      </c>
      <c r="F10" s="515">
        <f t="shared" si="0"/>
        <v>221.347555</v>
      </c>
      <c r="G10" s="507">
        <v>6</v>
      </c>
      <c r="H10" s="507">
        <f t="shared" si="1"/>
        <v>154.7885</v>
      </c>
      <c r="I10" s="507">
        <f t="shared" si="2"/>
        <v>139.30965</v>
      </c>
      <c r="J10" s="507">
        <f>E10*($O$6/100*1.19)</f>
        <v>0</v>
      </c>
      <c r="K10" s="507">
        <f t="shared" si="3"/>
        <v>297.96786249999997</v>
      </c>
      <c r="L10" s="507">
        <f t="shared" si="4"/>
        <v>170.26734999999999</v>
      </c>
      <c r="M10" s="507">
        <f t="shared" si="5"/>
        <v>283.77891666666665</v>
      </c>
      <c r="N10" s="540">
        <f>SUM(G10:M10)+E10</f>
        <v>2599.9972791666669</v>
      </c>
    </row>
    <row r="11" spans="2:26" ht="15.6">
      <c r="B11" s="543" t="s">
        <v>410</v>
      </c>
      <c r="C11" s="548">
        <v>0</v>
      </c>
      <c r="D11" s="547">
        <v>0</v>
      </c>
      <c r="E11" s="545">
        <v>0</v>
      </c>
      <c r="F11" s="546">
        <f t="shared" si="0"/>
        <v>0</v>
      </c>
      <c r="G11" s="514" t="s">
        <v>395</v>
      </c>
      <c r="H11" s="545">
        <f t="shared" si="1"/>
        <v>0</v>
      </c>
      <c r="I11" s="545">
        <f t="shared" si="2"/>
        <v>0</v>
      </c>
      <c r="J11" s="545">
        <f>E11*($O$6/100*1.19)</f>
        <v>0</v>
      </c>
      <c r="K11" s="545">
        <f t="shared" si="3"/>
        <v>0</v>
      </c>
      <c r="L11" s="545">
        <f t="shared" si="4"/>
        <v>0</v>
      </c>
      <c r="M11" s="545">
        <f t="shared" si="5"/>
        <v>0</v>
      </c>
      <c r="N11" s="544">
        <f>SUM(H11:M11)+E11</f>
        <v>0</v>
      </c>
    </row>
    <row r="12" spans="2:26" ht="15.6">
      <c r="B12" s="543" t="s">
        <v>409</v>
      </c>
      <c r="C12" s="542">
        <v>1</v>
      </c>
      <c r="D12" s="541">
        <v>1</v>
      </c>
      <c r="E12" s="507">
        <v>1389.28</v>
      </c>
      <c r="F12" s="515">
        <f t="shared" si="0"/>
        <v>198.66704000000001</v>
      </c>
      <c r="G12" s="507">
        <v>6</v>
      </c>
      <c r="H12" s="507">
        <f t="shared" si="1"/>
        <v>138.928</v>
      </c>
      <c r="I12" s="507">
        <f t="shared" si="2"/>
        <v>125.0352</v>
      </c>
      <c r="J12" s="507">
        <f>E12*($J$6/100*1.19)</f>
        <v>33.064864</v>
      </c>
      <c r="K12" s="507">
        <f t="shared" si="3"/>
        <v>267.43640000000005</v>
      </c>
      <c r="L12" s="507">
        <f t="shared" si="4"/>
        <v>152.82080000000002</v>
      </c>
      <c r="M12" s="507">
        <f t="shared" si="5"/>
        <v>254.70133333333334</v>
      </c>
      <c r="N12" s="540">
        <f>SUM(G12:M12)+E12</f>
        <v>2367.2665973333333</v>
      </c>
    </row>
    <row r="13" spans="2:26" ht="15.6">
      <c r="B13" s="543" t="s">
        <v>408</v>
      </c>
      <c r="C13" s="542">
        <v>1</v>
      </c>
      <c r="D13" s="541">
        <v>1</v>
      </c>
      <c r="E13" s="507">
        <v>2083.92</v>
      </c>
      <c r="F13" s="515">
        <f t="shared" si="0"/>
        <v>298.00055999999995</v>
      </c>
      <c r="G13" s="507">
        <v>6</v>
      </c>
      <c r="H13" s="507">
        <f t="shared" si="1"/>
        <v>208.392</v>
      </c>
      <c r="I13" s="507">
        <f t="shared" si="2"/>
        <v>187.55279999999999</v>
      </c>
      <c r="J13" s="507">
        <f>E13*($J$6/100*1.19)</f>
        <v>49.597296</v>
      </c>
      <c r="K13" s="507">
        <f t="shared" si="3"/>
        <v>401.15460000000002</v>
      </c>
      <c r="L13" s="507">
        <f t="shared" si="4"/>
        <v>229.2312</v>
      </c>
      <c r="M13" s="507">
        <f t="shared" si="5"/>
        <v>382.05199999999996</v>
      </c>
      <c r="N13" s="540">
        <f>SUM(G13:M13)+E13</f>
        <v>3547.8998959999999</v>
      </c>
    </row>
    <row r="14" spans="2:26" ht="15.6">
      <c r="B14" s="543" t="s">
        <v>407</v>
      </c>
      <c r="C14" s="542">
        <v>1</v>
      </c>
      <c r="D14" s="541">
        <v>1</v>
      </c>
      <c r="E14" s="507">
        <v>1910.26</v>
      </c>
      <c r="F14" s="515">
        <f t="shared" si="0"/>
        <v>273.16718000000003</v>
      </c>
      <c r="G14" s="507">
        <v>6</v>
      </c>
      <c r="H14" s="507">
        <f t="shared" si="1"/>
        <v>191.02599999999998</v>
      </c>
      <c r="I14" s="507">
        <f t="shared" si="2"/>
        <v>171.92340000000002</v>
      </c>
      <c r="J14" s="507">
        <f>E14*($J$6/100*1.19)</f>
        <v>45.464187999999993</v>
      </c>
      <c r="K14" s="507">
        <f t="shared" si="3"/>
        <v>367.72505000000007</v>
      </c>
      <c r="L14" s="507">
        <f t="shared" si="4"/>
        <v>210.12860000000001</v>
      </c>
      <c r="M14" s="507">
        <f t="shared" si="5"/>
        <v>350.21433333333334</v>
      </c>
      <c r="N14" s="540">
        <f>SUM(G14:M14)+E14</f>
        <v>3252.741571333333</v>
      </c>
    </row>
    <row r="15" spans="2:26" ht="16.2" thickBot="1">
      <c r="B15" s="539" t="s">
        <v>406</v>
      </c>
      <c r="C15" s="538">
        <v>1</v>
      </c>
      <c r="D15" s="537">
        <v>1</v>
      </c>
      <c r="E15" s="494">
        <v>1736.6</v>
      </c>
      <c r="F15" s="495">
        <f t="shared" si="0"/>
        <v>248.3338</v>
      </c>
      <c r="G15" s="494">
        <v>6</v>
      </c>
      <c r="H15" s="494">
        <f t="shared" si="1"/>
        <v>173.66</v>
      </c>
      <c r="I15" s="494">
        <f t="shared" si="2"/>
        <v>156.29399999999998</v>
      </c>
      <c r="J15" s="494">
        <f>E15*($P$6/100*1.19)</f>
        <v>0</v>
      </c>
      <c r="K15" s="494">
        <f t="shared" si="3"/>
        <v>334.2955</v>
      </c>
      <c r="L15" s="494">
        <f t="shared" si="4"/>
        <v>191.02599999999998</v>
      </c>
      <c r="M15" s="494">
        <f t="shared" si="5"/>
        <v>318.37666666666667</v>
      </c>
      <c r="N15" s="493">
        <f>SUM(G15:M15)+E15</f>
        <v>2916.2521666666662</v>
      </c>
    </row>
    <row r="16" spans="2:26" ht="16.2" thickBot="1">
      <c r="B16" s="539" t="s">
        <v>416</v>
      </c>
      <c r="C16" s="538">
        <v>1</v>
      </c>
      <c r="D16" s="537">
        <v>1</v>
      </c>
      <c r="E16" s="494">
        <v>2980.0070000000001</v>
      </c>
      <c r="F16" s="495">
        <f t="shared" si="0"/>
        <v>426.14100100000002</v>
      </c>
      <c r="G16" s="494">
        <v>6</v>
      </c>
      <c r="H16" s="494">
        <f t="shared" si="1"/>
        <v>298.00069999999999</v>
      </c>
      <c r="I16" s="494">
        <f t="shared" si="2"/>
        <v>268.20063000000005</v>
      </c>
      <c r="J16" s="494">
        <f>E16*($P$6/100*1.19)</f>
        <v>0</v>
      </c>
      <c r="K16" s="494">
        <f t="shared" si="3"/>
        <v>573.65134749999993</v>
      </c>
      <c r="L16" s="494">
        <f t="shared" si="4"/>
        <v>327.80077000000006</v>
      </c>
      <c r="M16" s="494">
        <f t="shared" si="5"/>
        <v>546.33461666666665</v>
      </c>
      <c r="N16" s="493">
        <f>SUM(G16:M16)+E16</f>
        <v>4999.9950641666674</v>
      </c>
    </row>
    <row r="17" spans="2:22" ht="15.6">
      <c r="B17" s="497"/>
      <c r="C17" s="535"/>
      <c r="D17" s="536" t="s">
        <v>394</v>
      </c>
      <c r="E17" s="499">
        <f t="shared" ref="E17:N17" si="6">SUM(E7:E15)</f>
        <v>16712.895</v>
      </c>
      <c r="F17" s="499">
        <f t="shared" si="6"/>
        <v>2389.9439849999999</v>
      </c>
      <c r="G17" s="499">
        <f t="shared" si="6"/>
        <v>48</v>
      </c>
      <c r="H17" s="499">
        <f t="shared" si="6"/>
        <v>1671.2895000000003</v>
      </c>
      <c r="I17" s="499">
        <f t="shared" si="6"/>
        <v>1504.1605500000001</v>
      </c>
      <c r="J17" s="499">
        <f t="shared" si="6"/>
        <v>128.12634800000001</v>
      </c>
      <c r="K17" s="499">
        <f t="shared" si="6"/>
        <v>3217.2322875</v>
      </c>
      <c r="L17" s="499">
        <f t="shared" si="6"/>
        <v>1838.4184500000001</v>
      </c>
      <c r="M17" s="499">
        <f t="shared" si="6"/>
        <v>3064.0307499999999</v>
      </c>
      <c r="N17" s="1097">
        <f t="shared" si="6"/>
        <v>28184.152885499996</v>
      </c>
    </row>
    <row r="18" spans="2:22" ht="16.2" thickBot="1">
      <c r="B18" s="497"/>
      <c r="C18" s="535"/>
      <c r="D18" s="534" t="s">
        <v>3</v>
      </c>
      <c r="E18" s="494">
        <f>SUMPRODUCT(D7:D15,E7:E15)</f>
        <v>16712.895</v>
      </c>
      <c r="F18" s="495">
        <f>SUMPRODUCT(D7:D15,F7:F15)</f>
        <v>2389.9439849999999</v>
      </c>
      <c r="G18" s="494">
        <f>SUMPRODUCT(C7:C15,G7:G15)</f>
        <v>48</v>
      </c>
      <c r="H18" s="494">
        <f>SUMPRODUCT(D7:D15,H7:H15)</f>
        <v>1671.2895000000003</v>
      </c>
      <c r="I18" s="494">
        <f>SUMPRODUCT(D7:D15,I7:I15)</f>
        <v>1504.1605500000001</v>
      </c>
      <c r="J18" s="494">
        <f>SUMPRODUCT(D7:D15,J7:J15)</f>
        <v>128.12634800000001</v>
      </c>
      <c r="K18" s="494">
        <f>SUMPRODUCT(D7:D15,K7:K15)</f>
        <v>3217.2322875</v>
      </c>
      <c r="L18" s="494">
        <f>SUMPRODUCT(D7:D15,L7:L15)</f>
        <v>1838.4184500000001</v>
      </c>
      <c r="M18" s="494">
        <f>SUMPRODUCT(D7:D15,M7:M15)</f>
        <v>3064.0307499999999</v>
      </c>
      <c r="N18" s="1098"/>
    </row>
    <row r="19" spans="2:22" ht="15.6"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</row>
    <row r="20" spans="2:22" ht="15.6">
      <c r="B20" s="497" t="s">
        <v>405</v>
      </c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533"/>
      <c r="N20" s="371"/>
    </row>
    <row r="21" spans="2:22" ht="15.6">
      <c r="B21" s="497" t="s">
        <v>404</v>
      </c>
      <c r="C21" s="497"/>
      <c r="D21" s="497"/>
      <c r="E21" s="497"/>
      <c r="F21" s="497"/>
      <c r="G21" s="497"/>
      <c r="H21" s="497"/>
      <c r="I21" s="497"/>
      <c r="J21" s="497"/>
      <c r="K21" s="497"/>
      <c r="L21" s="497"/>
      <c r="M21" s="533"/>
      <c r="N21" s="497"/>
      <c r="O21" s="301">
        <f>+N17*7</f>
        <v>197289.07019849998</v>
      </c>
    </row>
    <row r="22" spans="2:22" ht="15.6">
      <c r="B22" s="497" t="s">
        <v>403</v>
      </c>
      <c r="C22" s="497"/>
      <c r="D22" s="497"/>
      <c r="E22" s="497"/>
      <c r="F22" s="497"/>
      <c r="G22" s="497"/>
      <c r="H22" s="497"/>
      <c r="I22" s="497"/>
      <c r="J22" s="497"/>
      <c r="K22" s="497"/>
      <c r="L22" s="497"/>
      <c r="M22" s="533"/>
      <c r="N22" s="497"/>
    </row>
    <row r="23" spans="2:22" ht="15.6">
      <c r="B23" s="497"/>
      <c r="C23" s="497"/>
      <c r="D23" s="497"/>
      <c r="E23" s="497"/>
      <c r="F23" s="497"/>
      <c r="G23" s="497"/>
      <c r="H23" s="497"/>
      <c r="I23" s="497"/>
      <c r="J23" s="497"/>
      <c r="K23" s="497"/>
      <c r="L23" s="497"/>
      <c r="M23" s="497"/>
      <c r="N23" s="497"/>
    </row>
    <row r="24" spans="2:22" ht="15">
      <c r="B24" s="533"/>
      <c r="C24" s="533"/>
      <c r="D24" s="533"/>
      <c r="E24" s="533"/>
      <c r="F24" s="533"/>
      <c r="G24" s="533"/>
      <c r="H24" s="533"/>
      <c r="I24" s="533"/>
      <c r="J24" s="533"/>
      <c r="K24" s="533"/>
      <c r="L24" s="533"/>
      <c r="M24" s="533"/>
      <c r="N24" s="533"/>
    </row>
    <row r="25" spans="2:22" ht="15.6">
      <c r="B25" s="1096" t="s">
        <v>402</v>
      </c>
      <c r="C25" s="1096"/>
      <c r="D25" s="1096"/>
      <c r="E25" s="1096"/>
      <c r="F25" s="1096"/>
      <c r="G25" s="1096"/>
      <c r="H25" s="1096"/>
      <c r="I25" s="1096"/>
      <c r="J25" s="1096"/>
      <c r="K25" s="1096"/>
      <c r="L25" s="1096"/>
      <c r="M25" s="1096"/>
      <c r="N25" s="1096"/>
    </row>
    <row r="26" spans="2:22" ht="16.2" thickBot="1">
      <c r="B26" s="497"/>
      <c r="C26" s="497"/>
      <c r="D26" s="497"/>
      <c r="E26" s="497"/>
      <c r="F26" s="497"/>
      <c r="G26" s="497"/>
      <c r="H26" s="497"/>
      <c r="I26" s="497"/>
      <c r="J26" s="497"/>
      <c r="K26" s="497"/>
      <c r="L26" s="497"/>
      <c r="M26" s="497"/>
      <c r="N26" s="497"/>
      <c r="O26" s="386"/>
      <c r="P26" s="386"/>
      <c r="Q26" s="386"/>
      <c r="R26" s="386"/>
      <c r="S26" s="386"/>
      <c r="T26" s="386"/>
      <c r="U26" s="386"/>
      <c r="V26" s="386"/>
    </row>
    <row r="27" spans="2:22" s="348" customFormat="1" ht="32.25" customHeight="1" thickBot="1">
      <c r="B27" s="532" t="s">
        <v>401</v>
      </c>
      <c r="C27" s="531" t="s">
        <v>367</v>
      </c>
      <c r="D27" s="522" t="s">
        <v>400</v>
      </c>
      <c r="E27" s="530" t="s">
        <v>399</v>
      </c>
      <c r="F27" s="529">
        <f>F6</f>
        <v>13</v>
      </c>
      <c r="G27" s="528" t="s">
        <v>398</v>
      </c>
      <c r="H27" s="527">
        <f>H6</f>
        <v>10</v>
      </c>
      <c r="I27" s="526">
        <f>I6</f>
        <v>9</v>
      </c>
      <c r="J27" s="525">
        <f>J6</f>
        <v>2</v>
      </c>
      <c r="K27" s="524">
        <f>K6</f>
        <v>15</v>
      </c>
      <c r="L27" s="523">
        <f>L6</f>
        <v>10</v>
      </c>
      <c r="M27" s="522" t="s">
        <v>397</v>
      </c>
      <c r="N27" s="521" t="s">
        <v>396</v>
      </c>
      <c r="O27" s="520"/>
      <c r="P27" s="520"/>
      <c r="Q27" s="520"/>
      <c r="R27" s="520"/>
      <c r="S27" s="520"/>
      <c r="T27" s="520"/>
      <c r="U27" s="520"/>
      <c r="V27" s="520"/>
    </row>
    <row r="28" spans="2:22" ht="15.6">
      <c r="B28" s="518" t="str">
        <f>B7</f>
        <v>Ing  y/o Arq  Residente de Obra</v>
      </c>
      <c r="C28" s="519">
        <f>C7</f>
        <v>1</v>
      </c>
      <c r="D28" s="517">
        <v>9.5</v>
      </c>
      <c r="E28" s="499">
        <f t="shared" ref="E28:E36" si="7">+D28*E7*C28</f>
        <v>25475.674999999999</v>
      </c>
      <c r="F28" s="516">
        <f t="shared" ref="F28:F36" si="8">(E28+H28)*$F$6/100</f>
        <v>3643.0215250000001</v>
      </c>
      <c r="G28" s="499">
        <v>6</v>
      </c>
      <c r="H28" s="499">
        <f t="shared" ref="H28:H36" si="9">+E28*H$27/100</f>
        <v>2547.5675000000001</v>
      </c>
      <c r="I28" s="499">
        <f t="shared" ref="I28:I36" si="10">E28*$I$6/100</f>
        <v>2292.8107499999996</v>
      </c>
      <c r="J28" s="499">
        <f>E28*($O$6/100*1.19)</f>
        <v>0</v>
      </c>
      <c r="K28" s="499">
        <f t="shared" ref="K28:K36" si="11">(E28+H28+M28)*$K$6/100</f>
        <v>4904.0674374999999</v>
      </c>
      <c r="L28" s="499">
        <f t="shared" ref="L28:L36" si="12">(E28+H28)*$L$6/100</f>
        <v>2802.3242499999997</v>
      </c>
      <c r="M28" s="499">
        <f t="shared" ref="M28:M36" si="13">SUM(E28,H28)/6</f>
        <v>4670.5404166666667</v>
      </c>
      <c r="N28" s="498">
        <f t="shared" ref="N28:N36" si="14">SUM(G28:M28)+E28</f>
        <v>42698.985354166667</v>
      </c>
      <c r="O28" s="512"/>
      <c r="P28" s="386"/>
      <c r="Q28" s="386"/>
      <c r="R28" s="386"/>
      <c r="S28" s="386"/>
      <c r="T28" s="386"/>
      <c r="U28" s="386"/>
      <c r="V28" s="386"/>
    </row>
    <row r="29" spans="2:22" ht="15.6">
      <c r="B29" s="518" t="s">
        <v>373</v>
      </c>
      <c r="C29" s="462">
        <v>1</v>
      </c>
      <c r="D29" s="517">
        <v>3</v>
      </c>
      <c r="E29" s="499">
        <f t="shared" si="7"/>
        <v>8044.9500000000007</v>
      </c>
      <c r="F29" s="516">
        <f t="shared" si="8"/>
        <v>1150.4278500000003</v>
      </c>
      <c r="G29" s="507">
        <v>6</v>
      </c>
      <c r="H29" s="499">
        <f t="shared" si="9"/>
        <v>804.495</v>
      </c>
      <c r="I29" s="499">
        <f t="shared" si="10"/>
        <v>724.04550000000006</v>
      </c>
      <c r="J29" s="499">
        <f>E29*($O$6/100*1.19)</f>
        <v>0</v>
      </c>
      <c r="K29" s="499">
        <f t="shared" si="11"/>
        <v>1548.652875</v>
      </c>
      <c r="L29" s="499">
        <f t="shared" si="12"/>
        <v>884.94450000000006</v>
      </c>
      <c r="M29" s="499">
        <f t="shared" si="13"/>
        <v>1474.9075000000003</v>
      </c>
      <c r="N29" s="498">
        <f t="shared" si="14"/>
        <v>13487.995375</v>
      </c>
      <c r="O29" s="512"/>
      <c r="P29" s="386"/>
      <c r="Q29" s="386"/>
      <c r="R29" s="386"/>
      <c r="S29" s="386"/>
      <c r="T29" s="386"/>
      <c r="U29" s="386"/>
      <c r="V29" s="386"/>
    </row>
    <row r="30" spans="2:22" ht="15.6">
      <c r="B30" s="518" t="s">
        <v>374</v>
      </c>
      <c r="C30" s="462">
        <v>1</v>
      </c>
      <c r="D30" s="517">
        <v>1</v>
      </c>
      <c r="E30" s="499">
        <f t="shared" si="7"/>
        <v>2681.65</v>
      </c>
      <c r="F30" s="516">
        <f t="shared" si="8"/>
        <v>383.47595000000001</v>
      </c>
      <c r="G30" s="507">
        <v>6</v>
      </c>
      <c r="H30" s="499">
        <f t="shared" si="9"/>
        <v>268.16500000000002</v>
      </c>
      <c r="I30" s="499">
        <f t="shared" si="10"/>
        <v>241.34850000000003</v>
      </c>
      <c r="J30" s="499">
        <f>E30*($O$6/100*1.19)</f>
        <v>0</v>
      </c>
      <c r="K30" s="499">
        <f t="shared" si="11"/>
        <v>516.217625</v>
      </c>
      <c r="L30" s="499">
        <f t="shared" si="12"/>
        <v>294.98150000000004</v>
      </c>
      <c r="M30" s="499">
        <f t="shared" si="13"/>
        <v>491.63583333333332</v>
      </c>
      <c r="N30" s="498">
        <f t="shared" si="14"/>
        <v>4499.9984583333335</v>
      </c>
      <c r="O30" s="512"/>
      <c r="P30" s="386"/>
      <c r="Q30" s="386"/>
      <c r="R30" s="386"/>
      <c r="S30" s="386"/>
      <c r="T30" s="386"/>
      <c r="U30" s="386"/>
      <c r="V30" s="386"/>
    </row>
    <row r="31" spans="2:22" ht="15.6">
      <c r="B31" s="511" t="str">
        <f t="shared" ref="B31:C36" si="15">B10</f>
        <v>Asistente Tecnico</v>
      </c>
      <c r="C31" s="510">
        <f t="shared" si="15"/>
        <v>1</v>
      </c>
      <c r="D31" s="513">
        <f>+D28-0.5</f>
        <v>9</v>
      </c>
      <c r="E31" s="507">
        <f t="shared" si="7"/>
        <v>13930.965</v>
      </c>
      <c r="F31" s="515">
        <f t="shared" si="8"/>
        <v>1992.1279949999998</v>
      </c>
      <c r="G31" s="507">
        <v>6</v>
      </c>
      <c r="H31" s="507">
        <f t="shared" si="9"/>
        <v>1393.0964999999999</v>
      </c>
      <c r="I31" s="507">
        <f t="shared" si="10"/>
        <v>1253.78685</v>
      </c>
      <c r="J31" s="507">
        <f>E31*($P$6/100*1.19)</f>
        <v>0</v>
      </c>
      <c r="K31" s="507">
        <f t="shared" si="11"/>
        <v>2681.7107624999999</v>
      </c>
      <c r="L31" s="507">
        <f t="shared" si="12"/>
        <v>1532.4061499999998</v>
      </c>
      <c r="M31" s="507">
        <f t="shared" si="13"/>
        <v>2554.0102499999998</v>
      </c>
      <c r="N31" s="498">
        <f t="shared" si="14"/>
        <v>23351.975512500001</v>
      </c>
      <c r="O31" s="512"/>
      <c r="P31" s="386"/>
      <c r="Q31" s="386"/>
      <c r="R31" s="386"/>
      <c r="S31" s="386"/>
      <c r="T31" s="386"/>
      <c r="U31" s="386"/>
      <c r="V31" s="386"/>
    </row>
    <row r="32" spans="2:22" ht="15.6">
      <c r="B32" s="511" t="str">
        <f t="shared" si="15"/>
        <v>Secretaria</v>
      </c>
      <c r="C32" s="510">
        <f t="shared" si="15"/>
        <v>0</v>
      </c>
      <c r="D32" s="513">
        <v>0</v>
      </c>
      <c r="E32" s="507">
        <f t="shared" si="7"/>
        <v>0</v>
      </c>
      <c r="F32" s="515">
        <f t="shared" si="8"/>
        <v>0</v>
      </c>
      <c r="G32" s="514" t="s">
        <v>395</v>
      </c>
      <c r="H32" s="507">
        <f t="shared" si="9"/>
        <v>0</v>
      </c>
      <c r="I32" s="507">
        <f t="shared" si="10"/>
        <v>0</v>
      </c>
      <c r="J32" s="507">
        <f>E32*($P$6/100*1.19)</f>
        <v>0</v>
      </c>
      <c r="K32" s="507">
        <f t="shared" si="11"/>
        <v>0</v>
      </c>
      <c r="L32" s="507">
        <f t="shared" si="12"/>
        <v>0</v>
      </c>
      <c r="M32" s="507">
        <f t="shared" si="13"/>
        <v>0</v>
      </c>
      <c r="N32" s="498">
        <f t="shared" si="14"/>
        <v>0</v>
      </c>
      <c r="O32" s="512"/>
      <c r="P32" s="386"/>
      <c r="Q32" s="386"/>
      <c r="R32" s="386"/>
      <c r="S32" s="386"/>
      <c r="T32" s="386"/>
      <c r="U32" s="386"/>
      <c r="V32" s="386"/>
    </row>
    <row r="33" spans="2:22" ht="15.6">
      <c r="B33" s="511" t="str">
        <f t="shared" si="15"/>
        <v xml:space="preserve">Guardián </v>
      </c>
      <c r="C33" s="510">
        <f t="shared" si="15"/>
        <v>1</v>
      </c>
      <c r="D33" s="513">
        <f>+D31</f>
        <v>9</v>
      </c>
      <c r="E33" s="507">
        <f t="shared" si="7"/>
        <v>12503.52</v>
      </c>
      <c r="F33" s="508">
        <f t="shared" si="8"/>
        <v>1788.0033600000002</v>
      </c>
      <c r="G33" s="507">
        <v>6</v>
      </c>
      <c r="H33" s="507">
        <f t="shared" si="9"/>
        <v>1250.3520000000001</v>
      </c>
      <c r="I33" s="506">
        <f t="shared" si="10"/>
        <v>1125.3168000000001</v>
      </c>
      <c r="J33" s="506">
        <f>E33*($J$6/100*1.19)</f>
        <v>297.583776</v>
      </c>
      <c r="K33" s="506">
        <f t="shared" si="11"/>
        <v>2406.9276</v>
      </c>
      <c r="L33" s="507">
        <f t="shared" si="12"/>
        <v>1375.3872000000001</v>
      </c>
      <c r="M33" s="506">
        <f t="shared" si="13"/>
        <v>2292.3120000000004</v>
      </c>
      <c r="N33" s="498">
        <f t="shared" si="14"/>
        <v>21257.399376000001</v>
      </c>
      <c r="O33" s="512"/>
      <c r="P33" s="386"/>
      <c r="Q33" s="386"/>
      <c r="R33" s="386"/>
      <c r="S33" s="386"/>
      <c r="T33" s="386"/>
      <c r="U33" s="386"/>
      <c r="V33" s="386"/>
    </row>
    <row r="34" spans="2:22" ht="15.6">
      <c r="B34" s="511" t="str">
        <f t="shared" si="15"/>
        <v>Maestro de Obra</v>
      </c>
      <c r="C34" s="510">
        <f t="shared" si="15"/>
        <v>1</v>
      </c>
      <c r="D34" s="513">
        <f>+D33</f>
        <v>9</v>
      </c>
      <c r="E34" s="507">
        <f t="shared" si="7"/>
        <v>18755.28</v>
      </c>
      <c r="F34" s="508">
        <f t="shared" si="8"/>
        <v>2682.0050399999996</v>
      </c>
      <c r="G34" s="507">
        <v>6</v>
      </c>
      <c r="H34" s="507">
        <f t="shared" si="9"/>
        <v>1875.5279999999998</v>
      </c>
      <c r="I34" s="506">
        <f t="shared" si="10"/>
        <v>1687.9751999999999</v>
      </c>
      <c r="J34" s="506">
        <f>E34*($J$6/100*1.19)</f>
        <v>446.37566399999992</v>
      </c>
      <c r="K34" s="506">
        <f t="shared" si="11"/>
        <v>3610.3913999999995</v>
      </c>
      <c r="L34" s="507">
        <f t="shared" si="12"/>
        <v>2063.0807999999997</v>
      </c>
      <c r="M34" s="506">
        <f t="shared" si="13"/>
        <v>3438.4679999999994</v>
      </c>
      <c r="N34" s="498">
        <f t="shared" si="14"/>
        <v>31883.099063999995</v>
      </c>
      <c r="O34" s="512"/>
      <c r="P34" s="386"/>
      <c r="Q34" s="386"/>
      <c r="R34" s="386"/>
      <c r="S34" s="386"/>
      <c r="T34" s="386"/>
      <c r="U34" s="386"/>
      <c r="V34" s="386"/>
    </row>
    <row r="35" spans="2:22" ht="15.6">
      <c r="B35" s="511" t="str">
        <f t="shared" si="15"/>
        <v>Almacenero</v>
      </c>
      <c r="C35" s="510">
        <f t="shared" si="15"/>
        <v>1</v>
      </c>
      <c r="D35" s="509">
        <f>+D34</f>
        <v>9</v>
      </c>
      <c r="E35" s="507">
        <f t="shared" si="7"/>
        <v>17192.34</v>
      </c>
      <c r="F35" s="508">
        <f t="shared" si="8"/>
        <v>2458.5046200000002</v>
      </c>
      <c r="G35" s="507">
        <v>6</v>
      </c>
      <c r="H35" s="507">
        <f t="shared" si="9"/>
        <v>1719.2339999999999</v>
      </c>
      <c r="I35" s="506">
        <f t="shared" si="10"/>
        <v>1547.3106</v>
      </c>
      <c r="J35" s="506">
        <f>E35*($J$6/100*1.19)</f>
        <v>409.17769199999998</v>
      </c>
      <c r="K35" s="506">
        <f t="shared" si="11"/>
        <v>3309.5254499999996</v>
      </c>
      <c r="L35" s="507">
        <f t="shared" si="12"/>
        <v>1891.1573999999998</v>
      </c>
      <c r="M35" s="506">
        <f t="shared" si="13"/>
        <v>3151.9290000000001</v>
      </c>
      <c r="N35" s="498">
        <f t="shared" si="14"/>
        <v>29226.674142</v>
      </c>
      <c r="O35" s="505"/>
      <c r="P35" s="386"/>
      <c r="Q35" s="386"/>
      <c r="R35" s="386"/>
      <c r="S35" s="386"/>
      <c r="T35" s="386"/>
      <c r="U35" s="386"/>
      <c r="V35" s="386"/>
    </row>
    <row r="36" spans="2:22" ht="16.2" thickBot="1">
      <c r="B36" s="504" t="str">
        <f t="shared" si="15"/>
        <v>Asistente Administrativo</v>
      </c>
      <c r="C36" s="503">
        <f t="shared" si="15"/>
        <v>1</v>
      </c>
      <c r="D36" s="502">
        <f>+D31</f>
        <v>9</v>
      </c>
      <c r="E36" s="494">
        <f t="shared" si="7"/>
        <v>15629.4</v>
      </c>
      <c r="F36" s="495">
        <f t="shared" si="8"/>
        <v>2235.0042000000003</v>
      </c>
      <c r="G36" s="494">
        <v>6</v>
      </c>
      <c r="H36" s="494">
        <f t="shared" si="9"/>
        <v>1562.94</v>
      </c>
      <c r="I36" s="494">
        <f t="shared" si="10"/>
        <v>1406.646</v>
      </c>
      <c r="J36" s="494">
        <f>E36*($P$6/100*1.19)</f>
        <v>0</v>
      </c>
      <c r="K36" s="494">
        <f t="shared" si="11"/>
        <v>3008.6595000000002</v>
      </c>
      <c r="L36" s="494">
        <f t="shared" si="12"/>
        <v>1719.2339999999999</v>
      </c>
      <c r="M36" s="494">
        <f t="shared" si="13"/>
        <v>2865.39</v>
      </c>
      <c r="N36" s="501">
        <f t="shared" si="14"/>
        <v>26198.269500000002</v>
      </c>
      <c r="O36" s="386"/>
      <c r="P36" s="386"/>
      <c r="Q36" s="386"/>
      <c r="R36" s="386"/>
      <c r="S36" s="386"/>
      <c r="T36" s="386"/>
      <c r="U36" s="386"/>
      <c r="V36" s="386"/>
    </row>
    <row r="37" spans="2:22" ht="15.6">
      <c r="B37" s="497"/>
      <c r="C37" s="497"/>
      <c r="D37" s="500" t="s">
        <v>394</v>
      </c>
      <c r="E37" s="499">
        <f t="shared" ref="E37:N37" si="16">SUM(E28:E36)</f>
        <v>114213.78</v>
      </c>
      <c r="F37" s="499">
        <f t="shared" si="16"/>
        <v>16332.570540000001</v>
      </c>
      <c r="G37" s="499">
        <f t="shared" si="16"/>
        <v>48</v>
      </c>
      <c r="H37" s="499">
        <f t="shared" si="16"/>
        <v>11421.378000000001</v>
      </c>
      <c r="I37" s="499">
        <f t="shared" si="16"/>
        <v>10279.2402</v>
      </c>
      <c r="J37" s="499">
        <f t="shared" si="16"/>
        <v>1153.1371319999998</v>
      </c>
      <c r="K37" s="499">
        <f t="shared" si="16"/>
        <v>21986.152650000004</v>
      </c>
      <c r="L37" s="499">
        <f t="shared" si="16"/>
        <v>12563.515800000001</v>
      </c>
      <c r="M37" s="498">
        <f t="shared" si="16"/>
        <v>20939.192999999999</v>
      </c>
      <c r="N37" s="1099">
        <f t="shared" si="16"/>
        <v>192604.396782</v>
      </c>
      <c r="O37" s="386"/>
      <c r="P37" s="386"/>
      <c r="Q37" s="386"/>
      <c r="R37" s="386"/>
      <c r="S37" s="386"/>
      <c r="T37" s="386"/>
      <c r="U37" s="386"/>
      <c r="V37" s="386"/>
    </row>
    <row r="38" spans="2:22" ht="16.2" thickBot="1">
      <c r="B38" s="497"/>
      <c r="C38" s="497"/>
      <c r="D38" s="496" t="s">
        <v>3</v>
      </c>
      <c r="E38" s="494">
        <f>SUMPRODUCT(D28:D36,E28:E36)</f>
        <v>970938.9574999999</v>
      </c>
      <c r="F38" s="495">
        <f>SUMPRODUCT(D28:D36,F28:F36)</f>
        <v>138844.2709225</v>
      </c>
      <c r="G38" s="494">
        <f>SUMPRODUCT(C28:C36,G28:G36)</f>
        <v>48</v>
      </c>
      <c r="H38" s="494">
        <f>SUMPRODUCT(D28:D36,H28:H36)</f>
        <v>97093.895749999996</v>
      </c>
      <c r="I38" s="494">
        <f>SUMPRODUCT(D28:D36,I28:I36)</f>
        <v>87384.506174999988</v>
      </c>
      <c r="J38" s="494">
        <f>SUMPRODUCT(D28:D36,J28:J36)</f>
        <v>10378.234187999999</v>
      </c>
      <c r="K38" s="494">
        <f>SUMPRODUCT(D28:D36,K28:K36)</f>
        <v>186905.74931874999</v>
      </c>
      <c r="L38" s="494">
        <f>SUMPRODUCT(D28:D36,L28:L36)</f>
        <v>106803.28532499999</v>
      </c>
      <c r="M38" s="493">
        <f>SUMPRODUCT(D28:D36,M28:M36)</f>
        <v>178005.47554166667</v>
      </c>
      <c r="N38" s="1100"/>
      <c r="O38" s="386"/>
      <c r="P38" s="386"/>
      <c r="Q38" s="386"/>
      <c r="R38" s="386"/>
      <c r="S38" s="386"/>
      <c r="T38" s="386"/>
      <c r="U38" s="386"/>
      <c r="V38" s="386"/>
    </row>
    <row r="42" spans="2:22" ht="15.6">
      <c r="D42" s="302">
        <f>+D28</f>
        <v>9.5</v>
      </c>
      <c r="E42" s="352"/>
      <c r="N42" s="492">
        <f>+M37+L37+K37+J37+I37+H37+F37</f>
        <v>94675.187321999998</v>
      </c>
      <c r="O42" s="352"/>
    </row>
    <row r="43" spans="2:22">
      <c r="F43" s="352">
        <f>+F37+H37+I37+J37+K37+L37+M37</f>
        <v>94675.187322000013</v>
      </c>
      <c r="G43" s="352"/>
    </row>
  </sheetData>
  <mergeCells count="5">
    <mergeCell ref="B2:N2"/>
    <mergeCell ref="B4:N4"/>
    <mergeCell ref="B25:N25"/>
    <mergeCell ref="N17:N18"/>
    <mergeCell ref="N37:N38"/>
  </mergeCells>
  <printOptions horizontalCentered="1" verticalCentered="1"/>
  <pageMargins left="0.47244094488188981" right="0.43307086614173229" top="0.6692913385826772" bottom="0.98425196850393704" header="0" footer="0"/>
  <pageSetup paperSize="9" scale="65" orientation="landscape" r:id="rId1"/>
  <headerFooter alignWithMargins="0"/>
  <rowBreaks count="1" manualBreakCount="1">
    <brk id="38" min="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3"/>
  <sheetViews>
    <sheetView showGridLines="0" view="pageBreakPreview" topLeftCell="A10" zoomScaleSheetLayoutView="100" workbookViewId="0">
      <selection activeCell="E25" sqref="E25"/>
    </sheetView>
  </sheetViews>
  <sheetFormatPr baseColWidth="10" defaultColWidth="11.5546875" defaultRowHeight="13.2"/>
  <cols>
    <col min="1" max="1" width="11.5546875" style="301"/>
    <col min="2" max="2" width="3" style="301" customWidth="1"/>
    <col min="3" max="3" width="4.33203125" style="301" customWidth="1"/>
    <col min="4" max="4" width="32.88671875" style="301" customWidth="1"/>
    <col min="5" max="5" width="18.44140625" style="301" customWidth="1"/>
    <col min="6" max="6" width="17" style="301" customWidth="1"/>
    <col min="7" max="7" width="21.5546875" style="301" customWidth="1"/>
    <col min="8" max="8" width="3.5546875" style="301" customWidth="1"/>
    <col min="9" max="9" width="13.88671875" style="301" customWidth="1"/>
    <col min="10" max="10" width="12.33203125" style="301" bestFit="1" customWidth="1"/>
    <col min="11" max="11" width="11.5546875" style="301"/>
    <col min="12" max="12" width="17.6640625" style="301" bestFit="1" customWidth="1"/>
    <col min="13" max="13" width="16.6640625" style="301" customWidth="1"/>
    <col min="14" max="14" width="11.5546875" style="301"/>
    <col min="15" max="15" width="16.44140625" style="301" bestFit="1" customWidth="1"/>
    <col min="16" max="16384" width="11.5546875" style="301"/>
  </cols>
  <sheetData>
    <row r="1" spans="1:15">
      <c r="A1" s="386"/>
    </row>
    <row r="2" spans="1:15" ht="13.8" thickBot="1">
      <c r="A2" s="386"/>
    </row>
    <row r="3" spans="1:15" ht="6.75" customHeight="1" thickTop="1" thickBot="1">
      <c r="B3" s="385"/>
      <c r="C3" s="384"/>
      <c r="D3" s="384"/>
      <c r="E3" s="384"/>
      <c r="F3" s="384"/>
      <c r="G3" s="383"/>
      <c r="H3" s="303"/>
      <c r="I3" s="313"/>
    </row>
    <row r="4" spans="1:15" ht="78" customHeight="1" thickBot="1">
      <c r="B4" s="935" t="s">
        <v>341</v>
      </c>
      <c r="C4" s="936"/>
      <c r="D4" s="936"/>
      <c r="E4" s="936"/>
      <c r="F4" s="936"/>
      <c r="G4" s="937"/>
      <c r="H4" s="382"/>
      <c r="I4" s="381"/>
    </row>
    <row r="5" spans="1:15">
      <c r="B5" s="312"/>
      <c r="C5" s="310"/>
      <c r="D5" s="310"/>
      <c r="E5" s="310"/>
      <c r="F5" s="310"/>
      <c r="G5" s="309"/>
      <c r="H5" s="303"/>
      <c r="I5" s="313"/>
      <c r="M5" s="380">
        <v>3836246.56</v>
      </c>
    </row>
    <row r="6" spans="1:15" ht="15.6">
      <c r="B6" s="312"/>
      <c r="C6" s="379" t="s">
        <v>340</v>
      </c>
      <c r="D6" s="378"/>
      <c r="E6" s="378"/>
      <c r="F6" s="310"/>
      <c r="G6" s="309"/>
      <c r="H6" s="303"/>
      <c r="M6" s="352">
        <f>G32-M5</f>
        <v>197918.05000000028</v>
      </c>
    </row>
    <row r="7" spans="1:15" ht="18">
      <c r="B7" s="312"/>
      <c r="C7" s="332" t="s">
        <v>339</v>
      </c>
      <c r="D7" s="378"/>
      <c r="E7" s="378"/>
      <c r="F7" s="310"/>
      <c r="G7" s="309"/>
      <c r="H7" s="303"/>
      <c r="I7" s="313"/>
    </row>
    <row r="8" spans="1:15">
      <c r="B8" s="312"/>
      <c r="C8" s="377"/>
      <c r="D8" s="377"/>
      <c r="E8" s="373" t="s">
        <v>1</v>
      </c>
      <c r="F8" s="311"/>
      <c r="G8" s="376" t="s">
        <v>338</v>
      </c>
      <c r="H8" s="303"/>
      <c r="I8" s="375"/>
    </row>
    <row r="9" spans="1:15" ht="15.6">
      <c r="B9" s="312"/>
      <c r="C9" s="374" t="s">
        <v>337</v>
      </c>
      <c r="D9" s="373"/>
      <c r="E9" s="373"/>
      <c r="F9" s="360"/>
      <c r="G9" s="372">
        <f>+CONSOLIDADO!E6</f>
        <v>2199586.84</v>
      </c>
      <c r="H9" s="303"/>
      <c r="I9" s="371"/>
    </row>
    <row r="10" spans="1:15">
      <c r="B10" s="312"/>
      <c r="C10" s="310"/>
      <c r="D10" s="310"/>
      <c r="E10" s="310"/>
      <c r="F10" s="310"/>
      <c r="G10" s="309"/>
      <c r="I10" s="370"/>
    </row>
    <row r="11" spans="1:15" ht="22.2">
      <c r="B11" s="312"/>
      <c r="C11" s="933" t="s">
        <v>336</v>
      </c>
      <c r="D11" s="933"/>
      <c r="E11" s="933"/>
      <c r="F11" s="933"/>
      <c r="G11" s="934"/>
      <c r="H11" s="369"/>
      <c r="I11" s="363"/>
    </row>
    <row r="12" spans="1:15" ht="15.6">
      <c r="B12" s="312"/>
      <c r="C12" s="360"/>
      <c r="D12" s="360" t="s">
        <v>34</v>
      </c>
      <c r="E12" s="360"/>
      <c r="F12" s="360"/>
      <c r="G12" s="368" t="s">
        <v>33</v>
      </c>
      <c r="H12" s="367"/>
      <c r="I12" s="363"/>
    </row>
    <row r="13" spans="1:15" ht="13.8">
      <c r="B13" s="312"/>
      <c r="C13" s="366"/>
      <c r="D13" s="365"/>
      <c r="E13" s="365"/>
      <c r="F13" s="347"/>
      <c r="G13" s="364"/>
      <c r="H13" s="358"/>
      <c r="I13" s="363"/>
      <c r="L13" s="321"/>
      <c r="N13" s="302"/>
    </row>
    <row r="14" spans="1:15" ht="15.6">
      <c r="B14" s="312"/>
      <c r="C14" s="362" t="s">
        <v>309</v>
      </c>
      <c r="D14" s="362" t="s">
        <v>245</v>
      </c>
      <c r="E14" s="361"/>
      <c r="F14" s="360"/>
      <c r="G14" s="359">
        <f>+G9</f>
        <v>2199586.84</v>
      </c>
      <c r="H14" s="358"/>
      <c r="I14" s="357"/>
      <c r="L14" s="321"/>
      <c r="N14" s="302"/>
      <c r="O14" s="354"/>
    </row>
    <row r="15" spans="1:15">
      <c r="B15" s="312"/>
      <c r="C15" s="356" t="s">
        <v>310</v>
      </c>
      <c r="D15" s="332" t="s">
        <v>28</v>
      </c>
      <c r="E15" s="331">
        <f>+CONSOLIDADO!E23</f>
        <v>0.13331728698649609</v>
      </c>
      <c r="F15" s="353"/>
      <c r="G15" s="328">
        <f>ROUND(G14*E15,2)</f>
        <v>293242.95</v>
      </c>
      <c r="H15" s="346"/>
      <c r="I15" s="355"/>
      <c r="J15" s="302"/>
      <c r="L15" s="321"/>
      <c r="N15" s="302"/>
      <c r="O15" s="354"/>
    </row>
    <row r="16" spans="1:15">
      <c r="B16" s="312"/>
      <c r="C16" s="310" t="s">
        <v>335</v>
      </c>
      <c r="D16" s="332" t="s">
        <v>334</v>
      </c>
      <c r="E16" s="331">
        <f>CONSOLIDADO!E27</f>
        <v>0.08</v>
      </c>
      <c r="F16" s="353"/>
      <c r="G16" s="328">
        <f>ROUND(G14*E16,2)</f>
        <v>175966.95</v>
      </c>
      <c r="H16" s="346"/>
      <c r="I16" s="345"/>
      <c r="J16" s="302"/>
      <c r="L16" s="321"/>
      <c r="N16" s="302"/>
      <c r="O16" s="352"/>
    </row>
    <row r="17" spans="2:14">
      <c r="B17" s="312"/>
      <c r="C17" s="351" t="s">
        <v>333</v>
      </c>
      <c r="D17" s="351" t="s">
        <v>4</v>
      </c>
      <c r="E17" s="331"/>
      <c r="F17" s="347"/>
      <c r="G17" s="350">
        <f>SUM(G14:G16)</f>
        <v>2668796.7400000002</v>
      </c>
      <c r="H17" s="346"/>
      <c r="I17" s="349"/>
      <c r="K17" s="348"/>
      <c r="L17" s="321"/>
      <c r="N17" s="302"/>
    </row>
    <row r="18" spans="2:14">
      <c r="B18" s="312"/>
      <c r="C18" s="310" t="s">
        <v>332</v>
      </c>
      <c r="D18" s="332" t="s">
        <v>331</v>
      </c>
      <c r="E18" s="331">
        <v>0.18</v>
      </c>
      <c r="F18" s="347"/>
      <c r="G18" s="328">
        <f>ROUND(G17*E18,2)</f>
        <v>480383.41</v>
      </c>
      <c r="H18" s="346"/>
      <c r="I18" s="345"/>
      <c r="L18" s="321"/>
      <c r="N18" s="302"/>
    </row>
    <row r="19" spans="2:14" ht="13.8">
      <c r="B19" s="344"/>
      <c r="C19" s="343" t="s">
        <v>330</v>
      </c>
      <c r="D19" s="343" t="s">
        <v>329</v>
      </c>
      <c r="E19" s="342"/>
      <c r="F19" s="341"/>
      <c r="G19" s="340">
        <f>+G18+G17</f>
        <v>3149180.1500000004</v>
      </c>
      <c r="H19" s="303"/>
      <c r="I19" s="336"/>
      <c r="L19" s="321"/>
      <c r="N19" s="302"/>
    </row>
    <row r="20" spans="2:14" ht="15.6">
      <c r="B20" s="312"/>
      <c r="C20" s="310"/>
      <c r="D20" s="339"/>
      <c r="E20" s="339"/>
      <c r="F20" s="338"/>
      <c r="G20" s="337"/>
      <c r="H20" s="303"/>
      <c r="I20" s="336"/>
      <c r="L20" s="321"/>
      <c r="N20" s="302"/>
    </row>
    <row r="21" spans="2:14" ht="15.6">
      <c r="B21" s="312"/>
      <c r="C21" s="325"/>
      <c r="D21" s="335" t="s">
        <v>328</v>
      </c>
      <c r="E21" s="335"/>
      <c r="F21" s="323"/>
      <c r="G21" s="334">
        <f>+G19</f>
        <v>3149180.1500000004</v>
      </c>
      <c r="H21" s="303"/>
      <c r="L21" s="321"/>
      <c r="N21" s="302"/>
    </row>
    <row r="22" spans="2:14">
      <c r="B22" s="312"/>
      <c r="C22" s="310"/>
      <c r="D22" s="310"/>
      <c r="E22" s="310"/>
      <c r="F22" s="310"/>
      <c r="G22" s="333" t="s">
        <v>1</v>
      </c>
      <c r="H22" s="303"/>
      <c r="I22" s="313"/>
      <c r="L22" s="321"/>
      <c r="N22" s="302"/>
    </row>
    <row r="23" spans="2:14">
      <c r="B23" s="312"/>
      <c r="C23" s="310"/>
      <c r="D23" s="332" t="s">
        <v>49</v>
      </c>
      <c r="E23" s="331">
        <f>+[3]CONSOLIDADO!$E$22</f>
        <v>5.0713941609795268E-2</v>
      </c>
      <c r="F23" s="310"/>
      <c r="G23" s="328">
        <f>ROUND(G21*E23,2)</f>
        <v>159707.34</v>
      </c>
      <c r="H23" s="303"/>
      <c r="I23" s="313"/>
      <c r="J23" s="302"/>
      <c r="L23" s="321"/>
      <c r="N23" s="302"/>
    </row>
    <row r="24" spans="2:14" ht="13.8">
      <c r="B24" s="312"/>
      <c r="C24" s="310"/>
      <c r="D24" s="310" t="s">
        <v>327</v>
      </c>
      <c r="E24" s="330">
        <f>(G24/G21)</f>
        <v>1.0044677818764988E-2</v>
      </c>
      <c r="F24" s="310"/>
      <c r="G24" s="328">
        <f>[4]Liquidacion!$G$19</f>
        <v>31632.5</v>
      </c>
      <c r="H24" s="303"/>
      <c r="I24" s="313"/>
      <c r="J24" s="302"/>
      <c r="L24" s="321"/>
      <c r="N24" s="302"/>
    </row>
    <row r="25" spans="2:14">
      <c r="B25" s="312"/>
      <c r="C25" s="310"/>
      <c r="D25" s="310" t="s">
        <v>248</v>
      </c>
      <c r="E25" s="310"/>
      <c r="F25" s="310"/>
      <c r="G25" s="328">
        <v>21304.5</v>
      </c>
      <c r="H25" s="303"/>
      <c r="I25" s="313"/>
      <c r="L25" s="329">
        <f>G24/G21</f>
        <v>1.0044677818764988E-2</v>
      </c>
      <c r="N25" s="302"/>
    </row>
    <row r="26" spans="2:14">
      <c r="B26" s="312"/>
      <c r="C26" s="310"/>
      <c r="D26" s="310" t="s">
        <v>326</v>
      </c>
      <c r="E26" s="310"/>
      <c r="F26" s="310"/>
      <c r="G26" s="328">
        <v>205180</v>
      </c>
      <c r="H26" s="303"/>
      <c r="I26" s="313"/>
      <c r="L26" s="321"/>
      <c r="N26" s="302"/>
    </row>
    <row r="27" spans="2:14">
      <c r="B27" s="312"/>
      <c r="C27" s="310"/>
      <c r="D27" s="310" t="s">
        <v>325</v>
      </c>
      <c r="E27" s="310"/>
      <c r="F27" s="310"/>
      <c r="G27" s="328">
        <v>284033.7</v>
      </c>
      <c r="H27" s="303"/>
      <c r="I27" s="313"/>
      <c r="L27" s="321"/>
      <c r="N27" s="302"/>
    </row>
    <row r="28" spans="2:14">
      <c r="B28" s="312"/>
      <c r="C28" s="310"/>
      <c r="D28" s="310" t="s">
        <v>324</v>
      </c>
      <c r="E28" s="310"/>
      <c r="F28" s="310"/>
      <c r="G28" s="328">
        <v>48601.89</v>
      </c>
      <c r="H28" s="303"/>
      <c r="I28" s="313"/>
      <c r="L28" s="321"/>
      <c r="N28" s="302"/>
    </row>
    <row r="29" spans="2:14">
      <c r="B29" s="312"/>
      <c r="C29" s="310"/>
      <c r="D29" s="310" t="s">
        <v>307</v>
      </c>
      <c r="E29" s="310"/>
      <c r="F29" s="310"/>
      <c r="G29" s="328">
        <f>[4]Gestión!$G$19</f>
        <v>50593.53</v>
      </c>
      <c r="H29" s="303"/>
      <c r="I29" s="313"/>
      <c r="L29" s="321"/>
      <c r="N29" s="302"/>
    </row>
    <row r="30" spans="2:14" ht="13.8" thickBot="1">
      <c r="B30" s="312"/>
      <c r="C30" s="310"/>
      <c r="D30" s="310" t="s">
        <v>246</v>
      </c>
      <c r="E30" s="310"/>
      <c r="F30" s="310"/>
      <c r="G30" s="327">
        <v>83931</v>
      </c>
      <c r="H30" s="303"/>
      <c r="I30" s="313"/>
      <c r="L30" s="321"/>
      <c r="N30" s="302"/>
    </row>
    <row r="31" spans="2:14" ht="13.8" thickTop="1">
      <c r="B31" s="312"/>
      <c r="C31" s="310"/>
      <c r="D31" s="310"/>
      <c r="E31" s="310"/>
      <c r="F31" s="310"/>
      <c r="G31" s="326"/>
      <c r="H31" s="303"/>
      <c r="I31" s="313"/>
      <c r="L31" s="321"/>
      <c r="N31" s="302"/>
    </row>
    <row r="32" spans="2:14" ht="15.6">
      <c r="B32" s="312"/>
      <c r="C32" s="325"/>
      <c r="D32" s="324" t="s">
        <v>323</v>
      </c>
      <c r="E32" s="324"/>
      <c r="F32" s="323"/>
      <c r="G32" s="322">
        <f>+G23+G21+G24+G25+G26+G27+G28+G30+G29</f>
        <v>4034164.6100000003</v>
      </c>
      <c r="H32" s="303"/>
      <c r="J32" s="302"/>
      <c r="L32" s="321"/>
      <c r="N32" s="302"/>
    </row>
    <row r="33" spans="1:9" ht="13.8" thickBot="1">
      <c r="B33" s="320"/>
      <c r="C33" s="319"/>
      <c r="D33" s="319"/>
      <c r="E33" s="319"/>
      <c r="F33" s="319"/>
      <c r="G33" s="318"/>
      <c r="H33" s="303"/>
      <c r="I33" s="313"/>
    </row>
    <row r="34" spans="1:9" ht="13.8" thickBot="1">
      <c r="B34" s="317"/>
      <c r="C34" s="315"/>
      <c r="D34" s="315"/>
      <c r="E34" s="316"/>
      <c r="F34" s="315"/>
      <c r="G34" s="314"/>
      <c r="H34" s="303"/>
      <c r="I34" s="313"/>
    </row>
    <row r="35" spans="1:9">
      <c r="B35" s="312"/>
      <c r="C35" s="310"/>
      <c r="D35" s="310"/>
      <c r="E35" s="310"/>
      <c r="F35" s="310"/>
      <c r="G35" s="309"/>
      <c r="H35" s="303"/>
      <c r="I35" s="313"/>
    </row>
    <row r="36" spans="1:9">
      <c r="A36" s="313"/>
      <c r="B36" s="312"/>
      <c r="C36" s="311"/>
      <c r="D36" s="310"/>
      <c r="E36" s="310"/>
      <c r="F36" s="310"/>
      <c r="G36" s="309"/>
    </row>
    <row r="37" spans="1:9" ht="13.8" thickBot="1">
      <c r="B37" s="308"/>
      <c r="C37" s="307"/>
      <c r="D37" s="306"/>
      <c r="E37" s="306"/>
      <c r="F37" s="306"/>
      <c r="G37" s="305"/>
    </row>
    <row r="38" spans="1:9" ht="13.8" thickTop="1"/>
    <row r="39" spans="1:9">
      <c r="C39" s="304"/>
      <c r="D39" s="303"/>
    </row>
    <row r="40" spans="1:9">
      <c r="D40" s="303"/>
    </row>
    <row r="42" spans="1:9">
      <c r="D42" s="301">
        <v>2081203.59</v>
      </c>
      <c r="G42" s="302"/>
    </row>
    <row r="43" spans="1:9">
      <c r="D43" s="301">
        <v>249511.85</v>
      </c>
    </row>
    <row r="44" spans="1:9">
      <c r="D44" s="301">
        <v>166496.29</v>
      </c>
    </row>
    <row r="45" spans="1:9">
      <c r="D45" s="301">
        <v>2497211.73</v>
      </c>
    </row>
    <row r="46" spans="1:9">
      <c r="D46" s="301">
        <v>449498.11</v>
      </c>
    </row>
    <row r="47" spans="1:9">
      <c r="D47" s="301">
        <v>2946709.84</v>
      </c>
    </row>
    <row r="49" spans="4:4">
      <c r="D49" s="301">
        <v>2946709.84</v>
      </c>
    </row>
    <row r="50" spans="4:4">
      <c r="D50" s="301" t="s">
        <v>1</v>
      </c>
    </row>
    <row r="51" spans="4:4">
      <c r="D51" s="301">
        <v>97151.45</v>
      </c>
    </row>
    <row r="53" spans="4:4">
      <c r="D53" s="301">
        <v>3043861.29</v>
      </c>
    </row>
  </sheetData>
  <mergeCells count="2">
    <mergeCell ref="C11:G11"/>
    <mergeCell ref="B4:G4"/>
  </mergeCells>
  <printOptions horizontalCentered="1"/>
  <pageMargins left="0.39370078740157483" right="0.23622047244094491" top="1.5748031496062993" bottom="0.98425196850393704" header="0" footer="0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K180"/>
  <sheetViews>
    <sheetView showGridLines="0" view="pageBreakPreview" zoomScaleSheetLayoutView="100" workbookViewId="0">
      <selection activeCell="E150" sqref="E150"/>
    </sheetView>
  </sheetViews>
  <sheetFormatPr baseColWidth="10" defaultColWidth="11.44140625" defaultRowHeight="13.2"/>
  <cols>
    <col min="1" max="1" width="10.5546875" style="101" customWidth="1"/>
    <col min="2" max="2" width="41.44140625" style="101" customWidth="1"/>
    <col min="3" max="3" width="17.6640625" style="101" customWidth="1"/>
    <col min="4" max="4" width="16.5546875" style="101" customWidth="1"/>
    <col min="5" max="5" width="17.5546875" style="101" customWidth="1"/>
    <col min="6" max="6" width="14.6640625" style="101" customWidth="1"/>
    <col min="7" max="7" width="18.5546875" style="101" customWidth="1"/>
    <col min="8" max="8" width="5.5546875" style="101" customWidth="1"/>
    <col min="9" max="16384" width="11.44140625" style="101"/>
  </cols>
  <sheetData>
    <row r="1" spans="1:7" ht="21">
      <c r="A1" s="946" t="s">
        <v>227</v>
      </c>
      <c r="B1" s="946"/>
      <c r="C1" s="946"/>
      <c r="D1" s="946"/>
      <c r="E1" s="946"/>
      <c r="F1" s="946"/>
      <c r="G1" s="946"/>
    </row>
    <row r="2" spans="1:7">
      <c r="A2" s="17"/>
      <c r="B2" s="17"/>
      <c r="C2" s="17"/>
      <c r="D2" s="17"/>
      <c r="E2" s="18"/>
      <c r="F2" s="17"/>
      <c r="G2" s="17"/>
    </row>
    <row r="3" spans="1:7" ht="13.8">
      <c r="A3" s="22"/>
      <c r="B3" s="20"/>
      <c r="C3" s="21"/>
      <c r="D3" s="17"/>
      <c r="E3" s="18"/>
      <c r="F3" s="17"/>
      <c r="G3" s="22"/>
    </row>
    <row r="4" spans="1:7">
      <c r="A4" s="22"/>
      <c r="B4" s="155" t="s">
        <v>22</v>
      </c>
      <c r="C4" s="7" t="e">
        <f>#REF!</f>
        <v>#REF!</v>
      </c>
      <c r="D4" s="5"/>
      <c r="E4" s="5"/>
      <c r="F4" s="5"/>
      <c r="G4" s="5"/>
    </row>
    <row r="5" spans="1:7">
      <c r="A5" s="22"/>
      <c r="B5" s="155" t="s">
        <v>45</v>
      </c>
      <c r="C5" s="8" t="e">
        <f>#REF!</f>
        <v>#REF!</v>
      </c>
      <c r="D5" s="4"/>
      <c r="E5" s="4"/>
      <c r="F5" s="4"/>
      <c r="G5" s="7" t="s">
        <v>1</v>
      </c>
    </row>
    <row r="6" spans="1:7">
      <c r="A6" s="22"/>
      <c r="B6" s="155" t="s">
        <v>46</v>
      </c>
      <c r="C6" s="7" t="e">
        <f>#REF!</f>
        <v>#REF!</v>
      </c>
      <c r="D6" s="4"/>
      <c r="E6" s="4"/>
      <c r="F6" s="4"/>
      <c r="G6" s="7" t="s">
        <v>1</v>
      </c>
    </row>
    <row r="7" spans="1:7">
      <c r="A7" s="22"/>
      <c r="B7" s="155" t="s">
        <v>47</v>
      </c>
      <c r="C7" s="7" t="e">
        <f>#REF!</f>
        <v>#REF!</v>
      </c>
      <c r="D7" s="4"/>
      <c r="E7" s="4"/>
      <c r="F7" s="4"/>
      <c r="G7" s="7"/>
    </row>
    <row r="8" spans="1:7">
      <c r="A8" s="22"/>
      <c r="B8" s="155" t="s">
        <v>48</v>
      </c>
      <c r="C8" s="7" t="e">
        <f>#REF!</f>
        <v>#REF!</v>
      </c>
      <c r="D8" s="4"/>
      <c r="E8" s="4"/>
      <c r="F8" s="4"/>
      <c r="G8" s="4"/>
    </row>
    <row r="9" spans="1:7" ht="13.8">
      <c r="A9" s="22"/>
      <c r="B9" s="6" t="s">
        <v>76</v>
      </c>
      <c r="C9" s="947" t="e">
        <f>#REF!</f>
        <v>#REF!</v>
      </c>
      <c r="D9" s="947"/>
      <c r="E9" s="947"/>
      <c r="F9" s="947"/>
      <c r="G9" s="947"/>
    </row>
    <row r="10" spans="1:7" ht="13.8">
      <c r="A10" s="22"/>
      <c r="B10" s="6"/>
      <c r="C10" s="947"/>
      <c r="D10" s="947"/>
      <c r="E10" s="947"/>
      <c r="F10" s="947"/>
      <c r="G10" s="947"/>
    </row>
    <row r="11" spans="1:7" ht="13.8">
      <c r="A11" s="22"/>
      <c r="B11" s="6"/>
      <c r="C11" s="7"/>
      <c r="D11" s="17"/>
      <c r="E11" s="23"/>
      <c r="F11" s="22"/>
      <c r="G11" s="22"/>
    </row>
    <row r="12" spans="1:7" ht="14.4" thickBot="1">
      <c r="A12" s="22"/>
      <c r="B12" s="6"/>
      <c r="C12" s="7"/>
      <c r="D12" s="17"/>
      <c r="E12" s="23"/>
      <c r="F12" s="22"/>
      <c r="G12" s="22"/>
    </row>
    <row r="13" spans="1:7" ht="13.8" thickBot="1">
      <c r="A13" s="102"/>
      <c r="B13" s="128" t="s">
        <v>23</v>
      </c>
      <c r="C13" s="948" t="s">
        <v>24</v>
      </c>
      <c r="D13" s="948"/>
      <c r="E13" s="948"/>
      <c r="F13" s="948"/>
      <c r="G13" s="129" t="s">
        <v>235</v>
      </c>
    </row>
    <row r="14" spans="1:7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+G45</f>
        <v>0</v>
      </c>
    </row>
    <row r="15" spans="1:7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+G111</f>
        <v>0</v>
      </c>
    </row>
    <row r="16" spans="1:7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+G165</f>
        <v>0</v>
      </c>
    </row>
    <row r="17" spans="1:1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>
        <f>+G21</f>
        <v>0</v>
      </c>
    </row>
    <row r="18" spans="1:11">
      <c r="A18" s="102"/>
      <c r="B18" s="111" t="e">
        <f>+#REF!</f>
        <v>#REF!</v>
      </c>
      <c r="C18" s="106" t="e">
        <f>+#REF!</f>
        <v>#REF!</v>
      </c>
      <c r="D18" s="156"/>
      <c r="E18" s="158"/>
      <c r="F18" s="157"/>
      <c r="G18" s="108">
        <f>+G29</f>
        <v>0</v>
      </c>
    </row>
    <row r="19" spans="1:11" ht="13.8" thickBot="1">
      <c r="A19" s="102"/>
      <c r="B19" s="949" t="s">
        <v>229</v>
      </c>
      <c r="C19" s="950"/>
      <c r="D19" s="950"/>
      <c r="E19" s="950"/>
      <c r="F19" s="950"/>
      <c r="G19" s="110">
        <f>SUM(G14:G18)</f>
        <v>0</v>
      </c>
      <c r="J19" s="3"/>
      <c r="K19" s="103"/>
    </row>
    <row r="20" spans="1:11" ht="15.6">
      <c r="A20" s="22"/>
      <c r="B20" s="24"/>
      <c r="C20" s="24"/>
      <c r="D20" s="24"/>
      <c r="E20" s="24"/>
      <c r="F20" s="35"/>
      <c r="G20" s="17"/>
    </row>
    <row r="21" spans="1:11" ht="15.6">
      <c r="A21" s="22"/>
      <c r="B21" s="24"/>
      <c r="C21" s="24"/>
      <c r="D21" s="24"/>
      <c r="E21" s="24"/>
      <c r="F21" s="35"/>
      <c r="G21" s="17"/>
    </row>
    <row r="22" spans="1:11">
      <c r="A22" s="25"/>
      <c r="B22" s="25"/>
      <c r="C22" s="19"/>
      <c r="D22" s="26"/>
      <c r="E22" s="27"/>
      <c r="F22" s="19"/>
      <c r="G22" s="22"/>
    </row>
    <row r="23" spans="1:11" ht="21">
      <c r="A23" s="951" t="s">
        <v>27</v>
      </c>
      <c r="B23" s="952"/>
      <c r="C23" s="952"/>
      <c r="D23" s="952"/>
      <c r="E23" s="952"/>
      <c r="F23" s="952"/>
      <c r="G23" s="952"/>
    </row>
    <row r="24" spans="1:11" ht="21">
      <c r="A24" s="131"/>
      <c r="B24" s="132"/>
      <c r="C24" s="133"/>
      <c r="D24" s="132"/>
      <c r="E24" s="134"/>
      <c r="F24" s="132"/>
      <c r="G24" s="132"/>
    </row>
    <row r="25" spans="1:11" ht="21">
      <c r="A25" s="149">
        <v>1</v>
      </c>
      <c r="B25" s="148" t="s">
        <v>228</v>
      </c>
      <c r="C25" s="148"/>
      <c r="D25" s="146"/>
      <c r="E25" s="146"/>
      <c r="F25" s="146"/>
      <c r="G25" s="146"/>
    </row>
    <row r="26" spans="1:11">
      <c r="A26" s="65"/>
      <c r="B26" s="65"/>
      <c r="C26" s="66"/>
      <c r="D26" s="67"/>
      <c r="E26" s="68"/>
      <c r="F26" s="65"/>
      <c r="G26" s="65"/>
    </row>
    <row r="27" spans="1:11">
      <c r="A27" s="16"/>
      <c r="B27" s="32"/>
      <c r="C27" s="32"/>
      <c r="D27" s="32"/>
      <c r="E27" s="33"/>
      <c r="F27" s="32"/>
      <c r="G27" s="32"/>
    </row>
    <row r="28" spans="1:11">
      <c r="A28" s="16"/>
      <c r="B28" s="63"/>
      <c r="C28" s="63"/>
      <c r="D28" s="63"/>
      <c r="E28" s="63"/>
      <c r="F28" s="32"/>
      <c r="G28" s="26"/>
    </row>
    <row r="29" spans="1:11" ht="15.6">
      <c r="A29" s="143" t="s">
        <v>234</v>
      </c>
      <c r="B29" s="144"/>
      <c r="C29" s="140"/>
      <c r="D29" s="140"/>
      <c r="E29" s="141"/>
      <c r="F29" s="141" t="s">
        <v>0</v>
      </c>
      <c r="G29" s="142">
        <f>+G32</f>
        <v>0</v>
      </c>
    </row>
    <row r="30" spans="1:11" ht="15.6">
      <c r="A30" s="69"/>
      <c r="B30" s="90"/>
      <c r="C30" s="88"/>
      <c r="D30" s="88"/>
      <c r="E30" s="87"/>
      <c r="F30" s="71"/>
      <c r="G30" s="72"/>
    </row>
    <row r="31" spans="1:11">
      <c r="A31" s="75"/>
      <c r="B31" s="29"/>
      <c r="C31" s="29"/>
      <c r="D31" s="29"/>
      <c r="E31" s="29"/>
      <c r="F31" s="89"/>
      <c r="G31" s="22"/>
    </row>
    <row r="32" spans="1:11" ht="15.6">
      <c r="A32" s="69"/>
      <c r="B32" s="39" t="s">
        <v>91</v>
      </c>
      <c r="C32" s="88"/>
      <c r="D32" s="88"/>
      <c r="E32" s="87"/>
      <c r="F32" s="71" t="s">
        <v>0</v>
      </c>
      <c r="G32" s="72">
        <f>F38</f>
        <v>0</v>
      </c>
    </row>
    <row r="33" spans="1:9" ht="15.6">
      <c r="A33" s="69"/>
      <c r="B33" s="90"/>
      <c r="C33" s="88"/>
      <c r="D33" s="88"/>
      <c r="E33" s="87"/>
      <c r="F33" s="71"/>
      <c r="G33" s="72"/>
    </row>
    <row r="34" spans="1:9" ht="15.6">
      <c r="A34" s="49" t="s">
        <v>11</v>
      </c>
      <c r="B34" s="39" t="s">
        <v>20</v>
      </c>
      <c r="C34" s="32"/>
      <c r="D34" s="32"/>
      <c r="E34" s="33"/>
      <c r="F34" s="32"/>
      <c r="G34" s="72"/>
    </row>
    <row r="35" spans="1:9" ht="15.6">
      <c r="A35" s="69"/>
      <c r="B35" s="39"/>
      <c r="C35" s="32"/>
      <c r="D35" s="32"/>
      <c r="E35" s="33"/>
      <c r="F35" s="32"/>
      <c r="G35" s="72"/>
    </row>
    <row r="36" spans="1:9" ht="15.6">
      <c r="A36" s="69"/>
      <c r="B36" s="42" t="s">
        <v>34</v>
      </c>
      <c r="C36" s="43" t="s">
        <v>44</v>
      </c>
      <c r="D36" s="43" t="s">
        <v>18</v>
      </c>
      <c r="E36" s="43" t="s">
        <v>5</v>
      </c>
      <c r="F36" s="43" t="s">
        <v>4</v>
      </c>
      <c r="G36" s="72"/>
    </row>
    <row r="37" spans="1:9" ht="15.6">
      <c r="A37" s="69"/>
      <c r="B37" s="12" t="s">
        <v>233</v>
      </c>
      <c r="C37" s="13" t="s">
        <v>9</v>
      </c>
      <c r="D37" s="13">
        <v>0</v>
      </c>
      <c r="E37" s="13">
        <v>12000</v>
      </c>
      <c r="F37" s="53">
        <f>+D37*E37</f>
        <v>0</v>
      </c>
      <c r="G37" s="72"/>
    </row>
    <row r="38" spans="1:9" ht="15.6">
      <c r="A38" s="69"/>
      <c r="B38" s="939" t="s">
        <v>3</v>
      </c>
      <c r="C38" s="940"/>
      <c r="D38" s="940"/>
      <c r="E38" s="941"/>
      <c r="F38" s="145">
        <f>SUM(F37:F37)</f>
        <v>0</v>
      </c>
      <c r="G38" s="72"/>
    </row>
    <row r="39" spans="1:9">
      <c r="A39" s="75"/>
      <c r="B39" s="29"/>
      <c r="C39" s="29"/>
      <c r="D39" s="29"/>
      <c r="E39" s="29"/>
      <c r="F39" s="89"/>
      <c r="G39" s="22"/>
    </row>
    <row r="40" spans="1:9">
      <c r="A40" s="40"/>
      <c r="B40" s="63"/>
      <c r="C40" s="63"/>
      <c r="D40" s="63"/>
      <c r="E40" s="63"/>
      <c r="F40" s="22"/>
      <c r="G40" s="26"/>
    </row>
    <row r="41" spans="1:9" ht="15.6">
      <c r="A41" s="942" t="s">
        <v>228</v>
      </c>
      <c r="B41" s="942"/>
      <c r="C41" s="942"/>
      <c r="D41" s="942"/>
      <c r="E41" s="942"/>
      <c r="F41" s="34" t="s">
        <v>0</v>
      </c>
      <c r="G41" s="97">
        <f>++G29</f>
        <v>0</v>
      </c>
    </row>
    <row r="43" spans="1:9" ht="21">
      <c r="A43" s="149">
        <v>2</v>
      </c>
      <c r="B43" s="148" t="s">
        <v>230</v>
      </c>
      <c r="C43" s="148"/>
      <c r="D43" s="146"/>
      <c r="E43" s="146"/>
      <c r="F43" s="146"/>
      <c r="G43" s="146"/>
      <c r="I43" s="103"/>
    </row>
    <row r="44" spans="1:9">
      <c r="A44" s="65"/>
      <c r="B44" s="65"/>
      <c r="C44" s="66"/>
      <c r="D44" s="67"/>
      <c r="E44" s="68"/>
      <c r="F44" s="65"/>
      <c r="G44" s="65"/>
      <c r="I44" s="103"/>
    </row>
    <row r="45" spans="1:9" ht="15.6">
      <c r="A45" s="138" t="s">
        <v>154</v>
      </c>
      <c r="B45" s="139"/>
      <c r="C45" s="140"/>
      <c r="D45" s="140"/>
      <c r="E45" s="141"/>
      <c r="F45" s="141" t="s">
        <v>0</v>
      </c>
      <c r="G45" s="142">
        <f>+G47+G59+G80+G100</f>
        <v>0</v>
      </c>
    </row>
    <row r="46" spans="1:9" ht="15.6">
      <c r="A46" s="130"/>
      <c r="B46" s="127"/>
      <c r="C46" s="118"/>
      <c r="D46" s="118"/>
      <c r="E46" s="119"/>
      <c r="F46" s="119"/>
      <c r="G46" s="120"/>
    </row>
    <row r="47" spans="1:9" ht="15.6">
      <c r="A47" s="121"/>
      <c r="B47" s="122" t="s">
        <v>10</v>
      </c>
      <c r="C47" s="123"/>
      <c r="D47" s="123"/>
      <c r="E47" s="124"/>
      <c r="F47" s="125" t="s">
        <v>0</v>
      </c>
      <c r="G47" s="126">
        <f>+F56</f>
        <v>0</v>
      </c>
    </row>
    <row r="48" spans="1:9">
      <c r="A48" s="36"/>
      <c r="B48" s="37"/>
      <c r="C48" s="32"/>
      <c r="D48" s="32"/>
      <c r="E48" s="33"/>
      <c r="F48" s="32"/>
      <c r="G48" s="32"/>
    </row>
    <row r="49" spans="1:7">
      <c r="A49" s="38" t="s">
        <v>11</v>
      </c>
      <c r="B49" s="39" t="s">
        <v>12</v>
      </c>
      <c r="C49" s="32"/>
      <c r="D49" s="32"/>
      <c r="E49" s="33"/>
      <c r="F49" s="32"/>
      <c r="G49" s="32"/>
    </row>
    <row r="50" spans="1:7">
      <c r="A50" s="40"/>
      <c r="B50" s="26"/>
      <c r="C50" s="32"/>
      <c r="D50" s="32"/>
      <c r="E50" s="33"/>
      <c r="F50" s="32"/>
      <c r="G50" s="32"/>
    </row>
    <row r="51" spans="1:7">
      <c r="A51" s="16"/>
      <c r="B51" s="39" t="s">
        <v>29</v>
      </c>
      <c r="C51" s="26"/>
      <c r="D51" s="26"/>
      <c r="E51" s="41"/>
      <c r="F51" s="26"/>
      <c r="G51" s="32"/>
    </row>
    <row r="52" spans="1:7">
      <c r="A52" s="16"/>
      <c r="B52" s="39"/>
      <c r="C52" s="26"/>
      <c r="D52" s="26"/>
      <c r="E52" s="41"/>
      <c r="F52" s="26"/>
      <c r="G52" s="32"/>
    </row>
    <row r="53" spans="1:7">
      <c r="A53" s="40"/>
      <c r="B53" s="42" t="s">
        <v>30</v>
      </c>
      <c r="C53" s="43" t="s">
        <v>31</v>
      </c>
      <c r="D53" s="43" t="s">
        <v>32</v>
      </c>
      <c r="E53" s="43" t="s">
        <v>13</v>
      </c>
      <c r="F53" s="43" t="s">
        <v>4</v>
      </c>
      <c r="G53" s="32"/>
    </row>
    <row r="54" spans="1:7">
      <c r="A54" s="40"/>
      <c r="B54" s="62" t="s">
        <v>213</v>
      </c>
      <c r="C54" s="46">
        <v>0</v>
      </c>
      <c r="D54" s="46">
        <v>1</v>
      </c>
      <c r="E54" s="46">
        <f>133.33*30</f>
        <v>3999.9000000000005</v>
      </c>
      <c r="F54" s="44">
        <f>+C54*D54*E54</f>
        <v>0</v>
      </c>
      <c r="G54" s="32"/>
    </row>
    <row r="55" spans="1:7">
      <c r="A55" s="16"/>
      <c r="B55" s="44" t="s">
        <v>212</v>
      </c>
      <c r="C55" s="47">
        <v>0</v>
      </c>
      <c r="D55" s="47"/>
      <c r="E55" s="47">
        <f>40*30</f>
        <v>1200</v>
      </c>
      <c r="F55" s="44">
        <f>+C55*D55*E55</f>
        <v>0</v>
      </c>
      <c r="G55" s="32"/>
    </row>
    <row r="56" spans="1:7">
      <c r="A56" s="19"/>
      <c r="B56" s="943" t="s">
        <v>3</v>
      </c>
      <c r="C56" s="943"/>
      <c r="D56" s="943"/>
      <c r="E56" s="943"/>
      <c r="F56" s="145">
        <f>SUM(F54:F55)</f>
        <v>0</v>
      </c>
      <c r="G56" s="26"/>
    </row>
    <row r="57" spans="1:7">
      <c r="A57" s="16"/>
      <c r="B57" s="32"/>
      <c r="C57" s="32"/>
      <c r="D57" s="32"/>
      <c r="E57" s="33"/>
      <c r="F57" s="32"/>
      <c r="G57" s="32"/>
    </row>
    <row r="58" spans="1:7">
      <c r="A58" s="16"/>
      <c r="B58" s="32"/>
      <c r="C58" s="32"/>
      <c r="D58" s="32"/>
      <c r="E58" s="33"/>
      <c r="F58" s="32"/>
      <c r="G58" s="32"/>
    </row>
    <row r="59" spans="1:7" ht="15.6">
      <c r="A59" s="121"/>
      <c r="B59" s="122" t="s">
        <v>15</v>
      </c>
      <c r="C59" s="123"/>
      <c r="D59" s="123"/>
      <c r="E59" s="124"/>
      <c r="F59" s="125" t="s">
        <v>0</v>
      </c>
      <c r="G59" s="126">
        <f>+F68+F78</f>
        <v>0</v>
      </c>
    </row>
    <row r="60" spans="1:7">
      <c r="A60" s="36"/>
      <c r="B60" s="37"/>
      <c r="C60" s="32"/>
      <c r="D60" s="32"/>
      <c r="E60" s="33"/>
      <c r="F60" s="32"/>
      <c r="G60" s="32"/>
    </row>
    <row r="61" spans="1:7">
      <c r="A61" s="38" t="s">
        <v>11</v>
      </c>
      <c r="B61" s="39" t="s">
        <v>95</v>
      </c>
      <c r="C61" s="32"/>
      <c r="D61" s="32"/>
      <c r="E61" s="33"/>
      <c r="F61" s="32"/>
      <c r="G61" s="32"/>
    </row>
    <row r="62" spans="1:7">
      <c r="A62" s="38"/>
      <c r="B62" s="39"/>
      <c r="C62" s="32"/>
      <c r="D62" s="32"/>
      <c r="E62" s="33"/>
      <c r="F62" s="32"/>
      <c r="G62" s="32"/>
    </row>
    <row r="63" spans="1:7">
      <c r="A63" s="40"/>
      <c r="B63" s="39" t="s">
        <v>29</v>
      </c>
      <c r="C63" s="26"/>
      <c r="D63" s="26"/>
      <c r="E63" s="41"/>
      <c r="F63" s="32"/>
      <c r="G63" s="32"/>
    </row>
    <row r="64" spans="1:7">
      <c r="A64" s="40"/>
      <c r="B64" s="39"/>
      <c r="C64" s="26"/>
      <c r="D64" s="26"/>
      <c r="E64" s="41"/>
      <c r="F64" s="32"/>
      <c r="G64" s="32"/>
    </row>
    <row r="65" spans="1:7">
      <c r="A65" s="16"/>
      <c r="B65" s="42" t="s">
        <v>30</v>
      </c>
      <c r="C65" s="43" t="s">
        <v>31</v>
      </c>
      <c r="D65" s="43" t="s">
        <v>32</v>
      </c>
      <c r="E65" s="43" t="s">
        <v>13</v>
      </c>
      <c r="F65" s="43" t="s">
        <v>4</v>
      </c>
      <c r="G65" s="32"/>
    </row>
    <row r="66" spans="1:7">
      <c r="A66" s="16"/>
      <c r="B66" s="62" t="str">
        <f t="shared" ref="B66:D67" si="0">+B54</f>
        <v>INSPECTOR DE OBRA 2</v>
      </c>
      <c r="C66" s="46">
        <f t="shared" si="0"/>
        <v>0</v>
      </c>
      <c r="D66" s="46">
        <f t="shared" si="0"/>
        <v>1</v>
      </c>
      <c r="E66" s="46">
        <f>+E54*0.09</f>
        <v>359.99100000000004</v>
      </c>
      <c r="F66" s="62">
        <f>+C66*D66*E66</f>
        <v>0</v>
      </c>
      <c r="G66" s="32"/>
    </row>
    <row r="67" spans="1:7">
      <c r="A67" s="16"/>
      <c r="B67" s="62" t="str">
        <f t="shared" si="0"/>
        <v>ASISTENTE ADMINISTRATIVO 2</v>
      </c>
      <c r="C67" s="46">
        <f t="shared" si="0"/>
        <v>0</v>
      </c>
      <c r="D67" s="46">
        <f t="shared" si="0"/>
        <v>0</v>
      </c>
      <c r="E67" s="46">
        <f>+E55*0.09</f>
        <v>108</v>
      </c>
      <c r="F67" s="62">
        <f>+C67*D67*E67</f>
        <v>0</v>
      </c>
      <c r="G67" s="32"/>
    </row>
    <row r="68" spans="1:7">
      <c r="A68" s="16"/>
      <c r="B68" s="945" t="s">
        <v>3</v>
      </c>
      <c r="C68" s="945"/>
      <c r="D68" s="945"/>
      <c r="E68" s="945"/>
      <c r="F68" s="145">
        <f>SUM(F66:F67)</f>
        <v>0</v>
      </c>
      <c r="G68" s="32"/>
    </row>
    <row r="69" spans="1:7">
      <c r="A69" s="16"/>
      <c r="B69" s="48"/>
      <c r="C69" s="48"/>
      <c r="D69" s="48"/>
      <c r="E69" s="33"/>
      <c r="F69" s="32"/>
      <c r="G69" s="32"/>
    </row>
    <row r="70" spans="1:7">
      <c r="A70" s="16"/>
      <c r="B70" s="48"/>
      <c r="C70" s="32"/>
      <c r="D70" s="48"/>
      <c r="E70" s="33"/>
      <c r="F70" s="32"/>
      <c r="G70" s="32"/>
    </row>
    <row r="71" spans="1:7">
      <c r="A71" s="49" t="s">
        <v>14</v>
      </c>
      <c r="B71" s="39" t="s">
        <v>55</v>
      </c>
      <c r="C71" s="32"/>
      <c r="D71" s="32"/>
      <c r="E71" s="33"/>
      <c r="F71" s="32"/>
      <c r="G71" s="32"/>
    </row>
    <row r="72" spans="1:7">
      <c r="A72" s="38"/>
      <c r="B72" s="39"/>
      <c r="C72" s="32"/>
      <c r="D72" s="32"/>
      <c r="E72" s="33"/>
      <c r="F72" s="32"/>
      <c r="G72" s="32"/>
    </row>
    <row r="73" spans="1:7">
      <c r="A73" s="16"/>
      <c r="B73" s="39" t="s">
        <v>29</v>
      </c>
      <c r="C73" s="26"/>
      <c r="D73" s="26"/>
      <c r="E73" s="41"/>
      <c r="F73" s="32"/>
      <c r="G73" s="32"/>
    </row>
    <row r="74" spans="1:7">
      <c r="A74" s="16"/>
      <c r="B74" s="39"/>
      <c r="C74" s="26"/>
      <c r="D74" s="26"/>
      <c r="E74" s="41"/>
      <c r="F74" s="32"/>
      <c r="G74" s="32"/>
    </row>
    <row r="75" spans="1:7">
      <c r="A75" s="16"/>
      <c r="B75" s="42" t="s">
        <v>30</v>
      </c>
      <c r="C75" s="43" t="s">
        <v>31</v>
      </c>
      <c r="D75" s="43" t="s">
        <v>32</v>
      </c>
      <c r="E75" s="43" t="s">
        <v>13</v>
      </c>
      <c r="F75" s="43" t="s">
        <v>4</v>
      </c>
      <c r="G75" s="32"/>
    </row>
    <row r="76" spans="1:7">
      <c r="A76" s="16"/>
      <c r="B76" s="62" t="str">
        <f t="shared" ref="B76:D77" si="1">+B54</f>
        <v>INSPECTOR DE OBRA 2</v>
      </c>
      <c r="C76" s="46">
        <f t="shared" si="1"/>
        <v>0</v>
      </c>
      <c r="D76" s="46">
        <f t="shared" si="1"/>
        <v>1</v>
      </c>
      <c r="E76" s="46">
        <f>+E54*0.0155</f>
        <v>61.998450000000005</v>
      </c>
      <c r="F76" s="62">
        <f>+C76*D76*E76</f>
        <v>0</v>
      </c>
      <c r="G76" s="32"/>
    </row>
    <row r="77" spans="1:7">
      <c r="A77" s="16"/>
      <c r="B77" s="62" t="str">
        <f t="shared" si="1"/>
        <v>ASISTENTE ADMINISTRATIVO 2</v>
      </c>
      <c r="C77" s="46">
        <f t="shared" si="1"/>
        <v>0</v>
      </c>
      <c r="D77" s="46">
        <f t="shared" si="1"/>
        <v>0</v>
      </c>
      <c r="E77" s="46">
        <f>+E55*0.0155</f>
        <v>18.600000000000001</v>
      </c>
      <c r="F77" s="62">
        <f>+C77*D77*E77</f>
        <v>0</v>
      </c>
      <c r="G77" s="32"/>
    </row>
    <row r="78" spans="1:7">
      <c r="A78" s="16"/>
      <c r="B78" s="944" t="s">
        <v>3</v>
      </c>
      <c r="C78" s="944"/>
      <c r="D78" s="944"/>
      <c r="E78" s="944"/>
      <c r="F78" s="145">
        <f>SUM(F76:F77)</f>
        <v>0</v>
      </c>
      <c r="G78" s="32"/>
    </row>
    <row r="79" spans="1:7">
      <c r="A79" s="16"/>
      <c r="B79" s="48"/>
      <c r="C79" s="32"/>
      <c r="D79" s="48"/>
      <c r="E79" s="33"/>
      <c r="F79" s="32"/>
      <c r="G79" s="32"/>
    </row>
    <row r="80" spans="1:7" ht="15.6">
      <c r="A80" s="121"/>
      <c r="B80" s="122" t="s">
        <v>16</v>
      </c>
      <c r="C80" s="123"/>
      <c r="D80" s="123"/>
      <c r="E80" s="124"/>
      <c r="F80" s="125" t="s">
        <v>0</v>
      </c>
      <c r="G80" s="126">
        <f>+F89+F98</f>
        <v>0</v>
      </c>
    </row>
    <row r="81" spans="1:7">
      <c r="A81" s="38"/>
      <c r="B81" s="39"/>
      <c r="C81" s="32"/>
      <c r="D81" s="32"/>
      <c r="E81" s="33"/>
      <c r="F81" s="32"/>
      <c r="G81" s="32"/>
    </row>
    <row r="82" spans="1:7">
      <c r="A82" s="49" t="s">
        <v>11</v>
      </c>
      <c r="B82" s="39" t="s">
        <v>98</v>
      </c>
      <c r="C82" s="32"/>
      <c r="D82" s="32"/>
      <c r="E82" s="33"/>
      <c r="F82" s="32"/>
      <c r="G82" s="32"/>
    </row>
    <row r="83" spans="1:7">
      <c r="A83" s="40"/>
      <c r="B83" s="50"/>
      <c r="C83" s="32"/>
      <c r="D83" s="32"/>
      <c r="E83" s="33"/>
      <c r="F83" s="32"/>
      <c r="G83" s="32"/>
    </row>
    <row r="84" spans="1:7">
      <c r="A84" s="16"/>
      <c r="B84" s="39" t="s">
        <v>29</v>
      </c>
      <c r="C84" s="26"/>
      <c r="D84" s="26"/>
      <c r="E84" s="41"/>
      <c r="F84" s="26"/>
      <c r="G84" s="32"/>
    </row>
    <row r="85" spans="1:7">
      <c r="A85" s="16"/>
      <c r="B85" s="39"/>
      <c r="C85" s="26"/>
      <c r="D85" s="26"/>
      <c r="E85" s="41"/>
      <c r="F85" s="26"/>
      <c r="G85" s="32"/>
    </row>
    <row r="86" spans="1:7">
      <c r="A86" s="16"/>
      <c r="B86" s="42" t="s">
        <v>30</v>
      </c>
      <c r="C86" s="43" t="s">
        <v>31</v>
      </c>
      <c r="D86" s="43" t="s">
        <v>32</v>
      </c>
      <c r="E86" s="43" t="s">
        <v>13</v>
      </c>
      <c r="F86" s="43" t="s">
        <v>4</v>
      </c>
      <c r="G86" s="32"/>
    </row>
    <row r="87" spans="1:7">
      <c r="A87" s="16"/>
      <c r="B87" s="62" t="str">
        <f t="shared" ref="B87:D88" si="2">+B54</f>
        <v>INSPECTOR DE OBRA 2</v>
      </c>
      <c r="C87" s="46">
        <f t="shared" si="2"/>
        <v>0</v>
      </c>
      <c r="D87" s="46">
        <f t="shared" si="2"/>
        <v>1</v>
      </c>
      <c r="E87" s="46">
        <f>+E54/12</f>
        <v>333.32500000000005</v>
      </c>
      <c r="F87" s="62">
        <f>+C87*D87*E87</f>
        <v>0</v>
      </c>
      <c r="G87" s="32"/>
    </row>
    <row r="88" spans="1:7">
      <c r="A88" s="19"/>
      <c r="B88" s="62" t="str">
        <f t="shared" si="2"/>
        <v>ASISTENTE ADMINISTRATIVO 2</v>
      </c>
      <c r="C88" s="46">
        <f t="shared" si="2"/>
        <v>0</v>
      </c>
      <c r="D88" s="46">
        <f t="shared" si="2"/>
        <v>0</v>
      </c>
      <c r="E88" s="46">
        <f>+E55/12</f>
        <v>100</v>
      </c>
      <c r="F88" s="62">
        <f>+C88*D88*E88</f>
        <v>0</v>
      </c>
      <c r="G88" s="32"/>
    </row>
    <row r="89" spans="1:7">
      <c r="A89" s="16"/>
      <c r="B89" s="938" t="s">
        <v>3</v>
      </c>
      <c r="C89" s="938"/>
      <c r="D89" s="938"/>
      <c r="E89" s="938"/>
      <c r="F89" s="145">
        <f>SUM(F87:F88)</f>
        <v>0</v>
      </c>
      <c r="G89" s="32"/>
    </row>
    <row r="90" spans="1:7">
      <c r="A90" s="38"/>
      <c r="B90" s="39"/>
      <c r="C90" s="32"/>
      <c r="D90" s="32"/>
      <c r="E90" s="33"/>
      <c r="F90" s="32"/>
      <c r="G90" s="32"/>
    </row>
    <row r="91" spans="1:7">
      <c r="A91" s="49" t="s">
        <v>14</v>
      </c>
      <c r="B91" s="39" t="s">
        <v>97</v>
      </c>
      <c r="C91" s="32"/>
      <c r="D91" s="32"/>
      <c r="E91" s="33"/>
      <c r="F91" s="32"/>
      <c r="G91" s="32"/>
    </row>
    <row r="92" spans="1:7">
      <c r="A92" s="40"/>
      <c r="B92" s="50"/>
      <c r="C92" s="32"/>
      <c r="D92" s="32"/>
      <c r="E92" s="33"/>
      <c r="F92" s="32"/>
      <c r="G92" s="32"/>
    </row>
    <row r="93" spans="1:7">
      <c r="A93" s="16"/>
      <c r="B93" s="39" t="s">
        <v>29</v>
      </c>
      <c r="C93" s="26"/>
      <c r="D93" s="26"/>
      <c r="E93" s="41"/>
      <c r="F93" s="26"/>
      <c r="G93" s="32"/>
    </row>
    <row r="94" spans="1:7">
      <c r="A94" s="16"/>
      <c r="B94" s="39"/>
      <c r="C94" s="26"/>
      <c r="D94" s="26"/>
      <c r="E94" s="41"/>
      <c r="F94" s="26"/>
      <c r="G94" s="32"/>
    </row>
    <row r="95" spans="1:7">
      <c r="A95" s="16"/>
      <c r="B95" s="42" t="s">
        <v>30</v>
      </c>
      <c r="C95" s="43" t="s">
        <v>31</v>
      </c>
      <c r="D95" s="43" t="s">
        <v>32</v>
      </c>
      <c r="E95" s="43" t="s">
        <v>13</v>
      </c>
      <c r="F95" s="43" t="s">
        <v>4</v>
      </c>
      <c r="G95" s="32"/>
    </row>
    <row r="96" spans="1:7">
      <c r="A96" s="16"/>
      <c r="B96" s="62" t="str">
        <f t="shared" ref="B96:D97" si="3">+B54</f>
        <v>INSPECTOR DE OBRA 2</v>
      </c>
      <c r="C96" s="46">
        <f t="shared" si="3"/>
        <v>0</v>
      </c>
      <c r="D96" s="46">
        <f t="shared" si="3"/>
        <v>1</v>
      </c>
      <c r="E96" s="46">
        <f>+E54/12</f>
        <v>333.32500000000005</v>
      </c>
      <c r="F96" s="62">
        <f>+C96*D96*E96</f>
        <v>0</v>
      </c>
      <c r="G96" s="32"/>
    </row>
    <row r="97" spans="1:7">
      <c r="A97" s="19"/>
      <c r="B97" s="62" t="str">
        <f t="shared" si="3"/>
        <v>ASISTENTE ADMINISTRATIVO 2</v>
      </c>
      <c r="C97" s="46">
        <f t="shared" si="3"/>
        <v>0</v>
      </c>
      <c r="D97" s="46">
        <f t="shared" si="3"/>
        <v>0</v>
      </c>
      <c r="E97" s="46">
        <f>+E55/12</f>
        <v>100</v>
      </c>
      <c r="F97" s="62">
        <f>+C97*D97*E97</f>
        <v>0</v>
      </c>
      <c r="G97" s="32"/>
    </row>
    <row r="98" spans="1:7">
      <c r="A98" s="16"/>
      <c r="B98" s="938" t="s">
        <v>3</v>
      </c>
      <c r="C98" s="938"/>
      <c r="D98" s="938"/>
      <c r="E98" s="938"/>
      <c r="F98" s="145">
        <f>SUM(F96:F97)</f>
        <v>0</v>
      </c>
      <c r="G98" s="32"/>
    </row>
    <row r="99" spans="1:7">
      <c r="A99" s="38"/>
      <c r="B99" s="39"/>
      <c r="C99" s="32"/>
      <c r="D99" s="32"/>
      <c r="E99" s="33"/>
      <c r="F99" s="32"/>
      <c r="G99" s="32"/>
    </row>
    <row r="100" spans="1:7" ht="15.6">
      <c r="A100" s="121">
        <v>4</v>
      </c>
      <c r="B100" s="122" t="s">
        <v>75</v>
      </c>
      <c r="C100" s="123"/>
      <c r="D100" s="123"/>
      <c r="E100" s="124"/>
      <c r="F100" s="125" t="s">
        <v>0</v>
      </c>
      <c r="G100" s="126">
        <f>+G102</f>
        <v>0</v>
      </c>
    </row>
    <row r="101" spans="1:7">
      <c r="A101" s="38"/>
      <c r="B101" s="39"/>
      <c r="C101" s="32"/>
      <c r="D101" s="32"/>
      <c r="E101" s="33"/>
      <c r="F101" s="32"/>
      <c r="G101" s="32"/>
    </row>
    <row r="102" spans="1:7" ht="15.6">
      <c r="A102" s="38">
        <v>4.01</v>
      </c>
      <c r="B102" s="39" t="s">
        <v>96</v>
      </c>
      <c r="C102" s="26"/>
      <c r="D102" s="26"/>
      <c r="E102" s="41"/>
      <c r="F102" s="34" t="s">
        <v>0</v>
      </c>
      <c r="G102" s="35">
        <f>+F109</f>
        <v>0</v>
      </c>
    </row>
    <row r="103" spans="1:7">
      <c r="A103" s="49"/>
      <c r="B103" s="39"/>
      <c r="C103" s="26"/>
      <c r="D103" s="26"/>
      <c r="E103" s="41"/>
      <c r="F103" s="26"/>
      <c r="G103" s="32"/>
    </row>
    <row r="104" spans="1:7">
      <c r="A104" s="49"/>
      <c r="B104" s="39" t="s">
        <v>29</v>
      </c>
      <c r="C104" s="26"/>
      <c r="D104" s="26"/>
      <c r="E104" s="41"/>
      <c r="F104" s="26"/>
      <c r="G104" s="32"/>
    </row>
    <row r="105" spans="1:7">
      <c r="A105" s="16"/>
      <c r="B105" s="39"/>
      <c r="C105" s="26"/>
      <c r="D105" s="26"/>
      <c r="E105" s="41"/>
      <c r="F105" s="26"/>
      <c r="G105" s="32"/>
    </row>
    <row r="106" spans="1:7">
      <c r="A106" s="16"/>
      <c r="B106" s="42" t="s">
        <v>30</v>
      </c>
      <c r="C106" s="43" t="s">
        <v>31</v>
      </c>
      <c r="D106" s="43" t="s">
        <v>32</v>
      </c>
      <c r="E106" s="43" t="s">
        <v>13</v>
      </c>
      <c r="F106" s="43" t="s">
        <v>4</v>
      </c>
      <c r="G106" s="32"/>
    </row>
    <row r="107" spans="1:7">
      <c r="A107" s="16"/>
      <c r="B107" s="62" t="str">
        <f t="shared" ref="B107:D108" si="4">+B54</f>
        <v>INSPECTOR DE OBRA 2</v>
      </c>
      <c r="C107" s="46">
        <f t="shared" si="4"/>
        <v>0</v>
      </c>
      <c r="D107" s="46">
        <f t="shared" si="4"/>
        <v>1</v>
      </c>
      <c r="E107" s="46">
        <f>+E54/12*2</f>
        <v>666.65000000000009</v>
      </c>
      <c r="F107" s="62">
        <f>+C107*D107*E107</f>
        <v>0</v>
      </c>
      <c r="G107" s="32"/>
    </row>
    <row r="108" spans="1:7">
      <c r="A108" s="16"/>
      <c r="B108" s="57" t="str">
        <f t="shared" si="4"/>
        <v>ASISTENTE ADMINISTRATIVO 2</v>
      </c>
      <c r="C108" s="47">
        <f t="shared" si="4"/>
        <v>0</v>
      </c>
      <c r="D108" s="47">
        <f t="shared" si="4"/>
        <v>0</v>
      </c>
      <c r="E108" s="47">
        <f>+E55/12*2</f>
        <v>200</v>
      </c>
      <c r="F108" s="57">
        <f>+C108*D108*E108</f>
        <v>0</v>
      </c>
      <c r="G108" s="32"/>
    </row>
    <row r="109" spans="1:7">
      <c r="A109" s="19"/>
      <c r="B109" s="943" t="s">
        <v>3</v>
      </c>
      <c r="C109" s="943"/>
      <c r="D109" s="943"/>
      <c r="E109" s="943"/>
      <c r="F109" s="145">
        <f>SUM(F107:F108)</f>
        <v>0</v>
      </c>
      <c r="G109" s="32"/>
    </row>
    <row r="110" spans="1:7">
      <c r="A110" s="16"/>
      <c r="B110" s="32"/>
      <c r="C110" s="32"/>
      <c r="D110" s="32"/>
      <c r="E110" s="33"/>
      <c r="F110" s="32"/>
      <c r="G110" s="32"/>
    </row>
    <row r="111" spans="1:7" ht="15.6">
      <c r="A111" s="143" t="s">
        <v>155</v>
      </c>
      <c r="B111" s="144"/>
      <c r="C111" s="140"/>
      <c r="D111" s="140"/>
      <c r="E111" s="141"/>
      <c r="F111" s="141" t="s">
        <v>0</v>
      </c>
      <c r="G111" s="142">
        <f>+G113+G121+G129</f>
        <v>0</v>
      </c>
    </row>
    <row r="112" spans="1:7">
      <c r="A112" s="38"/>
      <c r="B112" s="39"/>
      <c r="C112" s="32"/>
      <c r="D112" s="32"/>
      <c r="E112" s="33"/>
      <c r="F112" s="32"/>
      <c r="G112" s="32"/>
    </row>
    <row r="113" spans="1:7" ht="15.6">
      <c r="A113" s="30">
        <v>1</v>
      </c>
      <c r="B113" s="70" t="s">
        <v>25</v>
      </c>
      <c r="C113" s="32"/>
      <c r="D113" s="32"/>
      <c r="E113" s="33"/>
      <c r="F113" s="34" t="s">
        <v>0</v>
      </c>
      <c r="G113" s="35">
        <f>F118</f>
        <v>0</v>
      </c>
    </row>
    <row r="114" spans="1:7">
      <c r="A114" s="38"/>
      <c r="B114" s="39"/>
      <c r="C114" s="32"/>
      <c r="D114" s="32"/>
      <c r="E114" s="33"/>
      <c r="F114" s="32"/>
      <c r="G114" s="32"/>
    </row>
    <row r="115" spans="1:7">
      <c r="A115" s="16"/>
      <c r="B115" s="76" t="s">
        <v>17</v>
      </c>
      <c r="C115" s="76" t="s">
        <v>2</v>
      </c>
      <c r="D115" s="76" t="s">
        <v>18</v>
      </c>
      <c r="E115" s="76" t="s">
        <v>5</v>
      </c>
      <c r="F115" s="76" t="s">
        <v>4</v>
      </c>
      <c r="G115" s="63"/>
    </row>
    <row r="116" spans="1:7">
      <c r="A116" s="11"/>
      <c r="B116" s="61" t="s">
        <v>83</v>
      </c>
      <c r="C116" s="46" t="s">
        <v>8</v>
      </c>
      <c r="D116" s="54">
        <v>0</v>
      </c>
      <c r="E116" s="55">
        <v>260</v>
      </c>
      <c r="F116" s="62">
        <f>+D116*E116</f>
        <v>0</v>
      </c>
      <c r="G116" s="9"/>
    </row>
    <row r="117" spans="1:7">
      <c r="A117" s="16"/>
      <c r="B117" s="59" t="s">
        <v>74</v>
      </c>
      <c r="C117" s="47" t="s">
        <v>2</v>
      </c>
      <c r="D117" s="51">
        <v>0</v>
      </c>
      <c r="E117" s="51">
        <v>15</v>
      </c>
      <c r="F117" s="57">
        <f>+D117*E117</f>
        <v>0</v>
      </c>
      <c r="G117" s="50"/>
    </row>
    <row r="118" spans="1:7">
      <c r="A118" s="16"/>
      <c r="B118" s="944" t="s">
        <v>3</v>
      </c>
      <c r="C118" s="944"/>
      <c r="D118" s="944"/>
      <c r="E118" s="944"/>
      <c r="F118" s="77">
        <f>SUM(F116:F117)</f>
        <v>0</v>
      </c>
      <c r="G118" s="50"/>
    </row>
    <row r="119" spans="1:7">
      <c r="A119" s="16"/>
      <c r="B119" s="63"/>
      <c r="C119" s="63"/>
      <c r="D119" s="63"/>
      <c r="E119" s="63"/>
      <c r="F119" s="63"/>
      <c r="G119" s="50"/>
    </row>
    <row r="120" spans="1:7">
      <c r="A120" s="16"/>
      <c r="B120" s="32"/>
      <c r="C120" s="32"/>
      <c r="D120" s="32"/>
      <c r="E120" s="33"/>
      <c r="F120" s="32"/>
      <c r="G120" s="32"/>
    </row>
    <row r="121" spans="1:7" ht="15.6">
      <c r="A121" s="69">
        <v>2</v>
      </c>
      <c r="B121" s="70" t="s">
        <v>93</v>
      </c>
      <c r="C121" s="78"/>
      <c r="D121" s="79"/>
      <c r="E121" s="80"/>
      <c r="F121" s="71" t="s">
        <v>0</v>
      </c>
      <c r="G121" s="72">
        <f>+F127</f>
        <v>0</v>
      </c>
    </row>
    <row r="122" spans="1:7">
      <c r="A122" s="73"/>
      <c r="B122" s="74"/>
      <c r="C122" s="81"/>
      <c r="D122" s="82"/>
      <c r="E122" s="81"/>
      <c r="F122" s="82"/>
      <c r="G122" s="22"/>
    </row>
    <row r="123" spans="1:7">
      <c r="A123" s="73"/>
      <c r="B123" s="76" t="s">
        <v>17</v>
      </c>
      <c r="C123" s="76" t="s">
        <v>2</v>
      </c>
      <c r="D123" s="76" t="s">
        <v>18</v>
      </c>
      <c r="E123" s="76" t="s">
        <v>5</v>
      </c>
      <c r="F123" s="76" t="s">
        <v>4</v>
      </c>
      <c r="G123" s="22"/>
    </row>
    <row r="124" spans="1:7">
      <c r="A124" s="73"/>
      <c r="B124" s="61" t="s">
        <v>114</v>
      </c>
      <c r="C124" s="46" t="s">
        <v>6</v>
      </c>
      <c r="D124" s="46">
        <v>0</v>
      </c>
      <c r="E124" s="46">
        <v>13</v>
      </c>
      <c r="F124" s="60">
        <f>E124*D124</f>
        <v>0</v>
      </c>
      <c r="G124" s="22"/>
    </row>
    <row r="125" spans="1:7">
      <c r="A125" s="38"/>
      <c r="B125" s="44" t="s">
        <v>107</v>
      </c>
      <c r="C125" s="153" t="s">
        <v>6</v>
      </c>
      <c r="D125" s="153">
        <v>0</v>
      </c>
      <c r="E125" s="153">
        <v>13</v>
      </c>
      <c r="F125" s="154">
        <f>+D125*E125</f>
        <v>0</v>
      </c>
      <c r="G125" s="32"/>
    </row>
    <row r="126" spans="1:7">
      <c r="A126" s="73"/>
      <c r="B126" s="57" t="s">
        <v>7</v>
      </c>
      <c r="C126" s="58" t="s">
        <v>6</v>
      </c>
      <c r="D126" s="58">
        <v>0</v>
      </c>
      <c r="E126" s="58">
        <v>45</v>
      </c>
      <c r="F126" s="83">
        <f>+D126*E126</f>
        <v>0</v>
      </c>
      <c r="G126" s="135"/>
    </row>
    <row r="127" spans="1:7">
      <c r="A127" s="75"/>
      <c r="B127" s="944" t="s">
        <v>3</v>
      </c>
      <c r="C127" s="944"/>
      <c r="D127" s="944"/>
      <c r="E127" s="944"/>
      <c r="F127" s="77">
        <f>SUM(F124:F126)</f>
        <v>0</v>
      </c>
      <c r="G127" s="22"/>
    </row>
    <row r="128" spans="1:7">
      <c r="A128" s="75"/>
      <c r="B128" s="84"/>
      <c r="C128" s="68"/>
      <c r="D128" s="85"/>
      <c r="E128" s="68"/>
      <c r="F128" s="85"/>
      <c r="G128" s="22"/>
    </row>
    <row r="129" spans="1:7" ht="15.6">
      <c r="A129" s="30">
        <v>3</v>
      </c>
      <c r="B129" s="70" t="s">
        <v>36</v>
      </c>
      <c r="C129" s="32"/>
      <c r="D129" s="32"/>
      <c r="E129" s="2"/>
      <c r="F129" s="34" t="s">
        <v>0</v>
      </c>
      <c r="G129" s="35">
        <f>+F154</f>
        <v>0</v>
      </c>
    </row>
    <row r="130" spans="1:7">
      <c r="A130" s="38"/>
      <c r="B130" s="39"/>
      <c r="C130" s="32"/>
      <c r="D130" s="32"/>
      <c r="E130" s="33"/>
      <c r="F130" s="32"/>
      <c r="G130" s="26"/>
    </row>
    <row r="131" spans="1:7">
      <c r="A131" s="16"/>
      <c r="B131" s="42" t="s">
        <v>34</v>
      </c>
      <c r="C131" s="43" t="s">
        <v>44</v>
      </c>
      <c r="D131" s="43" t="s">
        <v>18</v>
      </c>
      <c r="E131" s="43" t="s">
        <v>5</v>
      </c>
      <c r="F131" s="43" t="s">
        <v>4</v>
      </c>
      <c r="G131" s="26"/>
    </row>
    <row r="132" spans="1:7">
      <c r="A132" s="16"/>
      <c r="B132" s="14" t="s">
        <v>71</v>
      </c>
      <c r="C132" s="56" t="s">
        <v>2</v>
      </c>
      <c r="D132" s="56"/>
      <c r="E132" s="56">
        <v>0.5</v>
      </c>
      <c r="F132" s="14">
        <f t="shared" ref="F132:F152" si="5">+D132*E132</f>
        <v>0</v>
      </c>
      <c r="G132" s="26"/>
    </row>
    <row r="133" spans="1:7">
      <c r="A133" s="16"/>
      <c r="B133" s="14" t="s">
        <v>40</v>
      </c>
      <c r="C133" s="56" t="s">
        <v>2</v>
      </c>
      <c r="D133" s="56"/>
      <c r="E133" s="56">
        <v>9</v>
      </c>
      <c r="F133" s="14">
        <f t="shared" si="5"/>
        <v>0</v>
      </c>
      <c r="G133" s="26"/>
    </row>
    <row r="134" spans="1:7">
      <c r="A134" s="16"/>
      <c r="B134" s="14" t="s">
        <v>69</v>
      </c>
      <c r="C134" s="56" t="s">
        <v>2</v>
      </c>
      <c r="D134" s="56"/>
      <c r="E134" s="56">
        <v>1</v>
      </c>
      <c r="F134" s="14">
        <f t="shared" si="5"/>
        <v>0</v>
      </c>
      <c r="G134" s="26"/>
    </row>
    <row r="135" spans="1:7">
      <c r="A135" s="16"/>
      <c r="B135" s="14" t="s">
        <v>64</v>
      </c>
      <c r="C135" s="56" t="s">
        <v>2</v>
      </c>
      <c r="D135" s="56"/>
      <c r="E135" s="56">
        <v>2</v>
      </c>
      <c r="F135" s="14">
        <f t="shared" si="5"/>
        <v>0</v>
      </c>
      <c r="G135" s="26"/>
    </row>
    <row r="136" spans="1:7">
      <c r="A136" s="16"/>
      <c r="B136" s="14" t="s">
        <v>84</v>
      </c>
      <c r="C136" s="56" t="s">
        <v>2</v>
      </c>
      <c r="D136" s="56"/>
      <c r="E136" s="56">
        <v>5</v>
      </c>
      <c r="F136" s="14">
        <f t="shared" si="5"/>
        <v>0</v>
      </c>
      <c r="G136" s="26"/>
    </row>
    <row r="137" spans="1:7">
      <c r="A137" s="16"/>
      <c r="B137" s="14" t="s">
        <v>38</v>
      </c>
      <c r="C137" s="56" t="s">
        <v>2</v>
      </c>
      <c r="D137" s="56"/>
      <c r="E137" s="56">
        <v>3</v>
      </c>
      <c r="F137" s="14">
        <f t="shared" si="5"/>
        <v>0</v>
      </c>
      <c r="G137" s="26"/>
    </row>
    <row r="138" spans="1:7">
      <c r="A138" s="16"/>
      <c r="B138" s="14" t="s">
        <v>67</v>
      </c>
      <c r="C138" s="56" t="s">
        <v>2</v>
      </c>
      <c r="D138" s="56"/>
      <c r="E138" s="56">
        <v>4</v>
      </c>
      <c r="F138" s="14">
        <f t="shared" si="5"/>
        <v>0</v>
      </c>
      <c r="G138" s="26"/>
    </row>
    <row r="139" spans="1:7">
      <c r="A139" s="16"/>
      <c r="B139" s="14" t="s">
        <v>70</v>
      </c>
      <c r="C139" s="56" t="s">
        <v>2</v>
      </c>
      <c r="D139" s="56"/>
      <c r="E139" s="56">
        <v>1</v>
      </c>
      <c r="F139" s="14">
        <f t="shared" si="5"/>
        <v>0</v>
      </c>
      <c r="G139" s="26"/>
    </row>
    <row r="140" spans="1:7">
      <c r="A140" s="16"/>
      <c r="B140" s="14" t="s">
        <v>58</v>
      </c>
      <c r="C140" s="56" t="s">
        <v>35</v>
      </c>
      <c r="D140" s="56"/>
      <c r="E140" s="56">
        <v>6</v>
      </c>
      <c r="F140" s="14">
        <f t="shared" si="5"/>
        <v>0</v>
      </c>
      <c r="G140" s="26"/>
    </row>
    <row r="141" spans="1:7">
      <c r="A141" s="16"/>
      <c r="B141" s="14" t="s">
        <v>57</v>
      </c>
      <c r="C141" s="56" t="s">
        <v>2</v>
      </c>
      <c r="D141" s="56"/>
      <c r="E141" s="56">
        <v>0.8</v>
      </c>
      <c r="F141" s="14">
        <f t="shared" si="5"/>
        <v>0</v>
      </c>
      <c r="G141" s="26"/>
    </row>
    <row r="142" spans="1:7">
      <c r="A142" s="16"/>
      <c r="B142" s="14" t="s">
        <v>85</v>
      </c>
      <c r="C142" s="56" t="s">
        <v>2</v>
      </c>
      <c r="D142" s="56"/>
      <c r="E142" s="56">
        <v>1</v>
      </c>
      <c r="F142" s="14">
        <f t="shared" si="5"/>
        <v>0</v>
      </c>
      <c r="G142" s="26"/>
    </row>
    <row r="143" spans="1:7">
      <c r="A143" s="16"/>
      <c r="B143" s="14" t="s">
        <v>68</v>
      </c>
      <c r="C143" s="56" t="s">
        <v>2</v>
      </c>
      <c r="D143" s="56"/>
      <c r="E143" s="56">
        <v>8</v>
      </c>
      <c r="F143" s="14">
        <f t="shared" si="5"/>
        <v>0</v>
      </c>
      <c r="G143" s="26"/>
    </row>
    <row r="144" spans="1:7">
      <c r="A144" s="16"/>
      <c r="B144" s="14" t="s">
        <v>60</v>
      </c>
      <c r="C144" s="56" t="s">
        <v>35</v>
      </c>
      <c r="D144" s="56"/>
      <c r="E144" s="56">
        <v>19.5</v>
      </c>
      <c r="F144" s="14">
        <f t="shared" si="5"/>
        <v>0</v>
      </c>
      <c r="G144" s="26"/>
    </row>
    <row r="145" spans="1:10">
      <c r="A145" s="16"/>
      <c r="B145" s="14" t="s">
        <v>43</v>
      </c>
      <c r="C145" s="56" t="s">
        <v>37</v>
      </c>
      <c r="D145" s="56">
        <v>0</v>
      </c>
      <c r="E145" s="56">
        <v>32</v>
      </c>
      <c r="F145" s="14">
        <f t="shared" si="5"/>
        <v>0</v>
      </c>
      <c r="G145" s="26"/>
    </row>
    <row r="146" spans="1:10">
      <c r="A146" s="16"/>
      <c r="B146" s="14" t="s">
        <v>65</v>
      </c>
      <c r="C146" s="56" t="s">
        <v>2</v>
      </c>
      <c r="D146" s="56"/>
      <c r="E146" s="56">
        <v>4.5</v>
      </c>
      <c r="F146" s="14">
        <f t="shared" si="5"/>
        <v>0</v>
      </c>
      <c r="G146" s="26"/>
    </row>
    <row r="147" spans="1:10">
      <c r="A147" s="16"/>
      <c r="B147" s="14" t="s">
        <v>89</v>
      </c>
      <c r="C147" s="56" t="s">
        <v>2</v>
      </c>
      <c r="D147" s="56"/>
      <c r="E147" s="56">
        <v>36</v>
      </c>
      <c r="F147" s="14">
        <f t="shared" si="5"/>
        <v>0</v>
      </c>
      <c r="G147" s="26"/>
    </row>
    <row r="148" spans="1:10">
      <c r="A148" s="16"/>
      <c r="B148" s="14" t="s">
        <v>61</v>
      </c>
      <c r="C148" s="56" t="s">
        <v>2</v>
      </c>
      <c r="D148" s="56"/>
      <c r="E148" s="56">
        <v>5</v>
      </c>
      <c r="F148" s="14">
        <f t="shared" si="5"/>
        <v>0</v>
      </c>
      <c r="G148" s="26"/>
    </row>
    <row r="149" spans="1:10">
      <c r="A149" s="16"/>
      <c r="B149" s="14" t="s">
        <v>62</v>
      </c>
      <c r="C149" s="56" t="s">
        <v>2</v>
      </c>
      <c r="D149" s="56"/>
      <c r="E149" s="56">
        <v>15</v>
      </c>
      <c r="F149" s="14">
        <f t="shared" si="5"/>
        <v>0</v>
      </c>
      <c r="G149" s="26"/>
    </row>
    <row r="150" spans="1:10">
      <c r="A150" s="16"/>
      <c r="B150" s="14" t="s">
        <v>73</v>
      </c>
      <c r="C150" s="56" t="s">
        <v>54</v>
      </c>
      <c r="D150" s="56"/>
      <c r="E150" s="56">
        <v>4.75</v>
      </c>
      <c r="F150" s="14">
        <f t="shared" si="5"/>
        <v>0</v>
      </c>
      <c r="G150" s="26"/>
    </row>
    <row r="151" spans="1:10">
      <c r="A151" s="16"/>
      <c r="B151" s="14" t="s">
        <v>63</v>
      </c>
      <c r="C151" s="56" t="s">
        <v>2</v>
      </c>
      <c r="D151" s="56"/>
      <c r="E151" s="56">
        <v>1.5</v>
      </c>
      <c r="F151" s="14">
        <f t="shared" si="5"/>
        <v>0</v>
      </c>
      <c r="G151" s="26"/>
    </row>
    <row r="152" spans="1:10">
      <c r="A152" s="16"/>
      <c r="B152" s="14" t="s">
        <v>66</v>
      </c>
      <c r="C152" s="56" t="s">
        <v>2</v>
      </c>
      <c r="D152" s="56"/>
      <c r="E152" s="56">
        <v>3</v>
      </c>
      <c r="F152" s="14">
        <f t="shared" si="5"/>
        <v>0</v>
      </c>
      <c r="G152" s="26"/>
    </row>
    <row r="153" spans="1:10">
      <c r="A153" s="16"/>
      <c r="B153" s="12" t="s">
        <v>52</v>
      </c>
      <c r="C153" s="13" t="s">
        <v>2</v>
      </c>
      <c r="D153" s="13">
        <v>0</v>
      </c>
      <c r="E153" s="13">
        <v>143.27000000000001</v>
      </c>
      <c r="F153" s="53">
        <v>0</v>
      </c>
      <c r="G153" s="26"/>
      <c r="J153" s="103"/>
    </row>
    <row r="154" spans="1:10">
      <c r="A154" s="40"/>
      <c r="B154" s="944" t="s">
        <v>3</v>
      </c>
      <c r="C154" s="944"/>
      <c r="D154" s="944"/>
      <c r="E154" s="944"/>
      <c r="F154" s="45">
        <f>SUM(F132:F153)</f>
        <v>0</v>
      </c>
      <c r="G154" s="26"/>
    </row>
    <row r="155" spans="1:10">
      <c r="A155" s="40"/>
      <c r="B155" s="63"/>
      <c r="C155" s="63"/>
      <c r="D155" s="63"/>
      <c r="E155" s="63"/>
      <c r="F155" s="32"/>
      <c r="G155" s="26"/>
    </row>
    <row r="156" spans="1:10" ht="15.6">
      <c r="A156" s="30">
        <v>4</v>
      </c>
      <c r="B156" s="31" t="s">
        <v>90</v>
      </c>
      <c r="C156" s="32"/>
      <c r="D156" s="32"/>
      <c r="E156" s="2"/>
      <c r="F156" s="34" t="s">
        <v>0</v>
      </c>
      <c r="G156" s="91">
        <f>F162</f>
        <v>0</v>
      </c>
    </row>
    <row r="157" spans="1:10">
      <c r="A157" s="38"/>
      <c r="B157" s="39"/>
      <c r="C157" s="32"/>
      <c r="D157" s="32"/>
      <c r="E157" s="33"/>
      <c r="F157" s="32"/>
      <c r="G157" s="26"/>
    </row>
    <row r="158" spans="1:10">
      <c r="A158" s="38"/>
      <c r="B158" s="42" t="s">
        <v>34</v>
      </c>
      <c r="C158" s="43" t="s">
        <v>44</v>
      </c>
      <c r="D158" s="43" t="s">
        <v>18</v>
      </c>
      <c r="E158" s="43" t="s">
        <v>5</v>
      </c>
      <c r="F158" s="43" t="s">
        <v>4</v>
      </c>
      <c r="G158" s="26"/>
    </row>
    <row r="159" spans="1:10">
      <c r="A159" s="38"/>
      <c r="B159" s="150" t="s">
        <v>88</v>
      </c>
      <c r="C159" s="151" t="s">
        <v>44</v>
      </c>
      <c r="D159" s="152"/>
      <c r="E159" s="46">
        <v>165</v>
      </c>
      <c r="F159" s="92">
        <f>D159*E159</f>
        <v>0</v>
      </c>
      <c r="G159" s="26"/>
    </row>
    <row r="160" spans="1:10">
      <c r="A160" s="38"/>
      <c r="B160" s="12" t="s">
        <v>87</v>
      </c>
      <c r="C160" s="1" t="s">
        <v>44</v>
      </c>
      <c r="D160" s="33"/>
      <c r="E160" s="13">
        <v>5600</v>
      </c>
      <c r="F160" s="92">
        <f>D160*E160</f>
        <v>0</v>
      </c>
      <c r="G160" s="26"/>
    </row>
    <row r="161" spans="1:7">
      <c r="A161" s="38"/>
      <c r="B161" s="94" t="s">
        <v>78</v>
      </c>
      <c r="C161" s="47" t="s">
        <v>44</v>
      </c>
      <c r="D161" s="95"/>
      <c r="E161" s="47">
        <v>680.5</v>
      </c>
      <c r="F161" s="96">
        <f>+D161*E161</f>
        <v>0</v>
      </c>
      <c r="G161" s="26"/>
    </row>
    <row r="162" spans="1:7">
      <c r="A162" s="38"/>
      <c r="B162" s="939" t="s">
        <v>3</v>
      </c>
      <c r="C162" s="940"/>
      <c r="D162" s="940"/>
      <c r="E162" s="941"/>
      <c r="F162" s="45">
        <f>SUM(F159:F161)</f>
        <v>0</v>
      </c>
      <c r="G162" s="26"/>
    </row>
    <row r="163" spans="1:7" ht="15.6">
      <c r="A163" s="69"/>
      <c r="B163" s="38"/>
      <c r="C163" s="39"/>
      <c r="D163" s="86"/>
      <c r="E163" s="87"/>
      <c r="F163" s="71"/>
      <c r="G163" s="72"/>
    </row>
    <row r="164" spans="1:7">
      <c r="A164" s="16"/>
      <c r="B164" s="63"/>
      <c r="C164" s="63"/>
      <c r="D164" s="63"/>
      <c r="E164" s="63"/>
      <c r="F164" s="32"/>
      <c r="G164" s="26"/>
    </row>
    <row r="165" spans="1:7" ht="15.6">
      <c r="A165" s="143" t="s">
        <v>156</v>
      </c>
      <c r="B165" s="144"/>
      <c r="C165" s="140"/>
      <c r="D165" s="140"/>
      <c r="E165" s="141"/>
      <c r="F165" s="141" t="s">
        <v>0</v>
      </c>
      <c r="G165" s="142">
        <f>+G167</f>
        <v>0</v>
      </c>
    </row>
    <row r="166" spans="1:7" ht="15.6">
      <c r="A166" s="69"/>
      <c r="B166" s="90"/>
      <c r="C166" s="88"/>
      <c r="D166" s="88"/>
      <c r="E166" s="87"/>
      <c r="F166" s="71"/>
      <c r="G166" s="72"/>
    </row>
    <row r="167" spans="1:7" ht="15.6">
      <c r="A167" s="69"/>
      <c r="B167" s="39" t="s">
        <v>91</v>
      </c>
      <c r="C167" s="88"/>
      <c r="D167" s="88"/>
      <c r="E167" s="87"/>
      <c r="F167" s="71" t="s">
        <v>0</v>
      </c>
      <c r="G167" s="72">
        <f>F175</f>
        <v>0</v>
      </c>
    </row>
    <row r="168" spans="1:7" ht="15.6">
      <c r="A168" s="69"/>
      <c r="B168" s="90"/>
      <c r="C168" s="88"/>
      <c r="D168" s="88"/>
      <c r="E168" s="87"/>
      <c r="F168" s="71"/>
      <c r="G168" s="72"/>
    </row>
    <row r="169" spans="1:7" ht="15.6">
      <c r="A169" s="49" t="s">
        <v>11</v>
      </c>
      <c r="B169" s="39" t="s">
        <v>20</v>
      </c>
      <c r="C169" s="32"/>
      <c r="D169" s="32"/>
      <c r="E169" s="33"/>
      <c r="F169" s="32"/>
      <c r="G169" s="72"/>
    </row>
    <row r="170" spans="1:7" ht="15.6">
      <c r="A170" s="69"/>
      <c r="B170" s="39"/>
      <c r="C170" s="32"/>
      <c r="D170" s="32"/>
      <c r="E170" s="33"/>
      <c r="F170" s="32"/>
      <c r="G170" s="72"/>
    </row>
    <row r="171" spans="1:7" ht="15.6">
      <c r="A171" s="69"/>
      <c r="B171" s="42" t="s">
        <v>34</v>
      </c>
      <c r="C171" s="43" t="s">
        <v>44</v>
      </c>
      <c r="D171" s="43" t="s">
        <v>18</v>
      </c>
      <c r="E171" s="43" t="s">
        <v>5</v>
      </c>
      <c r="F171" s="43" t="s">
        <v>4</v>
      </c>
      <c r="G171" s="72"/>
    </row>
    <row r="172" spans="1:7" ht="15.6">
      <c r="A172" s="69"/>
      <c r="B172" s="12" t="s">
        <v>109</v>
      </c>
      <c r="C172" s="13" t="s">
        <v>122</v>
      </c>
      <c r="D172" s="13"/>
      <c r="E172" s="13">
        <v>135</v>
      </c>
      <c r="F172" s="53">
        <f>+D172*E172</f>
        <v>0</v>
      </c>
      <c r="G172" s="72"/>
    </row>
    <row r="173" spans="1:7" ht="15.6">
      <c r="A173" s="69"/>
      <c r="B173" s="12" t="s">
        <v>94</v>
      </c>
      <c r="C173" s="13" t="s">
        <v>2</v>
      </c>
      <c r="D173" s="13"/>
      <c r="E173" s="13">
        <v>3.5</v>
      </c>
      <c r="F173" s="53">
        <f>+D173*E173</f>
        <v>0</v>
      </c>
      <c r="G173" s="72"/>
    </row>
    <row r="174" spans="1:7" ht="15.6">
      <c r="A174" s="69"/>
      <c r="B174" s="12" t="s">
        <v>226</v>
      </c>
      <c r="C174" s="13" t="s">
        <v>37</v>
      </c>
      <c r="D174" s="13"/>
      <c r="E174" s="13">
        <v>100</v>
      </c>
      <c r="F174" s="53">
        <f>+D174*E174</f>
        <v>0</v>
      </c>
      <c r="G174" s="72"/>
    </row>
    <row r="175" spans="1:7" ht="15.6">
      <c r="A175" s="69"/>
      <c r="B175" s="939" t="s">
        <v>3</v>
      </c>
      <c r="C175" s="940"/>
      <c r="D175" s="940"/>
      <c r="E175" s="941"/>
      <c r="F175" s="145">
        <f>SUM(F172:F174)</f>
        <v>0</v>
      </c>
      <c r="G175" s="72"/>
    </row>
    <row r="176" spans="1:7">
      <c r="A176" s="75"/>
      <c r="B176" s="29"/>
      <c r="C176" s="29"/>
      <c r="D176" s="29"/>
      <c r="E176" s="29"/>
      <c r="F176" s="89"/>
      <c r="G176" s="22"/>
    </row>
    <row r="177" spans="1:7">
      <c r="A177" s="40"/>
      <c r="B177" s="63"/>
      <c r="C177" s="63"/>
      <c r="D177" s="63"/>
      <c r="E177" s="63"/>
      <c r="F177" s="32"/>
      <c r="G177" s="26"/>
    </row>
    <row r="178" spans="1:7" ht="15.6">
      <c r="A178" s="942" t="s">
        <v>231</v>
      </c>
      <c r="B178" s="942"/>
      <c r="C178" s="942"/>
      <c r="D178" s="942"/>
      <c r="E178" s="942"/>
      <c r="F178" s="34" t="s">
        <v>0</v>
      </c>
      <c r="G178" s="97">
        <f>+G165+G111+G45</f>
        <v>0</v>
      </c>
    </row>
    <row r="180" spans="1:7" ht="17.399999999999999">
      <c r="B180" s="148" t="s">
        <v>229</v>
      </c>
      <c r="F180" s="34" t="s">
        <v>0</v>
      </c>
      <c r="G180" s="97">
        <f>+G19</f>
        <v>0</v>
      </c>
    </row>
  </sheetData>
  <mergeCells count="19">
    <mergeCell ref="A1:G1"/>
    <mergeCell ref="C9:G10"/>
    <mergeCell ref="C13:F13"/>
    <mergeCell ref="B19:F19"/>
    <mergeCell ref="A23:G23"/>
    <mergeCell ref="B98:E98"/>
    <mergeCell ref="B38:E38"/>
    <mergeCell ref="A178:E178"/>
    <mergeCell ref="B109:E109"/>
    <mergeCell ref="B118:E118"/>
    <mergeCell ref="B127:E127"/>
    <mergeCell ref="B154:E154"/>
    <mergeCell ref="B175:E175"/>
    <mergeCell ref="B162:E162"/>
    <mergeCell ref="A41:E41"/>
    <mergeCell ref="B56:E56"/>
    <mergeCell ref="B68:E68"/>
    <mergeCell ref="B78:E78"/>
    <mergeCell ref="B89:E89"/>
  </mergeCells>
  <pageMargins left="0.57999999999999996" right="0.26" top="0.94488188976377963" bottom="0.43307086614173229" header="0" footer="0"/>
  <pageSetup paperSize="9" scale="60" orientation="portrait" horizontalDpi="4294967294" r:id="rId1"/>
  <headerFooter alignWithMargins="0"/>
  <rowBreaks count="2" manualBreakCount="2">
    <brk id="22" max="7" man="1"/>
    <brk id="9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3"/>
    <pageSetUpPr fitToPage="1"/>
  </sheetPr>
  <dimension ref="B1:I64"/>
  <sheetViews>
    <sheetView tabSelected="1" view="pageBreakPreview" topLeftCell="C40" zoomScale="115" zoomScaleNormal="100" zoomScaleSheetLayoutView="115" workbookViewId="0">
      <selection activeCell="E56" sqref="E56"/>
    </sheetView>
  </sheetViews>
  <sheetFormatPr baseColWidth="10" defaultColWidth="11.44140625" defaultRowHeight="13.2"/>
  <cols>
    <col min="1" max="1" width="1.5546875" style="790" customWidth="1"/>
    <col min="2" max="2" width="6.33203125" style="790" customWidth="1"/>
    <col min="3" max="3" width="13.5546875" style="790" customWidth="1"/>
    <col min="4" max="4" width="55.6640625" style="790" customWidth="1"/>
    <col min="5" max="5" width="34.33203125" style="790" customWidth="1"/>
    <col min="6" max="6" width="19.88671875" style="790" customWidth="1"/>
    <col min="7" max="7" width="18.33203125" style="790" customWidth="1"/>
    <col min="8" max="8" width="16.33203125" style="790" customWidth="1"/>
    <col min="9" max="9" width="20" style="790" customWidth="1"/>
    <col min="10" max="16384" width="11.44140625" style="790"/>
  </cols>
  <sheetData>
    <row r="1" spans="2:7">
      <c r="B1" s="788"/>
      <c r="C1" s="789"/>
      <c r="D1" s="789"/>
      <c r="E1" s="789"/>
      <c r="F1" s="789"/>
      <c r="G1" s="789"/>
    </row>
    <row r="2" spans="2:7" ht="13.8" thickBot="1"/>
    <row r="3" spans="2:7">
      <c r="B3" s="791"/>
      <c r="C3" s="792"/>
      <c r="D3" s="792"/>
      <c r="E3" s="792"/>
      <c r="F3" s="792"/>
      <c r="G3" s="793"/>
    </row>
    <row r="4" spans="2:7" ht="27" customHeight="1">
      <c r="B4" s="953" t="s">
        <v>555</v>
      </c>
      <c r="C4" s="954"/>
      <c r="D4" s="954"/>
      <c r="E4" s="954"/>
      <c r="F4" s="954"/>
      <c r="G4" s="955"/>
    </row>
    <row r="5" spans="2:7">
      <c r="B5" s="794"/>
      <c r="C5" s="795"/>
      <c r="D5" s="795"/>
      <c r="E5" s="795"/>
      <c r="F5" s="795"/>
      <c r="G5" s="796"/>
    </row>
    <row r="6" spans="2:7" ht="33" customHeight="1">
      <c r="B6" s="797" t="s">
        <v>538</v>
      </c>
      <c r="C6" s="795"/>
      <c r="D6" s="956" t="s">
        <v>595</v>
      </c>
      <c r="E6" s="956"/>
      <c r="F6" s="956"/>
      <c r="G6" s="957"/>
    </row>
    <row r="7" spans="2:7" ht="12" customHeight="1">
      <c r="B7" s="794"/>
      <c r="C7" s="795"/>
      <c r="D7" s="956"/>
      <c r="E7" s="956"/>
      <c r="F7" s="956"/>
      <c r="G7" s="957"/>
    </row>
    <row r="8" spans="2:7">
      <c r="B8" s="794"/>
      <c r="C8" s="795"/>
      <c r="D8" s="795"/>
      <c r="E8" s="795"/>
      <c r="F8" s="795"/>
      <c r="G8" s="796"/>
    </row>
    <row r="9" spans="2:7">
      <c r="B9" s="797" t="s">
        <v>623</v>
      </c>
      <c r="C9" s="795"/>
      <c r="D9" s="795" t="s">
        <v>648</v>
      </c>
      <c r="E9" s="795"/>
      <c r="F9" s="795"/>
      <c r="G9" s="796"/>
    </row>
    <row r="10" spans="2:7">
      <c r="B10" s="797" t="s">
        <v>539</v>
      </c>
      <c r="C10" s="795"/>
      <c r="D10" s="795" t="s">
        <v>552</v>
      </c>
      <c r="E10" s="795"/>
      <c r="F10" s="795"/>
      <c r="G10" s="796"/>
    </row>
    <row r="11" spans="2:7">
      <c r="B11" s="797" t="s">
        <v>540</v>
      </c>
      <c r="C11" s="795"/>
      <c r="D11" s="795" t="s">
        <v>553</v>
      </c>
      <c r="E11" s="795"/>
      <c r="F11" s="795"/>
      <c r="G11" s="796"/>
    </row>
    <row r="12" spans="2:7">
      <c r="B12" s="797" t="s">
        <v>541</v>
      </c>
      <c r="C12" s="795"/>
      <c r="D12" s="795" t="s">
        <v>622</v>
      </c>
      <c r="E12" s="795"/>
      <c r="F12" s="795"/>
      <c r="G12" s="796"/>
    </row>
    <row r="13" spans="2:7" ht="14.4" customHeight="1">
      <c r="B13" s="797" t="s">
        <v>542</v>
      </c>
      <c r="C13" s="795"/>
      <c r="D13" s="795" t="s">
        <v>622</v>
      </c>
      <c r="E13" s="795"/>
      <c r="F13" s="798" t="s">
        <v>543</v>
      </c>
      <c r="G13" s="799" t="s">
        <v>621</v>
      </c>
    </row>
    <row r="14" spans="2:7">
      <c r="B14" s="794"/>
      <c r="C14" s="795"/>
      <c r="D14" s="795"/>
      <c r="E14" s="795"/>
      <c r="F14" s="795"/>
      <c r="G14" s="796"/>
    </row>
    <row r="15" spans="2:7" ht="5.25" customHeight="1" thickBot="1">
      <c r="B15" s="800"/>
      <c r="C15" s="801"/>
      <c r="D15" s="801"/>
      <c r="E15" s="801"/>
      <c r="F15" s="801"/>
      <c r="G15" s="802"/>
    </row>
    <row r="16" spans="2:7" ht="3" customHeight="1">
      <c r="B16" s="791"/>
      <c r="C16" s="792"/>
      <c r="D16" s="792"/>
      <c r="E16" s="792"/>
      <c r="F16" s="792"/>
      <c r="G16" s="793"/>
    </row>
    <row r="17" spans="2:7" s="806" customFormat="1" ht="66" customHeight="1" thickBot="1">
      <c r="B17" s="958" t="s">
        <v>362</v>
      </c>
      <c r="C17" s="959"/>
      <c r="D17" s="803" t="s">
        <v>34</v>
      </c>
      <c r="E17" s="804" t="s">
        <v>620</v>
      </c>
      <c r="F17" s="803" t="s">
        <v>469</v>
      </c>
      <c r="G17" s="805" t="s">
        <v>653</v>
      </c>
    </row>
    <row r="18" spans="2:7" ht="5.25" customHeight="1">
      <c r="B18" s="807"/>
      <c r="C18" s="795"/>
      <c r="D18" s="808"/>
      <c r="E18" s="808"/>
      <c r="F18" s="808"/>
      <c r="G18" s="809"/>
    </row>
    <row r="19" spans="2:7">
      <c r="B19" s="960" t="s">
        <v>11</v>
      </c>
      <c r="C19" s="961"/>
      <c r="D19" s="808" t="s">
        <v>596</v>
      </c>
      <c r="E19" s="810">
        <v>950000</v>
      </c>
      <c r="F19" s="808">
        <f>+$F$53*E19</f>
        <v>17408.944271963028</v>
      </c>
      <c r="G19" s="809">
        <f>+E19+F19</f>
        <v>967408.94427196297</v>
      </c>
    </row>
    <row r="20" spans="2:7">
      <c r="B20" s="960" t="s">
        <v>14</v>
      </c>
      <c r="C20" s="961"/>
      <c r="D20" s="808" t="s">
        <v>597</v>
      </c>
      <c r="E20" s="810">
        <v>330000</v>
      </c>
      <c r="F20" s="808">
        <f t="shared" ref="F20:F47" si="0">+$F$53*E20</f>
        <v>6047.3174839450512</v>
      </c>
      <c r="G20" s="809">
        <f t="shared" ref="G20:G47" si="1">+E20+F20</f>
        <v>336047.31748394505</v>
      </c>
    </row>
    <row r="21" spans="2:7">
      <c r="B21" s="960" t="s">
        <v>544</v>
      </c>
      <c r="C21" s="961"/>
      <c r="D21" s="808" t="s">
        <v>598</v>
      </c>
      <c r="E21" s="810">
        <v>450000</v>
      </c>
      <c r="F21" s="808">
        <f t="shared" si="0"/>
        <v>8246.342023561434</v>
      </c>
      <c r="G21" s="809">
        <f t="shared" si="1"/>
        <v>458246.34202356142</v>
      </c>
    </row>
    <row r="22" spans="2:7">
      <c r="B22" s="960" t="s">
        <v>545</v>
      </c>
      <c r="C22" s="961"/>
      <c r="D22" s="808" t="s">
        <v>599</v>
      </c>
      <c r="E22" s="810">
        <v>250000</v>
      </c>
      <c r="F22" s="808">
        <f t="shared" si="0"/>
        <v>4581.3011242007969</v>
      </c>
      <c r="G22" s="809">
        <f t="shared" si="1"/>
        <v>254581.30112420081</v>
      </c>
    </row>
    <row r="23" spans="2:7">
      <c r="B23" s="960" t="s">
        <v>554</v>
      </c>
      <c r="C23" s="961"/>
      <c r="D23" s="808" t="s">
        <v>600</v>
      </c>
      <c r="E23" s="810">
        <v>62400</v>
      </c>
      <c r="F23" s="808">
        <f t="shared" si="0"/>
        <v>1143.4927606005187</v>
      </c>
      <c r="G23" s="809">
        <f t="shared" si="1"/>
        <v>63543.492760600522</v>
      </c>
    </row>
    <row r="24" spans="2:7">
      <c r="B24" s="960" t="s">
        <v>624</v>
      </c>
      <c r="C24" s="961"/>
      <c r="D24" s="808" t="s">
        <v>601</v>
      </c>
      <c r="E24" s="810">
        <v>300000</v>
      </c>
      <c r="F24" s="808">
        <f t="shared" si="0"/>
        <v>5497.561349040956</v>
      </c>
      <c r="G24" s="809">
        <f t="shared" si="1"/>
        <v>305497.56134904095</v>
      </c>
    </row>
    <row r="25" spans="2:7">
      <c r="B25" s="960" t="s">
        <v>625</v>
      </c>
      <c r="C25" s="961"/>
      <c r="D25" s="808" t="s">
        <v>602</v>
      </c>
      <c r="E25" s="810">
        <v>111400</v>
      </c>
      <c r="F25" s="808">
        <f t="shared" si="0"/>
        <v>2041.427780943875</v>
      </c>
      <c r="G25" s="809">
        <f t="shared" si="1"/>
        <v>113441.42778094388</v>
      </c>
    </row>
    <row r="26" spans="2:7">
      <c r="B26" s="960" t="s">
        <v>626</v>
      </c>
      <c r="C26" s="961"/>
      <c r="D26" s="808" t="s">
        <v>603</v>
      </c>
      <c r="E26" s="810">
        <v>9800</v>
      </c>
      <c r="F26" s="808">
        <f t="shared" si="0"/>
        <v>179.58700406867123</v>
      </c>
      <c r="G26" s="809">
        <f t="shared" si="1"/>
        <v>9979.5870040686714</v>
      </c>
    </row>
    <row r="27" spans="2:7">
      <c r="B27" s="960" t="s">
        <v>627</v>
      </c>
      <c r="C27" s="961"/>
      <c r="D27" s="808" t="s">
        <v>604</v>
      </c>
      <c r="E27" s="810">
        <v>70000</v>
      </c>
      <c r="F27" s="808">
        <f t="shared" si="0"/>
        <v>1282.764314776223</v>
      </c>
      <c r="G27" s="809">
        <f t="shared" si="1"/>
        <v>71282.764314776228</v>
      </c>
    </row>
    <row r="28" spans="2:7">
      <c r="B28" s="960" t="s">
        <v>628</v>
      </c>
      <c r="C28" s="961"/>
      <c r="D28" s="808" t="s">
        <v>605</v>
      </c>
      <c r="E28" s="810">
        <v>2250</v>
      </c>
      <c r="F28" s="808">
        <f t="shared" si="0"/>
        <v>41.231710117807168</v>
      </c>
      <c r="G28" s="809">
        <f t="shared" si="1"/>
        <v>2291.2317101178073</v>
      </c>
    </row>
    <row r="29" spans="2:7">
      <c r="B29" s="960" t="s">
        <v>629</v>
      </c>
      <c r="C29" s="961"/>
      <c r="D29" s="808" t="s">
        <v>606</v>
      </c>
      <c r="E29" s="810">
        <v>25000</v>
      </c>
      <c r="F29" s="808">
        <f t="shared" si="0"/>
        <v>458.13011242007968</v>
      </c>
      <c r="G29" s="809">
        <f t="shared" si="1"/>
        <v>25458.13011242008</v>
      </c>
    </row>
    <row r="30" spans="2:7">
      <c r="B30" s="960" t="s">
        <v>630</v>
      </c>
      <c r="C30" s="961"/>
      <c r="D30" s="808" t="s">
        <v>607</v>
      </c>
      <c r="E30" s="810">
        <v>130000</v>
      </c>
      <c r="F30" s="808">
        <f t="shared" si="0"/>
        <v>2382.2765845844142</v>
      </c>
      <c r="G30" s="809">
        <f t="shared" si="1"/>
        <v>132382.27658458441</v>
      </c>
    </row>
    <row r="31" spans="2:7">
      <c r="B31" s="960" t="s">
        <v>631</v>
      </c>
      <c r="C31" s="961"/>
      <c r="D31" s="808" t="s">
        <v>596</v>
      </c>
      <c r="E31" s="810">
        <v>180000</v>
      </c>
      <c r="F31" s="808">
        <f t="shared" si="0"/>
        <v>3298.5368094245737</v>
      </c>
      <c r="G31" s="809">
        <f t="shared" si="1"/>
        <v>183298.53680942458</v>
      </c>
    </row>
    <row r="32" spans="2:7">
      <c r="B32" s="960" t="s">
        <v>632</v>
      </c>
      <c r="C32" s="961"/>
      <c r="D32" s="808" t="s">
        <v>608</v>
      </c>
      <c r="E32" s="810">
        <v>10500</v>
      </c>
      <c r="F32" s="808">
        <f t="shared" si="0"/>
        <v>192.41464721643345</v>
      </c>
      <c r="G32" s="809">
        <f>+E33+F32</f>
        <v>50192.414647216436</v>
      </c>
    </row>
    <row r="33" spans="2:7">
      <c r="B33" s="960" t="s">
        <v>633</v>
      </c>
      <c r="C33" s="961"/>
      <c r="D33" s="808" t="s">
        <v>601</v>
      </c>
      <c r="E33" s="810">
        <v>50000</v>
      </c>
      <c r="F33" s="808">
        <f t="shared" si="0"/>
        <v>916.26022484015937</v>
      </c>
      <c r="G33" s="809">
        <f>+E34+F33</f>
        <v>85916.260224840153</v>
      </c>
    </row>
    <row r="34" spans="2:7">
      <c r="B34" s="960" t="s">
        <v>634</v>
      </c>
      <c r="C34" s="961"/>
      <c r="D34" s="808" t="s">
        <v>602</v>
      </c>
      <c r="E34" s="810">
        <v>85000</v>
      </c>
      <c r="F34" s="808">
        <f t="shared" si="0"/>
        <v>1557.6423822282709</v>
      </c>
      <c r="G34" s="809">
        <f>+E35+F34</f>
        <v>61557.642382228274</v>
      </c>
    </row>
    <row r="35" spans="2:7">
      <c r="B35" s="960" t="s">
        <v>635</v>
      </c>
      <c r="C35" s="961"/>
      <c r="D35" s="808" t="s">
        <v>609</v>
      </c>
      <c r="E35" s="810">
        <v>60000</v>
      </c>
      <c r="F35" s="808">
        <f t="shared" si="0"/>
        <v>1099.5122698081911</v>
      </c>
      <c r="G35" s="809">
        <f>+E36+F35</f>
        <v>4699.5122698081914</v>
      </c>
    </row>
    <row r="36" spans="2:7">
      <c r="B36" s="960" t="s">
        <v>636</v>
      </c>
      <c r="C36" s="961"/>
      <c r="D36" s="808" t="s">
        <v>610</v>
      </c>
      <c r="E36" s="810">
        <v>3600</v>
      </c>
      <c r="F36" s="808">
        <f t="shared" si="0"/>
        <v>65.970736188491472</v>
      </c>
      <c r="G36" s="809">
        <f>+E36+F36</f>
        <v>3665.9707361884916</v>
      </c>
    </row>
    <row r="37" spans="2:7">
      <c r="B37" s="960" t="s">
        <v>637</v>
      </c>
      <c r="C37" s="961"/>
      <c r="D37" s="808" t="s">
        <v>611</v>
      </c>
      <c r="E37" s="810">
        <v>800</v>
      </c>
      <c r="F37" s="808">
        <f t="shared" si="0"/>
        <v>14.660163597442549</v>
      </c>
      <c r="G37" s="809">
        <f>+E37+F37</f>
        <v>814.66016359744253</v>
      </c>
    </row>
    <row r="38" spans="2:7">
      <c r="B38" s="960" t="s">
        <v>638</v>
      </c>
      <c r="C38" s="961"/>
      <c r="D38" s="808" t="s">
        <v>612</v>
      </c>
      <c r="E38" s="810">
        <v>4000</v>
      </c>
      <c r="F38" s="808">
        <f t="shared" si="0"/>
        <v>73.300817987212753</v>
      </c>
      <c r="G38" s="809">
        <f>+E38+F38</f>
        <v>4073.3008179872127</v>
      </c>
    </row>
    <row r="39" spans="2:7">
      <c r="B39" s="960" t="s">
        <v>639</v>
      </c>
      <c r="C39" s="961"/>
      <c r="D39" s="808" t="s">
        <v>613</v>
      </c>
      <c r="E39" s="810">
        <v>4500</v>
      </c>
      <c r="F39" s="808">
        <f t="shared" si="0"/>
        <v>82.463420235614336</v>
      </c>
      <c r="G39" s="809">
        <f>+E39+F39</f>
        <v>4582.4634202356146</v>
      </c>
    </row>
    <row r="40" spans="2:7">
      <c r="B40" s="960" t="s">
        <v>640</v>
      </c>
      <c r="C40" s="961"/>
      <c r="D40" s="808" t="s">
        <v>614</v>
      </c>
      <c r="E40" s="810">
        <v>25000</v>
      </c>
      <c r="F40" s="808">
        <f t="shared" si="0"/>
        <v>458.13011242007968</v>
      </c>
      <c r="G40" s="809">
        <f>+E40+F40</f>
        <v>25458.13011242008</v>
      </c>
    </row>
    <row r="41" spans="2:7">
      <c r="B41" s="960" t="s">
        <v>641</v>
      </c>
      <c r="C41" s="961"/>
      <c r="D41" s="808" t="s">
        <v>615</v>
      </c>
      <c r="E41" s="810">
        <v>900</v>
      </c>
      <c r="F41" s="808">
        <f t="shared" si="0"/>
        <v>16.492684047122868</v>
      </c>
      <c r="G41" s="809">
        <f>+E41+F41</f>
        <v>916.49268404712291</v>
      </c>
    </row>
    <row r="42" spans="2:7">
      <c r="B42" s="960" t="s">
        <v>642</v>
      </c>
      <c r="C42" s="961"/>
      <c r="D42" s="808" t="s">
        <v>615</v>
      </c>
      <c r="E42" s="810">
        <v>800</v>
      </c>
      <c r="F42" s="808">
        <f t="shared" si="0"/>
        <v>14.660163597442549</v>
      </c>
      <c r="G42" s="809">
        <f>+E42+F42</f>
        <v>814.66016359744253</v>
      </c>
    </row>
    <row r="43" spans="2:7">
      <c r="B43" s="960" t="s">
        <v>643</v>
      </c>
      <c r="C43" s="961"/>
      <c r="D43" s="808" t="s">
        <v>616</v>
      </c>
      <c r="E43" s="810">
        <v>200000</v>
      </c>
      <c r="F43" s="808">
        <f t="shared" si="0"/>
        <v>3665.0408993606375</v>
      </c>
      <c r="G43" s="809">
        <f>+E43+F43</f>
        <v>203665.04089936064</v>
      </c>
    </row>
    <row r="44" spans="2:7">
      <c r="B44" s="960" t="s">
        <v>644</v>
      </c>
      <c r="C44" s="961"/>
      <c r="D44" s="808" t="s">
        <v>617</v>
      </c>
      <c r="E44" s="810">
        <v>150000</v>
      </c>
      <c r="F44" s="808">
        <f t="shared" si="0"/>
        <v>2748.780674520478</v>
      </c>
      <c r="G44" s="809">
        <f>+E44+F44</f>
        <v>152748.78067452047</v>
      </c>
    </row>
    <row r="45" spans="2:7">
      <c r="B45" s="960" t="s">
        <v>645</v>
      </c>
      <c r="C45" s="961"/>
      <c r="D45" s="808" t="s">
        <v>618</v>
      </c>
      <c r="E45" s="810">
        <v>20000</v>
      </c>
      <c r="F45" s="808">
        <f t="shared" si="0"/>
        <v>366.50408993606374</v>
      </c>
      <c r="G45" s="809">
        <f>+E45+F45</f>
        <v>20366.504089936065</v>
      </c>
    </row>
    <row r="46" spans="2:7">
      <c r="B46" s="960" t="s">
        <v>646</v>
      </c>
      <c r="C46" s="961"/>
      <c r="D46" s="808" t="s">
        <v>619</v>
      </c>
      <c r="E46" s="810">
        <v>39000</v>
      </c>
      <c r="F46" s="808">
        <f t="shared" si="0"/>
        <v>714.6829753753243</v>
      </c>
      <c r="G46" s="809">
        <f>+E46+F46</f>
        <v>39714.682975375326</v>
      </c>
    </row>
    <row r="47" spans="2:7">
      <c r="B47" s="960" t="s">
        <v>647</v>
      </c>
      <c r="C47" s="961"/>
      <c r="D47" s="808" t="s">
        <v>615</v>
      </c>
      <c r="E47" s="810">
        <v>2000</v>
      </c>
      <c r="F47" s="808">
        <f t="shared" si="0"/>
        <v>36.650408993606376</v>
      </c>
      <c r="G47" s="809">
        <f>+E47+F47</f>
        <v>2036.6504089936063</v>
      </c>
    </row>
    <row r="48" spans="2:7" ht="12.6" customHeight="1">
      <c r="B48" s="811"/>
      <c r="C48" s="812"/>
      <c r="D48" s="813"/>
      <c r="F48" s="814"/>
      <c r="G48" s="809">
        <f>SUM(E48:F48)</f>
        <v>0</v>
      </c>
    </row>
    <row r="49" spans="2:9" ht="12.75" customHeight="1">
      <c r="B49" s="794"/>
      <c r="C49" s="795"/>
      <c r="D49" s="795"/>
      <c r="E49" s="815">
        <f>SUM(E19:E47)</f>
        <v>3526950</v>
      </c>
      <c r="F49" s="815">
        <f>SUM(F19:F47)</f>
        <v>64632.08</v>
      </c>
      <c r="G49" s="816">
        <f>SUM(G19:G47)</f>
        <v>3584682.08</v>
      </c>
    </row>
    <row r="50" spans="2:9" ht="8.25" customHeight="1">
      <c r="B50" s="794"/>
      <c r="C50" s="795"/>
      <c r="D50" s="795"/>
      <c r="E50" s="795"/>
      <c r="F50" s="795"/>
      <c r="G50" s="817"/>
    </row>
    <row r="51" spans="2:9" ht="12.75" customHeight="1">
      <c r="B51" s="794"/>
      <c r="C51" s="795"/>
      <c r="D51" s="795"/>
      <c r="E51" s="795"/>
      <c r="F51" s="795"/>
      <c r="G51" s="817"/>
    </row>
    <row r="52" spans="2:9" ht="12.75" customHeight="1">
      <c r="B52" s="794"/>
      <c r="C52" s="795"/>
      <c r="D52" s="795"/>
      <c r="E52" s="818" t="s">
        <v>546</v>
      </c>
      <c r="F52" s="818"/>
      <c r="G52" s="819">
        <f>+E49</f>
        <v>3526950</v>
      </c>
    </row>
    <row r="53" spans="2:9" ht="12.75" customHeight="1">
      <c r="B53" s="794"/>
      <c r="C53" s="795"/>
      <c r="D53" s="795"/>
      <c r="E53" s="795" t="s">
        <v>28</v>
      </c>
      <c r="F53" s="820">
        <f>+G53/G52</f>
        <v>1.8325204496803187E-2</v>
      </c>
      <c r="G53" s="817">
        <f>+G.General!I21</f>
        <v>64632.08</v>
      </c>
    </row>
    <row r="54" spans="2:9">
      <c r="B54" s="794"/>
      <c r="C54" s="795"/>
      <c r="D54" s="795"/>
      <c r="E54" s="795" t="s">
        <v>548</v>
      </c>
      <c r="F54" s="820">
        <f>+G54/$G$52</f>
        <v>7.3203135853924786E-3</v>
      </c>
      <c r="G54" s="796">
        <f>+'G. Supervision'!I21</f>
        <v>25818.38</v>
      </c>
    </row>
    <row r="55" spans="2:9" ht="6" customHeight="1" thickBot="1">
      <c r="B55" s="794"/>
      <c r="C55" s="795"/>
      <c r="D55" s="795"/>
      <c r="E55" s="795"/>
      <c r="F55" s="795"/>
      <c r="G55" s="821"/>
    </row>
    <row r="56" spans="2:9" ht="19.5" customHeight="1" thickTop="1">
      <c r="B56" s="794"/>
      <c r="C56" s="795"/>
      <c r="D56" s="795"/>
      <c r="E56" s="818" t="s">
        <v>654</v>
      </c>
      <c r="F56" s="795"/>
      <c r="G56" s="822">
        <f>SUM(G52:G55)</f>
        <v>3617400.46</v>
      </c>
    </row>
    <row r="57" spans="2:9">
      <c r="B57" s="794"/>
      <c r="C57" s="795"/>
      <c r="D57" s="795"/>
      <c r="E57" s="795" t="s">
        <v>547</v>
      </c>
      <c r="F57" s="820">
        <f>+G57/$G$56</f>
        <v>4.4718576720698486E-3</v>
      </c>
      <c r="G57" s="796">
        <f>'Gestion del proyecto'!I21</f>
        <v>16176.5</v>
      </c>
    </row>
    <row r="58" spans="2:9">
      <c r="B58" s="794"/>
      <c r="C58" s="795"/>
      <c r="D58" s="795"/>
      <c r="E58" s="795" t="s">
        <v>549</v>
      </c>
      <c r="F58" s="820">
        <f>+G58/$G$56</f>
        <v>4.4061364441801395E-3</v>
      </c>
      <c r="G58" s="796">
        <f>'G. Liquidacion'!H21</f>
        <v>15938.76</v>
      </c>
    </row>
    <row r="59" spans="2:9">
      <c r="B59" s="794"/>
      <c r="C59" s="795"/>
      <c r="D59" s="795"/>
      <c r="E59" s="795" t="s">
        <v>550</v>
      </c>
      <c r="F59" s="820">
        <f>+G59/$G$56</f>
        <v>3.2179130092773859E-3</v>
      </c>
      <c r="G59" s="796">
        <f>'G. Exp. Tecnico'!I21</f>
        <v>11640.48</v>
      </c>
      <c r="H59" s="790">
        <f>SUM(G57:G59,G53:G54)</f>
        <v>134206.20000000001</v>
      </c>
    </row>
    <row r="60" spans="2:9" ht="5.25" customHeight="1" thickBot="1">
      <c r="B60" s="794"/>
      <c r="C60" s="795"/>
      <c r="D60" s="795"/>
      <c r="E60" s="795"/>
      <c r="F60" s="795"/>
      <c r="G60" s="802"/>
    </row>
    <row r="61" spans="2:9" ht="16.5" customHeight="1">
      <c r="B61" s="794"/>
      <c r="C61" s="795"/>
      <c r="D61" s="795"/>
      <c r="E61" s="818" t="s">
        <v>323</v>
      </c>
      <c r="F61" s="795"/>
      <c r="G61" s="822">
        <f>SUM(G56:G59)</f>
        <v>3661156.1999999997</v>
      </c>
    </row>
    <row r="62" spans="2:9">
      <c r="B62" s="794"/>
      <c r="C62" s="795"/>
      <c r="D62" s="795"/>
      <c r="E62" s="795"/>
      <c r="F62" s="795"/>
      <c r="G62" s="796"/>
      <c r="I62" s="790">
        <f>G61-H59</f>
        <v>3526949.9999999995</v>
      </c>
    </row>
    <row r="63" spans="2:9">
      <c r="B63" s="794"/>
      <c r="C63" s="795"/>
      <c r="D63" s="795"/>
      <c r="E63" s="795"/>
      <c r="F63" s="795"/>
      <c r="G63" s="796"/>
    </row>
    <row r="64" spans="2:9" ht="13.8" thickBot="1">
      <c r="B64" s="823" t="s">
        <v>551</v>
      </c>
      <c r="C64" s="824" t="s">
        <v>655</v>
      </c>
      <c r="D64" s="801"/>
      <c r="E64" s="801"/>
      <c r="F64" s="801"/>
      <c r="G64" s="802"/>
    </row>
  </sheetData>
  <mergeCells count="32">
    <mergeCell ref="B47:C47"/>
    <mergeCell ref="B40:C4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6:C46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4:G4"/>
    <mergeCell ref="D6:G7"/>
    <mergeCell ref="B17:C17"/>
    <mergeCell ref="B19:C19"/>
    <mergeCell ref="B20:C20"/>
  </mergeCells>
  <pageMargins left="1.4566929133858268" right="0.70866141732283472" top="0.74803149606299213" bottom="1.299212598425197" header="0.31496062992125984" footer="0.31496062992125984"/>
  <pageSetup paperSize="9" scale="53" fitToHeight="0" orientation="portrait" horizontalDpi="4294967292" r:id="rId1"/>
  <headerFooter>
    <oddFooter>&amp;C&amp;G</oddFooter>
  </headerFooter>
  <colBreaks count="1" manualBreakCount="1">
    <brk id="7" max="1048575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indexed="43"/>
    <pageSetUpPr fitToPage="1"/>
  </sheetPr>
  <dimension ref="B3:P316"/>
  <sheetViews>
    <sheetView showGridLines="0" view="pageBreakPreview" topLeftCell="A11" zoomScale="70" zoomScaleNormal="85" zoomScaleSheetLayoutView="70" zoomScalePageLayoutView="75" workbookViewId="0">
      <selection activeCell="I21" sqref="I21"/>
    </sheetView>
  </sheetViews>
  <sheetFormatPr baseColWidth="10" defaultColWidth="11.44140625" defaultRowHeight="13.8"/>
  <cols>
    <col min="1" max="1" width="1.6640625" style="571" customWidth="1"/>
    <col min="2" max="2" width="7" style="642" customWidth="1"/>
    <col min="3" max="3" width="48.109375" style="569" customWidth="1"/>
    <col min="4" max="4" width="20.6640625" style="569" customWidth="1"/>
    <col min="5" max="5" width="15.109375" style="569" customWidth="1"/>
    <col min="6" max="6" width="10.44140625" style="570" customWidth="1"/>
    <col min="7" max="7" width="15.33203125" style="570" customWidth="1"/>
    <col min="8" max="8" width="13.44140625" style="569" customWidth="1"/>
    <col min="9" max="9" width="15.109375" style="569" customWidth="1"/>
    <col min="10" max="10" width="19.33203125" style="571" customWidth="1"/>
    <col min="11" max="11" width="11.44140625" style="571"/>
    <col min="12" max="12" width="14.44140625" style="571" customWidth="1"/>
    <col min="13" max="13" width="14.109375" style="571" customWidth="1"/>
    <col min="14" max="16384" width="11.44140625" style="571"/>
  </cols>
  <sheetData>
    <row r="3" spans="2:9" ht="28.8">
      <c r="C3" s="975" t="s">
        <v>476</v>
      </c>
      <c r="D3" s="975"/>
      <c r="E3" s="975"/>
      <c r="F3" s="975"/>
      <c r="G3" s="975"/>
      <c r="H3" s="975"/>
      <c r="I3" s="975"/>
    </row>
    <row r="4" spans="2:9" ht="22.8">
      <c r="C4" s="976" t="s">
        <v>477</v>
      </c>
      <c r="D4" s="976"/>
      <c r="E4" s="976"/>
      <c r="F4" s="976"/>
      <c r="G4" s="976"/>
      <c r="H4" s="976"/>
      <c r="I4" s="976"/>
    </row>
    <row r="5" spans="2:9" ht="21">
      <c r="C5" s="977" t="s">
        <v>478</v>
      </c>
      <c r="D5" s="977"/>
      <c r="E5" s="977"/>
      <c r="F5" s="977"/>
      <c r="G5" s="977"/>
      <c r="H5" s="977"/>
      <c r="I5" s="977"/>
    </row>
    <row r="6" spans="2:9" ht="14.4" thickBot="1">
      <c r="B6" s="571"/>
      <c r="C6" s="978" t="s">
        <v>649</v>
      </c>
      <c r="D6" s="978"/>
      <c r="E6" s="978"/>
      <c r="F6" s="978"/>
      <c r="G6" s="978"/>
      <c r="H6" s="978"/>
      <c r="I6" s="978"/>
    </row>
    <row r="7" spans="2:9">
      <c r="B7" s="643"/>
      <c r="C7" s="644"/>
      <c r="D7" s="644"/>
      <c r="E7" s="644"/>
      <c r="F7" s="644"/>
      <c r="G7" s="644"/>
      <c r="H7" s="644"/>
      <c r="I7" s="644"/>
    </row>
    <row r="8" spans="2:9" ht="27" customHeight="1">
      <c r="B8" s="979" t="s">
        <v>560</v>
      </c>
      <c r="C8" s="979"/>
      <c r="D8" s="979"/>
      <c r="E8" s="979"/>
      <c r="F8" s="979"/>
      <c r="G8" s="979"/>
      <c r="H8" s="979"/>
      <c r="I8" s="979"/>
    </row>
    <row r="9" spans="2:9" ht="19.5" customHeight="1">
      <c r="B9" s="645"/>
      <c r="C9" s="645"/>
      <c r="D9" s="645"/>
      <c r="E9" s="646"/>
      <c r="F9" s="647"/>
      <c r="G9" s="647"/>
      <c r="H9" s="645"/>
      <c r="I9" s="645"/>
    </row>
    <row r="10" spans="2:9" ht="18" customHeight="1">
      <c r="C10" s="648" t="s">
        <v>623</v>
      </c>
      <c r="D10" s="575" t="str">
        <f>+'RESUMEN TOTAL'!D9</f>
        <v>: 2485224</v>
      </c>
      <c r="E10" s="575"/>
      <c r="F10" s="569"/>
      <c r="G10" s="569"/>
      <c r="I10" s="575" t="s">
        <v>1</v>
      </c>
    </row>
    <row r="11" spans="2:9" ht="18" customHeight="1">
      <c r="C11" s="648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648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648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46.5" customHeight="1">
      <c r="C14" s="649" t="s">
        <v>467</v>
      </c>
      <c r="D14" s="980" t="str">
        <f>+'RESUMEN TOTAL'!D6</f>
        <v>"ADQUISICION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APURIMAC"</v>
      </c>
      <c r="E14" s="980"/>
      <c r="F14" s="980"/>
      <c r="G14" s="980"/>
      <c r="H14" s="980"/>
      <c r="I14" s="980"/>
    </row>
    <row r="15" spans="2:9" s="652" customFormat="1" ht="17.25" customHeight="1" thickBot="1">
      <c r="B15" s="650"/>
      <c r="C15" s="651"/>
      <c r="D15" s="980"/>
      <c r="E15" s="980"/>
      <c r="F15" s="980"/>
      <c r="G15" s="980"/>
      <c r="H15" s="980"/>
      <c r="I15" s="980"/>
    </row>
    <row r="16" spans="2:9" s="656" customFormat="1" ht="20.25" customHeight="1" thickBot="1">
      <c r="B16" s="653"/>
      <c r="C16" s="654" t="s">
        <v>475</v>
      </c>
      <c r="D16" s="981" t="s">
        <v>468</v>
      </c>
      <c r="E16" s="981"/>
      <c r="F16" s="981"/>
      <c r="G16" s="981"/>
      <c r="H16" s="981"/>
      <c r="I16" s="655" t="s">
        <v>561</v>
      </c>
    </row>
    <row r="17" spans="2:12" s="656" customFormat="1" ht="17.399999999999999" customHeight="1">
      <c r="B17" s="653"/>
      <c r="C17" s="657" t="str">
        <f>+[1]Resumen!B19</f>
        <v>2.6.2.3.99 3</v>
      </c>
      <c r="D17" s="658" t="s">
        <v>99</v>
      </c>
      <c r="E17" s="659"/>
      <c r="F17" s="659"/>
      <c r="G17" s="659"/>
      <c r="H17" s="660"/>
      <c r="I17" s="661">
        <f>+I27</f>
        <v>54228.58</v>
      </c>
    </row>
    <row r="18" spans="2:12" s="656" customFormat="1" ht="17.399999999999999" customHeight="1">
      <c r="B18" s="653"/>
      <c r="C18" s="657" t="str">
        <f>+[1]Resumen!B20</f>
        <v>2.6.2.3.99 4</v>
      </c>
      <c r="D18" s="662" t="s">
        <v>100</v>
      </c>
      <c r="E18" s="663"/>
      <c r="F18" s="663"/>
      <c r="G18" s="663"/>
      <c r="H18" s="664"/>
      <c r="I18" s="665">
        <f>+I167</f>
        <v>8323.5</v>
      </c>
    </row>
    <row r="19" spans="2:12" s="656" customFormat="1" ht="17.399999999999999" customHeight="1">
      <c r="B19" s="653"/>
      <c r="C19" s="657" t="str">
        <f>+[1]Resumen!B21</f>
        <v>2.6.2.3.99 5</v>
      </c>
      <c r="D19" s="662" t="s">
        <v>101</v>
      </c>
      <c r="E19" s="663"/>
      <c r="F19" s="663"/>
      <c r="G19" s="663"/>
      <c r="H19" s="664"/>
      <c r="I19" s="665">
        <f>+I258</f>
        <v>2080</v>
      </c>
    </row>
    <row r="20" spans="2:12" s="656" customFormat="1" ht="17.399999999999999" customHeight="1">
      <c r="B20" s="653"/>
      <c r="C20" s="657" t="str">
        <f>+[1]Resumen!B22</f>
        <v>2.6.2.3.99 6</v>
      </c>
      <c r="D20" s="662" t="s">
        <v>102</v>
      </c>
      <c r="E20" s="663"/>
      <c r="F20" s="663"/>
      <c r="G20" s="663"/>
      <c r="H20" s="664"/>
      <c r="I20" s="665">
        <v>0</v>
      </c>
    </row>
    <row r="21" spans="2:12" s="656" customFormat="1" ht="15.6" customHeight="1" thickBot="1">
      <c r="B21" s="653"/>
      <c r="C21" s="982" t="s">
        <v>26</v>
      </c>
      <c r="D21" s="983"/>
      <c r="E21" s="983"/>
      <c r="F21" s="983"/>
      <c r="G21" s="983"/>
      <c r="H21" s="983"/>
      <c r="I21" s="666">
        <f>SUM(I17:I20)</f>
        <v>64632.08</v>
      </c>
      <c r="J21" s="667"/>
      <c r="K21" s="668"/>
      <c r="L21" s="667"/>
    </row>
    <row r="22" spans="2:12" ht="18" customHeight="1">
      <c r="C22" s="669"/>
      <c r="D22" s="670"/>
      <c r="E22" s="670"/>
      <c r="F22" s="671"/>
    </row>
    <row r="23" spans="2:12" ht="27" customHeight="1">
      <c r="B23" s="984" t="s">
        <v>479</v>
      </c>
      <c r="C23" s="984"/>
      <c r="D23" s="984"/>
      <c r="E23" s="984"/>
      <c r="F23" s="984"/>
      <c r="G23" s="984"/>
      <c r="H23" s="984"/>
      <c r="I23" s="984"/>
    </row>
    <row r="24" spans="2:12" ht="10.95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5" customHeight="1">
      <c r="B25" s="985" t="s">
        <v>469</v>
      </c>
      <c r="C25" s="985"/>
      <c r="D25" s="985"/>
      <c r="E25" s="985"/>
      <c r="F25" s="985"/>
      <c r="G25" s="985"/>
      <c r="H25" s="985"/>
      <c r="I25" s="985"/>
    </row>
    <row r="26" spans="2:12" ht="13.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656" customFormat="1" ht="16.95" customHeight="1">
      <c r="B27" s="678" t="s">
        <v>562</v>
      </c>
      <c r="C27" s="679"/>
      <c r="D27" s="680"/>
      <c r="E27" s="680"/>
      <c r="F27" s="680"/>
      <c r="G27" s="681"/>
      <c r="H27" s="681" t="s">
        <v>0</v>
      </c>
      <c r="I27" s="682">
        <f>ROUND((I29+I50+I88+I126+I146),2)</f>
        <v>54228.58</v>
      </c>
      <c r="J27" s="683"/>
    </row>
    <row r="28" spans="2:12" s="685" customFormat="1" ht="13.5" customHeight="1">
      <c r="B28" s="684"/>
      <c r="D28" s="686"/>
      <c r="E28" s="686"/>
      <c r="F28" s="686"/>
      <c r="G28" s="687"/>
      <c r="H28" s="687"/>
      <c r="I28" s="688"/>
      <c r="J28" s="689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+H47</f>
        <v>43500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+H47</f>
        <v>43500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1" ht="13.5" customHeight="1">
      <c r="B33" s="572"/>
      <c r="C33" s="641" t="s">
        <v>556</v>
      </c>
      <c r="D33" s="705"/>
      <c r="E33" s="705"/>
      <c r="F33" s="706"/>
      <c r="G33" s="706"/>
      <c r="H33" s="705"/>
      <c r="I33" s="699"/>
    </row>
    <row r="34" spans="2:11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1" ht="13.5" customHeight="1">
      <c r="B35" s="707"/>
      <c r="C35" s="708" t="s">
        <v>30</v>
      </c>
      <c r="D35" s="709" t="s">
        <v>31</v>
      </c>
      <c r="E35" s="709" t="s">
        <v>291</v>
      </c>
      <c r="F35" s="709" t="s">
        <v>32</v>
      </c>
      <c r="G35" s="709" t="s">
        <v>13</v>
      </c>
      <c r="H35" s="709" t="s">
        <v>4</v>
      </c>
      <c r="I35" s="699"/>
    </row>
    <row r="36" spans="2:11" ht="13.5" customHeight="1">
      <c r="B36" s="710"/>
      <c r="C36" s="711" t="s">
        <v>236</v>
      </c>
      <c r="D36" s="640">
        <v>1</v>
      </c>
      <c r="E36" s="640">
        <v>1</v>
      </c>
      <c r="F36" s="640">
        <v>3</v>
      </c>
      <c r="G36" s="640">
        <v>4500</v>
      </c>
      <c r="H36" s="711">
        <f>PRODUCT(D36:G36)</f>
        <v>13500</v>
      </c>
      <c r="J36" s="668">
        <f>G36+G57+G75+G95+G113+G133+G153</f>
        <v>5674.833333333333</v>
      </c>
      <c r="K36" s="699"/>
    </row>
    <row r="37" spans="2:11" ht="13.5" hidden="1" customHeight="1">
      <c r="B37" s="710"/>
      <c r="C37" s="711" t="s">
        <v>528</v>
      </c>
      <c r="D37" s="640">
        <v>0</v>
      </c>
      <c r="E37" s="640">
        <v>0.5</v>
      </c>
      <c r="F37" s="640">
        <v>1</v>
      </c>
      <c r="G37" s="640">
        <v>5000</v>
      </c>
      <c r="H37" s="711">
        <f t="shared" ref="H37:H46" si="0">PRODUCT(D37:G37)</f>
        <v>0</v>
      </c>
      <c r="K37" s="699"/>
    </row>
    <row r="38" spans="2:11" ht="13.5" hidden="1" customHeight="1">
      <c r="B38" s="710"/>
      <c r="C38" s="711" t="s">
        <v>563</v>
      </c>
      <c r="D38" s="640">
        <v>0</v>
      </c>
      <c r="E38" s="640">
        <v>0.5</v>
      </c>
      <c r="F38" s="640">
        <v>1</v>
      </c>
      <c r="G38" s="640">
        <v>5000</v>
      </c>
      <c r="H38" s="711">
        <f>PRODUCT(D38:G38)</f>
        <v>0</v>
      </c>
      <c r="K38" s="699"/>
    </row>
    <row r="39" spans="2:11" ht="13.5" hidden="1" customHeight="1">
      <c r="B39" s="710"/>
      <c r="C39" s="711" t="s">
        <v>564</v>
      </c>
      <c r="D39" s="640">
        <v>0</v>
      </c>
      <c r="E39" s="640">
        <v>0.5</v>
      </c>
      <c r="F39" s="640">
        <v>5</v>
      </c>
      <c r="G39" s="640">
        <v>4500</v>
      </c>
      <c r="H39" s="711">
        <f>PRODUCT(D39:G39)</f>
        <v>0</v>
      </c>
      <c r="K39" s="699"/>
    </row>
    <row r="40" spans="2:11" ht="13.5" hidden="1" customHeight="1">
      <c r="B40" s="710"/>
      <c r="C40" s="711" t="s">
        <v>565</v>
      </c>
      <c r="D40" s="640">
        <v>0</v>
      </c>
      <c r="E40" s="640">
        <v>0.5</v>
      </c>
      <c r="F40" s="640">
        <v>5</v>
      </c>
      <c r="G40" s="640">
        <v>4500</v>
      </c>
      <c r="H40" s="711">
        <f>PRODUCT(D40:G40)</f>
        <v>0</v>
      </c>
      <c r="K40" s="699"/>
    </row>
    <row r="41" spans="2:11" ht="13.5" customHeight="1">
      <c r="B41" s="710"/>
      <c r="C41" s="711" t="s">
        <v>566</v>
      </c>
      <c r="D41" s="640">
        <v>1</v>
      </c>
      <c r="E41" s="640">
        <v>1</v>
      </c>
      <c r="F41" s="640">
        <v>3</v>
      </c>
      <c r="G41" s="640">
        <v>3350</v>
      </c>
      <c r="H41" s="711">
        <f t="shared" si="0"/>
        <v>10050</v>
      </c>
      <c r="J41" s="712"/>
      <c r="K41" s="699"/>
    </row>
    <row r="42" spans="2:11" ht="13.5" customHeight="1">
      <c r="B42" s="710"/>
      <c r="C42" s="711" t="s">
        <v>308</v>
      </c>
      <c r="D42" s="640">
        <v>1</v>
      </c>
      <c r="E42" s="640">
        <v>1</v>
      </c>
      <c r="F42" s="640">
        <v>3</v>
      </c>
      <c r="G42" s="640">
        <v>3500</v>
      </c>
      <c r="H42" s="711">
        <f t="shared" si="0"/>
        <v>10500</v>
      </c>
      <c r="K42" s="699"/>
    </row>
    <row r="43" spans="2:11" ht="13.5" hidden="1" customHeight="1">
      <c r="B43" s="710"/>
      <c r="C43" s="711" t="s">
        <v>567</v>
      </c>
      <c r="D43" s="640">
        <v>0</v>
      </c>
      <c r="E43" s="640">
        <v>1</v>
      </c>
      <c r="F43" s="640">
        <v>5</v>
      </c>
      <c r="G43" s="640">
        <v>4300</v>
      </c>
      <c r="H43" s="711">
        <f t="shared" si="0"/>
        <v>0</v>
      </c>
      <c r="I43" s="699"/>
    </row>
    <row r="44" spans="2:11" ht="13.5" hidden="1" customHeight="1">
      <c r="B44" s="710"/>
      <c r="C44" s="711" t="s">
        <v>568</v>
      </c>
      <c r="D44" s="640">
        <v>0</v>
      </c>
      <c r="E44" s="640">
        <v>0.5</v>
      </c>
      <c r="F44" s="640">
        <v>5</v>
      </c>
      <c r="G44" s="640">
        <v>4000</v>
      </c>
      <c r="H44" s="711">
        <f t="shared" si="0"/>
        <v>0</v>
      </c>
      <c r="I44" s="699"/>
    </row>
    <row r="45" spans="2:11" ht="13.5" hidden="1" customHeight="1">
      <c r="B45" s="710"/>
      <c r="C45" s="711" t="s">
        <v>569</v>
      </c>
      <c r="D45" s="640">
        <v>0</v>
      </c>
      <c r="E45" s="640">
        <v>1</v>
      </c>
      <c r="F45" s="640">
        <v>5</v>
      </c>
      <c r="G45" s="640">
        <v>4000</v>
      </c>
      <c r="H45" s="711">
        <f t="shared" si="0"/>
        <v>0</v>
      </c>
      <c r="I45" s="699"/>
    </row>
    <row r="46" spans="2:11" ht="13.5" customHeight="1">
      <c r="B46" s="710"/>
      <c r="C46" s="711" t="s">
        <v>570</v>
      </c>
      <c r="D46" s="640">
        <v>1</v>
      </c>
      <c r="E46" s="640">
        <v>1</v>
      </c>
      <c r="F46" s="640">
        <v>3</v>
      </c>
      <c r="G46" s="640">
        <v>3150</v>
      </c>
      <c r="H46" s="711">
        <f t="shared" si="0"/>
        <v>9450</v>
      </c>
      <c r="I46" s="699"/>
    </row>
    <row r="47" spans="2:11" ht="13.5" customHeight="1">
      <c r="B47" s="713"/>
      <c r="C47" s="986" t="s">
        <v>3</v>
      </c>
      <c r="D47" s="986"/>
      <c r="E47" s="986"/>
      <c r="F47" s="986"/>
      <c r="G47" s="986"/>
      <c r="H47" s="714">
        <f>SUM(H36:H46)</f>
        <v>43500</v>
      </c>
      <c r="I47" s="705"/>
    </row>
    <row r="48" spans="2:11" ht="13.5" customHeight="1">
      <c r="B48" s="572"/>
      <c r="C48" s="699"/>
      <c r="D48" s="699"/>
      <c r="E48" s="699"/>
      <c r="F48" s="700"/>
      <c r="G48" s="700"/>
      <c r="H48" s="699"/>
      <c r="I48" s="699"/>
    </row>
    <row r="49" spans="2:9" ht="13.5" customHeight="1">
      <c r="B49" s="572"/>
      <c r="C49" s="699"/>
      <c r="D49" s="699"/>
      <c r="E49" s="699"/>
      <c r="F49" s="700"/>
      <c r="G49" s="700"/>
      <c r="H49" s="699"/>
      <c r="I49" s="699"/>
    </row>
    <row r="50" spans="2:9" ht="13.5" customHeight="1">
      <c r="B50" s="690">
        <v>2</v>
      </c>
      <c r="C50" s="691" t="s">
        <v>15</v>
      </c>
      <c r="D50" s="692"/>
      <c r="E50" s="692"/>
      <c r="F50" s="693"/>
      <c r="G50" s="694"/>
      <c r="H50" s="695" t="s">
        <v>0</v>
      </c>
      <c r="I50" s="696">
        <f>+H68+H86</f>
        <v>5241.75</v>
      </c>
    </row>
    <row r="51" spans="2:9" ht="13.5" customHeight="1">
      <c r="B51" s="697"/>
      <c r="C51" s="698"/>
      <c r="D51" s="699"/>
      <c r="E51" s="699"/>
      <c r="F51" s="700"/>
      <c r="G51" s="700"/>
      <c r="H51" s="699"/>
      <c r="I51" s="699"/>
    </row>
    <row r="52" spans="2:9" ht="13.5" customHeight="1">
      <c r="B52" s="701">
        <v>2.0099999999999998</v>
      </c>
      <c r="C52" s="641" t="s">
        <v>95</v>
      </c>
      <c r="D52" s="699"/>
      <c r="E52" s="699"/>
      <c r="F52" s="700"/>
      <c r="G52" s="700"/>
      <c r="H52" s="702" t="s">
        <v>0</v>
      </c>
      <c r="I52" s="703">
        <f>+H68</f>
        <v>3915</v>
      </c>
    </row>
    <row r="53" spans="2:9" ht="13.5" customHeight="1">
      <c r="B53" s="715"/>
      <c r="C53" s="641"/>
      <c r="D53" s="699"/>
      <c r="E53" s="699"/>
      <c r="F53" s="700"/>
      <c r="G53" s="700"/>
      <c r="H53" s="699"/>
      <c r="I53" s="699"/>
    </row>
    <row r="54" spans="2:9" ht="13.5" customHeight="1">
      <c r="B54" s="704"/>
      <c r="C54" s="641" t="s">
        <v>29</v>
      </c>
      <c r="D54" s="705"/>
      <c r="E54" s="705"/>
      <c r="F54" s="706"/>
      <c r="G54" s="706"/>
      <c r="H54" s="699"/>
      <c r="I54" s="699"/>
    </row>
    <row r="55" spans="2:9" ht="13.5" customHeight="1">
      <c r="B55" s="704"/>
      <c r="C55" s="641"/>
      <c r="D55" s="705"/>
      <c r="E55" s="705"/>
      <c r="F55" s="706"/>
      <c r="G55" s="706"/>
      <c r="H55" s="699"/>
      <c r="I55" s="699"/>
    </row>
    <row r="56" spans="2:9" ht="13.5" customHeight="1">
      <c r="B56" s="572"/>
      <c r="C56" s="708" t="s">
        <v>30</v>
      </c>
      <c r="D56" s="709" t="s">
        <v>31</v>
      </c>
      <c r="E56" s="709" t="str">
        <f t="shared" ref="E56:F67" si="1">+E35</f>
        <v>COEF. PARTIC.</v>
      </c>
      <c r="F56" s="709" t="s">
        <v>32</v>
      </c>
      <c r="G56" s="709" t="s">
        <v>13</v>
      </c>
      <c r="H56" s="709" t="s">
        <v>4</v>
      </c>
      <c r="I56" s="699"/>
    </row>
    <row r="57" spans="2:9">
      <c r="B57" s="572"/>
      <c r="C57" s="711" t="str">
        <f t="shared" ref="C57:D67" si="2">+C36</f>
        <v>RESIDENTE DE OBRA</v>
      </c>
      <c r="D57" s="640">
        <f t="shared" si="2"/>
        <v>1</v>
      </c>
      <c r="E57" s="640">
        <f t="shared" si="1"/>
        <v>1</v>
      </c>
      <c r="F57" s="640">
        <f t="shared" si="1"/>
        <v>3</v>
      </c>
      <c r="G57" s="640">
        <f>+G36*0.09</f>
        <v>405</v>
      </c>
      <c r="H57" s="711">
        <f>PRODUCT(D57:G57)</f>
        <v>1215</v>
      </c>
      <c r="I57" s="699"/>
    </row>
    <row r="58" spans="2:9" hidden="1">
      <c r="B58" s="572"/>
      <c r="C58" s="711" t="str">
        <f t="shared" si="2"/>
        <v>INGENIERO ESPECIALISTA EN ESTRUCTURAS</v>
      </c>
      <c r="D58" s="640">
        <f t="shared" si="2"/>
        <v>0</v>
      </c>
      <c r="E58" s="640">
        <f t="shared" si="1"/>
        <v>0.5</v>
      </c>
      <c r="F58" s="640">
        <f t="shared" si="1"/>
        <v>1</v>
      </c>
      <c r="G58" s="640">
        <f t="shared" ref="G58:G67" si="3">+G37*0.09</f>
        <v>450</v>
      </c>
      <c r="H58" s="711">
        <f t="shared" ref="H58:H67" si="4">PRODUCT(D58:G58)</f>
        <v>0</v>
      </c>
      <c r="I58" s="699"/>
    </row>
    <row r="59" spans="2:9" hidden="1">
      <c r="B59" s="572"/>
      <c r="C59" s="711" t="str">
        <f t="shared" si="2"/>
        <v>INGENIERO ESPECIALISTA EN GEOTECNIA</v>
      </c>
      <c r="D59" s="640">
        <f t="shared" si="2"/>
        <v>0</v>
      </c>
      <c r="E59" s="640">
        <f t="shared" si="1"/>
        <v>0.5</v>
      </c>
      <c r="F59" s="640">
        <f t="shared" si="1"/>
        <v>1</v>
      </c>
      <c r="G59" s="640">
        <f t="shared" si="3"/>
        <v>450</v>
      </c>
      <c r="H59" s="711">
        <f t="shared" si="4"/>
        <v>0</v>
      </c>
      <c r="I59" s="699"/>
    </row>
    <row r="60" spans="2:9" hidden="1">
      <c r="B60" s="572"/>
      <c r="C60" s="711" t="str">
        <f t="shared" si="2"/>
        <v>INGENIERO ESPECIALISTA EN SEGURIDAD Y SALUD</v>
      </c>
      <c r="D60" s="640">
        <v>0</v>
      </c>
      <c r="E60" s="640">
        <f t="shared" si="1"/>
        <v>0.5</v>
      </c>
      <c r="F60" s="640">
        <f t="shared" si="1"/>
        <v>5</v>
      </c>
      <c r="G60" s="640">
        <f t="shared" si="3"/>
        <v>405</v>
      </c>
      <c r="H60" s="711">
        <f>PRODUCT(D60:G60)</f>
        <v>0</v>
      </c>
      <c r="I60" s="699"/>
    </row>
    <row r="61" spans="2:9" hidden="1">
      <c r="B61" s="572"/>
      <c r="C61" s="711" t="str">
        <f t="shared" si="2"/>
        <v>ESPECIALISTA EN MITIGACIÓN AMBIENTAL</v>
      </c>
      <c r="D61" s="640">
        <f t="shared" si="2"/>
        <v>0</v>
      </c>
      <c r="E61" s="640">
        <f t="shared" si="1"/>
        <v>0.5</v>
      </c>
      <c r="F61" s="640">
        <f t="shared" si="1"/>
        <v>5</v>
      </c>
      <c r="G61" s="640">
        <f t="shared" si="3"/>
        <v>405</v>
      </c>
      <c r="H61" s="711">
        <f t="shared" si="4"/>
        <v>0</v>
      </c>
      <c r="I61" s="699"/>
    </row>
    <row r="62" spans="2:9">
      <c r="B62" s="572"/>
      <c r="C62" s="711" t="str">
        <f t="shared" si="2"/>
        <v>ASISTENTE TECNICO DE OBRA</v>
      </c>
      <c r="D62" s="640">
        <f t="shared" si="2"/>
        <v>1</v>
      </c>
      <c r="E62" s="640">
        <f t="shared" si="1"/>
        <v>1</v>
      </c>
      <c r="F62" s="640">
        <f t="shared" si="1"/>
        <v>3</v>
      </c>
      <c r="G62" s="640">
        <f t="shared" si="3"/>
        <v>301.5</v>
      </c>
      <c r="H62" s="711">
        <f t="shared" si="4"/>
        <v>904.5</v>
      </c>
      <c r="I62" s="699"/>
    </row>
    <row r="63" spans="2:9" ht="13.5" customHeight="1">
      <c r="B63" s="572"/>
      <c r="C63" s="711" t="str">
        <f t="shared" si="2"/>
        <v>ASISTENTE ADMINISTRATIVO</v>
      </c>
      <c r="D63" s="640">
        <f t="shared" si="2"/>
        <v>1</v>
      </c>
      <c r="E63" s="640">
        <f t="shared" si="1"/>
        <v>1</v>
      </c>
      <c r="F63" s="640">
        <f t="shared" si="1"/>
        <v>3</v>
      </c>
      <c r="G63" s="640">
        <f t="shared" si="3"/>
        <v>315</v>
      </c>
      <c r="H63" s="711">
        <f t="shared" si="4"/>
        <v>945</v>
      </c>
      <c r="I63" s="699"/>
    </row>
    <row r="64" spans="2:9" ht="13.5" hidden="1" customHeight="1">
      <c r="B64" s="572"/>
      <c r="C64" s="711" t="str">
        <f t="shared" si="2"/>
        <v xml:space="preserve">MAESTRO DE OBRA </v>
      </c>
      <c r="D64" s="640">
        <f t="shared" si="2"/>
        <v>0</v>
      </c>
      <c r="E64" s="640">
        <f t="shared" si="1"/>
        <v>1</v>
      </c>
      <c r="F64" s="640">
        <f t="shared" si="1"/>
        <v>5</v>
      </c>
      <c r="G64" s="640">
        <f t="shared" si="3"/>
        <v>387</v>
      </c>
      <c r="H64" s="711">
        <f t="shared" si="4"/>
        <v>0</v>
      </c>
      <c r="I64" s="699"/>
    </row>
    <row r="65" spans="2:10" ht="13.5" hidden="1" customHeight="1">
      <c r="B65" s="572"/>
      <c r="C65" s="711" t="str">
        <f t="shared" si="2"/>
        <v>TOPOGRAFO</v>
      </c>
      <c r="D65" s="640">
        <f t="shared" si="2"/>
        <v>0</v>
      </c>
      <c r="E65" s="640">
        <f t="shared" si="1"/>
        <v>0.5</v>
      </c>
      <c r="F65" s="640">
        <f t="shared" si="1"/>
        <v>5</v>
      </c>
      <c r="G65" s="640">
        <f t="shared" si="3"/>
        <v>360</v>
      </c>
      <c r="H65" s="711">
        <f>PRODUCT(D65:G65)</f>
        <v>0</v>
      </c>
      <c r="I65" s="699"/>
    </row>
    <row r="66" spans="2:10" ht="13.5" hidden="1" customHeight="1">
      <c r="B66" s="572"/>
      <c r="C66" s="711" t="str">
        <f t="shared" si="2"/>
        <v xml:space="preserve">ALMACENERO </v>
      </c>
      <c r="D66" s="640">
        <f t="shared" si="2"/>
        <v>0</v>
      </c>
      <c r="E66" s="640">
        <f t="shared" si="1"/>
        <v>1</v>
      </c>
      <c r="F66" s="640">
        <f t="shared" si="1"/>
        <v>5</v>
      </c>
      <c r="G66" s="640">
        <f t="shared" si="3"/>
        <v>360</v>
      </c>
      <c r="H66" s="711">
        <f t="shared" si="4"/>
        <v>0</v>
      </c>
      <c r="I66" s="699"/>
    </row>
    <row r="67" spans="2:10" ht="13.5" customHeight="1">
      <c r="B67" s="572"/>
      <c r="C67" s="711" t="str">
        <f t="shared" si="2"/>
        <v>GUARDIAN</v>
      </c>
      <c r="D67" s="640">
        <f t="shared" si="2"/>
        <v>1</v>
      </c>
      <c r="E67" s="640">
        <f t="shared" si="1"/>
        <v>1</v>
      </c>
      <c r="F67" s="640">
        <f t="shared" si="1"/>
        <v>3</v>
      </c>
      <c r="G67" s="640">
        <f t="shared" si="3"/>
        <v>283.5</v>
      </c>
      <c r="H67" s="711">
        <f t="shared" si="4"/>
        <v>850.5</v>
      </c>
      <c r="I67" s="699"/>
    </row>
    <row r="68" spans="2:10" ht="13.5" customHeight="1">
      <c r="B68" s="572"/>
      <c r="C68" s="964" t="s">
        <v>3</v>
      </c>
      <c r="D68" s="965"/>
      <c r="E68" s="965"/>
      <c r="F68" s="965"/>
      <c r="G68" s="966"/>
      <c r="H68" s="714">
        <f>SUM(H57:H67)</f>
        <v>3915</v>
      </c>
      <c r="I68" s="699"/>
    </row>
    <row r="69" spans="2:10" ht="13.5" customHeight="1">
      <c r="B69" s="572"/>
      <c r="C69" s="716"/>
      <c r="D69" s="716"/>
      <c r="E69" s="716"/>
      <c r="F69" s="700"/>
      <c r="G69" s="700"/>
      <c r="H69" s="699"/>
      <c r="I69" s="699"/>
    </row>
    <row r="70" spans="2:10" ht="13.5" customHeight="1">
      <c r="B70" s="701">
        <v>2.02</v>
      </c>
      <c r="C70" s="641" t="s">
        <v>557</v>
      </c>
      <c r="D70" s="699"/>
      <c r="E70" s="699"/>
      <c r="F70" s="700"/>
      <c r="G70" s="700"/>
      <c r="H70" s="702" t="s">
        <v>0</v>
      </c>
      <c r="I70" s="703">
        <f>+H86</f>
        <v>1326.75</v>
      </c>
    </row>
    <row r="71" spans="2:10" ht="13.5" customHeight="1">
      <c r="B71" s="715"/>
      <c r="C71" s="641"/>
      <c r="D71" s="699"/>
      <c r="E71" s="699"/>
      <c r="F71" s="700"/>
      <c r="G71" s="700"/>
      <c r="H71" s="699"/>
      <c r="I71" s="699"/>
    </row>
    <row r="72" spans="2:10" ht="13.5" customHeight="1">
      <c r="B72" s="572"/>
      <c r="C72" s="641" t="s">
        <v>29</v>
      </c>
      <c r="D72" s="705"/>
      <c r="E72" s="705"/>
      <c r="F72" s="706"/>
      <c r="G72" s="706"/>
      <c r="H72" s="699"/>
      <c r="I72" s="699"/>
    </row>
    <row r="73" spans="2:10" ht="13.5" customHeight="1">
      <c r="B73" s="572"/>
      <c r="C73" s="641"/>
      <c r="D73" s="705"/>
      <c r="E73" s="705"/>
      <c r="F73" s="706"/>
      <c r="G73" s="706"/>
      <c r="H73" s="699"/>
      <c r="I73" s="699"/>
    </row>
    <row r="74" spans="2:10" ht="13.5" customHeight="1">
      <c r="B74" s="572"/>
      <c r="C74" s="708" t="s">
        <v>30</v>
      </c>
      <c r="D74" s="709" t="s">
        <v>31</v>
      </c>
      <c r="E74" s="709" t="str">
        <f t="shared" ref="E74:F85" si="5">+E35</f>
        <v>COEF. PARTIC.</v>
      </c>
      <c r="F74" s="709" t="s">
        <v>32</v>
      </c>
      <c r="G74" s="709" t="s">
        <v>13</v>
      </c>
      <c r="H74" s="709" t="s">
        <v>4</v>
      </c>
      <c r="I74" s="699"/>
    </row>
    <row r="75" spans="2:10" ht="13.5" customHeight="1">
      <c r="B75" s="572"/>
      <c r="C75" s="711" t="str">
        <f t="shared" ref="C75:D85" si="6">+C36</f>
        <v>RESIDENTE DE OBRA</v>
      </c>
      <c r="D75" s="640">
        <f t="shared" si="6"/>
        <v>1</v>
      </c>
      <c r="E75" s="640">
        <f t="shared" si="5"/>
        <v>1</v>
      </c>
      <c r="F75" s="640">
        <f t="shared" si="5"/>
        <v>3</v>
      </c>
      <c r="G75" s="640">
        <f>+G36*0.0305</f>
        <v>137.25</v>
      </c>
      <c r="H75" s="711">
        <f>PRODUCT(D75:G75)</f>
        <v>411.75</v>
      </c>
      <c r="I75" s="699"/>
      <c r="J75" s="668"/>
    </row>
    <row r="76" spans="2:10" ht="13.5" hidden="1" customHeight="1">
      <c r="B76" s="572"/>
      <c r="C76" s="711" t="str">
        <f t="shared" si="6"/>
        <v>INGENIERO ESPECIALISTA EN ESTRUCTURAS</v>
      </c>
      <c r="D76" s="640">
        <f t="shared" si="6"/>
        <v>0</v>
      </c>
      <c r="E76" s="640">
        <f t="shared" si="5"/>
        <v>0.5</v>
      </c>
      <c r="F76" s="640">
        <f t="shared" si="5"/>
        <v>1</v>
      </c>
      <c r="G76" s="640">
        <f t="shared" ref="G76:G85" si="7">+G37*0.0305</f>
        <v>152.5</v>
      </c>
      <c r="H76" s="711">
        <f t="shared" ref="H76:H85" si="8">PRODUCT(D76:G76)</f>
        <v>0</v>
      </c>
      <c r="I76" s="699"/>
      <c r="J76" s="668"/>
    </row>
    <row r="77" spans="2:10" ht="13.5" hidden="1" customHeight="1">
      <c r="B77" s="572"/>
      <c r="C77" s="711" t="str">
        <f t="shared" si="6"/>
        <v>INGENIERO ESPECIALISTA EN GEOTECNIA</v>
      </c>
      <c r="D77" s="640">
        <f t="shared" si="6"/>
        <v>0</v>
      </c>
      <c r="E77" s="640">
        <f t="shared" si="5"/>
        <v>0.5</v>
      </c>
      <c r="F77" s="640">
        <f t="shared" si="5"/>
        <v>1</v>
      </c>
      <c r="G77" s="640">
        <f t="shared" si="7"/>
        <v>152.5</v>
      </c>
      <c r="H77" s="711">
        <f t="shared" si="8"/>
        <v>0</v>
      </c>
      <c r="I77" s="699"/>
      <c r="J77" s="668"/>
    </row>
    <row r="78" spans="2:10" ht="13.5" hidden="1" customHeight="1">
      <c r="B78" s="572"/>
      <c r="C78" s="711" t="str">
        <f t="shared" si="6"/>
        <v>INGENIERO ESPECIALISTA EN SEGURIDAD Y SALUD</v>
      </c>
      <c r="D78" s="640">
        <f t="shared" si="6"/>
        <v>0</v>
      </c>
      <c r="E78" s="640">
        <f t="shared" si="5"/>
        <v>0.5</v>
      </c>
      <c r="F78" s="640">
        <f t="shared" si="5"/>
        <v>5</v>
      </c>
      <c r="G78" s="640">
        <f t="shared" si="7"/>
        <v>137.25</v>
      </c>
      <c r="H78" s="711">
        <f>PRODUCT(D78:G78)</f>
        <v>0</v>
      </c>
      <c r="I78" s="699"/>
      <c r="J78" s="668"/>
    </row>
    <row r="79" spans="2:10" ht="13.5" hidden="1" customHeight="1">
      <c r="B79" s="572"/>
      <c r="C79" s="711" t="str">
        <f t="shared" si="6"/>
        <v>ESPECIALISTA EN MITIGACIÓN AMBIENTAL</v>
      </c>
      <c r="D79" s="640">
        <f t="shared" si="6"/>
        <v>0</v>
      </c>
      <c r="E79" s="640">
        <f t="shared" si="5"/>
        <v>0.5</v>
      </c>
      <c r="F79" s="640">
        <f t="shared" si="5"/>
        <v>5</v>
      </c>
      <c r="G79" s="640">
        <f t="shared" si="7"/>
        <v>137.25</v>
      </c>
      <c r="H79" s="711">
        <f t="shared" si="8"/>
        <v>0</v>
      </c>
      <c r="I79" s="699"/>
      <c r="J79" s="668"/>
    </row>
    <row r="80" spans="2:10" ht="13.5" customHeight="1">
      <c r="B80" s="572"/>
      <c r="C80" s="711" t="str">
        <f t="shared" si="6"/>
        <v>ASISTENTE TECNICO DE OBRA</v>
      </c>
      <c r="D80" s="640">
        <f t="shared" si="6"/>
        <v>1</v>
      </c>
      <c r="E80" s="640">
        <f t="shared" si="5"/>
        <v>1</v>
      </c>
      <c r="F80" s="640">
        <f t="shared" si="5"/>
        <v>3</v>
      </c>
      <c r="G80" s="640">
        <f t="shared" si="7"/>
        <v>102.175</v>
      </c>
      <c r="H80" s="711">
        <f t="shared" si="8"/>
        <v>306.52499999999998</v>
      </c>
      <c r="I80" s="699"/>
      <c r="J80" s="668"/>
    </row>
    <row r="81" spans="2:10" ht="13.5" customHeight="1">
      <c r="B81" s="572"/>
      <c r="C81" s="711" t="str">
        <f t="shared" si="6"/>
        <v>ASISTENTE ADMINISTRATIVO</v>
      </c>
      <c r="D81" s="640">
        <f t="shared" si="6"/>
        <v>1</v>
      </c>
      <c r="E81" s="640">
        <f t="shared" si="5"/>
        <v>1</v>
      </c>
      <c r="F81" s="640">
        <f t="shared" si="5"/>
        <v>3</v>
      </c>
      <c r="G81" s="640">
        <f t="shared" si="7"/>
        <v>106.75</v>
      </c>
      <c r="H81" s="711">
        <f t="shared" si="8"/>
        <v>320.25</v>
      </c>
      <c r="I81" s="699"/>
      <c r="J81" s="668"/>
    </row>
    <row r="82" spans="2:10" ht="13.5" hidden="1" customHeight="1">
      <c r="B82" s="572"/>
      <c r="C82" s="711" t="str">
        <f t="shared" si="6"/>
        <v xml:space="preserve">MAESTRO DE OBRA </v>
      </c>
      <c r="D82" s="640">
        <f t="shared" si="6"/>
        <v>0</v>
      </c>
      <c r="E82" s="640">
        <f t="shared" si="5"/>
        <v>1</v>
      </c>
      <c r="F82" s="640">
        <f t="shared" si="5"/>
        <v>5</v>
      </c>
      <c r="G82" s="640">
        <f t="shared" si="7"/>
        <v>131.15</v>
      </c>
      <c r="H82" s="711">
        <f t="shared" si="8"/>
        <v>0</v>
      </c>
      <c r="I82" s="699"/>
      <c r="J82" s="668"/>
    </row>
    <row r="83" spans="2:10" ht="13.5" hidden="1" customHeight="1">
      <c r="B83" s="572"/>
      <c r="C83" s="711" t="str">
        <f t="shared" si="6"/>
        <v>TOPOGRAFO</v>
      </c>
      <c r="D83" s="640">
        <f t="shared" si="6"/>
        <v>0</v>
      </c>
      <c r="E83" s="640">
        <f t="shared" si="5"/>
        <v>0.5</v>
      </c>
      <c r="F83" s="640">
        <f t="shared" si="5"/>
        <v>5</v>
      </c>
      <c r="G83" s="640">
        <f t="shared" si="7"/>
        <v>122</v>
      </c>
      <c r="H83" s="711">
        <f>PRODUCT(D83:G83)</f>
        <v>0</v>
      </c>
      <c r="I83" s="699"/>
      <c r="J83" s="668"/>
    </row>
    <row r="84" spans="2:10" ht="13.5" hidden="1" customHeight="1">
      <c r="B84" s="572"/>
      <c r="C84" s="711" t="str">
        <f t="shared" si="6"/>
        <v xml:space="preserve">ALMACENERO </v>
      </c>
      <c r="D84" s="640">
        <f t="shared" si="6"/>
        <v>0</v>
      </c>
      <c r="E84" s="640">
        <f t="shared" si="5"/>
        <v>1</v>
      </c>
      <c r="F84" s="640">
        <f t="shared" si="5"/>
        <v>5</v>
      </c>
      <c r="G84" s="640">
        <f t="shared" si="7"/>
        <v>122</v>
      </c>
      <c r="H84" s="711">
        <f t="shared" si="8"/>
        <v>0</v>
      </c>
      <c r="I84" s="699"/>
      <c r="J84" s="668"/>
    </row>
    <row r="85" spans="2:10" ht="13.5" customHeight="1">
      <c r="B85" s="572"/>
      <c r="C85" s="711" t="str">
        <f t="shared" si="6"/>
        <v>GUARDIAN</v>
      </c>
      <c r="D85" s="640">
        <f t="shared" si="6"/>
        <v>1</v>
      </c>
      <c r="E85" s="640">
        <f t="shared" si="5"/>
        <v>1</v>
      </c>
      <c r="F85" s="640">
        <f t="shared" si="5"/>
        <v>3</v>
      </c>
      <c r="G85" s="640">
        <f t="shared" si="7"/>
        <v>96.075000000000003</v>
      </c>
      <c r="H85" s="711">
        <f t="shared" si="8"/>
        <v>288.22500000000002</v>
      </c>
      <c r="I85" s="699"/>
      <c r="J85" s="668"/>
    </row>
    <row r="86" spans="2:10" ht="13.5" customHeight="1">
      <c r="B86" s="572"/>
      <c r="C86" s="964" t="s">
        <v>3</v>
      </c>
      <c r="D86" s="965"/>
      <c r="E86" s="965"/>
      <c r="F86" s="965"/>
      <c r="G86" s="966"/>
      <c r="H86" s="714">
        <f>SUM(H75:H85)</f>
        <v>1326.75</v>
      </c>
      <c r="I86" s="699"/>
    </row>
    <row r="87" spans="2:10" ht="13.5" customHeight="1">
      <c r="B87" s="572"/>
      <c r="C87" s="578"/>
      <c r="D87" s="578"/>
      <c r="E87" s="578"/>
      <c r="F87" s="578"/>
      <c r="G87" s="578"/>
      <c r="H87" s="699"/>
      <c r="I87" s="699"/>
    </row>
    <row r="88" spans="2:10" ht="13.5" customHeight="1">
      <c r="B88" s="690">
        <v>3</v>
      </c>
      <c r="C88" s="691" t="s">
        <v>16</v>
      </c>
      <c r="D88" s="692"/>
      <c r="E88" s="692"/>
      <c r="F88" s="693"/>
      <c r="G88" s="694"/>
      <c r="H88" s="695" t="s">
        <v>0</v>
      </c>
      <c r="I88" s="696">
        <f>+H106+H124</f>
        <v>3770.8333333333335</v>
      </c>
    </row>
    <row r="89" spans="2:10" ht="13.5" customHeight="1">
      <c r="B89" s="717"/>
      <c r="C89" s="718"/>
      <c r="D89" s="699"/>
      <c r="E89" s="699"/>
      <c r="F89" s="705"/>
      <c r="G89" s="719"/>
      <c r="H89" s="702"/>
      <c r="I89" s="703"/>
    </row>
    <row r="90" spans="2:10" ht="13.5" customHeight="1">
      <c r="B90" s="701">
        <v>3.01</v>
      </c>
      <c r="C90" s="641" t="s">
        <v>558</v>
      </c>
      <c r="D90" s="699"/>
      <c r="E90" s="699"/>
      <c r="F90" s="700"/>
      <c r="G90" s="700"/>
      <c r="H90" s="702" t="s">
        <v>0</v>
      </c>
      <c r="I90" s="703">
        <f>+H106</f>
        <v>3650</v>
      </c>
    </row>
    <row r="91" spans="2:10" ht="13.5" customHeight="1">
      <c r="B91" s="715"/>
      <c r="C91" s="641"/>
      <c r="D91" s="699"/>
      <c r="E91" s="699"/>
      <c r="F91" s="700"/>
      <c r="G91" s="700"/>
      <c r="H91" s="699"/>
      <c r="I91" s="699"/>
    </row>
    <row r="92" spans="2:10" ht="13.5" customHeight="1">
      <c r="B92" s="572"/>
      <c r="C92" s="720" t="s">
        <v>29</v>
      </c>
      <c r="D92" s="705"/>
      <c r="E92" s="705"/>
      <c r="F92" s="706"/>
      <c r="G92" s="706"/>
      <c r="H92" s="705"/>
      <c r="I92" s="700"/>
    </row>
    <row r="93" spans="2:10" ht="13.5" customHeight="1">
      <c r="B93" s="572"/>
      <c r="C93" s="720"/>
      <c r="D93" s="705"/>
      <c r="E93" s="705"/>
      <c r="F93" s="706"/>
      <c r="G93" s="706"/>
      <c r="H93" s="705"/>
      <c r="I93" s="700"/>
    </row>
    <row r="94" spans="2:10" ht="13.5" customHeight="1">
      <c r="B94" s="572"/>
      <c r="C94" s="708" t="s">
        <v>30</v>
      </c>
      <c r="D94" s="709" t="s">
        <v>31</v>
      </c>
      <c r="E94" s="709" t="str">
        <f t="shared" ref="E94:F105" si="9">+E35</f>
        <v>COEF. PARTIC.</v>
      </c>
      <c r="F94" s="709" t="s">
        <v>32</v>
      </c>
      <c r="G94" s="709" t="s">
        <v>13</v>
      </c>
      <c r="H94" s="709" t="s">
        <v>4</v>
      </c>
      <c r="I94" s="699"/>
    </row>
    <row r="95" spans="2:10" ht="13.5" customHeight="1">
      <c r="B95" s="572"/>
      <c r="C95" s="711" t="str">
        <f t="shared" ref="C95:D105" si="10">+C36</f>
        <v>RESIDENTE DE OBRA</v>
      </c>
      <c r="D95" s="640">
        <f t="shared" si="10"/>
        <v>1</v>
      </c>
      <c r="E95" s="640">
        <f t="shared" si="9"/>
        <v>1</v>
      </c>
      <c r="F95" s="640">
        <f t="shared" si="9"/>
        <v>3</v>
      </c>
      <c r="G95" s="640">
        <f>+(G36+G133/6)/12</f>
        <v>377.08333333333331</v>
      </c>
      <c r="H95" s="711">
        <f t="shared" ref="H95:H105" si="11">PRODUCT(D95:G95)</f>
        <v>1131.25</v>
      </c>
      <c r="I95" s="699"/>
    </row>
    <row r="96" spans="2:10" ht="13.5" hidden="1" customHeight="1">
      <c r="B96" s="572"/>
      <c r="C96" s="711" t="str">
        <f t="shared" si="10"/>
        <v>INGENIERO ESPECIALISTA EN ESTRUCTURAS</v>
      </c>
      <c r="D96" s="640">
        <f t="shared" si="10"/>
        <v>0</v>
      </c>
      <c r="E96" s="640">
        <f t="shared" si="9"/>
        <v>0.5</v>
      </c>
      <c r="F96" s="640">
        <f t="shared" si="9"/>
        <v>1</v>
      </c>
      <c r="G96" s="640">
        <f t="shared" ref="G96:G105" si="12">+(G37+H134/6)/12</f>
        <v>416.66666666666669</v>
      </c>
      <c r="H96" s="711">
        <f t="shared" si="11"/>
        <v>0</v>
      </c>
      <c r="I96" s="699"/>
    </row>
    <row r="97" spans="2:9" ht="13.5" hidden="1" customHeight="1">
      <c r="B97" s="572"/>
      <c r="C97" s="711" t="str">
        <f t="shared" si="10"/>
        <v>INGENIERO ESPECIALISTA EN GEOTECNIA</v>
      </c>
      <c r="D97" s="640">
        <f t="shared" si="10"/>
        <v>0</v>
      </c>
      <c r="E97" s="640">
        <f t="shared" si="9"/>
        <v>0.5</v>
      </c>
      <c r="F97" s="640">
        <f t="shared" si="9"/>
        <v>1</v>
      </c>
      <c r="G97" s="640">
        <f t="shared" si="12"/>
        <v>416.66666666666669</v>
      </c>
      <c r="H97" s="711">
        <f t="shared" si="11"/>
        <v>0</v>
      </c>
      <c r="I97" s="699"/>
    </row>
    <row r="98" spans="2:9" ht="13.5" hidden="1" customHeight="1">
      <c r="B98" s="572"/>
      <c r="C98" s="711" t="str">
        <f t="shared" si="10"/>
        <v>INGENIERO ESPECIALISTA EN SEGURIDAD Y SALUD</v>
      </c>
      <c r="D98" s="640">
        <f t="shared" si="10"/>
        <v>0</v>
      </c>
      <c r="E98" s="640">
        <f t="shared" si="9"/>
        <v>0.5</v>
      </c>
      <c r="F98" s="640">
        <f t="shared" si="9"/>
        <v>5</v>
      </c>
      <c r="G98" s="640">
        <f t="shared" si="12"/>
        <v>375</v>
      </c>
      <c r="H98" s="711">
        <f>PRODUCT(D98:G98)</f>
        <v>0</v>
      </c>
      <c r="I98" s="699"/>
    </row>
    <row r="99" spans="2:9" ht="13.5" hidden="1" customHeight="1">
      <c r="B99" s="572"/>
      <c r="C99" s="711" t="str">
        <f t="shared" si="10"/>
        <v>ESPECIALISTA EN MITIGACIÓN AMBIENTAL</v>
      </c>
      <c r="D99" s="640">
        <f t="shared" si="10"/>
        <v>0</v>
      </c>
      <c r="E99" s="640">
        <f t="shared" si="9"/>
        <v>0.5</v>
      </c>
      <c r="F99" s="640">
        <f t="shared" si="9"/>
        <v>5</v>
      </c>
      <c r="G99" s="640">
        <f t="shared" si="12"/>
        <v>375</v>
      </c>
      <c r="H99" s="711">
        <f t="shared" si="11"/>
        <v>0</v>
      </c>
      <c r="I99" s="699"/>
    </row>
    <row r="100" spans="2:9" ht="13.5" customHeight="1">
      <c r="B100" s="572"/>
      <c r="C100" s="711" t="str">
        <f t="shared" si="10"/>
        <v>ASISTENTE TECNICO DE OBRA</v>
      </c>
      <c r="D100" s="640">
        <f t="shared" si="10"/>
        <v>1</v>
      </c>
      <c r="E100" s="640">
        <f t="shared" si="9"/>
        <v>1</v>
      </c>
      <c r="F100" s="640">
        <f t="shared" si="9"/>
        <v>3</v>
      </c>
      <c r="G100" s="640">
        <f t="shared" si="12"/>
        <v>281.25</v>
      </c>
      <c r="H100" s="711">
        <f t="shared" si="11"/>
        <v>843.75</v>
      </c>
      <c r="I100" s="699"/>
    </row>
    <row r="101" spans="2:9" ht="13.5" customHeight="1">
      <c r="B101" s="572"/>
      <c r="C101" s="711" t="str">
        <f t="shared" si="10"/>
        <v>ASISTENTE ADMINISTRATIVO</v>
      </c>
      <c r="D101" s="640">
        <f t="shared" si="10"/>
        <v>1</v>
      </c>
      <c r="E101" s="640">
        <f t="shared" si="9"/>
        <v>1</v>
      </c>
      <c r="F101" s="640">
        <f t="shared" si="9"/>
        <v>3</v>
      </c>
      <c r="G101" s="640">
        <f t="shared" si="12"/>
        <v>293.75</v>
      </c>
      <c r="H101" s="711">
        <f t="shared" si="11"/>
        <v>881.25</v>
      </c>
      <c r="I101" s="699"/>
    </row>
    <row r="102" spans="2:9" ht="13.5" hidden="1" customHeight="1">
      <c r="B102" s="572"/>
      <c r="C102" s="711" t="str">
        <f t="shared" si="10"/>
        <v xml:space="preserve">MAESTRO DE OBRA </v>
      </c>
      <c r="D102" s="640">
        <f t="shared" si="10"/>
        <v>0</v>
      </c>
      <c r="E102" s="640">
        <f t="shared" si="9"/>
        <v>1</v>
      </c>
      <c r="F102" s="640">
        <f t="shared" si="9"/>
        <v>5</v>
      </c>
      <c r="G102" s="640">
        <f t="shared" si="12"/>
        <v>358.33333333333331</v>
      </c>
      <c r="H102" s="711">
        <f t="shared" si="11"/>
        <v>0</v>
      </c>
      <c r="I102" s="699"/>
    </row>
    <row r="103" spans="2:9" ht="13.5" hidden="1" customHeight="1">
      <c r="B103" s="572"/>
      <c r="C103" s="711" t="str">
        <f t="shared" si="10"/>
        <v>TOPOGRAFO</v>
      </c>
      <c r="D103" s="640">
        <f t="shared" si="10"/>
        <v>0</v>
      </c>
      <c r="E103" s="640">
        <f t="shared" si="9"/>
        <v>0.5</v>
      </c>
      <c r="F103" s="640">
        <f t="shared" si="9"/>
        <v>5</v>
      </c>
      <c r="G103" s="640">
        <f t="shared" si="12"/>
        <v>333.33333333333331</v>
      </c>
      <c r="H103" s="711">
        <f>PRODUCT(D103:G103)</f>
        <v>0</v>
      </c>
      <c r="I103" s="699"/>
    </row>
    <row r="104" spans="2:9" ht="13.5" hidden="1" customHeight="1">
      <c r="B104" s="572"/>
      <c r="C104" s="711" t="str">
        <f t="shared" si="10"/>
        <v xml:space="preserve">ALMACENERO </v>
      </c>
      <c r="D104" s="640">
        <f t="shared" si="10"/>
        <v>0</v>
      </c>
      <c r="E104" s="640">
        <f t="shared" si="9"/>
        <v>1</v>
      </c>
      <c r="F104" s="640">
        <f t="shared" si="9"/>
        <v>5</v>
      </c>
      <c r="G104" s="640">
        <f t="shared" si="12"/>
        <v>333.33333333333331</v>
      </c>
      <c r="H104" s="711">
        <f t="shared" si="11"/>
        <v>0</v>
      </c>
      <c r="I104" s="699"/>
    </row>
    <row r="105" spans="2:9" ht="13.5" customHeight="1">
      <c r="B105" s="572"/>
      <c r="C105" s="711" t="str">
        <f t="shared" si="10"/>
        <v>GUARDIAN</v>
      </c>
      <c r="D105" s="640">
        <f t="shared" si="10"/>
        <v>1</v>
      </c>
      <c r="E105" s="640">
        <f t="shared" si="9"/>
        <v>1</v>
      </c>
      <c r="F105" s="640">
        <f t="shared" si="9"/>
        <v>3</v>
      </c>
      <c r="G105" s="640">
        <f t="shared" si="12"/>
        <v>264.58333333333331</v>
      </c>
      <c r="H105" s="711">
        <f t="shared" si="11"/>
        <v>793.75</v>
      </c>
      <c r="I105" s="699"/>
    </row>
    <row r="106" spans="2:9" ht="13.5" customHeight="1">
      <c r="B106" s="572"/>
      <c r="C106" s="964" t="s">
        <v>3</v>
      </c>
      <c r="D106" s="965"/>
      <c r="E106" s="965"/>
      <c r="F106" s="965"/>
      <c r="G106" s="966"/>
      <c r="H106" s="714">
        <f>SUM(H95:H105)</f>
        <v>3650</v>
      </c>
      <c r="I106" s="699"/>
    </row>
    <row r="107" spans="2:9" ht="13.5" customHeight="1">
      <c r="B107" s="572"/>
      <c r="C107" s="699"/>
      <c r="D107" s="699"/>
      <c r="E107" s="699"/>
      <c r="F107" s="700"/>
      <c r="G107" s="700"/>
      <c r="H107" s="699"/>
      <c r="I107" s="699"/>
    </row>
    <row r="108" spans="2:9" ht="13.5" customHeight="1">
      <c r="B108" s="701">
        <v>3.02</v>
      </c>
      <c r="C108" s="641" t="s">
        <v>97</v>
      </c>
      <c r="D108" s="699"/>
      <c r="E108" s="699"/>
      <c r="F108" s="700"/>
      <c r="G108" s="700"/>
      <c r="H108" s="702" t="s">
        <v>0</v>
      </c>
      <c r="I108" s="703">
        <f>+H124</f>
        <v>120.83333333333331</v>
      </c>
    </row>
    <row r="109" spans="2:9" ht="13.5" customHeight="1">
      <c r="B109" s="715"/>
      <c r="C109" s="641"/>
      <c r="D109" s="699"/>
      <c r="E109" s="699"/>
      <c r="F109" s="700"/>
      <c r="G109" s="700"/>
      <c r="H109" s="699"/>
      <c r="I109" s="699"/>
    </row>
    <row r="110" spans="2:9" ht="13.5" customHeight="1">
      <c r="B110" s="572"/>
      <c r="C110" s="720" t="s">
        <v>29</v>
      </c>
      <c r="D110" s="705"/>
      <c r="E110" s="705"/>
      <c r="F110" s="706"/>
      <c r="G110" s="706"/>
      <c r="H110" s="705"/>
      <c r="I110" s="700"/>
    </row>
    <row r="111" spans="2:9" ht="13.5" customHeight="1">
      <c r="B111" s="572"/>
      <c r="C111" s="720"/>
      <c r="D111" s="705"/>
      <c r="E111" s="705"/>
      <c r="F111" s="706"/>
      <c r="G111" s="706"/>
      <c r="H111" s="705"/>
      <c r="I111" s="700"/>
    </row>
    <row r="112" spans="2:9" ht="13.5" customHeight="1">
      <c r="B112" s="572"/>
      <c r="C112" s="708" t="s">
        <v>30</v>
      </c>
      <c r="D112" s="709" t="s">
        <v>31</v>
      </c>
      <c r="E112" s="709" t="str">
        <f t="shared" ref="E112:F123" si="13">+E35</f>
        <v>COEF. PARTIC.</v>
      </c>
      <c r="F112" s="709" t="s">
        <v>32</v>
      </c>
      <c r="G112" s="709" t="s">
        <v>13</v>
      </c>
      <c r="H112" s="709" t="s">
        <v>4</v>
      </c>
      <c r="I112" s="699"/>
    </row>
    <row r="113" spans="2:9" ht="13.5" customHeight="1">
      <c r="B113" s="572"/>
      <c r="C113" s="711" t="str">
        <f t="shared" ref="C113:D123" si="14">+C36</f>
        <v>RESIDENTE DE OBRA</v>
      </c>
      <c r="D113" s="640">
        <f t="shared" si="14"/>
        <v>1</v>
      </c>
      <c r="E113" s="640">
        <f t="shared" si="13"/>
        <v>1</v>
      </c>
      <c r="F113" s="640">
        <f t="shared" si="13"/>
        <v>3</v>
      </c>
      <c r="G113" s="640">
        <f>+G36/360</f>
        <v>12.5</v>
      </c>
      <c r="H113" s="711">
        <f t="shared" ref="H113:H123" si="15">PRODUCT(D113:G113)</f>
        <v>37.5</v>
      </c>
      <c r="I113" s="699"/>
    </row>
    <row r="114" spans="2:9" ht="13.5" hidden="1" customHeight="1">
      <c r="B114" s="572"/>
      <c r="C114" s="711" t="str">
        <f t="shared" si="14"/>
        <v>INGENIERO ESPECIALISTA EN ESTRUCTURAS</v>
      </c>
      <c r="D114" s="640">
        <f t="shared" si="14"/>
        <v>0</v>
      </c>
      <c r="E114" s="640">
        <f t="shared" si="13"/>
        <v>0.5</v>
      </c>
      <c r="F114" s="640">
        <f t="shared" si="13"/>
        <v>1</v>
      </c>
      <c r="G114" s="640">
        <f t="shared" ref="G114:G123" si="16">+G37/360</f>
        <v>13.888888888888889</v>
      </c>
      <c r="H114" s="711">
        <f t="shared" si="15"/>
        <v>0</v>
      </c>
      <c r="I114" s="699"/>
    </row>
    <row r="115" spans="2:9" ht="13.5" hidden="1" customHeight="1">
      <c r="B115" s="572"/>
      <c r="C115" s="711" t="str">
        <f t="shared" si="14"/>
        <v>INGENIERO ESPECIALISTA EN GEOTECNIA</v>
      </c>
      <c r="D115" s="640">
        <f t="shared" si="14"/>
        <v>0</v>
      </c>
      <c r="E115" s="640">
        <f t="shared" si="13"/>
        <v>0.5</v>
      </c>
      <c r="F115" s="640">
        <f t="shared" si="13"/>
        <v>1</v>
      </c>
      <c r="G115" s="640">
        <f t="shared" si="16"/>
        <v>13.888888888888889</v>
      </c>
      <c r="H115" s="711">
        <f t="shared" si="15"/>
        <v>0</v>
      </c>
      <c r="I115" s="699"/>
    </row>
    <row r="116" spans="2:9" ht="13.5" hidden="1" customHeight="1">
      <c r="B116" s="572"/>
      <c r="C116" s="711" t="str">
        <f t="shared" si="14"/>
        <v>INGENIERO ESPECIALISTA EN SEGURIDAD Y SALUD</v>
      </c>
      <c r="D116" s="640">
        <f t="shared" si="14"/>
        <v>0</v>
      </c>
      <c r="E116" s="640">
        <f t="shared" si="13"/>
        <v>0.5</v>
      </c>
      <c r="F116" s="640">
        <f t="shared" si="13"/>
        <v>5</v>
      </c>
      <c r="G116" s="640">
        <f t="shared" si="16"/>
        <v>12.5</v>
      </c>
      <c r="H116" s="711">
        <f>PRODUCT(D116:G116)</f>
        <v>0</v>
      </c>
      <c r="I116" s="699"/>
    </row>
    <row r="117" spans="2:9" ht="13.5" hidden="1" customHeight="1">
      <c r="B117" s="572"/>
      <c r="C117" s="711" t="str">
        <f t="shared" si="14"/>
        <v>ESPECIALISTA EN MITIGACIÓN AMBIENTAL</v>
      </c>
      <c r="D117" s="640">
        <f t="shared" si="14"/>
        <v>0</v>
      </c>
      <c r="E117" s="640">
        <f t="shared" si="13"/>
        <v>0.5</v>
      </c>
      <c r="F117" s="640">
        <f t="shared" si="13"/>
        <v>5</v>
      </c>
      <c r="G117" s="640">
        <f t="shared" si="16"/>
        <v>12.5</v>
      </c>
      <c r="H117" s="711">
        <f t="shared" si="15"/>
        <v>0</v>
      </c>
      <c r="I117" s="699"/>
    </row>
    <row r="118" spans="2:9" ht="13.5" customHeight="1">
      <c r="B118" s="572"/>
      <c r="C118" s="711" t="str">
        <f t="shared" si="14"/>
        <v>ASISTENTE TECNICO DE OBRA</v>
      </c>
      <c r="D118" s="640">
        <f t="shared" si="14"/>
        <v>1</v>
      </c>
      <c r="E118" s="640">
        <f t="shared" si="13"/>
        <v>1</v>
      </c>
      <c r="F118" s="640">
        <f t="shared" si="13"/>
        <v>3</v>
      </c>
      <c r="G118" s="640">
        <f t="shared" si="16"/>
        <v>9.3055555555555554</v>
      </c>
      <c r="H118" s="711">
        <f t="shared" si="15"/>
        <v>27.916666666666664</v>
      </c>
      <c r="I118" s="699"/>
    </row>
    <row r="119" spans="2:9" ht="13.5" customHeight="1">
      <c r="B119" s="572"/>
      <c r="C119" s="711" t="str">
        <f t="shared" si="14"/>
        <v>ASISTENTE ADMINISTRATIVO</v>
      </c>
      <c r="D119" s="640">
        <f t="shared" si="14"/>
        <v>1</v>
      </c>
      <c r="E119" s="640">
        <f t="shared" si="13"/>
        <v>1</v>
      </c>
      <c r="F119" s="640">
        <f t="shared" si="13"/>
        <v>3</v>
      </c>
      <c r="G119" s="640">
        <f t="shared" si="16"/>
        <v>9.7222222222222214</v>
      </c>
      <c r="H119" s="711">
        <f t="shared" si="15"/>
        <v>29.166666666666664</v>
      </c>
      <c r="I119" s="699"/>
    </row>
    <row r="120" spans="2:9" ht="13.5" hidden="1" customHeight="1">
      <c r="B120" s="572"/>
      <c r="C120" s="711" t="str">
        <f t="shared" si="14"/>
        <v xml:space="preserve">MAESTRO DE OBRA </v>
      </c>
      <c r="D120" s="640">
        <f t="shared" si="14"/>
        <v>0</v>
      </c>
      <c r="E120" s="640">
        <f t="shared" si="13"/>
        <v>1</v>
      </c>
      <c r="F120" s="640">
        <f t="shared" si="13"/>
        <v>5</v>
      </c>
      <c r="G120" s="640">
        <f t="shared" si="16"/>
        <v>11.944444444444445</v>
      </c>
      <c r="H120" s="711">
        <f t="shared" si="15"/>
        <v>0</v>
      </c>
      <c r="I120" s="699"/>
    </row>
    <row r="121" spans="2:9" ht="13.5" hidden="1" customHeight="1">
      <c r="B121" s="572"/>
      <c r="C121" s="711" t="str">
        <f t="shared" si="14"/>
        <v>TOPOGRAFO</v>
      </c>
      <c r="D121" s="640">
        <f t="shared" si="14"/>
        <v>0</v>
      </c>
      <c r="E121" s="640">
        <f t="shared" si="13"/>
        <v>0.5</v>
      </c>
      <c r="F121" s="640">
        <f t="shared" si="13"/>
        <v>5</v>
      </c>
      <c r="G121" s="640">
        <f t="shared" si="16"/>
        <v>11.111111111111111</v>
      </c>
      <c r="H121" s="711">
        <f>PRODUCT(D121:G121)</f>
        <v>0</v>
      </c>
      <c r="I121" s="699"/>
    </row>
    <row r="122" spans="2:9" ht="13.5" hidden="1" customHeight="1">
      <c r="B122" s="572"/>
      <c r="C122" s="711" t="str">
        <f t="shared" si="14"/>
        <v xml:space="preserve">ALMACENERO </v>
      </c>
      <c r="D122" s="640">
        <f t="shared" si="14"/>
        <v>0</v>
      </c>
      <c r="E122" s="640">
        <f t="shared" si="13"/>
        <v>1</v>
      </c>
      <c r="F122" s="640">
        <f t="shared" si="13"/>
        <v>5</v>
      </c>
      <c r="G122" s="640">
        <f t="shared" si="16"/>
        <v>11.111111111111111</v>
      </c>
      <c r="H122" s="711">
        <f t="shared" si="15"/>
        <v>0</v>
      </c>
      <c r="I122" s="699"/>
    </row>
    <row r="123" spans="2:9" ht="13.5" customHeight="1">
      <c r="B123" s="572"/>
      <c r="C123" s="711" t="str">
        <f t="shared" si="14"/>
        <v>GUARDIAN</v>
      </c>
      <c r="D123" s="640">
        <f t="shared" si="14"/>
        <v>1</v>
      </c>
      <c r="E123" s="640">
        <f t="shared" si="13"/>
        <v>1</v>
      </c>
      <c r="F123" s="640">
        <f t="shared" si="13"/>
        <v>3</v>
      </c>
      <c r="G123" s="640">
        <f t="shared" si="16"/>
        <v>8.75</v>
      </c>
      <c r="H123" s="711">
        <f t="shared" si="15"/>
        <v>26.25</v>
      </c>
      <c r="I123" s="699"/>
    </row>
    <row r="124" spans="2:9" ht="13.5" customHeight="1">
      <c r="B124" s="572"/>
      <c r="C124" s="964" t="s">
        <v>3</v>
      </c>
      <c r="D124" s="965"/>
      <c r="E124" s="965"/>
      <c r="F124" s="965"/>
      <c r="G124" s="966"/>
      <c r="H124" s="714">
        <f>SUM(H113:H123)</f>
        <v>120.83333333333331</v>
      </c>
      <c r="I124" s="699"/>
    </row>
    <row r="125" spans="2:9" ht="13.5" customHeight="1">
      <c r="B125" s="572"/>
      <c r="C125" s="699"/>
      <c r="D125" s="699"/>
      <c r="E125" s="699"/>
      <c r="F125" s="700"/>
      <c r="G125" s="700"/>
      <c r="H125" s="699"/>
      <c r="I125" s="699"/>
    </row>
    <row r="126" spans="2:9" ht="13.5" customHeight="1">
      <c r="B126" s="690">
        <v>4</v>
      </c>
      <c r="C126" s="691" t="s">
        <v>214</v>
      </c>
      <c r="D126" s="692"/>
      <c r="E126" s="692"/>
      <c r="F126" s="693"/>
      <c r="G126" s="694"/>
      <c r="H126" s="695" t="s">
        <v>0</v>
      </c>
      <c r="I126" s="696">
        <f>+I128</f>
        <v>600</v>
      </c>
    </row>
    <row r="127" spans="2:9" ht="13.5" customHeight="1">
      <c r="B127" s="717"/>
      <c r="C127" s="718"/>
      <c r="D127" s="699"/>
      <c r="E127" s="699"/>
      <c r="F127" s="705"/>
      <c r="G127" s="719"/>
      <c r="H127" s="702"/>
      <c r="I127" s="703"/>
    </row>
    <row r="128" spans="2:9" ht="13.5" customHeight="1">
      <c r="B128" s="701">
        <v>4.01</v>
      </c>
      <c r="C128" s="641" t="s">
        <v>96</v>
      </c>
      <c r="D128" s="721">
        <v>300</v>
      </c>
      <c r="E128" s="721"/>
      <c r="F128" s="700"/>
      <c r="G128" s="700"/>
      <c r="H128" s="702" t="s">
        <v>0</v>
      </c>
      <c r="I128" s="703">
        <f>+H144</f>
        <v>600</v>
      </c>
    </row>
    <row r="129" spans="2:9" ht="13.5" customHeight="1">
      <c r="B129" s="715"/>
      <c r="C129" s="641"/>
      <c r="D129" s="699"/>
      <c r="E129" s="699"/>
      <c r="F129" s="700"/>
      <c r="G129" s="700"/>
      <c r="H129" s="699"/>
      <c r="I129" s="699"/>
    </row>
    <row r="130" spans="2:9" ht="13.5" customHeight="1">
      <c r="B130" s="572"/>
      <c r="C130" s="720" t="s">
        <v>29</v>
      </c>
      <c r="D130" s="705"/>
      <c r="E130" s="705"/>
      <c r="F130" s="706"/>
      <c r="G130" s="706"/>
      <c r="H130" s="705"/>
      <c r="I130" s="700"/>
    </row>
    <row r="131" spans="2:9" ht="13.5" customHeight="1">
      <c r="B131" s="572"/>
      <c r="C131" s="720"/>
      <c r="D131" s="705"/>
      <c r="E131" s="705"/>
      <c r="F131" s="706"/>
      <c r="G131" s="706"/>
      <c r="H131" s="705"/>
      <c r="I131" s="700"/>
    </row>
    <row r="132" spans="2:9" ht="13.5" customHeight="1">
      <c r="B132" s="572"/>
      <c r="C132" s="708" t="s">
        <v>30</v>
      </c>
      <c r="D132" s="709" t="s">
        <v>31</v>
      </c>
      <c r="E132" s="709" t="str">
        <f t="shared" ref="E132:F143" si="17">+E35</f>
        <v>COEF. PARTIC.</v>
      </c>
      <c r="F132" s="709" t="s">
        <v>32</v>
      </c>
      <c r="G132" s="722" t="s">
        <v>13</v>
      </c>
      <c r="H132" s="722" t="s">
        <v>4</v>
      </c>
      <c r="I132" s="699"/>
    </row>
    <row r="133" spans="2:9" ht="13.5" customHeight="1">
      <c r="B133" s="572"/>
      <c r="C133" s="711" t="str">
        <f t="shared" ref="C133:D143" si="18">+C36</f>
        <v>RESIDENTE DE OBRA</v>
      </c>
      <c r="D133" s="640">
        <f t="shared" si="18"/>
        <v>1</v>
      </c>
      <c r="E133" s="640">
        <f t="shared" si="17"/>
        <v>1</v>
      </c>
      <c r="F133" s="640">
        <f t="shared" si="17"/>
        <v>3</v>
      </c>
      <c r="G133" s="640">
        <f>($D$128*2)/12*(F133*E133)</f>
        <v>150</v>
      </c>
      <c r="H133" s="640">
        <f t="shared" ref="H133:H143" si="19">+D133*G133</f>
        <v>150</v>
      </c>
      <c r="I133" s="699"/>
    </row>
    <row r="134" spans="2:9" ht="13.5" hidden="1" customHeight="1">
      <c r="B134" s="572"/>
      <c r="C134" s="711" t="str">
        <f t="shared" si="18"/>
        <v>INGENIERO ESPECIALISTA EN ESTRUCTURAS</v>
      </c>
      <c r="D134" s="640">
        <f t="shared" si="18"/>
        <v>0</v>
      </c>
      <c r="E134" s="640">
        <f t="shared" si="17"/>
        <v>0.5</v>
      </c>
      <c r="F134" s="640">
        <f t="shared" si="17"/>
        <v>1</v>
      </c>
      <c r="G134" s="640">
        <f t="shared" ref="G134:G143" si="20">($D$128*2)/12*(F134*E134)</f>
        <v>25</v>
      </c>
      <c r="H134" s="640">
        <f t="shared" si="19"/>
        <v>0</v>
      </c>
      <c r="I134" s="699"/>
    </row>
    <row r="135" spans="2:9" ht="13.5" hidden="1" customHeight="1">
      <c r="B135" s="572"/>
      <c r="C135" s="711" t="str">
        <f t="shared" si="18"/>
        <v>INGENIERO ESPECIALISTA EN GEOTECNIA</v>
      </c>
      <c r="D135" s="640">
        <f t="shared" si="18"/>
        <v>0</v>
      </c>
      <c r="E135" s="640">
        <f t="shared" si="17"/>
        <v>0.5</v>
      </c>
      <c r="F135" s="640">
        <f t="shared" si="17"/>
        <v>1</v>
      </c>
      <c r="G135" s="640">
        <f t="shared" si="20"/>
        <v>25</v>
      </c>
      <c r="H135" s="640">
        <f>+D135*G135</f>
        <v>0</v>
      </c>
      <c r="I135" s="699"/>
    </row>
    <row r="136" spans="2:9" ht="13.5" hidden="1" customHeight="1">
      <c r="B136" s="572"/>
      <c r="C136" s="711" t="str">
        <f t="shared" si="18"/>
        <v>INGENIERO ESPECIALISTA EN SEGURIDAD Y SALUD</v>
      </c>
      <c r="D136" s="640">
        <f t="shared" si="18"/>
        <v>0</v>
      </c>
      <c r="E136" s="640">
        <f t="shared" si="17"/>
        <v>0.5</v>
      </c>
      <c r="F136" s="640">
        <f t="shared" si="17"/>
        <v>5</v>
      </c>
      <c r="G136" s="640">
        <f t="shared" si="20"/>
        <v>125</v>
      </c>
      <c r="H136" s="640">
        <f>+D136*G136</f>
        <v>0</v>
      </c>
      <c r="I136" s="699"/>
    </row>
    <row r="137" spans="2:9" ht="13.5" hidden="1" customHeight="1">
      <c r="B137" s="572"/>
      <c r="C137" s="711" t="str">
        <f t="shared" si="18"/>
        <v>ESPECIALISTA EN MITIGACIÓN AMBIENTAL</v>
      </c>
      <c r="D137" s="640">
        <f t="shared" si="18"/>
        <v>0</v>
      </c>
      <c r="E137" s="640">
        <f t="shared" si="17"/>
        <v>0.5</v>
      </c>
      <c r="F137" s="640">
        <f t="shared" si="17"/>
        <v>5</v>
      </c>
      <c r="G137" s="640">
        <f t="shared" si="20"/>
        <v>125</v>
      </c>
      <c r="H137" s="640">
        <f>+D137*G137</f>
        <v>0</v>
      </c>
      <c r="I137" s="699"/>
    </row>
    <row r="138" spans="2:9" ht="13.5" customHeight="1">
      <c r="B138" s="572"/>
      <c r="C138" s="711" t="str">
        <f t="shared" si="18"/>
        <v>ASISTENTE TECNICO DE OBRA</v>
      </c>
      <c r="D138" s="640">
        <f t="shared" si="18"/>
        <v>1</v>
      </c>
      <c r="E138" s="640">
        <f t="shared" si="17"/>
        <v>1</v>
      </c>
      <c r="F138" s="640">
        <f t="shared" si="17"/>
        <v>3</v>
      </c>
      <c r="G138" s="640">
        <f t="shared" si="20"/>
        <v>150</v>
      </c>
      <c r="H138" s="640">
        <f t="shared" si="19"/>
        <v>150</v>
      </c>
      <c r="I138" s="699"/>
    </row>
    <row r="139" spans="2:9" ht="13.5" customHeight="1">
      <c r="B139" s="572"/>
      <c r="C139" s="711" t="str">
        <f t="shared" si="18"/>
        <v>ASISTENTE ADMINISTRATIVO</v>
      </c>
      <c r="D139" s="640">
        <f t="shared" si="18"/>
        <v>1</v>
      </c>
      <c r="E139" s="640">
        <f t="shared" si="17"/>
        <v>1</v>
      </c>
      <c r="F139" s="640">
        <f t="shared" si="17"/>
        <v>3</v>
      </c>
      <c r="G139" s="640">
        <f t="shared" si="20"/>
        <v>150</v>
      </c>
      <c r="H139" s="640">
        <f t="shared" si="19"/>
        <v>150</v>
      </c>
      <c r="I139" s="699"/>
    </row>
    <row r="140" spans="2:9" ht="13.5" hidden="1" customHeight="1">
      <c r="B140" s="572"/>
      <c r="C140" s="711" t="str">
        <f t="shared" si="18"/>
        <v xml:space="preserve">MAESTRO DE OBRA </v>
      </c>
      <c r="D140" s="640">
        <f t="shared" si="18"/>
        <v>0</v>
      </c>
      <c r="E140" s="640">
        <f t="shared" si="17"/>
        <v>1</v>
      </c>
      <c r="F140" s="640">
        <f t="shared" si="17"/>
        <v>5</v>
      </c>
      <c r="G140" s="640">
        <f t="shared" si="20"/>
        <v>250</v>
      </c>
      <c r="H140" s="640">
        <f t="shared" si="19"/>
        <v>0</v>
      </c>
      <c r="I140" s="699"/>
    </row>
    <row r="141" spans="2:9" ht="13.5" hidden="1" customHeight="1">
      <c r="B141" s="572"/>
      <c r="C141" s="711" t="str">
        <f t="shared" si="18"/>
        <v>TOPOGRAFO</v>
      </c>
      <c r="D141" s="640">
        <f t="shared" si="18"/>
        <v>0</v>
      </c>
      <c r="E141" s="640">
        <f t="shared" si="17"/>
        <v>0.5</v>
      </c>
      <c r="F141" s="640">
        <f t="shared" si="17"/>
        <v>5</v>
      </c>
      <c r="G141" s="640">
        <f t="shared" si="20"/>
        <v>125</v>
      </c>
      <c r="H141" s="640">
        <f>+D141*G141</f>
        <v>0</v>
      </c>
      <c r="I141" s="699"/>
    </row>
    <row r="142" spans="2:9" ht="13.5" hidden="1" customHeight="1">
      <c r="B142" s="572"/>
      <c r="C142" s="711" t="str">
        <f t="shared" si="18"/>
        <v xml:space="preserve">ALMACENERO </v>
      </c>
      <c r="D142" s="640">
        <f t="shared" si="18"/>
        <v>0</v>
      </c>
      <c r="E142" s="640">
        <f t="shared" si="17"/>
        <v>1</v>
      </c>
      <c r="F142" s="640">
        <f t="shared" si="17"/>
        <v>5</v>
      </c>
      <c r="G142" s="640">
        <f t="shared" si="20"/>
        <v>250</v>
      </c>
      <c r="H142" s="640">
        <f t="shared" si="19"/>
        <v>0</v>
      </c>
      <c r="I142" s="699"/>
    </row>
    <row r="143" spans="2:9" ht="13.5" customHeight="1">
      <c r="B143" s="572"/>
      <c r="C143" s="711" t="str">
        <f t="shared" si="18"/>
        <v>GUARDIAN</v>
      </c>
      <c r="D143" s="640">
        <f t="shared" si="18"/>
        <v>1</v>
      </c>
      <c r="E143" s="640">
        <f t="shared" si="17"/>
        <v>1</v>
      </c>
      <c r="F143" s="640">
        <f t="shared" si="17"/>
        <v>3</v>
      </c>
      <c r="G143" s="640">
        <f t="shared" si="20"/>
        <v>150</v>
      </c>
      <c r="H143" s="640">
        <f t="shared" si="19"/>
        <v>150</v>
      </c>
      <c r="I143" s="699"/>
    </row>
    <row r="144" spans="2:9" ht="13.5" customHeight="1">
      <c r="B144" s="572"/>
      <c r="C144" s="964" t="s">
        <v>3</v>
      </c>
      <c r="D144" s="965"/>
      <c r="E144" s="965"/>
      <c r="F144" s="965"/>
      <c r="G144" s="972"/>
      <c r="H144" s="723">
        <f>SUM(H133:H143)</f>
        <v>600</v>
      </c>
      <c r="I144" s="699"/>
    </row>
    <row r="145" spans="2:10" ht="13.5" customHeight="1">
      <c r="B145" s="572"/>
      <c r="C145" s="699"/>
      <c r="D145" s="699"/>
      <c r="E145" s="699"/>
      <c r="F145" s="700"/>
      <c r="G145" s="700"/>
      <c r="H145" s="699"/>
      <c r="I145" s="699"/>
    </row>
    <row r="146" spans="2:10" ht="13.5" customHeight="1">
      <c r="B146" s="690">
        <v>5</v>
      </c>
      <c r="C146" s="691" t="s">
        <v>417</v>
      </c>
      <c r="D146" s="692"/>
      <c r="E146" s="692"/>
      <c r="F146" s="693"/>
      <c r="G146" s="694"/>
      <c r="H146" s="695" t="s">
        <v>0</v>
      </c>
      <c r="I146" s="696">
        <f>+I148</f>
        <v>1116</v>
      </c>
    </row>
    <row r="147" spans="2:10" ht="13.5" customHeight="1">
      <c r="B147" s="717"/>
      <c r="C147" s="718"/>
      <c r="D147" s="699"/>
      <c r="E147" s="699"/>
      <c r="F147" s="705"/>
      <c r="G147" s="719"/>
      <c r="H147" s="702"/>
      <c r="I147" s="703"/>
    </row>
    <row r="148" spans="2:10" ht="13.5" customHeight="1">
      <c r="B148" s="701">
        <v>4.01</v>
      </c>
      <c r="C148" s="641" t="s">
        <v>418</v>
      </c>
      <c r="D148" s="721"/>
      <c r="E148" s="721"/>
      <c r="F148" s="700"/>
      <c r="G148" s="700"/>
      <c r="H148" s="702" t="s">
        <v>0</v>
      </c>
      <c r="I148" s="703">
        <f>+H164</f>
        <v>1116</v>
      </c>
    </row>
    <row r="149" spans="2:10" ht="13.5" customHeight="1">
      <c r="B149" s="715"/>
      <c r="C149" s="641"/>
      <c r="D149" s="699" t="s">
        <v>571</v>
      </c>
      <c r="E149" s="699"/>
      <c r="F149" s="700"/>
      <c r="G149" s="700"/>
      <c r="H149" s="699"/>
      <c r="I149" s="699"/>
    </row>
    <row r="150" spans="2:10" ht="13.5" customHeight="1">
      <c r="B150" s="572"/>
      <c r="C150" s="720" t="s">
        <v>29</v>
      </c>
      <c r="D150" s="705"/>
      <c r="E150" s="705"/>
      <c r="F150" s="706"/>
      <c r="G150" s="706"/>
      <c r="H150" s="705"/>
      <c r="I150" s="700"/>
    </row>
    <row r="151" spans="2:10" ht="13.5" customHeight="1">
      <c r="B151" s="572"/>
      <c r="C151" s="720"/>
      <c r="D151" s="705"/>
      <c r="E151" s="705"/>
      <c r="F151" s="706"/>
      <c r="G151" s="706"/>
      <c r="H151" s="705"/>
      <c r="I151" s="700"/>
    </row>
    <row r="152" spans="2:10" ht="13.5" customHeight="1">
      <c r="B152" s="572"/>
      <c r="C152" s="708" t="s">
        <v>30</v>
      </c>
      <c r="D152" s="709" t="s">
        <v>31</v>
      </c>
      <c r="E152" s="709" t="s">
        <v>291</v>
      </c>
      <c r="F152" s="709" t="s">
        <v>32</v>
      </c>
      <c r="G152" s="709" t="s">
        <v>13</v>
      </c>
      <c r="H152" s="709" t="s">
        <v>4</v>
      </c>
      <c r="I152" s="699"/>
    </row>
    <row r="153" spans="2:10" ht="13.5" customHeight="1">
      <c r="B153" s="572"/>
      <c r="C153" s="711" t="str">
        <f t="shared" ref="C153:F163" si="21">+C36</f>
        <v>RESIDENTE DE OBRA</v>
      </c>
      <c r="D153" s="640">
        <f t="shared" si="21"/>
        <v>1</v>
      </c>
      <c r="E153" s="640">
        <f t="shared" si="21"/>
        <v>1</v>
      </c>
      <c r="F153" s="640">
        <f t="shared" si="21"/>
        <v>3</v>
      </c>
      <c r="G153" s="640">
        <f>930/10</f>
        <v>93</v>
      </c>
      <c r="H153" s="711">
        <f t="shared" ref="H153:H163" si="22">PRODUCT(D153:G153)</f>
        <v>279</v>
      </c>
      <c r="I153" s="699"/>
      <c r="J153" s="668">
        <f>+G153+G133+G113+G95+G75+G57+G36</f>
        <v>5674.833333333333</v>
      </c>
    </row>
    <row r="154" spans="2:10" ht="13.5" hidden="1" customHeight="1">
      <c r="B154" s="572"/>
      <c r="C154" s="711" t="str">
        <f t="shared" si="21"/>
        <v>INGENIERO ESPECIALISTA EN ESTRUCTURAS</v>
      </c>
      <c r="D154" s="640">
        <f t="shared" si="21"/>
        <v>0</v>
      </c>
      <c r="E154" s="640">
        <f t="shared" si="21"/>
        <v>0.5</v>
      </c>
      <c r="F154" s="640">
        <f t="shared" si="21"/>
        <v>1</v>
      </c>
      <c r="G154" s="640">
        <f t="shared" ref="G154:G163" si="23">930/10</f>
        <v>93</v>
      </c>
      <c r="H154" s="711">
        <f t="shared" si="22"/>
        <v>0</v>
      </c>
      <c r="I154" s="699"/>
    </row>
    <row r="155" spans="2:10" ht="13.5" hidden="1" customHeight="1">
      <c r="B155" s="572"/>
      <c r="C155" s="711" t="str">
        <f t="shared" si="21"/>
        <v>INGENIERO ESPECIALISTA EN GEOTECNIA</v>
      </c>
      <c r="D155" s="640">
        <f t="shared" si="21"/>
        <v>0</v>
      </c>
      <c r="E155" s="640">
        <f t="shared" si="21"/>
        <v>0.5</v>
      </c>
      <c r="F155" s="640">
        <f t="shared" si="21"/>
        <v>1</v>
      </c>
      <c r="G155" s="640">
        <f t="shared" si="23"/>
        <v>93</v>
      </c>
      <c r="H155" s="711">
        <f t="shared" si="22"/>
        <v>0</v>
      </c>
      <c r="I155" s="699"/>
    </row>
    <row r="156" spans="2:10" ht="13.5" hidden="1" customHeight="1">
      <c r="B156" s="572"/>
      <c r="C156" s="711" t="str">
        <f t="shared" si="21"/>
        <v>INGENIERO ESPECIALISTA EN SEGURIDAD Y SALUD</v>
      </c>
      <c r="D156" s="640">
        <f t="shared" si="21"/>
        <v>0</v>
      </c>
      <c r="E156" s="640">
        <f t="shared" si="21"/>
        <v>0.5</v>
      </c>
      <c r="F156" s="640">
        <f t="shared" si="21"/>
        <v>5</v>
      </c>
      <c r="G156" s="640">
        <f t="shared" si="23"/>
        <v>93</v>
      </c>
      <c r="H156" s="711">
        <f>PRODUCT(D156:G156)</f>
        <v>0</v>
      </c>
      <c r="I156" s="699"/>
    </row>
    <row r="157" spans="2:10" ht="13.5" hidden="1" customHeight="1">
      <c r="B157" s="572"/>
      <c r="C157" s="711" t="str">
        <f t="shared" si="21"/>
        <v>ESPECIALISTA EN MITIGACIÓN AMBIENTAL</v>
      </c>
      <c r="D157" s="640">
        <f t="shared" si="21"/>
        <v>0</v>
      </c>
      <c r="E157" s="640">
        <f t="shared" si="21"/>
        <v>0.5</v>
      </c>
      <c r="F157" s="640">
        <f t="shared" si="21"/>
        <v>5</v>
      </c>
      <c r="G157" s="640">
        <f t="shared" si="23"/>
        <v>93</v>
      </c>
      <c r="H157" s="711">
        <f t="shared" si="22"/>
        <v>0</v>
      </c>
      <c r="I157" s="699"/>
    </row>
    <row r="158" spans="2:10" ht="13.5" customHeight="1">
      <c r="B158" s="572"/>
      <c r="C158" s="711" t="str">
        <f t="shared" si="21"/>
        <v>ASISTENTE TECNICO DE OBRA</v>
      </c>
      <c r="D158" s="640">
        <f t="shared" si="21"/>
        <v>1</v>
      </c>
      <c r="E158" s="640">
        <f t="shared" si="21"/>
        <v>1</v>
      </c>
      <c r="F158" s="640">
        <f t="shared" si="21"/>
        <v>3</v>
      </c>
      <c r="G158" s="640">
        <f t="shared" si="23"/>
        <v>93</v>
      </c>
      <c r="H158" s="711">
        <f t="shared" si="22"/>
        <v>279</v>
      </c>
      <c r="I158" s="699"/>
    </row>
    <row r="159" spans="2:10" ht="13.5" customHeight="1">
      <c r="B159" s="572"/>
      <c r="C159" s="711" t="str">
        <f t="shared" si="21"/>
        <v>ASISTENTE ADMINISTRATIVO</v>
      </c>
      <c r="D159" s="640">
        <f t="shared" si="21"/>
        <v>1</v>
      </c>
      <c r="E159" s="640">
        <f t="shared" si="21"/>
        <v>1</v>
      </c>
      <c r="F159" s="640">
        <f t="shared" si="21"/>
        <v>3</v>
      </c>
      <c r="G159" s="640">
        <f t="shared" si="23"/>
        <v>93</v>
      </c>
      <c r="H159" s="711">
        <f t="shared" si="22"/>
        <v>279</v>
      </c>
      <c r="I159" s="699"/>
    </row>
    <row r="160" spans="2:10" ht="13.5" hidden="1" customHeight="1">
      <c r="B160" s="572"/>
      <c r="C160" s="711" t="str">
        <f t="shared" si="21"/>
        <v xml:space="preserve">MAESTRO DE OBRA </v>
      </c>
      <c r="D160" s="640">
        <f t="shared" si="21"/>
        <v>0</v>
      </c>
      <c r="E160" s="640">
        <f t="shared" si="21"/>
        <v>1</v>
      </c>
      <c r="F160" s="640">
        <f t="shared" si="21"/>
        <v>5</v>
      </c>
      <c r="G160" s="640">
        <f t="shared" si="23"/>
        <v>93</v>
      </c>
      <c r="H160" s="711">
        <f t="shared" si="22"/>
        <v>0</v>
      </c>
      <c r="I160" s="699"/>
    </row>
    <row r="161" spans="2:10" ht="13.5" hidden="1" customHeight="1">
      <c r="B161" s="572"/>
      <c r="C161" s="711" t="str">
        <f t="shared" si="21"/>
        <v>TOPOGRAFO</v>
      </c>
      <c r="D161" s="640">
        <f t="shared" si="21"/>
        <v>0</v>
      </c>
      <c r="E161" s="640">
        <f t="shared" si="21"/>
        <v>0.5</v>
      </c>
      <c r="F161" s="640">
        <f t="shared" si="21"/>
        <v>5</v>
      </c>
      <c r="G161" s="640">
        <f t="shared" si="23"/>
        <v>93</v>
      </c>
      <c r="H161" s="711">
        <f>PRODUCT(D161:G161)</f>
        <v>0</v>
      </c>
      <c r="I161" s="699"/>
    </row>
    <row r="162" spans="2:10" ht="13.5" hidden="1" customHeight="1">
      <c r="B162" s="572"/>
      <c r="C162" s="711" t="str">
        <f t="shared" si="21"/>
        <v xml:space="preserve">ALMACENERO </v>
      </c>
      <c r="D162" s="640">
        <f t="shared" si="21"/>
        <v>0</v>
      </c>
      <c r="E162" s="640">
        <f t="shared" si="21"/>
        <v>1</v>
      </c>
      <c r="F162" s="640">
        <f t="shared" si="21"/>
        <v>5</v>
      </c>
      <c r="G162" s="640">
        <f t="shared" si="23"/>
        <v>93</v>
      </c>
      <c r="H162" s="711">
        <f t="shared" si="22"/>
        <v>0</v>
      </c>
      <c r="I162" s="699"/>
    </row>
    <row r="163" spans="2:10" ht="13.5" customHeight="1">
      <c r="B163" s="572"/>
      <c r="C163" s="711" t="str">
        <f t="shared" si="21"/>
        <v>GUARDIAN</v>
      </c>
      <c r="D163" s="640">
        <f t="shared" si="21"/>
        <v>1</v>
      </c>
      <c r="E163" s="640">
        <f t="shared" si="21"/>
        <v>1</v>
      </c>
      <c r="F163" s="640">
        <f t="shared" si="21"/>
        <v>3</v>
      </c>
      <c r="G163" s="640">
        <f t="shared" si="23"/>
        <v>93</v>
      </c>
      <c r="H163" s="711">
        <f t="shared" si="22"/>
        <v>279</v>
      </c>
      <c r="I163" s="699"/>
    </row>
    <row r="164" spans="2:10" ht="13.5" customHeight="1">
      <c r="B164" s="572"/>
      <c r="C164" s="964" t="s">
        <v>3</v>
      </c>
      <c r="D164" s="965"/>
      <c r="E164" s="965"/>
      <c r="F164" s="965"/>
      <c r="G164" s="966"/>
      <c r="H164" s="714">
        <f>SUM(H153:H163)</f>
        <v>1116</v>
      </c>
      <c r="I164" s="699"/>
    </row>
    <row r="165" spans="2:10" ht="13.5" customHeight="1">
      <c r="B165" s="572"/>
      <c r="C165" s="699"/>
      <c r="D165" s="699"/>
      <c r="E165" s="699"/>
      <c r="F165" s="700"/>
      <c r="G165" s="700"/>
      <c r="H165" s="699"/>
      <c r="I165" s="699"/>
    </row>
    <row r="166" spans="2:10" ht="13.5" customHeight="1">
      <c r="B166" s="572"/>
      <c r="C166" s="699"/>
      <c r="D166" s="699"/>
      <c r="E166" s="699"/>
      <c r="F166" s="700"/>
      <c r="G166" s="700"/>
      <c r="H166" s="699"/>
      <c r="I166" s="699"/>
    </row>
    <row r="167" spans="2:10" s="656" customFormat="1" ht="13.5" customHeight="1">
      <c r="B167" s="724" t="s">
        <v>314</v>
      </c>
      <c r="C167" s="725"/>
      <c r="D167" s="680"/>
      <c r="E167" s="680"/>
      <c r="F167" s="680"/>
      <c r="G167" s="681"/>
      <c r="H167" s="681" t="s">
        <v>0</v>
      </c>
      <c r="I167" s="682">
        <f>+ROUND((I169+I188+I197+I216),2)</f>
        <v>8323.5</v>
      </c>
      <c r="J167" s="683"/>
    </row>
    <row r="168" spans="2:10" s="656" customFormat="1" ht="13.5" customHeight="1">
      <c r="B168" s="726"/>
      <c r="C168" s="727"/>
      <c r="D168" s="686"/>
      <c r="E168" s="686"/>
      <c r="F168" s="686"/>
      <c r="G168" s="687"/>
      <c r="H168" s="687"/>
      <c r="I168" s="688"/>
      <c r="J168" s="683"/>
    </row>
    <row r="169" spans="2:10" s="656" customFormat="1" ht="13.5" customHeight="1">
      <c r="B169" s="690">
        <v>1</v>
      </c>
      <c r="C169" s="691" t="s">
        <v>255</v>
      </c>
      <c r="D169" s="692"/>
      <c r="E169" s="692"/>
      <c r="F169" s="693"/>
      <c r="G169" s="694"/>
      <c r="H169" s="695" t="s">
        <v>0</v>
      </c>
      <c r="I169" s="696">
        <f>H186</f>
        <v>4035</v>
      </c>
      <c r="J169" s="683"/>
    </row>
    <row r="170" spans="2:10" s="656" customFormat="1" ht="13.5" customHeight="1">
      <c r="B170" s="726"/>
      <c r="C170" s="727"/>
      <c r="D170" s="686"/>
      <c r="E170" s="686"/>
      <c r="F170" s="686"/>
      <c r="G170" s="687"/>
      <c r="H170" s="687"/>
      <c r="I170" s="688"/>
      <c r="J170" s="683"/>
    </row>
    <row r="171" spans="2:10" ht="13.5" customHeight="1">
      <c r="B171" s="701">
        <v>1.01</v>
      </c>
      <c r="C171" s="641" t="s">
        <v>25</v>
      </c>
      <c r="D171" s="699"/>
      <c r="E171" s="699"/>
      <c r="F171" s="699"/>
      <c r="G171" s="700"/>
      <c r="H171" s="702" t="s">
        <v>0</v>
      </c>
      <c r="I171" s="728">
        <f>H186</f>
        <v>4035</v>
      </c>
    </row>
    <row r="172" spans="2:10" ht="13.5" customHeight="1">
      <c r="B172" s="715"/>
      <c r="C172" s="641"/>
      <c r="D172" s="699"/>
      <c r="E172" s="699"/>
      <c r="F172" s="699"/>
      <c r="G172" s="700"/>
      <c r="H172" s="699"/>
      <c r="I172" s="699"/>
      <c r="J172" s="668"/>
    </row>
    <row r="173" spans="2:10" ht="13.5" customHeight="1">
      <c r="B173" s="572"/>
      <c r="C173" s="729" t="s">
        <v>17</v>
      </c>
      <c r="D173" s="730" t="s">
        <v>2</v>
      </c>
      <c r="E173" s="730" t="s">
        <v>572</v>
      </c>
      <c r="F173" s="730" t="s">
        <v>573</v>
      </c>
      <c r="G173" s="731" t="s">
        <v>5</v>
      </c>
      <c r="H173" s="731" t="s">
        <v>4</v>
      </c>
      <c r="I173" s="578"/>
    </row>
    <row r="174" spans="2:10" ht="13.5" customHeight="1">
      <c r="B174" s="572"/>
      <c r="C174" s="711" t="s">
        <v>422</v>
      </c>
      <c r="D174" s="732" t="s">
        <v>2</v>
      </c>
      <c r="E174" s="733">
        <v>1</v>
      </c>
      <c r="F174" s="734">
        <v>2</v>
      </c>
      <c r="G174" s="735">
        <v>50</v>
      </c>
      <c r="H174" s="736">
        <f>PRODUCT(E174:G174)</f>
        <v>100</v>
      </c>
      <c r="I174" s="578"/>
    </row>
    <row r="175" spans="2:10" ht="13.5" customHeight="1">
      <c r="B175" s="572"/>
      <c r="C175" s="711" t="s">
        <v>574</v>
      </c>
      <c r="D175" s="732" t="s">
        <v>2</v>
      </c>
      <c r="E175" s="733">
        <v>1</v>
      </c>
      <c r="F175" s="734">
        <v>3</v>
      </c>
      <c r="G175" s="735">
        <v>15</v>
      </c>
      <c r="H175" s="736">
        <f t="shared" ref="H175:H185" si="24">PRODUCT(E175:G175)</f>
        <v>45</v>
      </c>
      <c r="I175" s="578"/>
    </row>
    <row r="176" spans="2:10" ht="13.5" customHeight="1">
      <c r="B176" s="572"/>
      <c r="C176" s="711" t="s">
        <v>650</v>
      </c>
      <c r="D176" s="732" t="s">
        <v>2</v>
      </c>
      <c r="E176" s="733">
        <v>1</v>
      </c>
      <c r="F176" s="734">
        <v>30</v>
      </c>
      <c r="G176" s="735">
        <v>18</v>
      </c>
      <c r="H176" s="736">
        <f t="shared" si="24"/>
        <v>540</v>
      </c>
      <c r="I176" s="578"/>
    </row>
    <row r="177" spans="2:16" ht="13.5" hidden="1" customHeight="1">
      <c r="B177" s="572"/>
      <c r="C177" s="711" t="s">
        <v>252</v>
      </c>
      <c r="D177" s="732" t="s">
        <v>2</v>
      </c>
      <c r="E177" s="733">
        <v>1</v>
      </c>
      <c r="F177" s="734">
        <v>0</v>
      </c>
      <c r="G177" s="735">
        <v>50</v>
      </c>
      <c r="H177" s="736">
        <f t="shared" si="24"/>
        <v>0</v>
      </c>
      <c r="I177" s="578"/>
    </row>
    <row r="178" spans="2:16" ht="13.5" customHeight="1">
      <c r="B178" s="572"/>
      <c r="C178" s="711" t="s">
        <v>423</v>
      </c>
      <c r="D178" s="732" t="s">
        <v>2</v>
      </c>
      <c r="E178" s="733">
        <v>1</v>
      </c>
      <c r="F178" s="734">
        <v>5</v>
      </c>
      <c r="G178" s="735">
        <v>100</v>
      </c>
      <c r="H178" s="736">
        <f t="shared" si="24"/>
        <v>500</v>
      </c>
      <c r="I178" s="578"/>
    </row>
    <row r="179" spans="2:16" ht="13.5" hidden="1" customHeight="1">
      <c r="B179" s="572"/>
      <c r="C179" s="711" t="s">
        <v>575</v>
      </c>
      <c r="D179" s="732" t="s">
        <v>2</v>
      </c>
      <c r="E179" s="733">
        <v>1</v>
      </c>
      <c r="F179" s="734">
        <v>0</v>
      </c>
      <c r="G179" s="735">
        <v>190</v>
      </c>
      <c r="H179" s="736">
        <f t="shared" si="24"/>
        <v>0</v>
      </c>
      <c r="I179" s="737"/>
      <c r="K179" s="571">
        <f>2*4*12</f>
        <v>96</v>
      </c>
    </row>
    <row r="180" spans="2:16" ht="13.5" hidden="1" customHeight="1">
      <c r="B180" s="572"/>
      <c r="C180" s="711" t="s">
        <v>576</v>
      </c>
      <c r="D180" s="732" t="s">
        <v>2</v>
      </c>
      <c r="E180" s="733">
        <v>1</v>
      </c>
      <c r="F180" s="734">
        <v>0</v>
      </c>
      <c r="G180" s="735">
        <v>200</v>
      </c>
      <c r="H180" s="736">
        <f t="shared" si="24"/>
        <v>0</v>
      </c>
      <c r="I180" s="737"/>
    </row>
    <row r="181" spans="2:16" ht="13.5" customHeight="1">
      <c r="B181" s="572"/>
      <c r="C181" s="711" t="s">
        <v>577</v>
      </c>
      <c r="D181" s="732" t="s">
        <v>8</v>
      </c>
      <c r="E181" s="733">
        <v>1</v>
      </c>
      <c r="F181" s="734">
        <v>15</v>
      </c>
      <c r="G181" s="735">
        <v>10</v>
      </c>
      <c r="H181" s="736">
        <f t="shared" si="24"/>
        <v>150</v>
      </c>
      <c r="I181" s="737"/>
    </row>
    <row r="182" spans="2:16" ht="13.5" customHeight="1">
      <c r="B182" s="572"/>
      <c r="C182" s="711" t="s">
        <v>578</v>
      </c>
      <c r="D182" s="732" t="s">
        <v>2</v>
      </c>
      <c r="E182" s="733">
        <v>1</v>
      </c>
      <c r="F182" s="734">
        <v>15</v>
      </c>
      <c r="G182" s="735">
        <v>50</v>
      </c>
      <c r="H182" s="736">
        <f t="shared" si="24"/>
        <v>750</v>
      </c>
      <c r="I182" s="737"/>
    </row>
    <row r="183" spans="2:16" ht="13.5" customHeight="1">
      <c r="B183" s="572"/>
      <c r="C183" s="711" t="s">
        <v>579</v>
      </c>
      <c r="D183" s="732" t="s">
        <v>2</v>
      </c>
      <c r="E183" s="733">
        <v>1</v>
      </c>
      <c r="F183" s="734">
        <v>10</v>
      </c>
      <c r="G183" s="735">
        <v>20</v>
      </c>
      <c r="H183" s="736">
        <f t="shared" si="24"/>
        <v>200</v>
      </c>
      <c r="I183" s="737"/>
    </row>
    <row r="184" spans="2:16" ht="13.5" customHeight="1">
      <c r="B184" s="572"/>
      <c r="C184" s="711" t="s">
        <v>254</v>
      </c>
      <c r="D184" s="732" t="s">
        <v>8</v>
      </c>
      <c r="E184" s="733">
        <v>1</v>
      </c>
      <c r="F184" s="734">
        <v>5</v>
      </c>
      <c r="G184" s="735">
        <v>350</v>
      </c>
      <c r="H184" s="711">
        <f t="shared" si="24"/>
        <v>1750</v>
      </c>
      <c r="I184" s="737"/>
    </row>
    <row r="185" spans="2:16" ht="13.5" hidden="1" customHeight="1">
      <c r="B185" s="572"/>
      <c r="C185" s="711" t="s">
        <v>580</v>
      </c>
      <c r="D185" s="640" t="s">
        <v>9</v>
      </c>
      <c r="E185" s="733">
        <v>1</v>
      </c>
      <c r="F185" s="734">
        <v>0</v>
      </c>
      <c r="G185" s="738">
        <v>1000</v>
      </c>
      <c r="H185" s="711">
        <f t="shared" si="24"/>
        <v>0</v>
      </c>
      <c r="I185" s="737"/>
    </row>
    <row r="186" spans="2:16" ht="13.5" customHeight="1">
      <c r="B186" s="572"/>
      <c r="C186" s="962" t="s">
        <v>3</v>
      </c>
      <c r="D186" s="962"/>
      <c r="E186" s="962"/>
      <c r="F186" s="962"/>
      <c r="G186" s="963"/>
      <c r="H186" s="739">
        <f>SUM(H174:H185)</f>
        <v>4035</v>
      </c>
      <c r="I186" s="737"/>
      <c r="K186" s="571">
        <f>365-K179</f>
        <v>269</v>
      </c>
    </row>
    <row r="187" spans="2:16" ht="13.5" customHeight="1">
      <c r="B187" s="704"/>
      <c r="C187" s="578"/>
      <c r="D187" s="578"/>
      <c r="E187" s="578"/>
      <c r="F187" s="578"/>
      <c r="G187" s="578"/>
      <c r="H187" s="699"/>
      <c r="I187" s="705"/>
    </row>
    <row r="188" spans="2:16" ht="13.5" customHeight="1">
      <c r="B188" s="740">
        <v>2</v>
      </c>
      <c r="C188" s="691" t="s">
        <v>93</v>
      </c>
      <c r="D188" s="692"/>
      <c r="E188" s="692"/>
      <c r="F188" s="693"/>
      <c r="G188" s="694"/>
      <c r="H188" s="695" t="s">
        <v>0</v>
      </c>
      <c r="I188" s="696">
        <f>H195</f>
        <v>1325</v>
      </c>
    </row>
    <row r="189" spans="2:16" ht="13.5" customHeight="1">
      <c r="B189" s="726"/>
      <c r="C189" s="727"/>
      <c r="D189" s="686"/>
      <c r="E189" s="686"/>
      <c r="F189" s="686"/>
      <c r="G189" s="687"/>
      <c r="H189" s="687"/>
      <c r="I189" s="688"/>
    </row>
    <row r="190" spans="2:16" ht="13.5" customHeight="1">
      <c r="B190" s="701">
        <v>2.0099999999999998</v>
      </c>
      <c r="C190" s="641" t="s">
        <v>172</v>
      </c>
      <c r="D190" s="699"/>
      <c r="E190" s="699"/>
      <c r="F190" s="699"/>
      <c r="G190" s="700"/>
      <c r="H190" s="702" t="s">
        <v>0</v>
      </c>
      <c r="I190" s="728">
        <f>H195</f>
        <v>1325</v>
      </c>
    </row>
    <row r="191" spans="2:16" ht="13.5" customHeight="1">
      <c r="B191" s="715"/>
      <c r="C191" s="641"/>
      <c r="D191" s="699"/>
      <c r="E191" s="699"/>
      <c r="F191" s="699"/>
      <c r="G191" s="700"/>
      <c r="H191" s="699"/>
      <c r="I191" s="699"/>
    </row>
    <row r="192" spans="2:16" ht="13.5" customHeight="1">
      <c r="B192" s="572"/>
      <c r="C192" s="973" t="s">
        <v>17</v>
      </c>
      <c r="D192" s="973"/>
      <c r="E192" s="730" t="s">
        <v>2</v>
      </c>
      <c r="F192" s="730" t="s">
        <v>18</v>
      </c>
      <c r="G192" s="730" t="s">
        <v>5</v>
      </c>
      <c r="H192" s="730" t="s">
        <v>4</v>
      </c>
      <c r="I192" s="578"/>
      <c r="K192" s="741" t="s">
        <v>459</v>
      </c>
      <c r="L192" s="741" t="s">
        <v>460</v>
      </c>
      <c r="M192" s="741" t="s">
        <v>461</v>
      </c>
      <c r="N192" s="741" t="s">
        <v>462</v>
      </c>
      <c r="O192" s="741" t="s">
        <v>466</v>
      </c>
      <c r="P192" s="741" t="s">
        <v>463</v>
      </c>
    </row>
    <row r="193" spans="2:16" ht="13.5" customHeight="1">
      <c r="B193" s="572"/>
      <c r="C193" s="974" t="s">
        <v>279</v>
      </c>
      <c r="D193" s="974"/>
      <c r="E193" s="579" t="s">
        <v>6</v>
      </c>
      <c r="F193" s="733">
        <v>50</v>
      </c>
      <c r="G193" s="580">
        <v>13</v>
      </c>
      <c r="H193" s="742">
        <f>F193*G193</f>
        <v>650</v>
      </c>
      <c r="I193" s="578"/>
      <c r="K193" s="581">
        <v>1.5</v>
      </c>
      <c r="L193" s="581">
        <v>7</v>
      </c>
      <c r="M193" s="581">
        <v>2</v>
      </c>
      <c r="N193" s="581">
        <v>3</v>
      </c>
      <c r="O193" s="743">
        <v>5</v>
      </c>
      <c r="P193" s="581">
        <f>PRODUCT(K193:O193)</f>
        <v>315</v>
      </c>
    </row>
    <row r="194" spans="2:16" ht="13.5" customHeight="1">
      <c r="B194" s="572"/>
      <c r="C194" s="974" t="s">
        <v>523</v>
      </c>
      <c r="D194" s="974"/>
      <c r="E194" s="579" t="s">
        <v>6</v>
      </c>
      <c r="F194" s="733">
        <v>50</v>
      </c>
      <c r="G194" s="580">
        <v>13.5</v>
      </c>
      <c r="H194" s="742">
        <f>F194*G194</f>
        <v>675</v>
      </c>
      <c r="I194" s="578"/>
      <c r="K194" s="581">
        <v>1.5</v>
      </c>
      <c r="L194" s="581">
        <v>7</v>
      </c>
      <c r="M194" s="581">
        <v>2</v>
      </c>
      <c r="N194" s="581">
        <v>4</v>
      </c>
      <c r="O194" s="743">
        <v>5</v>
      </c>
      <c r="P194" s="581">
        <f>PRODUCT(K194:O194)</f>
        <v>420</v>
      </c>
    </row>
    <row r="195" spans="2:16" ht="13.5" customHeight="1">
      <c r="B195" s="572"/>
      <c r="C195" s="962" t="s">
        <v>3</v>
      </c>
      <c r="D195" s="962"/>
      <c r="E195" s="962"/>
      <c r="F195" s="962"/>
      <c r="G195" s="962"/>
      <c r="H195" s="744">
        <f>SUM(H193:H194)</f>
        <v>1325</v>
      </c>
      <c r="I195" s="578"/>
    </row>
    <row r="196" spans="2:16" ht="13.5" customHeight="1">
      <c r="B196" s="704"/>
      <c r="C196" s="578"/>
      <c r="D196" s="578"/>
      <c r="E196" s="578"/>
      <c r="F196" s="578"/>
      <c r="G196" s="578"/>
      <c r="H196" s="699"/>
      <c r="I196" s="705"/>
    </row>
    <row r="197" spans="2:16" ht="13.5" customHeight="1">
      <c r="B197" s="745">
        <v>3</v>
      </c>
      <c r="C197" s="691" t="s">
        <v>292</v>
      </c>
      <c r="D197" s="692"/>
      <c r="E197" s="692"/>
      <c r="F197" s="692"/>
      <c r="G197" s="694"/>
      <c r="H197" s="695" t="s">
        <v>0</v>
      </c>
      <c r="I197" s="696">
        <f>+I199</f>
        <v>970</v>
      </c>
    </row>
    <row r="198" spans="2:16" ht="13.5" customHeight="1">
      <c r="B198" s="715"/>
      <c r="C198" s="641"/>
      <c r="D198" s="699"/>
      <c r="E198" s="699"/>
      <c r="F198" s="699"/>
      <c r="G198" s="700"/>
      <c r="H198" s="699"/>
      <c r="I198" s="699"/>
    </row>
    <row r="199" spans="2:16" ht="13.5" customHeight="1">
      <c r="B199" s="715">
        <v>3.01</v>
      </c>
      <c r="C199" s="641" t="s">
        <v>288</v>
      </c>
      <c r="D199" s="705"/>
      <c r="E199" s="705"/>
      <c r="F199" s="705"/>
      <c r="G199" s="706"/>
      <c r="H199" s="702" t="s">
        <v>0</v>
      </c>
      <c r="I199" s="746">
        <f>H213</f>
        <v>970</v>
      </c>
    </row>
    <row r="200" spans="2:16" ht="13.5" customHeight="1">
      <c r="B200" s="747"/>
      <c r="C200" s="748"/>
      <c r="D200" s="749"/>
      <c r="E200" s="749"/>
      <c r="F200" s="750"/>
      <c r="G200" s="749"/>
      <c r="H200" s="750"/>
    </row>
    <row r="201" spans="2:16" ht="13.5" customHeight="1">
      <c r="B201" s="747"/>
      <c r="C201" s="973" t="s">
        <v>17</v>
      </c>
      <c r="D201" s="973"/>
      <c r="E201" s="730" t="s">
        <v>2</v>
      </c>
      <c r="F201" s="730" t="s">
        <v>18</v>
      </c>
      <c r="G201" s="731" t="s">
        <v>5</v>
      </c>
      <c r="H201" s="751" t="s">
        <v>4</v>
      </c>
    </row>
    <row r="202" spans="2:16" ht="13.5" hidden="1" customHeight="1">
      <c r="B202" s="747"/>
      <c r="C202" s="752" t="s">
        <v>651</v>
      </c>
      <c r="D202" s="753"/>
      <c r="E202" s="754" t="s">
        <v>2</v>
      </c>
      <c r="F202" s="755">
        <v>0</v>
      </c>
      <c r="G202" s="756">
        <v>4000</v>
      </c>
      <c r="H202" s="757">
        <f>+F202*G202</f>
        <v>0</v>
      </c>
    </row>
    <row r="203" spans="2:16" ht="13.5" hidden="1" customHeight="1">
      <c r="B203" s="747"/>
      <c r="C203" s="758" t="s">
        <v>242</v>
      </c>
      <c r="D203" s="759"/>
      <c r="E203" s="756" t="s">
        <v>2</v>
      </c>
      <c r="F203" s="760">
        <v>0</v>
      </c>
      <c r="G203" s="756">
        <v>900</v>
      </c>
      <c r="H203" s="757">
        <f>+F203*G203</f>
        <v>0</v>
      </c>
    </row>
    <row r="204" spans="2:16" ht="13.5" hidden="1" customHeight="1">
      <c r="B204" s="747"/>
      <c r="C204" s="761" t="s">
        <v>293</v>
      </c>
      <c r="D204" s="762"/>
      <c r="E204" s="763" t="s">
        <v>2</v>
      </c>
      <c r="F204" s="764">
        <v>0</v>
      </c>
      <c r="G204" s="756">
        <v>1200</v>
      </c>
      <c r="H204" s="757">
        <f>+F204*G204</f>
        <v>0</v>
      </c>
    </row>
    <row r="205" spans="2:16" ht="13.5" hidden="1" customHeight="1">
      <c r="B205" s="747"/>
      <c r="C205" s="765" t="s">
        <v>426</v>
      </c>
      <c r="D205" s="766"/>
      <c r="E205" s="763" t="s">
        <v>2</v>
      </c>
      <c r="F205" s="764">
        <v>0</v>
      </c>
      <c r="G205" s="756">
        <v>350</v>
      </c>
      <c r="H205" s="757">
        <f t="shared" ref="H205:H212" si="25">+F205*G205</f>
        <v>0</v>
      </c>
    </row>
    <row r="206" spans="2:16" ht="13.5" customHeight="1">
      <c r="B206" s="747"/>
      <c r="C206" s="765" t="s">
        <v>425</v>
      </c>
      <c r="D206" s="766"/>
      <c r="E206" s="763" t="s">
        <v>2</v>
      </c>
      <c r="F206" s="764">
        <v>1</v>
      </c>
      <c r="G206" s="756">
        <v>300</v>
      </c>
      <c r="H206" s="757">
        <f t="shared" si="25"/>
        <v>300</v>
      </c>
    </row>
    <row r="207" spans="2:16" ht="13.5" customHeight="1">
      <c r="B207" s="747"/>
      <c r="C207" s="765" t="s">
        <v>424</v>
      </c>
      <c r="D207" s="766"/>
      <c r="E207" s="763" t="s">
        <v>2</v>
      </c>
      <c r="F207" s="764">
        <v>1</v>
      </c>
      <c r="G207" s="756">
        <v>250</v>
      </c>
      <c r="H207" s="757">
        <f t="shared" si="25"/>
        <v>250</v>
      </c>
    </row>
    <row r="208" spans="2:16" ht="13.5" customHeight="1">
      <c r="B208" s="747"/>
      <c r="C208" s="765" t="s">
        <v>427</v>
      </c>
      <c r="D208" s="766"/>
      <c r="E208" s="763" t="s">
        <v>2</v>
      </c>
      <c r="F208" s="764">
        <v>1</v>
      </c>
      <c r="G208" s="756">
        <v>150</v>
      </c>
      <c r="H208" s="757">
        <f t="shared" si="25"/>
        <v>150</v>
      </c>
    </row>
    <row r="209" spans="2:11" ht="13.5" customHeight="1">
      <c r="B209" s="747"/>
      <c r="C209" s="765" t="s">
        <v>428</v>
      </c>
      <c r="D209" s="766"/>
      <c r="E209" s="763" t="s">
        <v>2</v>
      </c>
      <c r="F209" s="764">
        <v>1</v>
      </c>
      <c r="G209" s="756">
        <v>150</v>
      </c>
      <c r="H209" s="757">
        <f t="shared" si="25"/>
        <v>150</v>
      </c>
    </row>
    <row r="210" spans="2:11" ht="13.5" hidden="1" customHeight="1">
      <c r="B210" s="747"/>
      <c r="C210" s="765" t="s">
        <v>429</v>
      </c>
      <c r="D210" s="766"/>
      <c r="E210" s="763" t="s">
        <v>2</v>
      </c>
      <c r="F210" s="764">
        <v>0</v>
      </c>
      <c r="G210" s="756">
        <v>360</v>
      </c>
      <c r="H210" s="757">
        <f t="shared" si="25"/>
        <v>0</v>
      </c>
    </row>
    <row r="211" spans="2:11" ht="13.5" hidden="1" customHeight="1">
      <c r="B211" s="747"/>
      <c r="C211" s="765" t="s">
        <v>430</v>
      </c>
      <c r="D211" s="766"/>
      <c r="E211" s="763" t="s">
        <v>2</v>
      </c>
      <c r="F211" s="764">
        <v>0</v>
      </c>
      <c r="G211" s="756">
        <v>450</v>
      </c>
      <c r="H211" s="757">
        <f t="shared" si="25"/>
        <v>0</v>
      </c>
    </row>
    <row r="212" spans="2:11" ht="13.5" customHeight="1">
      <c r="B212" s="747"/>
      <c r="C212" s="765" t="s">
        <v>431</v>
      </c>
      <c r="D212" s="766"/>
      <c r="E212" s="763" t="s">
        <v>2</v>
      </c>
      <c r="F212" s="764">
        <v>2</v>
      </c>
      <c r="G212" s="756">
        <v>60</v>
      </c>
      <c r="H212" s="757">
        <f t="shared" si="25"/>
        <v>120</v>
      </c>
    </row>
    <row r="213" spans="2:11" ht="13.5" customHeight="1">
      <c r="B213" s="767"/>
      <c r="C213" s="963" t="s">
        <v>3</v>
      </c>
      <c r="D213" s="963"/>
      <c r="E213" s="962"/>
      <c r="F213" s="962"/>
      <c r="G213" s="963"/>
      <c r="H213" s="768">
        <f>SUM(H202:H212)</f>
        <v>970</v>
      </c>
    </row>
    <row r="214" spans="2:11" ht="13.5" customHeight="1">
      <c r="B214" s="704"/>
      <c r="C214" s="578"/>
      <c r="D214" s="578"/>
      <c r="E214" s="578"/>
      <c r="F214" s="578"/>
      <c r="G214" s="578"/>
      <c r="H214" s="699"/>
      <c r="I214" s="705"/>
    </row>
    <row r="215" spans="2:11" ht="13.5" customHeight="1">
      <c r="B215" s="704"/>
      <c r="C215" s="578"/>
      <c r="D215" s="578"/>
      <c r="E215" s="578"/>
      <c r="F215" s="578"/>
      <c r="G215" s="578"/>
      <c r="H215" s="699"/>
      <c r="I215" s="705"/>
    </row>
    <row r="216" spans="2:11" ht="13.5" customHeight="1">
      <c r="B216" s="690">
        <v>4</v>
      </c>
      <c r="C216" s="691" t="s">
        <v>92</v>
      </c>
      <c r="D216" s="692"/>
      <c r="E216" s="692"/>
      <c r="F216" s="693"/>
      <c r="G216" s="694"/>
      <c r="H216" s="695" t="s">
        <v>0</v>
      </c>
      <c r="I216" s="696">
        <f>+I218</f>
        <v>1993.5</v>
      </c>
    </row>
    <row r="217" spans="2:11" ht="13.5" customHeight="1">
      <c r="B217" s="717"/>
      <c r="C217" s="718"/>
      <c r="D217" s="699"/>
      <c r="E217" s="699"/>
      <c r="F217" s="700"/>
      <c r="G217" s="719"/>
      <c r="H217" s="702"/>
      <c r="I217" s="703"/>
    </row>
    <row r="218" spans="2:11" ht="13.5" customHeight="1">
      <c r="B218" s="701">
        <v>4.01</v>
      </c>
      <c r="C218" s="641" t="s">
        <v>36</v>
      </c>
      <c r="D218" s="699"/>
      <c r="E218" s="699"/>
      <c r="F218" s="700"/>
      <c r="G218" s="700"/>
      <c r="H218" s="702" t="s">
        <v>0</v>
      </c>
      <c r="I218" s="746">
        <f>+H256</f>
        <v>1993.5</v>
      </c>
    </row>
    <row r="219" spans="2:11" ht="13.5" customHeight="1">
      <c r="B219" s="715"/>
      <c r="C219" s="641"/>
      <c r="D219" s="699"/>
      <c r="E219" s="699"/>
      <c r="F219" s="700"/>
      <c r="G219" s="700"/>
      <c r="H219" s="699"/>
      <c r="I219" s="705"/>
    </row>
    <row r="220" spans="2:11" ht="13.5" customHeight="1">
      <c r="B220" s="572"/>
      <c r="C220" s="964" t="s">
        <v>34</v>
      </c>
      <c r="D220" s="966"/>
      <c r="E220" s="709" t="s">
        <v>44</v>
      </c>
      <c r="F220" s="769" t="s">
        <v>18</v>
      </c>
      <c r="G220" s="709" t="s">
        <v>5</v>
      </c>
      <c r="H220" s="709" t="s">
        <v>4</v>
      </c>
      <c r="I220" s="705"/>
    </row>
    <row r="221" spans="2:11" ht="13.5" customHeight="1">
      <c r="B221" s="572"/>
      <c r="C221" s="970" t="s">
        <v>432</v>
      </c>
      <c r="D221" s="971"/>
      <c r="E221" s="756" t="s">
        <v>2</v>
      </c>
      <c r="F221" s="733">
        <v>1</v>
      </c>
      <c r="G221" s="756">
        <v>350</v>
      </c>
      <c r="H221" s="757">
        <f>F221*G221</f>
        <v>350</v>
      </c>
      <c r="I221" s="705"/>
      <c r="J221" s="571" t="e">
        <f t="shared" ref="J221:J255" si="26">+E221*3</f>
        <v>#VALUE!</v>
      </c>
      <c r="K221" s="571">
        <f>60/18</f>
        <v>3.3333333333333335</v>
      </c>
    </row>
    <row r="222" spans="2:11" ht="13.5" customHeight="1">
      <c r="B222" s="572"/>
      <c r="C222" s="970" t="s">
        <v>257</v>
      </c>
      <c r="D222" s="971"/>
      <c r="E222" s="756" t="s">
        <v>258</v>
      </c>
      <c r="F222" s="733">
        <v>1</v>
      </c>
      <c r="G222" s="756">
        <v>350</v>
      </c>
      <c r="H222" s="757">
        <f t="shared" ref="H222:H255" si="27">F222*G222</f>
        <v>350</v>
      </c>
      <c r="I222" s="705"/>
      <c r="J222" s="571" t="e">
        <f t="shared" si="26"/>
        <v>#VALUE!</v>
      </c>
    </row>
    <row r="223" spans="2:11" ht="13.5" customHeight="1">
      <c r="B223" s="572"/>
      <c r="C223" s="970" t="s">
        <v>259</v>
      </c>
      <c r="D223" s="971"/>
      <c r="E223" s="756" t="s">
        <v>256</v>
      </c>
      <c r="F223" s="733">
        <v>1</v>
      </c>
      <c r="G223" s="756">
        <v>50</v>
      </c>
      <c r="H223" s="757">
        <f t="shared" si="27"/>
        <v>50</v>
      </c>
      <c r="I223" s="705"/>
      <c r="J223" s="571" t="e">
        <f t="shared" si="26"/>
        <v>#VALUE!</v>
      </c>
    </row>
    <row r="224" spans="2:11" ht="13.5" customHeight="1">
      <c r="B224" s="572"/>
      <c r="C224" s="970" t="s">
        <v>260</v>
      </c>
      <c r="D224" s="971"/>
      <c r="E224" s="756" t="s">
        <v>256</v>
      </c>
      <c r="F224" s="733">
        <v>1</v>
      </c>
      <c r="G224" s="756">
        <v>7</v>
      </c>
      <c r="H224" s="757">
        <f t="shared" si="27"/>
        <v>7</v>
      </c>
      <c r="I224" s="705"/>
      <c r="J224" s="571" t="e">
        <f t="shared" si="26"/>
        <v>#VALUE!</v>
      </c>
    </row>
    <row r="225" spans="2:10" ht="13.5" customHeight="1">
      <c r="B225" s="572"/>
      <c r="C225" s="970" t="s">
        <v>261</v>
      </c>
      <c r="D225" s="971"/>
      <c r="E225" s="756" t="s">
        <v>2</v>
      </c>
      <c r="F225" s="733">
        <v>1</v>
      </c>
      <c r="G225" s="756">
        <v>25</v>
      </c>
      <c r="H225" s="757">
        <f t="shared" si="27"/>
        <v>25</v>
      </c>
      <c r="I225" s="705"/>
      <c r="J225" s="571" t="e">
        <f t="shared" si="26"/>
        <v>#VALUE!</v>
      </c>
    </row>
    <row r="226" spans="2:10" ht="13.5" customHeight="1">
      <c r="B226" s="572"/>
      <c r="C226" s="970" t="s">
        <v>269</v>
      </c>
      <c r="D226" s="971"/>
      <c r="E226" s="756" t="s">
        <v>256</v>
      </c>
      <c r="F226" s="733">
        <v>2</v>
      </c>
      <c r="G226" s="756">
        <v>12</v>
      </c>
      <c r="H226" s="757">
        <f t="shared" si="27"/>
        <v>24</v>
      </c>
      <c r="I226" s="705"/>
      <c r="J226" s="571" t="e">
        <f t="shared" si="26"/>
        <v>#VALUE!</v>
      </c>
    </row>
    <row r="227" spans="2:10" ht="13.5" customHeight="1">
      <c r="B227" s="572"/>
      <c r="C227" s="970" t="s">
        <v>40</v>
      </c>
      <c r="D227" s="971"/>
      <c r="E227" s="756" t="s">
        <v>2</v>
      </c>
      <c r="F227" s="733">
        <v>15</v>
      </c>
      <c r="G227" s="756">
        <v>25</v>
      </c>
      <c r="H227" s="757">
        <f t="shared" si="27"/>
        <v>375</v>
      </c>
      <c r="I227" s="705"/>
      <c r="J227" s="571" t="e">
        <f t="shared" si="26"/>
        <v>#VALUE!</v>
      </c>
    </row>
    <row r="228" spans="2:10" ht="13.5" hidden="1" customHeight="1">
      <c r="B228" s="572"/>
      <c r="C228" s="970" t="s">
        <v>71</v>
      </c>
      <c r="D228" s="971"/>
      <c r="E228" s="756" t="s">
        <v>2</v>
      </c>
      <c r="F228" s="733">
        <v>0</v>
      </c>
      <c r="G228" s="756">
        <v>1</v>
      </c>
      <c r="H228" s="757">
        <f t="shared" si="27"/>
        <v>0</v>
      </c>
      <c r="I228" s="705"/>
      <c r="J228" s="571" t="e">
        <f t="shared" si="26"/>
        <v>#VALUE!</v>
      </c>
    </row>
    <row r="229" spans="2:10" ht="13.5" customHeight="1">
      <c r="B229" s="572"/>
      <c r="C229" s="970" t="s">
        <v>69</v>
      </c>
      <c r="D229" s="971"/>
      <c r="E229" s="756" t="s">
        <v>2</v>
      </c>
      <c r="F229" s="733">
        <v>1</v>
      </c>
      <c r="G229" s="756">
        <v>1</v>
      </c>
      <c r="H229" s="757">
        <f t="shared" si="27"/>
        <v>1</v>
      </c>
      <c r="I229" s="705"/>
      <c r="J229" s="571" t="e">
        <f t="shared" si="26"/>
        <v>#VALUE!</v>
      </c>
    </row>
    <row r="230" spans="2:10" ht="13.5" customHeight="1">
      <c r="B230" s="572"/>
      <c r="C230" s="970" t="s">
        <v>79</v>
      </c>
      <c r="D230" s="971"/>
      <c r="E230" s="756" t="s">
        <v>35</v>
      </c>
      <c r="F230" s="733">
        <v>1</v>
      </c>
      <c r="G230" s="756">
        <v>60</v>
      </c>
      <c r="H230" s="757">
        <f t="shared" si="27"/>
        <v>60</v>
      </c>
      <c r="I230" s="705"/>
      <c r="J230" s="571" t="e">
        <f t="shared" si="26"/>
        <v>#VALUE!</v>
      </c>
    </row>
    <row r="231" spans="2:10" ht="13.5" customHeight="1">
      <c r="B231" s="572"/>
      <c r="C231" s="970" t="s">
        <v>59</v>
      </c>
      <c r="D231" s="971"/>
      <c r="E231" s="756" t="s">
        <v>2</v>
      </c>
      <c r="F231" s="733">
        <v>1</v>
      </c>
      <c r="G231" s="756">
        <v>5</v>
      </c>
      <c r="H231" s="757">
        <f t="shared" si="27"/>
        <v>5</v>
      </c>
      <c r="I231" s="705"/>
      <c r="J231" s="571" t="e">
        <f t="shared" si="26"/>
        <v>#VALUE!</v>
      </c>
    </row>
    <row r="232" spans="2:10" ht="13.5" customHeight="1">
      <c r="B232" s="572"/>
      <c r="C232" s="970" t="s">
        <v>67</v>
      </c>
      <c r="D232" s="971"/>
      <c r="E232" s="756" t="s">
        <v>2</v>
      </c>
      <c r="F232" s="733">
        <v>2</v>
      </c>
      <c r="G232" s="756">
        <v>5</v>
      </c>
      <c r="H232" s="757">
        <f t="shared" si="27"/>
        <v>10</v>
      </c>
      <c r="I232" s="705"/>
      <c r="J232" s="571" t="e">
        <f t="shared" si="26"/>
        <v>#VALUE!</v>
      </c>
    </row>
    <row r="233" spans="2:10" ht="13.5" hidden="1" customHeight="1">
      <c r="B233" s="572"/>
      <c r="C233" s="970" t="s">
        <v>38</v>
      </c>
      <c r="D233" s="971"/>
      <c r="E233" s="756" t="s">
        <v>2</v>
      </c>
      <c r="F233" s="733">
        <v>0</v>
      </c>
      <c r="G233" s="756">
        <v>6</v>
      </c>
      <c r="H233" s="757">
        <f t="shared" si="27"/>
        <v>0</v>
      </c>
      <c r="I233" s="705"/>
      <c r="J233" s="571" t="e">
        <f t="shared" si="26"/>
        <v>#VALUE!</v>
      </c>
    </row>
    <row r="234" spans="2:10" ht="13.5" hidden="1" customHeight="1">
      <c r="B234" s="572"/>
      <c r="C234" s="970" t="s">
        <v>39</v>
      </c>
      <c r="D234" s="971"/>
      <c r="E234" s="756" t="s">
        <v>2</v>
      </c>
      <c r="F234" s="733">
        <v>0</v>
      </c>
      <c r="G234" s="756">
        <v>6</v>
      </c>
      <c r="H234" s="757">
        <f t="shared" si="27"/>
        <v>0</v>
      </c>
      <c r="I234" s="705"/>
      <c r="J234" s="571" t="e">
        <f t="shared" si="26"/>
        <v>#VALUE!</v>
      </c>
    </row>
    <row r="235" spans="2:10" ht="13.5" customHeight="1">
      <c r="B235" s="572"/>
      <c r="C235" s="970" t="s">
        <v>86</v>
      </c>
      <c r="D235" s="971"/>
      <c r="E235" s="756" t="s">
        <v>2</v>
      </c>
      <c r="F235" s="733">
        <v>1</v>
      </c>
      <c r="G235" s="756">
        <v>2</v>
      </c>
      <c r="H235" s="757">
        <f t="shared" si="27"/>
        <v>2</v>
      </c>
      <c r="I235" s="705"/>
      <c r="J235" s="571" t="e">
        <f t="shared" si="26"/>
        <v>#VALUE!</v>
      </c>
    </row>
    <row r="236" spans="2:10" ht="13.5" customHeight="1">
      <c r="B236" s="572"/>
      <c r="C236" s="970" t="s">
        <v>581</v>
      </c>
      <c r="D236" s="971"/>
      <c r="E236" s="756" t="s">
        <v>2</v>
      </c>
      <c r="F236" s="733">
        <v>1</v>
      </c>
      <c r="G236" s="756">
        <v>50</v>
      </c>
      <c r="H236" s="757">
        <f t="shared" si="27"/>
        <v>50</v>
      </c>
      <c r="I236" s="705"/>
      <c r="J236" s="571" t="e">
        <f t="shared" si="26"/>
        <v>#VALUE!</v>
      </c>
    </row>
    <row r="237" spans="2:10" ht="13.5" customHeight="1">
      <c r="B237" s="572"/>
      <c r="C237" s="970" t="s">
        <v>582</v>
      </c>
      <c r="D237" s="971"/>
      <c r="E237" s="756" t="s">
        <v>2</v>
      </c>
      <c r="F237" s="733">
        <v>1</v>
      </c>
      <c r="G237" s="756">
        <v>45</v>
      </c>
      <c r="H237" s="757">
        <f t="shared" si="27"/>
        <v>45</v>
      </c>
      <c r="I237" s="705"/>
      <c r="J237" s="571" t="e">
        <f t="shared" si="26"/>
        <v>#VALUE!</v>
      </c>
    </row>
    <row r="238" spans="2:10" ht="13.5" customHeight="1">
      <c r="B238" s="572"/>
      <c r="C238" s="970" t="s">
        <v>583</v>
      </c>
      <c r="D238" s="971"/>
      <c r="E238" s="756" t="s">
        <v>2</v>
      </c>
      <c r="F238" s="733">
        <v>1</v>
      </c>
      <c r="G238" s="756">
        <v>40</v>
      </c>
      <c r="H238" s="757">
        <f t="shared" si="27"/>
        <v>40</v>
      </c>
      <c r="I238" s="705"/>
      <c r="J238" s="571" t="e">
        <f t="shared" si="26"/>
        <v>#VALUE!</v>
      </c>
    </row>
    <row r="239" spans="2:10" ht="13.5" customHeight="1">
      <c r="B239" s="572"/>
      <c r="C239" s="970" t="s">
        <v>232</v>
      </c>
      <c r="D239" s="971"/>
      <c r="E239" s="756" t="s">
        <v>2</v>
      </c>
      <c r="F239" s="733">
        <v>1</v>
      </c>
      <c r="G239" s="756">
        <v>10</v>
      </c>
      <c r="H239" s="757">
        <f t="shared" si="27"/>
        <v>10</v>
      </c>
      <c r="I239" s="705"/>
      <c r="J239" s="571" t="e">
        <f t="shared" si="26"/>
        <v>#VALUE!</v>
      </c>
    </row>
    <row r="240" spans="2:10" ht="13.5" customHeight="1">
      <c r="B240" s="572"/>
      <c r="C240" s="970" t="s">
        <v>80</v>
      </c>
      <c r="D240" s="971"/>
      <c r="E240" s="756" t="s">
        <v>2</v>
      </c>
      <c r="F240" s="733">
        <v>1</v>
      </c>
      <c r="G240" s="756">
        <v>8</v>
      </c>
      <c r="H240" s="757">
        <f t="shared" si="27"/>
        <v>8</v>
      </c>
      <c r="I240" s="705"/>
      <c r="J240" s="571" t="e">
        <f t="shared" si="26"/>
        <v>#VALUE!</v>
      </c>
    </row>
    <row r="241" spans="2:12" ht="13.5" customHeight="1">
      <c r="B241" s="572"/>
      <c r="C241" s="970" t="s">
        <v>81</v>
      </c>
      <c r="D241" s="971"/>
      <c r="E241" s="756" t="s">
        <v>2</v>
      </c>
      <c r="F241" s="733">
        <v>1</v>
      </c>
      <c r="G241" s="756">
        <v>25</v>
      </c>
      <c r="H241" s="757">
        <f t="shared" si="27"/>
        <v>25</v>
      </c>
      <c r="I241" s="705"/>
      <c r="J241" s="571" t="e">
        <f t="shared" si="26"/>
        <v>#VALUE!</v>
      </c>
    </row>
    <row r="242" spans="2:12" ht="13.5" customHeight="1">
      <c r="B242" s="572"/>
      <c r="C242" s="970" t="s">
        <v>58</v>
      </c>
      <c r="D242" s="971"/>
      <c r="E242" s="756" t="s">
        <v>35</v>
      </c>
      <c r="F242" s="733">
        <v>1</v>
      </c>
      <c r="G242" s="756">
        <v>6</v>
      </c>
      <c r="H242" s="757">
        <f t="shared" si="27"/>
        <v>6</v>
      </c>
      <c r="I242" s="705"/>
      <c r="J242" s="571" t="e">
        <f t="shared" si="26"/>
        <v>#VALUE!</v>
      </c>
    </row>
    <row r="243" spans="2:12" ht="13.5" customHeight="1">
      <c r="B243" s="572"/>
      <c r="C243" s="970" t="s">
        <v>57</v>
      </c>
      <c r="D243" s="971"/>
      <c r="E243" s="756" t="s">
        <v>584</v>
      </c>
      <c r="F243" s="733">
        <v>1</v>
      </c>
      <c r="G243" s="756">
        <v>10</v>
      </c>
      <c r="H243" s="757">
        <f t="shared" si="27"/>
        <v>10</v>
      </c>
      <c r="I243" s="705"/>
      <c r="J243" s="571" t="e">
        <f t="shared" si="26"/>
        <v>#VALUE!</v>
      </c>
    </row>
    <row r="244" spans="2:12" ht="13.5" customHeight="1">
      <c r="B244" s="572"/>
      <c r="C244" s="970" t="s">
        <v>72</v>
      </c>
      <c r="D244" s="971"/>
      <c r="E244" s="756" t="s">
        <v>35</v>
      </c>
      <c r="F244" s="733">
        <v>1</v>
      </c>
      <c r="G244" s="756">
        <v>20</v>
      </c>
      <c r="H244" s="757">
        <f t="shared" si="27"/>
        <v>20</v>
      </c>
      <c r="I244" s="705"/>
      <c r="J244" s="571" t="e">
        <f t="shared" si="26"/>
        <v>#VALUE!</v>
      </c>
    </row>
    <row r="245" spans="2:12" ht="13.5" customHeight="1">
      <c r="B245" s="572"/>
      <c r="C245" s="970" t="s">
        <v>43</v>
      </c>
      <c r="D245" s="971"/>
      <c r="E245" s="756" t="s">
        <v>37</v>
      </c>
      <c r="F245" s="733">
        <v>8</v>
      </c>
      <c r="G245" s="756">
        <v>30</v>
      </c>
      <c r="H245" s="757">
        <f t="shared" si="27"/>
        <v>240</v>
      </c>
      <c r="I245" s="705"/>
      <c r="J245" s="571" t="e">
        <f t="shared" si="26"/>
        <v>#VALUE!</v>
      </c>
    </row>
    <row r="246" spans="2:12" ht="13.5" customHeight="1">
      <c r="B246" s="572"/>
      <c r="C246" s="970" t="s">
        <v>585</v>
      </c>
      <c r="D246" s="971"/>
      <c r="E246" s="756" t="s">
        <v>586</v>
      </c>
      <c r="F246" s="733">
        <v>1</v>
      </c>
      <c r="G246" s="756">
        <v>30</v>
      </c>
      <c r="H246" s="757">
        <f t="shared" si="27"/>
        <v>30</v>
      </c>
      <c r="I246" s="705"/>
      <c r="J246" s="571" t="e">
        <f t="shared" si="26"/>
        <v>#VALUE!</v>
      </c>
    </row>
    <row r="247" spans="2:12" ht="13.5" customHeight="1">
      <c r="B247" s="572"/>
      <c r="C247" s="970" t="s">
        <v>587</v>
      </c>
      <c r="D247" s="971"/>
      <c r="E247" s="756" t="s">
        <v>586</v>
      </c>
      <c r="F247" s="733">
        <v>1</v>
      </c>
      <c r="G247" s="756">
        <v>25</v>
      </c>
      <c r="H247" s="757">
        <f t="shared" si="27"/>
        <v>25</v>
      </c>
      <c r="I247" s="705"/>
      <c r="J247" s="571" t="e">
        <f t="shared" si="26"/>
        <v>#VALUE!</v>
      </c>
    </row>
    <row r="248" spans="2:12" ht="13.5" customHeight="1">
      <c r="B248" s="572"/>
      <c r="C248" s="970" t="s">
        <v>588</v>
      </c>
      <c r="D248" s="971"/>
      <c r="E248" s="756" t="s">
        <v>586</v>
      </c>
      <c r="F248" s="733">
        <v>1</v>
      </c>
      <c r="G248" s="756">
        <v>25</v>
      </c>
      <c r="H248" s="757">
        <f t="shared" si="27"/>
        <v>25</v>
      </c>
      <c r="I248" s="705"/>
      <c r="J248" s="571" t="e">
        <f t="shared" si="26"/>
        <v>#VALUE!</v>
      </c>
    </row>
    <row r="249" spans="2:12" ht="13.5" customHeight="1">
      <c r="B249" s="572"/>
      <c r="C249" s="970" t="s">
        <v>589</v>
      </c>
      <c r="D249" s="971"/>
      <c r="E249" s="756" t="s">
        <v>256</v>
      </c>
      <c r="F249" s="733">
        <v>1</v>
      </c>
      <c r="G249" s="756">
        <v>50</v>
      </c>
      <c r="H249" s="757">
        <f t="shared" si="27"/>
        <v>50</v>
      </c>
      <c r="I249" s="705"/>
      <c r="J249" s="571" t="e">
        <f t="shared" si="26"/>
        <v>#VALUE!</v>
      </c>
    </row>
    <row r="250" spans="2:12" ht="13.5" customHeight="1">
      <c r="B250" s="572"/>
      <c r="C250" s="970" t="s">
        <v>65</v>
      </c>
      <c r="D250" s="971"/>
      <c r="E250" s="756" t="s">
        <v>2</v>
      </c>
      <c r="F250" s="733">
        <v>2</v>
      </c>
      <c r="G250" s="756">
        <v>5</v>
      </c>
      <c r="H250" s="757">
        <f t="shared" si="27"/>
        <v>10</v>
      </c>
      <c r="I250" s="705"/>
      <c r="J250" s="571" t="e">
        <f t="shared" si="26"/>
        <v>#VALUE!</v>
      </c>
    </row>
    <row r="251" spans="2:12" ht="13.5" hidden="1" customHeight="1">
      <c r="B251" s="572"/>
      <c r="C251" s="970" t="s">
        <v>82</v>
      </c>
      <c r="D251" s="971"/>
      <c r="E251" s="756" t="s">
        <v>2</v>
      </c>
      <c r="F251" s="733">
        <v>0</v>
      </c>
      <c r="G251" s="756">
        <v>3</v>
      </c>
      <c r="H251" s="757">
        <f t="shared" si="27"/>
        <v>0</v>
      </c>
      <c r="I251" s="705"/>
      <c r="J251" s="571" t="e">
        <f t="shared" si="26"/>
        <v>#VALUE!</v>
      </c>
    </row>
    <row r="252" spans="2:12" ht="13.5" customHeight="1">
      <c r="B252" s="572"/>
      <c r="C252" s="970" t="s">
        <v>61</v>
      </c>
      <c r="D252" s="971"/>
      <c r="E252" s="756" t="s">
        <v>35</v>
      </c>
      <c r="F252" s="733">
        <v>1</v>
      </c>
      <c r="G252" s="756">
        <v>30</v>
      </c>
      <c r="H252" s="757">
        <f t="shared" si="27"/>
        <v>30</v>
      </c>
      <c r="I252" s="705"/>
      <c r="J252" s="571" t="e">
        <f t="shared" si="26"/>
        <v>#VALUE!</v>
      </c>
    </row>
    <row r="253" spans="2:12" ht="13.5" customHeight="1">
      <c r="B253" s="572"/>
      <c r="C253" s="970" t="s">
        <v>63</v>
      </c>
      <c r="D253" s="971"/>
      <c r="E253" s="756" t="s">
        <v>2</v>
      </c>
      <c r="F253" s="733">
        <v>2</v>
      </c>
      <c r="G253" s="756">
        <v>3</v>
      </c>
      <c r="H253" s="757">
        <f t="shared" si="27"/>
        <v>6</v>
      </c>
      <c r="I253" s="705"/>
      <c r="J253" s="571" t="e">
        <f t="shared" si="26"/>
        <v>#VALUE!</v>
      </c>
    </row>
    <row r="254" spans="2:12" ht="13.5" customHeight="1">
      <c r="B254" s="572"/>
      <c r="C254" s="970" t="s">
        <v>66</v>
      </c>
      <c r="D254" s="971"/>
      <c r="E254" s="756" t="s">
        <v>2</v>
      </c>
      <c r="F254" s="733">
        <v>1</v>
      </c>
      <c r="G254" s="756">
        <v>4.5</v>
      </c>
      <c r="H254" s="757">
        <f t="shared" si="27"/>
        <v>4.5</v>
      </c>
      <c r="I254" s="705"/>
      <c r="J254" s="571" t="e">
        <f t="shared" si="26"/>
        <v>#VALUE!</v>
      </c>
    </row>
    <row r="255" spans="2:12" ht="13.5" customHeight="1">
      <c r="B255" s="572"/>
      <c r="C255" s="970" t="s">
        <v>41</v>
      </c>
      <c r="D255" s="970"/>
      <c r="E255" s="770" t="s">
        <v>2</v>
      </c>
      <c r="F255" s="733">
        <v>4</v>
      </c>
      <c r="G255" s="756">
        <v>25</v>
      </c>
      <c r="H255" s="757">
        <f t="shared" si="27"/>
        <v>100</v>
      </c>
      <c r="I255" s="705"/>
      <c r="J255" s="571" t="e">
        <f t="shared" si="26"/>
        <v>#VALUE!</v>
      </c>
      <c r="L255" s="771">
        <v>7044.4</v>
      </c>
    </row>
    <row r="256" spans="2:12" ht="13.5" customHeight="1">
      <c r="B256" s="704"/>
      <c r="C256" s="962" t="s">
        <v>3</v>
      </c>
      <c r="D256" s="962"/>
      <c r="E256" s="962"/>
      <c r="F256" s="962"/>
      <c r="G256" s="962"/>
      <c r="H256" s="714">
        <f>SUM(H221:H255)</f>
        <v>1993.5</v>
      </c>
      <c r="I256" s="705"/>
    </row>
    <row r="257" spans="2:11" ht="13.5" customHeight="1">
      <c r="B257" s="704"/>
      <c r="C257" s="578"/>
      <c r="D257" s="578"/>
      <c r="E257" s="578"/>
      <c r="F257" s="578"/>
      <c r="G257" s="578"/>
      <c r="H257" s="699"/>
      <c r="I257" s="705"/>
    </row>
    <row r="258" spans="2:11" s="656" customFormat="1" ht="13.5" customHeight="1">
      <c r="B258" s="724" t="s">
        <v>315</v>
      </c>
      <c r="C258" s="725"/>
      <c r="D258" s="680"/>
      <c r="E258" s="680"/>
      <c r="F258" s="680"/>
      <c r="G258" s="681"/>
      <c r="H258" s="681" t="s">
        <v>0</v>
      </c>
      <c r="I258" s="682">
        <f>+ROUND((I261+I272+I279),2)</f>
        <v>2080</v>
      </c>
      <c r="J258" s="683"/>
    </row>
    <row r="259" spans="2:11" s="685" customFormat="1" ht="13.5" customHeight="1">
      <c r="B259" s="726"/>
      <c r="C259" s="727"/>
      <c r="D259" s="686"/>
      <c r="E259" s="686"/>
      <c r="F259" s="686"/>
      <c r="G259" s="687"/>
      <c r="H259" s="687"/>
      <c r="I259" s="688"/>
      <c r="J259" s="689"/>
    </row>
    <row r="260" spans="2:11" ht="13.5" customHeight="1">
      <c r="B260" s="715"/>
      <c r="C260" s="641"/>
      <c r="D260" s="699"/>
      <c r="E260" s="699"/>
      <c r="F260" s="700"/>
      <c r="G260" s="700"/>
      <c r="H260" s="699"/>
      <c r="I260" s="705"/>
    </row>
    <row r="261" spans="2:11" ht="13.5" customHeight="1">
      <c r="B261" s="701">
        <v>1</v>
      </c>
      <c r="C261" s="641" t="s">
        <v>20</v>
      </c>
      <c r="D261" s="699"/>
      <c r="E261" s="699"/>
      <c r="F261" s="700"/>
      <c r="G261" s="700"/>
      <c r="H261" s="702" t="s">
        <v>0</v>
      </c>
      <c r="I261" s="703">
        <f>+H270</f>
        <v>1180</v>
      </c>
    </row>
    <row r="262" spans="2:11" ht="13.5" customHeight="1">
      <c r="B262" s="715"/>
      <c r="C262" s="641"/>
      <c r="D262" s="699"/>
      <c r="E262" s="699"/>
      <c r="F262" s="700"/>
      <c r="G262" s="700"/>
      <c r="H262" s="699"/>
      <c r="I262" s="705"/>
    </row>
    <row r="263" spans="2:11" ht="13.5" customHeight="1">
      <c r="B263" s="572"/>
      <c r="C263" s="964" t="s">
        <v>34</v>
      </c>
      <c r="D263" s="966"/>
      <c r="E263" s="709" t="s">
        <v>44</v>
      </c>
      <c r="F263" s="709" t="s">
        <v>18</v>
      </c>
      <c r="G263" s="722" t="s">
        <v>5</v>
      </c>
      <c r="H263" s="722" t="s">
        <v>4</v>
      </c>
      <c r="I263" s="705"/>
    </row>
    <row r="264" spans="2:11" ht="13.5" hidden="1" customHeight="1">
      <c r="B264" s="572"/>
      <c r="C264" s="968" t="s">
        <v>590</v>
      </c>
      <c r="D264" s="969"/>
      <c r="E264" s="774" t="s">
        <v>9</v>
      </c>
      <c r="F264" s="775">
        <v>0</v>
      </c>
      <c r="G264" s="640">
        <v>1500</v>
      </c>
      <c r="H264" s="776">
        <f t="shared" ref="H264:H269" si="28">F264*G264</f>
        <v>0</v>
      </c>
      <c r="I264" s="705"/>
    </row>
    <row r="265" spans="2:11" ht="13.5" hidden="1" customHeight="1">
      <c r="B265" s="572"/>
      <c r="C265" s="772" t="s">
        <v>591</v>
      </c>
      <c r="D265" s="773"/>
      <c r="E265" s="774" t="s">
        <v>9</v>
      </c>
      <c r="F265" s="775">
        <v>0</v>
      </c>
      <c r="G265" s="640">
        <v>1500</v>
      </c>
      <c r="H265" s="776">
        <f t="shared" si="28"/>
        <v>0</v>
      </c>
      <c r="I265" s="705"/>
    </row>
    <row r="266" spans="2:11" ht="13.5" customHeight="1">
      <c r="B266" s="572"/>
      <c r="C266" s="968" t="s">
        <v>592</v>
      </c>
      <c r="D266" s="969"/>
      <c r="E266" s="774" t="s">
        <v>2</v>
      </c>
      <c r="F266" s="775">
        <v>1</v>
      </c>
      <c r="G266" s="640">
        <v>90</v>
      </c>
      <c r="H266" s="776">
        <f t="shared" si="28"/>
        <v>90</v>
      </c>
      <c r="I266" s="705"/>
    </row>
    <row r="267" spans="2:11" ht="13.5" customHeight="1">
      <c r="B267" s="572"/>
      <c r="C267" s="968" t="s">
        <v>593</v>
      </c>
      <c r="D267" s="969"/>
      <c r="E267" s="774" t="s">
        <v>2</v>
      </c>
      <c r="F267" s="775">
        <v>1</v>
      </c>
      <c r="G267" s="640">
        <v>90</v>
      </c>
      <c r="H267" s="776">
        <f t="shared" si="28"/>
        <v>90</v>
      </c>
      <c r="I267" s="705"/>
    </row>
    <row r="268" spans="2:11" ht="13.5" customHeight="1">
      <c r="B268" s="572"/>
      <c r="C268" s="968" t="s">
        <v>594</v>
      </c>
      <c r="D268" s="969"/>
      <c r="E268" s="774" t="s">
        <v>2</v>
      </c>
      <c r="F268" s="775">
        <v>0</v>
      </c>
      <c r="G268" s="640">
        <v>90</v>
      </c>
      <c r="H268" s="776">
        <f t="shared" si="28"/>
        <v>0</v>
      </c>
      <c r="I268" s="705"/>
    </row>
    <row r="269" spans="2:11" ht="13.5" customHeight="1">
      <c r="B269" s="572"/>
      <c r="C269" s="772" t="s">
        <v>415</v>
      </c>
      <c r="D269" s="773"/>
      <c r="E269" s="774" t="s">
        <v>9</v>
      </c>
      <c r="F269" s="775">
        <v>1</v>
      </c>
      <c r="G269" s="640">
        <v>1000</v>
      </c>
      <c r="H269" s="776">
        <f t="shared" si="28"/>
        <v>1000</v>
      </c>
      <c r="I269" s="705"/>
    </row>
    <row r="270" spans="2:11" ht="13.5" customHeight="1">
      <c r="B270" s="704"/>
      <c r="C270" s="962" t="s">
        <v>3</v>
      </c>
      <c r="D270" s="962"/>
      <c r="E270" s="962"/>
      <c r="F270" s="962"/>
      <c r="G270" s="963"/>
      <c r="H270" s="723">
        <f>SUM(H264:H269)</f>
        <v>1180</v>
      </c>
      <c r="I270" s="705"/>
      <c r="K270" s="571">
        <v>990</v>
      </c>
    </row>
    <row r="271" spans="2:11" ht="13.5" customHeight="1">
      <c r="B271" s="704"/>
      <c r="C271" s="578"/>
      <c r="D271" s="578"/>
      <c r="E271" s="578"/>
      <c r="F271" s="578"/>
      <c r="G271" s="578"/>
      <c r="H271" s="699"/>
      <c r="I271" s="705"/>
    </row>
    <row r="272" spans="2:11" ht="13.5" customHeight="1">
      <c r="B272" s="701">
        <v>2</v>
      </c>
      <c r="C272" s="641" t="s">
        <v>42</v>
      </c>
      <c r="D272" s="699"/>
      <c r="E272" s="699"/>
      <c r="F272" s="700"/>
      <c r="G272" s="700"/>
      <c r="H272" s="702" t="s">
        <v>0</v>
      </c>
      <c r="I272" s="703">
        <f>+H277</f>
        <v>900</v>
      </c>
    </row>
    <row r="273" spans="2:14" ht="13.5" customHeight="1">
      <c r="B273" s="715"/>
      <c r="C273" s="641"/>
      <c r="D273" s="699"/>
      <c r="E273" s="699"/>
      <c r="F273" s="700"/>
      <c r="G273" s="700"/>
      <c r="H273" s="699"/>
      <c r="I273" s="705"/>
    </row>
    <row r="274" spans="2:14" ht="13.5" customHeight="1">
      <c r="B274" s="572"/>
      <c r="C274" s="708" t="s">
        <v>34</v>
      </c>
      <c r="D274" s="709" t="s">
        <v>44</v>
      </c>
      <c r="E274" s="709" t="s">
        <v>18</v>
      </c>
      <c r="F274" s="709" t="s">
        <v>32</v>
      </c>
      <c r="G274" s="722" t="s">
        <v>5</v>
      </c>
      <c r="H274" s="722" t="s">
        <v>4</v>
      </c>
      <c r="I274" s="705"/>
    </row>
    <row r="275" spans="2:14" ht="13.5" customHeight="1">
      <c r="B275" s="572"/>
      <c r="C275" s="777" t="s">
        <v>249</v>
      </c>
      <c r="D275" s="778" t="s">
        <v>238</v>
      </c>
      <c r="E275" s="778">
        <v>1</v>
      </c>
      <c r="F275" s="779">
        <v>3</v>
      </c>
      <c r="G275" s="756">
        <v>150</v>
      </c>
      <c r="H275" s="776">
        <f>+E275*F275*G275</f>
        <v>450</v>
      </c>
      <c r="I275" s="705"/>
      <c r="K275" s="571">
        <v>1250</v>
      </c>
    </row>
    <row r="276" spans="2:14" ht="13.5" customHeight="1">
      <c r="B276" s="572"/>
      <c r="C276" s="777" t="s">
        <v>322</v>
      </c>
      <c r="D276" s="778" t="s">
        <v>238</v>
      </c>
      <c r="E276" s="778">
        <v>1</v>
      </c>
      <c r="F276" s="779">
        <v>3</v>
      </c>
      <c r="G276" s="756">
        <v>150</v>
      </c>
      <c r="H276" s="776">
        <f>+E276*F276*G276</f>
        <v>450</v>
      </c>
      <c r="I276" s="705"/>
    </row>
    <row r="277" spans="2:14" ht="13.5" customHeight="1">
      <c r="B277" s="572"/>
      <c r="C277" s="962" t="s">
        <v>3</v>
      </c>
      <c r="D277" s="962"/>
      <c r="E277" s="962"/>
      <c r="F277" s="962"/>
      <c r="G277" s="963"/>
      <c r="H277" s="723">
        <f>SUM(H275:H276)</f>
        <v>900</v>
      </c>
      <c r="I277" s="705"/>
    </row>
    <row r="278" spans="2:14" ht="13.5" customHeight="1">
      <c r="B278" s="572"/>
      <c r="C278" s="578"/>
      <c r="D278" s="578"/>
      <c r="E278" s="578"/>
      <c r="F278" s="578"/>
      <c r="G278" s="578"/>
      <c r="H278" s="699"/>
      <c r="I278" s="705"/>
    </row>
    <row r="279" spans="2:14" ht="13.5" hidden="1" customHeight="1">
      <c r="B279" s="701">
        <v>3</v>
      </c>
      <c r="C279" s="641" t="s">
        <v>457</v>
      </c>
      <c r="D279" s="699"/>
      <c r="E279" s="699"/>
      <c r="F279" s="700"/>
      <c r="G279" s="700"/>
      <c r="H279" s="702" t="s">
        <v>0</v>
      </c>
      <c r="I279" s="703">
        <f>H283</f>
        <v>0</v>
      </c>
    </row>
    <row r="280" spans="2:14" ht="13.5" hidden="1" customHeight="1">
      <c r="B280" s="701"/>
      <c r="C280" s="641"/>
      <c r="D280" s="699"/>
      <c r="E280" s="699"/>
      <c r="F280" s="700"/>
      <c r="G280" s="700"/>
      <c r="H280" s="702"/>
      <c r="I280" s="703"/>
    </row>
    <row r="281" spans="2:14" ht="13.5" hidden="1" customHeight="1">
      <c r="B281" s="701"/>
      <c r="C281" s="708" t="s">
        <v>34</v>
      </c>
      <c r="D281" s="709" t="s">
        <v>44</v>
      </c>
      <c r="E281" s="709" t="s">
        <v>18</v>
      </c>
      <c r="F281" s="709" t="s">
        <v>458</v>
      </c>
      <c r="G281" s="709" t="s">
        <v>5</v>
      </c>
      <c r="H281" s="709" t="s">
        <v>4</v>
      </c>
      <c r="I281" s="703"/>
      <c r="K281" s="741" t="s">
        <v>464</v>
      </c>
      <c r="L281" s="741" t="s">
        <v>465</v>
      </c>
      <c r="M281" s="741" t="s">
        <v>466</v>
      </c>
      <c r="N281" s="741" t="s">
        <v>463</v>
      </c>
    </row>
    <row r="282" spans="2:14" ht="13.5" hidden="1" customHeight="1">
      <c r="B282" s="701"/>
      <c r="C282" s="777" t="s">
        <v>109</v>
      </c>
      <c r="D282" s="778" t="s">
        <v>122</v>
      </c>
      <c r="E282" s="778">
        <v>1</v>
      </c>
      <c r="F282" s="778">
        <v>0</v>
      </c>
      <c r="G282" s="778">
        <v>280</v>
      </c>
      <c r="H282" s="780">
        <f>+E282*F282*G282</f>
        <v>0</v>
      </c>
      <c r="I282" s="703"/>
      <c r="K282" s="581">
        <v>2</v>
      </c>
      <c r="L282" s="581">
        <v>4</v>
      </c>
      <c r="M282" s="743">
        <f>+O193</f>
        <v>5</v>
      </c>
      <c r="N282" s="581">
        <f>PRODUCT(K282:M282)</f>
        <v>40</v>
      </c>
    </row>
    <row r="283" spans="2:14" ht="13.5" hidden="1" customHeight="1">
      <c r="B283" s="701"/>
      <c r="C283" s="964" t="s">
        <v>3</v>
      </c>
      <c r="D283" s="965"/>
      <c r="E283" s="965"/>
      <c r="F283" s="965"/>
      <c r="G283" s="966"/>
      <c r="H283" s="714">
        <f>SUM(H282:H282)</f>
        <v>0</v>
      </c>
      <c r="I283" s="703"/>
    </row>
    <row r="284" spans="2:14" ht="13.5" customHeight="1">
      <c r="B284" s="701"/>
      <c r="C284" s="641"/>
      <c r="D284" s="699"/>
      <c r="E284" s="699"/>
      <c r="F284" s="700"/>
      <c r="G284" s="700"/>
      <c r="H284" s="702"/>
      <c r="I284" s="703"/>
    </row>
    <row r="285" spans="2:14" ht="13.5" customHeight="1">
      <c r="B285" s="572"/>
      <c r="C285" s="578"/>
      <c r="D285" s="578"/>
      <c r="E285" s="578"/>
      <c r="F285" s="578"/>
      <c r="G285" s="578"/>
      <c r="H285" s="699"/>
      <c r="I285" s="705"/>
    </row>
    <row r="286" spans="2:14" ht="13.5" customHeight="1">
      <c r="B286" s="704"/>
      <c r="C286" s="578"/>
      <c r="D286" s="578"/>
      <c r="E286" s="578"/>
      <c r="F286" s="578"/>
      <c r="G286" s="578"/>
      <c r="H286" s="699"/>
      <c r="I286" s="705"/>
      <c r="L286" s="668"/>
    </row>
    <row r="287" spans="2:14" ht="13.5" customHeight="1">
      <c r="B287" s="967" t="s">
        <v>26</v>
      </c>
      <c r="C287" s="967"/>
      <c r="D287" s="967"/>
      <c r="E287" s="967"/>
      <c r="F287" s="967"/>
      <c r="G287" s="967"/>
      <c r="H287" s="702" t="s">
        <v>0</v>
      </c>
      <c r="I287" s="703">
        <f>+I21</f>
        <v>64632.08</v>
      </c>
    </row>
    <row r="288" spans="2:14" ht="13.5" customHeight="1"/>
    <row r="289" spans="9:9" ht="13.5" customHeight="1">
      <c r="I289" s="781"/>
    </row>
    <row r="290" spans="9:9" ht="13.5" customHeight="1">
      <c r="I290" s="703"/>
    </row>
    <row r="291" spans="9:9" ht="13.5" customHeight="1">
      <c r="I291" s="703"/>
    </row>
    <row r="292" spans="9:9" ht="13.5" customHeight="1">
      <c r="I292" s="703"/>
    </row>
    <row r="293" spans="9:9" ht="13.5" customHeight="1">
      <c r="I293" s="703"/>
    </row>
    <row r="294" spans="9:9" ht="13.5" customHeight="1"/>
    <row r="295" spans="9:9" ht="13.5" customHeight="1"/>
    <row r="296" spans="9:9" ht="13.5" customHeight="1"/>
    <row r="297" spans="9:9" ht="13.5" customHeight="1"/>
    <row r="298" spans="9:9" ht="13.5" customHeight="1"/>
    <row r="299" spans="9:9" ht="13.5" customHeight="1"/>
    <row r="300" spans="9:9" ht="13.5" customHeight="1"/>
    <row r="301" spans="9:9" ht="13.5" customHeight="1"/>
    <row r="302" spans="9:9" ht="13.5" customHeight="1"/>
    <row r="303" spans="9:9" ht="13.5" customHeight="1"/>
    <row r="304" spans="9:9" ht="13.5" customHeight="1"/>
    <row r="305" spans="2:9" ht="13.5" customHeight="1"/>
    <row r="306" spans="2:9" ht="13.5" customHeight="1"/>
    <row r="307" spans="2:9" ht="13.5" customHeight="1"/>
    <row r="308" spans="2:9" ht="13.5" customHeight="1"/>
    <row r="309" spans="2:9" ht="13.5" customHeight="1"/>
    <row r="310" spans="2:9" ht="13.5" customHeight="1"/>
    <row r="311" spans="2:9" ht="13.5" customHeight="1"/>
    <row r="312" spans="2:9" ht="12.75" customHeight="1"/>
    <row r="313" spans="2:9" ht="12.75" customHeight="1"/>
    <row r="314" spans="2:9" ht="12.75" customHeight="1"/>
    <row r="315" spans="2:9" ht="12.75" customHeight="1"/>
    <row r="316" spans="2:9" s="782" customFormat="1" ht="18" customHeight="1">
      <c r="B316" s="642"/>
      <c r="C316" s="569"/>
      <c r="D316" s="569"/>
      <c r="E316" s="569"/>
      <c r="F316" s="570"/>
      <c r="G316" s="570"/>
      <c r="H316" s="569"/>
      <c r="I316" s="569"/>
    </row>
  </sheetData>
  <mergeCells count="70">
    <mergeCell ref="C68:G68"/>
    <mergeCell ref="C3:I3"/>
    <mergeCell ref="C4:I4"/>
    <mergeCell ref="C5:I5"/>
    <mergeCell ref="C6:I6"/>
    <mergeCell ref="B8:I8"/>
    <mergeCell ref="D14:I15"/>
    <mergeCell ref="D16:H16"/>
    <mergeCell ref="C21:H21"/>
    <mergeCell ref="B23:I23"/>
    <mergeCell ref="B25:I25"/>
    <mergeCell ref="C47:G47"/>
    <mergeCell ref="C213:G213"/>
    <mergeCell ref="C86:G86"/>
    <mergeCell ref="C106:G106"/>
    <mergeCell ref="C124:G124"/>
    <mergeCell ref="C144:G144"/>
    <mergeCell ref="C164:G164"/>
    <mergeCell ref="C186:G186"/>
    <mergeCell ref="C192:D192"/>
    <mergeCell ref="C193:D193"/>
    <mergeCell ref="C194:D194"/>
    <mergeCell ref="C195:G195"/>
    <mergeCell ref="C201:D201"/>
    <mergeCell ref="C231:D231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43:D243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55:D255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70:G270"/>
    <mergeCell ref="C277:G277"/>
    <mergeCell ref="C283:G283"/>
    <mergeCell ref="B287:G287"/>
    <mergeCell ref="C256:G256"/>
    <mergeCell ref="C263:D263"/>
    <mergeCell ref="C264:D264"/>
    <mergeCell ref="C266:D266"/>
    <mergeCell ref="C267:D267"/>
    <mergeCell ref="C268:D268"/>
  </mergeCells>
  <conditionalFormatting sqref="D14:E14">
    <cfRule type="aboveAverage" dxfId="3" priority="1" stopIfTrue="1" aboveAverage="0"/>
  </conditionalFormatting>
  <printOptions horizontalCentered="1"/>
  <pageMargins left="0.55118110236220474" right="0.70866141732283472" top="0.43307086614173229" bottom="1.3385826771653544" header="0" footer="0"/>
  <pageSetup paperSize="9" scale="62" fitToHeight="6" orientation="portrait" horizontalDpi="4294967293" r:id="rId1"/>
  <headerFooter alignWithMargins="0">
    <oddFooter>&amp;C&amp;G</oddFooter>
  </headerFooter>
  <rowBreaks count="4" manualBreakCount="4">
    <brk id="87" min="1" max="8" man="1"/>
    <brk id="145" min="1" max="8" man="1"/>
    <brk id="196" min="1" max="8" man="1"/>
    <brk id="257" min="1" max="8" man="1"/>
  </rowBreaks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3">
    <tabColor indexed="43"/>
    <pageSetUpPr fitToPage="1"/>
  </sheetPr>
  <dimension ref="B3:Q245"/>
  <sheetViews>
    <sheetView showGridLines="0" view="pageBreakPreview" topLeftCell="A33" zoomScale="70" zoomScaleNormal="85" zoomScaleSheetLayoutView="70" zoomScalePageLayoutView="75" workbookViewId="0">
      <selection activeCell="D17" sqref="D17:H17"/>
    </sheetView>
  </sheetViews>
  <sheetFormatPr baseColWidth="10" defaultColWidth="11.44140625" defaultRowHeight="13.8"/>
  <cols>
    <col min="1" max="1" width="1.44140625" style="571" customWidth="1"/>
    <col min="2" max="2" width="6.6640625" style="642" customWidth="1"/>
    <col min="3" max="3" width="38.44140625" style="569" customWidth="1"/>
    <col min="4" max="5" width="17.5546875" style="569" customWidth="1"/>
    <col min="6" max="7" width="17.5546875" style="570" customWidth="1"/>
    <col min="8" max="8" width="13.88671875" style="569" customWidth="1"/>
    <col min="9" max="9" width="17.5546875" style="569" customWidth="1"/>
    <col min="10" max="10" width="5.109375" style="571" customWidth="1"/>
    <col min="11" max="16384" width="11.44140625" style="571"/>
  </cols>
  <sheetData>
    <row r="3" spans="2:9" ht="28.8">
      <c r="B3" s="1007" t="s">
        <v>476</v>
      </c>
      <c r="C3" s="1007"/>
      <c r="D3" s="1007"/>
      <c r="E3" s="1007"/>
      <c r="F3" s="1007"/>
      <c r="G3" s="1007"/>
      <c r="H3" s="1007"/>
      <c r="I3" s="1007"/>
    </row>
    <row r="4" spans="2:9" ht="23.4">
      <c r="B4" s="1008" t="s">
        <v>477</v>
      </c>
      <c r="C4" s="1008"/>
      <c r="D4" s="1008"/>
      <c r="E4" s="1008"/>
      <c r="F4" s="1008"/>
      <c r="G4" s="1008"/>
      <c r="H4" s="1008"/>
      <c r="I4" s="1008"/>
    </row>
    <row r="5" spans="2:9" ht="20.399999999999999">
      <c r="B5" s="1009" t="s">
        <v>478</v>
      </c>
      <c r="C5" s="1009"/>
      <c r="D5" s="1009"/>
      <c r="E5" s="1009"/>
      <c r="F5" s="1009"/>
      <c r="G5" s="1009"/>
      <c r="H5" s="1009"/>
      <c r="I5" s="1009"/>
    </row>
    <row r="6" spans="2:9" ht="14.4" customHeight="1" thickBot="1">
      <c r="B6" s="1010" t="str">
        <f>+G.General!C6</f>
        <v>"Año de la Universalización de la Salud"</v>
      </c>
      <c r="C6" s="1010"/>
      <c r="D6" s="1010"/>
      <c r="E6" s="1010"/>
      <c r="F6" s="1010"/>
      <c r="G6" s="1010"/>
      <c r="H6" s="1010"/>
      <c r="I6" s="1010"/>
    </row>
    <row r="7" spans="2:9">
      <c r="B7" s="825"/>
      <c r="C7" s="825"/>
    </row>
    <row r="8" spans="2:9" ht="27" customHeight="1">
      <c r="B8" s="1006" t="s">
        <v>508</v>
      </c>
      <c r="C8" s="1006"/>
      <c r="D8" s="1006"/>
      <c r="E8" s="1006"/>
      <c r="F8" s="1006"/>
      <c r="G8" s="1006"/>
      <c r="H8" s="1006"/>
      <c r="I8" s="1006"/>
    </row>
    <row r="9" spans="2:9" ht="11.25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6" t="s">
        <v>623</v>
      </c>
      <c r="D10" s="575" t="str">
        <f>+'RESUMEN TOTAL'!D9</f>
        <v>: 2485224</v>
      </c>
      <c r="E10" s="575"/>
      <c r="F10" s="573"/>
      <c r="G10" s="574"/>
      <c r="H10" s="573"/>
      <c r="I10" s="573"/>
    </row>
    <row r="11" spans="2:9" ht="18" customHeight="1">
      <c r="C11" s="826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I11" s="575" t="s">
        <v>1</v>
      </c>
    </row>
    <row r="12" spans="2:9" ht="18" customHeight="1">
      <c r="C12" s="826" t="str">
        <f>+'RESUMEN TOTAL'!B12</f>
        <v>Provincia</v>
      </c>
      <c r="D12" s="575" t="str">
        <f>+'RESUMEN TOTAL'!D11</f>
        <v>: APURIMAC</v>
      </c>
      <c r="E12" s="575"/>
      <c r="F12" s="569"/>
      <c r="I12" s="575"/>
    </row>
    <row r="13" spans="2:9" ht="18" customHeight="1">
      <c r="C13" s="826" t="str">
        <f>+'RESUMEN TOTAL'!B13</f>
        <v>Distrito</v>
      </c>
      <c r="D13" s="575" t="str">
        <f>+'RESUMEN TOTAL'!D12</f>
        <v>: ABANCAY</v>
      </c>
      <c r="E13" s="575"/>
      <c r="F13" s="569"/>
      <c r="I13" s="575"/>
    </row>
    <row r="14" spans="2:9" ht="35.25" customHeight="1">
      <c r="C14" s="827" t="s">
        <v>467</v>
      </c>
      <c r="D14" s="980" t="str">
        <f>+'RESUMEN TOTAL'!D6</f>
        <v>"ADQUISICION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APURIMAC"</v>
      </c>
      <c r="E14" s="980"/>
      <c r="F14" s="980"/>
      <c r="G14" s="980"/>
      <c r="H14" s="980"/>
      <c r="I14" s="980"/>
    </row>
    <row r="15" spans="2:9" ht="18" customHeight="1" thickBot="1">
      <c r="C15" s="669"/>
      <c r="D15" s="980"/>
      <c r="E15" s="980"/>
      <c r="F15" s="980"/>
      <c r="G15" s="980"/>
      <c r="H15" s="980"/>
      <c r="I15" s="980"/>
    </row>
    <row r="16" spans="2:9" s="831" customFormat="1" ht="20.25" customHeight="1" thickBot="1">
      <c r="B16" s="828"/>
      <c r="C16" s="829" t="s">
        <v>475</v>
      </c>
      <c r="D16" s="990" t="s">
        <v>468</v>
      </c>
      <c r="E16" s="990"/>
      <c r="F16" s="990"/>
      <c r="G16" s="990"/>
      <c r="H16" s="990"/>
      <c r="I16" s="830" t="s">
        <v>513</v>
      </c>
    </row>
    <row r="17" spans="2:12" s="831" customFormat="1" ht="17.399999999999999" customHeight="1">
      <c r="B17" s="828"/>
      <c r="C17" s="657" t="s">
        <v>262</v>
      </c>
      <c r="D17" s="995" t="s">
        <v>656</v>
      </c>
      <c r="E17" s="996"/>
      <c r="F17" s="996"/>
      <c r="G17" s="996"/>
      <c r="H17" s="997"/>
      <c r="I17" s="832">
        <f>+I27</f>
        <v>22864.58</v>
      </c>
    </row>
    <row r="18" spans="2:12" s="831" customFormat="1" ht="17.399999999999999" customHeight="1">
      <c r="B18" s="828"/>
      <c r="C18" s="657" t="s">
        <v>263</v>
      </c>
      <c r="D18" s="998" t="s">
        <v>657</v>
      </c>
      <c r="E18" s="999"/>
      <c r="F18" s="999"/>
      <c r="G18" s="999"/>
      <c r="H18" s="1000"/>
      <c r="I18" s="576">
        <f>+I120</f>
        <v>1903.8</v>
      </c>
    </row>
    <row r="19" spans="2:12" s="831" customFormat="1" ht="17.399999999999999" customHeight="1">
      <c r="B19" s="828"/>
      <c r="C19" s="657" t="s">
        <v>264</v>
      </c>
      <c r="D19" s="998" t="s">
        <v>658</v>
      </c>
      <c r="E19" s="999"/>
      <c r="F19" s="999"/>
      <c r="G19" s="999"/>
      <c r="H19" s="1000"/>
      <c r="I19" s="576">
        <f>+I196</f>
        <v>1050</v>
      </c>
    </row>
    <row r="20" spans="2:12" s="831" customFormat="1" ht="17.399999999999999" customHeight="1" thickBot="1">
      <c r="B20" s="828"/>
      <c r="C20" s="657" t="s">
        <v>660</v>
      </c>
      <c r="D20" s="1001" t="s">
        <v>659</v>
      </c>
      <c r="E20" s="1002"/>
      <c r="F20" s="1002"/>
      <c r="G20" s="1002"/>
      <c r="H20" s="1003"/>
      <c r="I20" s="833">
        <v>0</v>
      </c>
    </row>
    <row r="21" spans="2:12" s="831" customFormat="1" ht="20.25" customHeight="1" thickBot="1">
      <c r="B21" s="828"/>
      <c r="C21" s="991" t="s">
        <v>51</v>
      </c>
      <c r="D21" s="992"/>
      <c r="E21" s="992"/>
      <c r="F21" s="992"/>
      <c r="G21" s="992"/>
      <c r="H21" s="992"/>
      <c r="I21" s="834">
        <f>SUM(I17:I20)</f>
        <v>25818.38</v>
      </c>
      <c r="J21" s="835"/>
      <c r="K21" s="668">
        <f>+I21/18</f>
        <v>1434.3544444444444</v>
      </c>
      <c r="L21" s="835"/>
    </row>
    <row r="22" spans="2:12" ht="18" customHeight="1">
      <c r="C22" s="669"/>
      <c r="D22" s="670"/>
      <c r="E22" s="670"/>
      <c r="F22" s="671"/>
    </row>
    <row r="23" spans="2:12" ht="27" customHeight="1">
      <c r="B23" s="993" t="s">
        <v>479</v>
      </c>
      <c r="C23" s="993"/>
      <c r="D23" s="993"/>
      <c r="E23" s="993"/>
      <c r="F23" s="993"/>
      <c r="G23" s="993"/>
      <c r="H23" s="993"/>
      <c r="I23" s="993"/>
    </row>
    <row r="24" spans="2:12" ht="8.4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5.75" customHeight="1">
      <c r="B25" s="994" t="s">
        <v>470</v>
      </c>
      <c r="C25" s="994"/>
      <c r="D25" s="994"/>
      <c r="E25" s="994"/>
      <c r="F25" s="994"/>
      <c r="G25" s="994"/>
      <c r="H25" s="994"/>
      <c r="I25" s="994"/>
    </row>
    <row r="26" spans="2:12" ht="12.7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831" customFormat="1" ht="13.5" customHeight="1">
      <c r="B27" s="836" t="s">
        <v>509</v>
      </c>
      <c r="C27" s="837"/>
      <c r="D27" s="838"/>
      <c r="E27" s="838"/>
      <c r="F27" s="838"/>
      <c r="G27" s="839"/>
      <c r="H27" s="840" t="s">
        <v>0</v>
      </c>
      <c r="I27" s="841">
        <f>ROUND((I29+I44+I69+I93+I106),2)</f>
        <v>22864.58</v>
      </c>
      <c r="J27" s="842"/>
    </row>
    <row r="28" spans="2:12" s="844" customFormat="1" ht="13.5" customHeight="1">
      <c r="B28" s="843"/>
      <c r="D28" s="845"/>
      <c r="E28" s="845"/>
      <c r="F28" s="845"/>
      <c r="G28" s="846"/>
      <c r="H28" s="847"/>
      <c r="I28" s="848"/>
      <c r="J28" s="849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+H40</f>
        <v>16350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+H40</f>
        <v>16350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1" ht="13.5" customHeight="1">
      <c r="B33" s="572"/>
      <c r="C33" s="641" t="s">
        <v>556</v>
      </c>
      <c r="D33" s="705"/>
      <c r="E33" s="705"/>
      <c r="F33" s="706"/>
      <c r="G33" s="706"/>
      <c r="H33" s="705"/>
      <c r="I33" s="699"/>
    </row>
    <row r="34" spans="2:11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1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</row>
    <row r="36" spans="2:11" ht="13.5" hidden="1" customHeight="1">
      <c r="B36" s="710"/>
      <c r="C36" s="711" t="s">
        <v>274</v>
      </c>
      <c r="D36" s="640">
        <v>0</v>
      </c>
      <c r="E36" s="640">
        <v>1</v>
      </c>
      <c r="F36" s="640">
        <v>6</v>
      </c>
      <c r="G36" s="640">
        <v>7100</v>
      </c>
      <c r="H36" s="711">
        <f>PRODUCT(D36:G36)</f>
        <v>0</v>
      </c>
      <c r="K36" s="699"/>
    </row>
    <row r="37" spans="2:11" ht="13.5" customHeight="1">
      <c r="B37" s="710"/>
      <c r="C37" s="711" t="s">
        <v>305</v>
      </c>
      <c r="D37" s="640">
        <v>1</v>
      </c>
      <c r="E37" s="640">
        <v>1</v>
      </c>
      <c r="F37" s="640">
        <v>3</v>
      </c>
      <c r="G37" s="640">
        <v>5450</v>
      </c>
      <c r="H37" s="711">
        <f>PRODUCT(D37:G37)</f>
        <v>16350</v>
      </c>
      <c r="K37" s="699"/>
    </row>
    <row r="38" spans="2:11" ht="13.5" hidden="1" customHeight="1">
      <c r="B38" s="710"/>
      <c r="C38" s="711" t="s">
        <v>527</v>
      </c>
      <c r="D38" s="640">
        <v>0</v>
      </c>
      <c r="E38" s="640">
        <v>1</v>
      </c>
      <c r="F38" s="640">
        <v>5</v>
      </c>
      <c r="G38" s="640">
        <v>3350</v>
      </c>
      <c r="H38" s="711">
        <f>PRODUCT(D38:G38)</f>
        <v>0</v>
      </c>
      <c r="K38" s="699"/>
    </row>
    <row r="39" spans="2:11" ht="13.5" hidden="1" customHeight="1">
      <c r="B39" s="710"/>
      <c r="C39" s="711" t="s">
        <v>306</v>
      </c>
      <c r="D39" s="640">
        <v>0</v>
      </c>
      <c r="E39" s="640">
        <v>1</v>
      </c>
      <c r="F39" s="640">
        <v>5</v>
      </c>
      <c r="G39" s="640">
        <v>3350</v>
      </c>
      <c r="H39" s="711">
        <f>PRODUCT(D39:G39)</f>
        <v>0</v>
      </c>
      <c r="I39" s="699"/>
    </row>
    <row r="40" spans="2:11" ht="13.5" customHeight="1">
      <c r="C40" s="986" t="s">
        <v>3</v>
      </c>
      <c r="D40" s="986"/>
      <c r="E40" s="986"/>
      <c r="F40" s="986"/>
      <c r="G40" s="986"/>
      <c r="H40" s="714">
        <f>SUM(H36:H39)</f>
        <v>16350</v>
      </c>
      <c r="I40" s="705"/>
    </row>
    <row r="41" spans="2:11" ht="13.5" customHeight="1">
      <c r="B41" s="572"/>
      <c r="C41" s="699"/>
      <c r="D41" s="699"/>
      <c r="E41" s="699"/>
      <c r="F41" s="700"/>
      <c r="G41" s="700"/>
      <c r="H41" s="699"/>
      <c r="I41" s="699"/>
    </row>
    <row r="42" spans="2:11" ht="13.5" customHeight="1">
      <c r="B42" s="697"/>
      <c r="C42" s="698"/>
      <c r="D42" s="699"/>
      <c r="E42" s="699"/>
      <c r="F42" s="700"/>
      <c r="G42" s="700"/>
      <c r="H42" s="699"/>
      <c r="I42" s="699"/>
    </row>
    <row r="43" spans="2:11" ht="13.5" customHeight="1">
      <c r="B43" s="572"/>
      <c r="C43" s="699"/>
      <c r="D43" s="699"/>
      <c r="E43" s="699"/>
      <c r="F43" s="700"/>
      <c r="G43" s="700"/>
      <c r="H43" s="699"/>
      <c r="I43" s="699"/>
    </row>
    <row r="44" spans="2:11" ht="13.5" customHeight="1">
      <c r="B44" s="690">
        <v>2</v>
      </c>
      <c r="C44" s="691" t="s">
        <v>15</v>
      </c>
      <c r="D44" s="692"/>
      <c r="E44" s="692"/>
      <c r="F44" s="693"/>
      <c r="G44" s="694"/>
      <c r="H44" s="695" t="s">
        <v>0</v>
      </c>
      <c r="I44" s="696">
        <f>+H55+H66</f>
        <v>1970.175</v>
      </c>
    </row>
    <row r="45" spans="2:11" ht="13.5" customHeight="1">
      <c r="B45" s="697"/>
      <c r="C45" s="698"/>
      <c r="D45" s="699"/>
      <c r="E45" s="699"/>
      <c r="F45" s="700"/>
      <c r="G45" s="700"/>
      <c r="H45" s="699"/>
      <c r="I45" s="699"/>
    </row>
    <row r="46" spans="2:11" ht="13.5" customHeight="1">
      <c r="B46" s="701">
        <v>2.0099999999999998</v>
      </c>
      <c r="C46" s="641" t="s">
        <v>95</v>
      </c>
      <c r="D46" s="699"/>
      <c r="E46" s="699"/>
      <c r="F46" s="700"/>
      <c r="G46" s="700"/>
      <c r="H46" s="702" t="s">
        <v>0</v>
      </c>
      <c r="I46" s="703">
        <f>+H55</f>
        <v>1471.5</v>
      </c>
    </row>
    <row r="47" spans="2:11" ht="13.5" customHeight="1">
      <c r="B47" s="715"/>
      <c r="C47" s="641"/>
      <c r="D47" s="699"/>
      <c r="E47" s="699"/>
      <c r="F47" s="700"/>
      <c r="G47" s="700"/>
      <c r="H47" s="699"/>
      <c r="I47" s="699"/>
    </row>
    <row r="48" spans="2:11" ht="13.5" customHeight="1">
      <c r="B48" s="704"/>
      <c r="C48" s="641" t="s">
        <v>29</v>
      </c>
      <c r="D48" s="705"/>
      <c r="E48" s="705"/>
      <c r="F48" s="706"/>
      <c r="G48" s="706"/>
      <c r="H48" s="699"/>
      <c r="I48" s="699"/>
    </row>
    <row r="49" spans="2:9" ht="13.5" customHeight="1">
      <c r="B49" s="704"/>
      <c r="C49" s="641"/>
      <c r="D49" s="705"/>
      <c r="E49" s="705"/>
      <c r="F49" s="706"/>
      <c r="G49" s="706"/>
      <c r="H49" s="699"/>
      <c r="I49" s="699"/>
    </row>
    <row r="50" spans="2:9" ht="13.5" customHeight="1">
      <c r="B50" s="572"/>
      <c r="C50" s="708" t="s">
        <v>30</v>
      </c>
      <c r="D50" s="784" t="s">
        <v>31</v>
      </c>
      <c r="E50" s="784" t="str">
        <f>+E35</f>
        <v>COEF. PARTIC.</v>
      </c>
      <c r="F50" s="784" t="s">
        <v>32</v>
      </c>
      <c r="G50" s="784" t="s">
        <v>13</v>
      </c>
      <c r="H50" s="784" t="s">
        <v>4</v>
      </c>
      <c r="I50" s="699"/>
    </row>
    <row r="51" spans="2:9" ht="13.5" hidden="1" customHeight="1">
      <c r="B51" s="572"/>
      <c r="C51" s="711" t="str">
        <f t="shared" ref="C51:D54" si="0">+C36</f>
        <v>COORDINADOR DE SUPERVISION</v>
      </c>
      <c r="D51" s="640">
        <f t="shared" si="0"/>
        <v>0</v>
      </c>
      <c r="E51" s="640">
        <f>+E36</f>
        <v>1</v>
      </c>
      <c r="F51" s="640">
        <f>+F36</f>
        <v>6</v>
      </c>
      <c r="G51" s="640">
        <f>+G36*0.09</f>
        <v>639</v>
      </c>
      <c r="H51" s="711">
        <f>PRODUCT(D51:G51)</f>
        <v>0</v>
      </c>
      <c r="I51" s="699"/>
    </row>
    <row r="52" spans="2:9" ht="13.5" customHeight="1">
      <c r="B52" s="572"/>
      <c r="C52" s="711" t="str">
        <f t="shared" si="0"/>
        <v>SUPERVISOR DE OBRA</v>
      </c>
      <c r="D52" s="640">
        <f t="shared" si="0"/>
        <v>1</v>
      </c>
      <c r="E52" s="640">
        <f>+E37</f>
        <v>1</v>
      </c>
      <c r="F52" s="640">
        <f>+F37</f>
        <v>3</v>
      </c>
      <c r="G52" s="640">
        <f>+G37*0.09</f>
        <v>490.5</v>
      </c>
      <c r="H52" s="711">
        <f>PRODUCT(D52:G52)</f>
        <v>1471.5</v>
      </c>
      <c r="I52" s="699"/>
    </row>
    <row r="53" spans="2:9" ht="13.5" hidden="1" customHeight="1">
      <c r="B53" s="572"/>
      <c r="C53" s="711" t="str">
        <f t="shared" si="0"/>
        <v>ASISTENTE DEL COORDINADOR</v>
      </c>
      <c r="D53" s="640">
        <f t="shared" si="0"/>
        <v>0</v>
      </c>
      <c r="E53" s="640">
        <f>+E38</f>
        <v>1</v>
      </c>
      <c r="F53" s="640">
        <f>+F38</f>
        <v>5</v>
      </c>
      <c r="G53" s="640">
        <f>+G38*0.09</f>
        <v>301.5</v>
      </c>
      <c r="H53" s="711">
        <f>PRODUCT(D53:G53)</f>
        <v>0</v>
      </c>
      <c r="I53" s="699"/>
    </row>
    <row r="54" spans="2:9" ht="13.5" hidden="1" customHeight="1">
      <c r="B54" s="572"/>
      <c r="C54" s="711" t="str">
        <f t="shared" si="0"/>
        <v>ASISTENTE DE SUPERVISOR</v>
      </c>
      <c r="D54" s="640">
        <f t="shared" si="0"/>
        <v>0</v>
      </c>
      <c r="E54" s="640">
        <f>+E39</f>
        <v>1</v>
      </c>
      <c r="F54" s="640">
        <f>+F39</f>
        <v>5</v>
      </c>
      <c r="G54" s="640">
        <f>+G39*0.09</f>
        <v>301.5</v>
      </c>
      <c r="H54" s="711">
        <f>PRODUCT(D54:G54)</f>
        <v>0</v>
      </c>
      <c r="I54" s="699"/>
    </row>
    <row r="55" spans="2:9" ht="13.5" customHeight="1">
      <c r="B55" s="572"/>
      <c r="C55" s="964" t="s">
        <v>3</v>
      </c>
      <c r="D55" s="965"/>
      <c r="E55" s="965"/>
      <c r="F55" s="965"/>
      <c r="G55" s="966"/>
      <c r="H55" s="714">
        <f>SUM(H51:H54)</f>
        <v>1471.5</v>
      </c>
      <c r="I55" s="699"/>
    </row>
    <row r="56" spans="2:9" ht="13.5" customHeight="1">
      <c r="B56" s="572"/>
      <c r="C56" s="716"/>
      <c r="D56" s="716"/>
      <c r="E56" s="716"/>
      <c r="F56" s="700"/>
      <c r="G56" s="700"/>
      <c r="H56" s="699"/>
      <c r="I56" s="699"/>
    </row>
    <row r="57" spans="2:9" ht="13.5" customHeight="1">
      <c r="B57" s="701">
        <v>2.02</v>
      </c>
      <c r="C57" s="641" t="s">
        <v>557</v>
      </c>
      <c r="D57" s="699"/>
      <c r="E57" s="699"/>
      <c r="F57" s="700"/>
      <c r="G57" s="700"/>
      <c r="H57" s="702" t="s">
        <v>0</v>
      </c>
      <c r="I57" s="703">
        <f>+H66</f>
        <v>498.67499999999995</v>
      </c>
    </row>
    <row r="58" spans="2:9" ht="13.5" customHeight="1">
      <c r="B58" s="715"/>
      <c r="C58" s="641"/>
      <c r="D58" s="699"/>
      <c r="E58" s="699"/>
      <c r="F58" s="700"/>
      <c r="G58" s="700"/>
      <c r="H58" s="699"/>
      <c r="I58" s="699"/>
    </row>
    <row r="59" spans="2:9" ht="13.5" customHeight="1">
      <c r="B59" s="572"/>
      <c r="C59" s="641" t="s">
        <v>29</v>
      </c>
      <c r="D59" s="705"/>
      <c r="E59" s="705"/>
      <c r="F59" s="706"/>
      <c r="G59" s="706"/>
      <c r="H59" s="699"/>
      <c r="I59" s="699"/>
    </row>
    <row r="60" spans="2:9" ht="13.5" customHeight="1">
      <c r="B60" s="572"/>
      <c r="C60" s="641"/>
      <c r="D60" s="705"/>
      <c r="E60" s="705"/>
      <c r="F60" s="706"/>
      <c r="G60" s="706"/>
      <c r="H60" s="699"/>
      <c r="I60" s="699"/>
    </row>
    <row r="61" spans="2:9" ht="13.5" customHeight="1">
      <c r="B61" s="572"/>
      <c r="C61" s="708" t="s">
        <v>30</v>
      </c>
      <c r="D61" s="784" t="s">
        <v>31</v>
      </c>
      <c r="E61" s="784" t="str">
        <f>+E35</f>
        <v>COEF. PARTIC.</v>
      </c>
      <c r="F61" s="784" t="s">
        <v>32</v>
      </c>
      <c r="G61" s="784" t="s">
        <v>13</v>
      </c>
      <c r="H61" s="784" t="s">
        <v>4</v>
      </c>
      <c r="I61" s="699"/>
    </row>
    <row r="62" spans="2:9" ht="13.5" hidden="1" customHeight="1">
      <c r="B62" s="572"/>
      <c r="C62" s="711" t="str">
        <f t="shared" ref="C62:D65" si="1">+C36</f>
        <v>COORDINADOR DE SUPERVISION</v>
      </c>
      <c r="D62" s="640">
        <f t="shared" si="1"/>
        <v>0</v>
      </c>
      <c r="E62" s="640">
        <f>+E36</f>
        <v>1</v>
      </c>
      <c r="F62" s="640">
        <f>+F36</f>
        <v>6</v>
      </c>
      <c r="G62" s="640">
        <f>+G36*0.0305</f>
        <v>216.54999999999998</v>
      </c>
      <c r="H62" s="711">
        <f>PRODUCT(D62:G62)</f>
        <v>0</v>
      </c>
      <c r="I62" s="699"/>
    </row>
    <row r="63" spans="2:9" ht="13.5" customHeight="1">
      <c r="B63" s="572"/>
      <c r="C63" s="711" t="str">
        <f t="shared" si="1"/>
        <v>SUPERVISOR DE OBRA</v>
      </c>
      <c r="D63" s="640">
        <f t="shared" si="1"/>
        <v>1</v>
      </c>
      <c r="E63" s="640">
        <f>+E37</f>
        <v>1</v>
      </c>
      <c r="F63" s="640">
        <f>+F37</f>
        <v>3</v>
      </c>
      <c r="G63" s="640">
        <f>+G37*0.0305</f>
        <v>166.22499999999999</v>
      </c>
      <c r="H63" s="711">
        <f>PRODUCT(D63:G63)</f>
        <v>498.67499999999995</v>
      </c>
      <c r="I63" s="699"/>
    </row>
    <row r="64" spans="2:9" ht="13.5" hidden="1" customHeight="1">
      <c r="B64" s="572"/>
      <c r="C64" s="711" t="str">
        <f t="shared" si="1"/>
        <v>ASISTENTE DEL COORDINADOR</v>
      </c>
      <c r="D64" s="640">
        <f t="shared" si="1"/>
        <v>0</v>
      </c>
      <c r="E64" s="640">
        <f>+E38</f>
        <v>1</v>
      </c>
      <c r="F64" s="640">
        <f>+F38</f>
        <v>5</v>
      </c>
      <c r="G64" s="640">
        <f>+G38*0.0305</f>
        <v>102.175</v>
      </c>
      <c r="H64" s="711">
        <f>PRODUCT(D64:G64)</f>
        <v>0</v>
      </c>
      <c r="I64" s="699"/>
    </row>
    <row r="65" spans="2:9" ht="13.5" hidden="1" customHeight="1">
      <c r="B65" s="572"/>
      <c r="C65" s="711" t="str">
        <f t="shared" si="1"/>
        <v>ASISTENTE DE SUPERVISOR</v>
      </c>
      <c r="D65" s="640">
        <f t="shared" si="1"/>
        <v>0</v>
      </c>
      <c r="E65" s="640">
        <f>+E39</f>
        <v>1</v>
      </c>
      <c r="F65" s="640">
        <f>+F39</f>
        <v>5</v>
      </c>
      <c r="G65" s="640">
        <f>+G39*0.0305</f>
        <v>102.175</v>
      </c>
      <c r="H65" s="711">
        <f>PRODUCT(D65:G65)</f>
        <v>0</v>
      </c>
      <c r="I65" s="699"/>
    </row>
    <row r="66" spans="2:9" ht="13.5" customHeight="1">
      <c r="B66" s="572"/>
      <c r="C66" s="964" t="s">
        <v>3</v>
      </c>
      <c r="D66" s="965"/>
      <c r="E66" s="965"/>
      <c r="F66" s="965"/>
      <c r="G66" s="966"/>
      <c r="H66" s="714">
        <f>SUM(H62:H65)</f>
        <v>498.67499999999995</v>
      </c>
      <c r="I66" s="699"/>
    </row>
    <row r="67" spans="2:9" ht="13.5" customHeight="1">
      <c r="B67" s="572"/>
      <c r="C67" s="578"/>
      <c r="D67" s="578"/>
      <c r="E67" s="578"/>
      <c r="F67" s="578"/>
      <c r="G67" s="578"/>
      <c r="H67" s="699"/>
      <c r="I67" s="699"/>
    </row>
    <row r="68" spans="2:9" ht="13.5" customHeight="1">
      <c r="B68" s="572"/>
      <c r="C68" s="699"/>
      <c r="D68" s="699"/>
      <c r="E68" s="699"/>
      <c r="F68" s="700"/>
      <c r="G68" s="700"/>
      <c r="H68" s="699"/>
      <c r="I68" s="699"/>
    </row>
    <row r="69" spans="2:9" ht="13.5" customHeight="1">
      <c r="B69" s="690">
        <v>3</v>
      </c>
      <c r="C69" s="691" t="s">
        <v>16</v>
      </c>
      <c r="D69" s="692"/>
      <c r="E69" s="692"/>
      <c r="F69" s="693"/>
      <c r="G69" s="694"/>
      <c r="H69" s="695" t="s">
        <v>0</v>
      </c>
      <c r="I69" s="696">
        <f>+H80+H91</f>
        <v>4115.3999999999996</v>
      </c>
    </row>
    <row r="70" spans="2:9" ht="13.5" customHeight="1">
      <c r="B70" s="717"/>
      <c r="C70" s="718"/>
      <c r="D70" s="699"/>
      <c r="E70" s="699"/>
      <c r="F70" s="705"/>
      <c r="G70" s="787"/>
      <c r="H70" s="702"/>
      <c r="I70" s="703"/>
    </row>
    <row r="71" spans="2:9" ht="13.5" customHeight="1">
      <c r="B71" s="701">
        <v>3.01</v>
      </c>
      <c r="C71" s="641" t="s">
        <v>558</v>
      </c>
      <c r="D71" s="699"/>
      <c r="E71" s="699"/>
      <c r="F71" s="700"/>
      <c r="G71" s="700"/>
      <c r="H71" s="702" t="s">
        <v>0</v>
      </c>
      <c r="I71" s="703">
        <f>+H80</f>
        <v>2452.5</v>
      </c>
    </row>
    <row r="72" spans="2:9" ht="13.5" customHeight="1">
      <c r="B72" s="715"/>
      <c r="C72" s="641"/>
      <c r="D72" s="699"/>
      <c r="E72" s="699"/>
      <c r="F72" s="700"/>
      <c r="G72" s="700"/>
      <c r="H72" s="699"/>
      <c r="I72" s="699"/>
    </row>
    <row r="73" spans="2:9" ht="13.5" customHeight="1">
      <c r="B73" s="572"/>
      <c r="C73" s="720" t="s">
        <v>29</v>
      </c>
      <c r="D73" s="705"/>
      <c r="E73" s="705"/>
      <c r="F73" s="706"/>
      <c r="G73" s="706"/>
      <c r="H73" s="705"/>
      <c r="I73" s="700"/>
    </row>
    <row r="74" spans="2:9" ht="13.5" customHeight="1">
      <c r="B74" s="572"/>
      <c r="C74" s="720"/>
      <c r="D74" s="705"/>
      <c r="E74" s="705"/>
      <c r="F74" s="706"/>
      <c r="G74" s="706"/>
      <c r="H74" s="705"/>
      <c r="I74" s="700"/>
    </row>
    <row r="75" spans="2:9" ht="13.5" customHeight="1">
      <c r="B75" s="572"/>
      <c r="C75" s="708" t="s">
        <v>30</v>
      </c>
      <c r="D75" s="784" t="s">
        <v>31</v>
      </c>
      <c r="E75" s="784" t="str">
        <f>+E35</f>
        <v>COEF. PARTIC.</v>
      </c>
      <c r="F75" s="784" t="s">
        <v>32</v>
      </c>
      <c r="G75" s="784" t="s">
        <v>13</v>
      </c>
      <c r="H75" s="784" t="s">
        <v>4</v>
      </c>
      <c r="I75" s="699"/>
    </row>
    <row r="76" spans="2:9" ht="13.5" hidden="1" customHeight="1">
      <c r="B76" s="572"/>
      <c r="C76" s="711" t="str">
        <f t="shared" ref="C76:D79" si="2">+C36</f>
        <v>COORDINADOR DE SUPERVISION</v>
      </c>
      <c r="D76" s="640">
        <f t="shared" si="2"/>
        <v>0</v>
      </c>
      <c r="E76" s="640">
        <f>+E36</f>
        <v>1</v>
      </c>
      <c r="F76" s="640">
        <f>+F36</f>
        <v>6</v>
      </c>
      <c r="G76" s="640">
        <f>+(G36+H114/6)/12</f>
        <v>595.54166666666663</v>
      </c>
      <c r="H76" s="711">
        <f>PRODUCT(D76:G76)</f>
        <v>0</v>
      </c>
      <c r="I76" s="699"/>
    </row>
    <row r="77" spans="2:9" ht="13.5" customHeight="1">
      <c r="B77" s="572"/>
      <c r="C77" s="711" t="str">
        <f t="shared" si="2"/>
        <v>SUPERVISOR DE OBRA</v>
      </c>
      <c r="D77" s="640">
        <f t="shared" si="2"/>
        <v>1</v>
      </c>
      <c r="E77" s="640">
        <f>+E37</f>
        <v>1</v>
      </c>
      <c r="F77" s="640">
        <f>+F37</f>
        <v>3</v>
      </c>
      <c r="G77" s="640">
        <f>+G37*0.15</f>
        <v>817.5</v>
      </c>
      <c r="H77" s="711">
        <f>PRODUCT(D77:G77)</f>
        <v>2452.5</v>
      </c>
      <c r="I77" s="699"/>
    </row>
    <row r="78" spans="2:9" ht="13.5" hidden="1" customHeight="1">
      <c r="B78" s="572"/>
      <c r="C78" s="711" t="str">
        <f t="shared" si="2"/>
        <v>ASISTENTE DEL COORDINADOR</v>
      </c>
      <c r="D78" s="640">
        <f t="shared" si="2"/>
        <v>0</v>
      </c>
      <c r="E78" s="640">
        <f>+E38</f>
        <v>1</v>
      </c>
      <c r="F78" s="640">
        <f>+F38</f>
        <v>5</v>
      </c>
      <c r="G78" s="640">
        <f>+G38*0.15</f>
        <v>502.5</v>
      </c>
      <c r="H78" s="711">
        <f>PRODUCT(D78:G78)</f>
        <v>0</v>
      </c>
      <c r="I78" s="699"/>
    </row>
    <row r="79" spans="2:9" ht="13.5" hidden="1" customHeight="1">
      <c r="B79" s="572"/>
      <c r="C79" s="711" t="str">
        <f t="shared" si="2"/>
        <v>ASISTENTE DE SUPERVISOR</v>
      </c>
      <c r="D79" s="640">
        <f t="shared" si="2"/>
        <v>0</v>
      </c>
      <c r="E79" s="640">
        <f>+E39</f>
        <v>1</v>
      </c>
      <c r="F79" s="640">
        <f>+F39</f>
        <v>5</v>
      </c>
      <c r="G79" s="640">
        <f>+G39*0.15</f>
        <v>502.5</v>
      </c>
      <c r="H79" s="711">
        <f>PRODUCT(D79:G79)</f>
        <v>0</v>
      </c>
      <c r="I79" s="699"/>
    </row>
    <row r="80" spans="2:9" ht="13.5" customHeight="1">
      <c r="B80" s="572"/>
      <c r="C80" s="964" t="s">
        <v>3</v>
      </c>
      <c r="D80" s="965"/>
      <c r="E80" s="965"/>
      <c r="F80" s="965"/>
      <c r="G80" s="966"/>
      <c r="H80" s="714">
        <f>SUM(H76:H79)</f>
        <v>2452.5</v>
      </c>
      <c r="I80" s="699"/>
    </row>
    <row r="81" spans="2:9" ht="13.5" customHeight="1">
      <c r="B81" s="572"/>
      <c r="C81" s="699"/>
      <c r="D81" s="699"/>
      <c r="E81" s="699"/>
      <c r="F81" s="700"/>
      <c r="G81" s="700"/>
      <c r="H81" s="699"/>
      <c r="I81" s="699"/>
    </row>
    <row r="82" spans="2:9" ht="13.5" customHeight="1">
      <c r="B82" s="701">
        <v>3.02</v>
      </c>
      <c r="C82" s="641" t="s">
        <v>97</v>
      </c>
      <c r="D82" s="699"/>
      <c r="E82" s="699"/>
      <c r="F82" s="700"/>
      <c r="G82" s="700"/>
      <c r="H82" s="702" t="s">
        <v>0</v>
      </c>
      <c r="I82" s="703">
        <f>+H91</f>
        <v>1662.8999999999999</v>
      </c>
    </row>
    <row r="83" spans="2:9" ht="13.5" customHeight="1">
      <c r="B83" s="715"/>
      <c r="C83" s="641"/>
      <c r="D83" s="699"/>
      <c r="E83" s="699"/>
      <c r="F83" s="700"/>
      <c r="G83" s="700"/>
      <c r="H83" s="699"/>
      <c r="I83" s="699"/>
    </row>
    <row r="84" spans="2:9" ht="13.5" customHeight="1">
      <c r="B84" s="572"/>
      <c r="C84" s="720" t="s">
        <v>29</v>
      </c>
      <c r="D84" s="705"/>
      <c r="E84" s="705"/>
      <c r="F84" s="706"/>
      <c r="G84" s="706"/>
      <c r="H84" s="705"/>
      <c r="I84" s="700"/>
    </row>
    <row r="85" spans="2:9" ht="13.5" customHeight="1">
      <c r="B85" s="572"/>
      <c r="C85" s="720"/>
      <c r="D85" s="705"/>
      <c r="E85" s="705"/>
      <c r="F85" s="706"/>
      <c r="G85" s="706"/>
      <c r="H85" s="705"/>
      <c r="I85" s="700"/>
    </row>
    <row r="86" spans="2:9" ht="13.5" customHeight="1">
      <c r="B86" s="572"/>
      <c r="C86" s="708" t="s">
        <v>30</v>
      </c>
      <c r="D86" s="784" t="s">
        <v>31</v>
      </c>
      <c r="E86" s="784" t="str">
        <f>+E35</f>
        <v>COEF. PARTIC.</v>
      </c>
      <c r="F86" s="784" t="s">
        <v>32</v>
      </c>
      <c r="G86" s="784" t="s">
        <v>13</v>
      </c>
      <c r="H86" s="784" t="s">
        <v>4</v>
      </c>
      <c r="I86" s="699"/>
    </row>
    <row r="87" spans="2:9" ht="13.5" hidden="1" customHeight="1">
      <c r="B87" s="572"/>
      <c r="C87" s="711" t="str">
        <f t="shared" ref="C87:D89" si="3">+C36</f>
        <v>COORDINADOR DE SUPERVISION</v>
      </c>
      <c r="D87" s="640">
        <f t="shared" si="3"/>
        <v>0</v>
      </c>
      <c r="E87" s="640">
        <f>+E36</f>
        <v>1</v>
      </c>
      <c r="F87" s="640">
        <f>+F36</f>
        <v>6</v>
      </c>
      <c r="G87" s="640">
        <f>(+G36+G113)/10</f>
        <v>719.3</v>
      </c>
      <c r="H87" s="711">
        <f>PRODUCT(D87:G87)</f>
        <v>0</v>
      </c>
      <c r="I87" s="699"/>
    </row>
    <row r="88" spans="2:9" ht="13.5" customHeight="1">
      <c r="B88" s="572"/>
      <c r="C88" s="711" t="str">
        <f t="shared" si="3"/>
        <v>SUPERVISOR DE OBRA</v>
      </c>
      <c r="D88" s="640">
        <f t="shared" si="3"/>
        <v>1</v>
      </c>
      <c r="E88" s="640">
        <f>+E37</f>
        <v>1</v>
      </c>
      <c r="F88" s="640">
        <f>+F37</f>
        <v>3</v>
      </c>
      <c r="G88" s="640">
        <f>(+G37+G114)/10</f>
        <v>554.29999999999995</v>
      </c>
      <c r="H88" s="711">
        <f>PRODUCT(D88:G88)</f>
        <v>1662.8999999999999</v>
      </c>
      <c r="I88" s="699"/>
    </row>
    <row r="89" spans="2:9" ht="13.5" hidden="1" customHeight="1">
      <c r="B89" s="572"/>
      <c r="C89" s="711" t="str">
        <f t="shared" si="3"/>
        <v>ASISTENTE DEL COORDINADOR</v>
      </c>
      <c r="D89" s="640">
        <f t="shared" si="3"/>
        <v>0</v>
      </c>
      <c r="E89" s="640">
        <f>+E38</f>
        <v>1</v>
      </c>
      <c r="F89" s="640">
        <f>+F38</f>
        <v>5</v>
      </c>
      <c r="G89" s="640">
        <f>(+G38+G115)/10</f>
        <v>344.3</v>
      </c>
      <c r="H89" s="711">
        <f>PRODUCT(D89:G89)</f>
        <v>0</v>
      </c>
      <c r="I89" s="699"/>
    </row>
    <row r="90" spans="2:9" ht="13.5" hidden="1" customHeight="1">
      <c r="B90" s="572"/>
      <c r="C90" s="711" t="str">
        <f>+C39</f>
        <v>ASISTENTE DE SUPERVISOR</v>
      </c>
      <c r="D90" s="640">
        <f>+D54</f>
        <v>0</v>
      </c>
      <c r="E90" s="640">
        <f>+E39</f>
        <v>1</v>
      </c>
      <c r="F90" s="640">
        <f>+F54</f>
        <v>5</v>
      </c>
      <c r="G90" s="640">
        <f>(+G39+G116)/10</f>
        <v>344.3</v>
      </c>
      <c r="H90" s="711">
        <f>PRODUCT(D90:G90)</f>
        <v>0</v>
      </c>
      <c r="I90" s="699"/>
    </row>
    <row r="91" spans="2:9" ht="13.5" customHeight="1">
      <c r="B91" s="572"/>
      <c r="C91" s="964" t="s">
        <v>3</v>
      </c>
      <c r="D91" s="965"/>
      <c r="E91" s="965"/>
      <c r="F91" s="965"/>
      <c r="G91" s="966"/>
      <c r="H91" s="714">
        <f>SUM(H87:H90)</f>
        <v>1662.8999999999999</v>
      </c>
      <c r="I91" s="699"/>
    </row>
    <row r="92" spans="2:9" ht="13.5" customHeight="1">
      <c r="B92" s="572"/>
      <c r="C92" s="699"/>
      <c r="D92" s="699"/>
      <c r="E92" s="699"/>
      <c r="F92" s="700"/>
      <c r="G92" s="700"/>
      <c r="H92" s="699"/>
      <c r="I92" s="699"/>
    </row>
    <row r="93" spans="2:9" ht="13.5" customHeight="1">
      <c r="B93" s="690">
        <v>4</v>
      </c>
      <c r="C93" s="691" t="s">
        <v>214</v>
      </c>
      <c r="D93" s="692"/>
      <c r="E93" s="692"/>
      <c r="F93" s="693"/>
      <c r="G93" s="694"/>
      <c r="H93" s="695" t="s">
        <v>0</v>
      </c>
      <c r="I93" s="696">
        <f>+I95</f>
        <v>150</v>
      </c>
    </row>
    <row r="94" spans="2:9" ht="13.5" customHeight="1">
      <c r="B94" s="717"/>
      <c r="C94" s="718"/>
      <c r="D94" s="699"/>
      <c r="E94" s="699"/>
      <c r="F94" s="705"/>
      <c r="G94" s="787"/>
      <c r="H94" s="702"/>
      <c r="I94" s="703"/>
    </row>
    <row r="95" spans="2:9" ht="13.5" customHeight="1">
      <c r="B95" s="701">
        <v>4.01</v>
      </c>
      <c r="C95" s="641" t="s">
        <v>96</v>
      </c>
      <c r="D95" s="721">
        <v>300</v>
      </c>
      <c r="E95" s="721"/>
      <c r="F95" s="700"/>
      <c r="G95" s="700"/>
      <c r="H95" s="702" t="s">
        <v>0</v>
      </c>
      <c r="I95" s="703">
        <f>+H104</f>
        <v>150</v>
      </c>
    </row>
    <row r="96" spans="2:9" ht="13.5" customHeight="1">
      <c r="B96" s="715"/>
      <c r="C96" s="641"/>
      <c r="D96" s="699"/>
      <c r="E96" s="699"/>
      <c r="F96" s="700"/>
      <c r="G96" s="700"/>
      <c r="H96" s="699"/>
      <c r="I96" s="699"/>
    </row>
    <row r="97" spans="2:9" ht="13.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9" ht="13.5" customHeight="1">
      <c r="B98" s="572"/>
      <c r="C98" s="720"/>
      <c r="D98" s="705"/>
      <c r="E98" s="705"/>
      <c r="F98" s="706"/>
      <c r="G98" s="706"/>
      <c r="H98" s="705"/>
      <c r="I98" s="700"/>
    </row>
    <row r="99" spans="2:9" ht="13.5" customHeight="1">
      <c r="B99" s="572"/>
      <c r="C99" s="708" t="s">
        <v>30</v>
      </c>
      <c r="D99" s="784" t="s">
        <v>31</v>
      </c>
      <c r="E99" s="784" t="str">
        <f>+E35</f>
        <v>COEF. PARTIC.</v>
      </c>
      <c r="F99" s="784" t="s">
        <v>32</v>
      </c>
      <c r="G99" s="722" t="s">
        <v>13</v>
      </c>
      <c r="H99" s="784" t="s">
        <v>4</v>
      </c>
      <c r="I99" s="699"/>
    </row>
    <row r="100" spans="2:9" ht="13.5" hidden="1" customHeight="1">
      <c r="B100" s="572"/>
      <c r="C100" s="711" t="str">
        <f t="shared" ref="C100:D103" si="4">+C36</f>
        <v>COORDINADOR DE SUPERVISION</v>
      </c>
      <c r="D100" s="640">
        <f t="shared" si="4"/>
        <v>0</v>
      </c>
      <c r="E100" s="640">
        <f>+E36</f>
        <v>1</v>
      </c>
      <c r="F100" s="640">
        <f>+F36</f>
        <v>6</v>
      </c>
      <c r="G100" s="640">
        <f>($D$95*2)/12*(F100*E100)</f>
        <v>300</v>
      </c>
      <c r="H100" s="776">
        <f>+D100*G100</f>
        <v>0</v>
      </c>
      <c r="I100" s="699"/>
    </row>
    <row r="101" spans="2:9" ht="13.5" customHeight="1">
      <c r="B101" s="572"/>
      <c r="C101" s="711" t="str">
        <f t="shared" si="4"/>
        <v>SUPERVISOR DE OBRA</v>
      </c>
      <c r="D101" s="640">
        <f t="shared" si="4"/>
        <v>1</v>
      </c>
      <c r="E101" s="640">
        <f>+E37</f>
        <v>1</v>
      </c>
      <c r="F101" s="640">
        <f>+F37</f>
        <v>3</v>
      </c>
      <c r="G101" s="640">
        <f>($D$95*2)/12*(F101*E101)</f>
        <v>150</v>
      </c>
      <c r="H101" s="776">
        <f>+D101*G101</f>
        <v>150</v>
      </c>
      <c r="I101" s="699"/>
    </row>
    <row r="102" spans="2:9" ht="13.5" hidden="1" customHeight="1">
      <c r="B102" s="572"/>
      <c r="C102" s="711" t="str">
        <f t="shared" si="4"/>
        <v>ASISTENTE DEL COORDINADOR</v>
      </c>
      <c r="D102" s="640">
        <f t="shared" si="4"/>
        <v>0</v>
      </c>
      <c r="E102" s="640">
        <f>+E38</f>
        <v>1</v>
      </c>
      <c r="F102" s="640">
        <f>+F38</f>
        <v>5</v>
      </c>
      <c r="G102" s="640">
        <f>($D$95*2)/12*(F102*E102)</f>
        <v>250</v>
      </c>
      <c r="H102" s="776">
        <f>+D102*G102</f>
        <v>0</v>
      </c>
      <c r="I102" s="699"/>
    </row>
    <row r="103" spans="2:9" ht="13.5" hidden="1" customHeight="1">
      <c r="B103" s="572"/>
      <c r="C103" s="711" t="str">
        <f t="shared" si="4"/>
        <v>ASISTENTE DE SUPERVISOR</v>
      </c>
      <c r="D103" s="640">
        <f t="shared" si="4"/>
        <v>0</v>
      </c>
      <c r="E103" s="640">
        <f>+E39</f>
        <v>1</v>
      </c>
      <c r="F103" s="640">
        <f>+F39</f>
        <v>5</v>
      </c>
      <c r="G103" s="640">
        <f>($D$95*2)/12*(F103*E103)</f>
        <v>250</v>
      </c>
      <c r="H103" s="776">
        <f>+D103*G103</f>
        <v>0</v>
      </c>
      <c r="I103" s="699"/>
    </row>
    <row r="104" spans="2:9" ht="13.5" customHeight="1">
      <c r="B104" s="572"/>
      <c r="C104" s="1004" t="s">
        <v>3</v>
      </c>
      <c r="D104" s="1005"/>
      <c r="E104" s="1005"/>
      <c r="F104" s="1005"/>
      <c r="G104" s="972"/>
      <c r="H104" s="723">
        <f>SUM(H100:H103)</f>
        <v>150</v>
      </c>
      <c r="I104" s="699"/>
    </row>
    <row r="105" spans="2:9" ht="13.5" customHeight="1">
      <c r="B105" s="572"/>
      <c r="C105" s="578"/>
      <c r="D105" s="578"/>
      <c r="E105" s="578"/>
      <c r="F105" s="578"/>
      <c r="G105" s="578"/>
      <c r="H105" s="698"/>
      <c r="I105" s="699"/>
    </row>
    <row r="106" spans="2:9" ht="13.5" customHeight="1">
      <c r="B106" s="690">
        <v>5</v>
      </c>
      <c r="C106" s="691" t="s">
        <v>417</v>
      </c>
      <c r="D106" s="692"/>
      <c r="E106" s="692"/>
      <c r="F106" s="693"/>
      <c r="G106" s="694"/>
      <c r="H106" s="695" t="s">
        <v>0</v>
      </c>
      <c r="I106" s="696">
        <f>+I108</f>
        <v>279</v>
      </c>
    </row>
    <row r="107" spans="2:9" ht="13.5" customHeight="1">
      <c r="B107" s="717"/>
      <c r="C107" s="718"/>
      <c r="D107" s="699"/>
      <c r="E107" s="699"/>
      <c r="F107" s="705"/>
      <c r="G107" s="787"/>
      <c r="H107" s="702"/>
      <c r="I107" s="703"/>
    </row>
    <row r="108" spans="2:9" ht="13.5" customHeight="1">
      <c r="B108" s="701">
        <v>5.01</v>
      </c>
      <c r="C108" s="641" t="s">
        <v>418</v>
      </c>
      <c r="D108" s="721"/>
      <c r="E108" s="721"/>
      <c r="F108" s="700"/>
      <c r="G108" s="700"/>
      <c r="H108" s="702" t="s">
        <v>0</v>
      </c>
      <c r="I108" s="703">
        <f>+H117</f>
        <v>279</v>
      </c>
    </row>
    <row r="109" spans="2:9" ht="13.5" customHeight="1">
      <c r="B109" s="715"/>
      <c r="C109" s="641"/>
      <c r="D109" s="699"/>
      <c r="E109" s="699"/>
      <c r="F109" s="700"/>
      <c r="G109" s="700"/>
      <c r="H109" s="699"/>
      <c r="I109" s="699"/>
    </row>
    <row r="110" spans="2:9" ht="13.5" customHeight="1">
      <c r="B110" s="572"/>
      <c r="C110" s="720" t="s">
        <v>29</v>
      </c>
      <c r="D110" s="705"/>
      <c r="E110" s="705"/>
      <c r="F110" s="706"/>
      <c r="G110" s="706"/>
      <c r="H110" s="705"/>
      <c r="I110" s="700"/>
    </row>
    <row r="111" spans="2:9" ht="13.5" customHeight="1">
      <c r="B111" s="572"/>
      <c r="C111" s="720"/>
      <c r="D111" s="705"/>
      <c r="E111" s="705"/>
      <c r="F111" s="706"/>
      <c r="G111" s="706"/>
      <c r="H111" s="705"/>
      <c r="I111" s="700"/>
    </row>
    <row r="112" spans="2:9" ht="13.5" customHeight="1">
      <c r="B112" s="572"/>
      <c r="C112" s="708" t="s">
        <v>30</v>
      </c>
      <c r="D112" s="784" t="s">
        <v>31</v>
      </c>
      <c r="E112" s="784" t="s">
        <v>291</v>
      </c>
      <c r="F112" s="784" t="s">
        <v>32</v>
      </c>
      <c r="G112" s="722" t="s">
        <v>13</v>
      </c>
      <c r="H112" s="784" t="s">
        <v>4</v>
      </c>
      <c r="I112" s="700"/>
    </row>
    <row r="113" spans="2:10" ht="13.5" hidden="1" customHeight="1">
      <c r="B113" s="572"/>
      <c r="C113" s="711" t="str">
        <f t="shared" ref="C113:F116" si="5">C36</f>
        <v>COORDINADOR DE SUPERVISION</v>
      </c>
      <c r="D113" s="640">
        <f t="shared" si="5"/>
        <v>0</v>
      </c>
      <c r="E113" s="640">
        <f t="shared" si="5"/>
        <v>1</v>
      </c>
      <c r="F113" s="640">
        <f t="shared" si="5"/>
        <v>6</v>
      </c>
      <c r="G113" s="640">
        <f>930/10</f>
        <v>93</v>
      </c>
      <c r="H113" s="711">
        <f>PRODUCT(D113:G113)</f>
        <v>0</v>
      </c>
      <c r="I113" s="700"/>
    </row>
    <row r="114" spans="2:10" ht="13.5" customHeight="1">
      <c r="B114" s="572"/>
      <c r="C114" s="711" t="str">
        <f t="shared" si="5"/>
        <v>SUPERVISOR DE OBRA</v>
      </c>
      <c r="D114" s="640">
        <f t="shared" si="5"/>
        <v>1</v>
      </c>
      <c r="E114" s="640">
        <f t="shared" si="5"/>
        <v>1</v>
      </c>
      <c r="F114" s="640">
        <f t="shared" si="5"/>
        <v>3</v>
      </c>
      <c r="G114" s="640">
        <f>930/10</f>
        <v>93</v>
      </c>
      <c r="H114" s="711">
        <f>PRODUCT(D114:G114)</f>
        <v>279</v>
      </c>
      <c r="I114" s="700"/>
    </row>
    <row r="115" spans="2:10" ht="13.5" hidden="1" customHeight="1">
      <c r="B115" s="572"/>
      <c r="C115" s="711" t="str">
        <f t="shared" si="5"/>
        <v>ASISTENTE DEL COORDINADOR</v>
      </c>
      <c r="D115" s="640">
        <f t="shared" si="5"/>
        <v>0</v>
      </c>
      <c r="E115" s="640">
        <f t="shared" si="5"/>
        <v>1</v>
      </c>
      <c r="F115" s="640">
        <f t="shared" si="5"/>
        <v>5</v>
      </c>
      <c r="G115" s="640">
        <f>930/10</f>
        <v>93</v>
      </c>
      <c r="H115" s="711">
        <f>PRODUCT(D115:G115)</f>
        <v>0</v>
      </c>
      <c r="I115" s="700"/>
    </row>
    <row r="116" spans="2:10" ht="13.5" hidden="1" customHeight="1">
      <c r="B116" s="572"/>
      <c r="C116" s="711" t="str">
        <f t="shared" si="5"/>
        <v>ASISTENTE DE SUPERVISOR</v>
      </c>
      <c r="D116" s="640">
        <f t="shared" si="5"/>
        <v>0</v>
      </c>
      <c r="E116" s="640">
        <f t="shared" si="5"/>
        <v>1</v>
      </c>
      <c r="F116" s="640">
        <f t="shared" si="5"/>
        <v>5</v>
      </c>
      <c r="G116" s="640">
        <f>930/10</f>
        <v>93</v>
      </c>
      <c r="H116" s="776">
        <f>PRODUCT(D116:G116)</f>
        <v>0</v>
      </c>
      <c r="I116" s="699"/>
    </row>
    <row r="117" spans="2:10" ht="13.5" customHeight="1">
      <c r="B117" s="572"/>
      <c r="C117" s="1004" t="s">
        <v>3</v>
      </c>
      <c r="D117" s="1005"/>
      <c r="E117" s="1005"/>
      <c r="F117" s="1005"/>
      <c r="G117" s="972"/>
      <c r="H117" s="723">
        <f>SUM(H113:H116)</f>
        <v>279</v>
      </c>
      <c r="I117" s="699"/>
    </row>
    <row r="118" spans="2:10" ht="13.5" customHeight="1">
      <c r="B118" s="572"/>
      <c r="C118" s="699"/>
      <c r="D118" s="699"/>
      <c r="E118" s="699"/>
      <c r="F118" s="700"/>
      <c r="G118" s="700"/>
      <c r="H118" s="699"/>
      <c r="I118" s="699"/>
    </row>
    <row r="119" spans="2:10" ht="13.5" customHeight="1">
      <c r="B119" s="572"/>
      <c r="C119" s="699"/>
      <c r="D119" s="699"/>
      <c r="E119" s="699"/>
      <c r="F119" s="700"/>
      <c r="G119" s="700"/>
      <c r="H119" s="699"/>
      <c r="I119" s="699"/>
    </row>
    <row r="120" spans="2:10" s="831" customFormat="1" ht="13.5" customHeight="1">
      <c r="B120" s="850" t="s">
        <v>510</v>
      </c>
      <c r="C120" s="851"/>
      <c r="D120" s="838"/>
      <c r="E120" s="838"/>
      <c r="F120" s="838"/>
      <c r="G120" s="839"/>
      <c r="H120" s="840" t="s">
        <v>0</v>
      </c>
      <c r="I120" s="841">
        <f>+I122+I134+I143+I159</f>
        <v>1903.8</v>
      </c>
      <c r="J120" s="842"/>
    </row>
    <row r="121" spans="2:10" s="831" customFormat="1" ht="13.5" customHeight="1">
      <c r="B121" s="852"/>
      <c r="C121" s="853"/>
      <c r="D121" s="845"/>
      <c r="E121" s="845"/>
      <c r="F121" s="845"/>
      <c r="G121" s="846"/>
      <c r="H121" s="847"/>
      <c r="I121" s="848"/>
      <c r="J121" s="842"/>
    </row>
    <row r="122" spans="2:10" s="831" customFormat="1" ht="13.5" customHeight="1">
      <c r="B122" s="690">
        <v>1</v>
      </c>
      <c r="C122" s="691" t="s">
        <v>255</v>
      </c>
      <c r="D122" s="692"/>
      <c r="E122" s="692"/>
      <c r="F122" s="693"/>
      <c r="G122" s="694"/>
      <c r="H122" s="695" t="s">
        <v>0</v>
      </c>
      <c r="I122" s="696">
        <f>H132</f>
        <v>624</v>
      </c>
      <c r="J122" s="842"/>
    </row>
    <row r="123" spans="2:10" s="831" customFormat="1" ht="13.5" customHeight="1">
      <c r="B123" s="852"/>
      <c r="C123" s="853"/>
      <c r="D123" s="845"/>
      <c r="E123" s="845"/>
      <c r="F123" s="845"/>
      <c r="G123" s="846"/>
      <c r="H123" s="847"/>
      <c r="I123" s="848"/>
      <c r="J123" s="842"/>
    </row>
    <row r="124" spans="2:10" ht="13.5" customHeight="1">
      <c r="B124" s="701">
        <v>1.01</v>
      </c>
      <c r="C124" s="641" t="s">
        <v>25</v>
      </c>
      <c r="D124" s="699"/>
      <c r="E124" s="699"/>
      <c r="F124" s="699"/>
      <c r="G124" s="700"/>
      <c r="H124" s="702" t="s">
        <v>0</v>
      </c>
      <c r="I124" s="728">
        <f>H132</f>
        <v>624</v>
      </c>
    </row>
    <row r="125" spans="2:10" ht="13.5" customHeight="1">
      <c r="B125" s="715"/>
      <c r="C125" s="641"/>
      <c r="D125" s="699"/>
      <c r="E125" s="699"/>
      <c r="F125" s="699"/>
      <c r="G125" s="700"/>
      <c r="H125" s="699"/>
      <c r="I125" s="699"/>
      <c r="J125" s="668"/>
    </row>
    <row r="126" spans="2:10" ht="13.5" customHeight="1">
      <c r="B126" s="572"/>
      <c r="C126" s="1011" t="s">
        <v>17</v>
      </c>
      <c r="D126" s="1012"/>
      <c r="E126" s="785" t="s">
        <v>2</v>
      </c>
      <c r="F126" s="785" t="s">
        <v>18</v>
      </c>
      <c r="G126" s="785" t="s">
        <v>5</v>
      </c>
      <c r="H126" s="785" t="s">
        <v>4</v>
      </c>
      <c r="I126" s="578"/>
    </row>
    <row r="127" spans="2:10" ht="13.5" customHeight="1">
      <c r="B127" s="572"/>
      <c r="C127" s="974" t="s">
        <v>422</v>
      </c>
      <c r="D127" s="974"/>
      <c r="E127" s="732" t="s">
        <v>2</v>
      </c>
      <c r="F127" s="733">
        <v>1</v>
      </c>
      <c r="G127" s="735">
        <v>50</v>
      </c>
      <c r="H127" s="711">
        <f>F127*G127</f>
        <v>50</v>
      </c>
      <c r="I127" s="578"/>
    </row>
    <row r="128" spans="2:10" ht="13.5" customHeight="1">
      <c r="B128" s="572"/>
      <c r="C128" s="974" t="s">
        <v>652</v>
      </c>
      <c r="D128" s="974"/>
      <c r="E128" s="732" t="s">
        <v>2</v>
      </c>
      <c r="F128" s="733">
        <v>8</v>
      </c>
      <c r="G128" s="735">
        <v>18</v>
      </c>
      <c r="H128" s="711">
        <f>F128*G128</f>
        <v>144</v>
      </c>
      <c r="I128" s="578"/>
    </row>
    <row r="129" spans="2:17" hidden="1">
      <c r="B129" s="572"/>
      <c r="C129" s="974" t="s">
        <v>252</v>
      </c>
      <c r="D129" s="974"/>
      <c r="E129" s="732" t="s">
        <v>2</v>
      </c>
      <c r="F129" s="733">
        <v>0</v>
      </c>
      <c r="G129" s="735">
        <v>50</v>
      </c>
      <c r="H129" s="711">
        <f>F129*G129</f>
        <v>0</v>
      </c>
      <c r="I129" s="578"/>
    </row>
    <row r="130" spans="2:17">
      <c r="B130" s="572"/>
      <c r="C130" s="974" t="s">
        <v>423</v>
      </c>
      <c r="D130" s="974"/>
      <c r="E130" s="732" t="s">
        <v>2</v>
      </c>
      <c r="F130" s="733">
        <v>1</v>
      </c>
      <c r="G130" s="735">
        <v>80</v>
      </c>
      <c r="H130" s="711">
        <f>F130*G130</f>
        <v>80</v>
      </c>
      <c r="I130" s="578"/>
    </row>
    <row r="131" spans="2:17" ht="13.5" customHeight="1">
      <c r="B131" s="572"/>
      <c r="C131" s="974" t="s">
        <v>254</v>
      </c>
      <c r="D131" s="974"/>
      <c r="E131" s="732" t="s">
        <v>8</v>
      </c>
      <c r="F131" s="733">
        <v>1</v>
      </c>
      <c r="G131" s="735">
        <v>350</v>
      </c>
      <c r="H131" s="711">
        <f>F131*G131</f>
        <v>350</v>
      </c>
      <c r="I131" s="578"/>
    </row>
    <row r="132" spans="2:17" ht="13.5" customHeight="1">
      <c r="B132" s="572"/>
      <c r="C132" s="962" t="s">
        <v>3</v>
      </c>
      <c r="D132" s="962"/>
      <c r="E132" s="962"/>
      <c r="F132" s="962"/>
      <c r="G132" s="962"/>
      <c r="H132" s="744">
        <f>SUM(H127:H131)</f>
        <v>624</v>
      </c>
      <c r="I132" s="737"/>
      <c r="K132" s="571" t="e">
        <f>365-#REF!</f>
        <v>#REF!</v>
      </c>
    </row>
    <row r="133" spans="2:17" ht="13.5" customHeight="1">
      <c r="B133" s="704"/>
      <c r="C133" s="578"/>
      <c r="D133" s="578"/>
      <c r="E133" s="578"/>
      <c r="F133" s="578"/>
      <c r="G133" s="578"/>
      <c r="H133" s="699"/>
      <c r="I133" s="705"/>
    </row>
    <row r="134" spans="2:17" ht="13.5" hidden="1" customHeight="1">
      <c r="B134" s="740">
        <v>2</v>
      </c>
      <c r="C134" s="691" t="s">
        <v>93</v>
      </c>
      <c r="D134" s="692"/>
      <c r="E134" s="692"/>
      <c r="F134" s="693"/>
      <c r="G134" s="694"/>
      <c r="H134" s="695" t="s">
        <v>0</v>
      </c>
      <c r="I134" s="696">
        <f>H141</f>
        <v>0</v>
      </c>
    </row>
    <row r="135" spans="2:17" ht="13.5" hidden="1" customHeight="1">
      <c r="B135" s="852"/>
      <c r="C135" s="853"/>
      <c r="D135" s="845"/>
      <c r="E135" s="845"/>
      <c r="F135" s="845"/>
      <c r="G135" s="846"/>
      <c r="H135" s="847"/>
      <c r="I135" s="848"/>
    </row>
    <row r="136" spans="2:17" ht="13.5" hidden="1" customHeight="1">
      <c r="B136" s="701">
        <v>2.0099999999999998</v>
      </c>
      <c r="C136" s="641" t="s">
        <v>172</v>
      </c>
      <c r="D136" s="699"/>
      <c r="E136" s="699"/>
      <c r="F136" s="699"/>
      <c r="G136" s="700"/>
      <c r="H136" s="702" t="s">
        <v>0</v>
      </c>
      <c r="I136" s="728">
        <f>H141</f>
        <v>0</v>
      </c>
    </row>
    <row r="137" spans="2:17" ht="13.5" hidden="1" customHeight="1">
      <c r="B137" s="715"/>
      <c r="C137" s="641"/>
      <c r="D137" s="699"/>
      <c r="E137" s="699"/>
      <c r="F137" s="699"/>
      <c r="G137" s="700"/>
      <c r="H137" s="699"/>
      <c r="I137" s="699"/>
    </row>
    <row r="138" spans="2:17" ht="13.5" hidden="1" customHeight="1">
      <c r="B138" s="572"/>
      <c r="C138" s="973" t="s">
        <v>17</v>
      </c>
      <c r="D138" s="973"/>
      <c r="E138" s="785" t="s">
        <v>2</v>
      </c>
      <c r="F138" s="785" t="s">
        <v>18</v>
      </c>
      <c r="G138" s="785" t="s">
        <v>5</v>
      </c>
      <c r="H138" s="785" t="s">
        <v>4</v>
      </c>
      <c r="I138" s="578"/>
      <c r="L138" s="741" t="s">
        <v>459</v>
      </c>
      <c r="M138" s="741" t="s">
        <v>460</v>
      </c>
      <c r="N138" s="741" t="s">
        <v>461</v>
      </c>
      <c r="O138" s="741" t="s">
        <v>462</v>
      </c>
      <c r="P138" s="741" t="s">
        <v>466</v>
      </c>
      <c r="Q138" s="741" t="s">
        <v>463</v>
      </c>
    </row>
    <row r="139" spans="2:17" ht="13.5" hidden="1" customHeight="1">
      <c r="B139" s="572"/>
      <c r="C139" s="974" t="s">
        <v>279</v>
      </c>
      <c r="D139" s="974"/>
      <c r="E139" s="579" t="s">
        <v>6</v>
      </c>
      <c r="F139" s="733">
        <v>0</v>
      </c>
      <c r="G139" s="580">
        <v>13</v>
      </c>
      <c r="H139" s="742">
        <f>F139*G139</f>
        <v>0</v>
      </c>
      <c r="I139" s="578"/>
      <c r="L139" s="581">
        <v>1.5</v>
      </c>
      <c r="M139" s="581">
        <v>7.5</v>
      </c>
      <c r="N139" s="581">
        <v>2</v>
      </c>
      <c r="O139" s="581">
        <v>5</v>
      </c>
      <c r="P139" s="743">
        <v>5</v>
      </c>
      <c r="Q139" s="581">
        <f>PRODUCT(L139:P139)</f>
        <v>562.5</v>
      </c>
    </row>
    <row r="140" spans="2:17" ht="13.5" hidden="1" customHeight="1">
      <c r="B140" s="572"/>
      <c r="C140" s="974" t="s">
        <v>523</v>
      </c>
      <c r="D140" s="974"/>
      <c r="E140" s="579" t="s">
        <v>6</v>
      </c>
      <c r="F140" s="733">
        <v>0</v>
      </c>
      <c r="G140" s="580">
        <v>13.5</v>
      </c>
      <c r="H140" s="742">
        <f>F140*G140</f>
        <v>0</v>
      </c>
      <c r="I140" s="578"/>
      <c r="K140" s="581"/>
      <c r="L140" s="581">
        <v>1.5</v>
      </c>
      <c r="M140" s="581">
        <v>7.5</v>
      </c>
      <c r="N140" s="581">
        <v>2</v>
      </c>
      <c r="O140" s="581">
        <v>5</v>
      </c>
      <c r="P140" s="743">
        <v>5</v>
      </c>
      <c r="Q140" s="581">
        <f>PRODUCT(L140:P140)</f>
        <v>562.5</v>
      </c>
    </row>
    <row r="141" spans="2:17" ht="13.5" hidden="1" customHeight="1">
      <c r="B141" s="572"/>
      <c r="C141" s="962" t="s">
        <v>3</v>
      </c>
      <c r="D141" s="962"/>
      <c r="E141" s="962"/>
      <c r="F141" s="962"/>
      <c r="G141" s="962"/>
      <c r="H141" s="744">
        <f>SUM(H139:H140)</f>
        <v>0</v>
      </c>
      <c r="I141" s="578"/>
    </row>
    <row r="142" spans="2:17" ht="13.5" customHeight="1">
      <c r="B142" s="704"/>
      <c r="C142" s="578"/>
      <c r="D142" s="578"/>
      <c r="E142" s="578"/>
      <c r="F142" s="578"/>
      <c r="G142" s="578"/>
      <c r="H142" s="699"/>
      <c r="I142" s="705"/>
    </row>
    <row r="143" spans="2:17" ht="13.5" customHeight="1">
      <c r="B143" s="745">
        <v>2</v>
      </c>
      <c r="C143" s="691" t="s">
        <v>292</v>
      </c>
      <c r="D143" s="692"/>
      <c r="E143" s="692"/>
      <c r="F143" s="692"/>
      <c r="G143" s="694"/>
      <c r="H143" s="695" t="s">
        <v>0</v>
      </c>
      <c r="I143" s="696">
        <f>+I145</f>
        <v>610</v>
      </c>
    </row>
    <row r="144" spans="2:17" ht="13.5" customHeight="1">
      <c r="B144" s="715"/>
      <c r="C144" s="641"/>
      <c r="D144" s="699"/>
      <c r="E144" s="699"/>
      <c r="F144" s="699"/>
      <c r="G144" s="700"/>
      <c r="H144" s="699"/>
      <c r="I144" s="699"/>
    </row>
    <row r="145" spans="2:9" ht="13.5" customHeight="1">
      <c r="B145" s="715">
        <v>2.1</v>
      </c>
      <c r="C145" s="641" t="s">
        <v>288</v>
      </c>
      <c r="D145" s="705"/>
      <c r="E145" s="705"/>
      <c r="F145" s="705"/>
      <c r="G145" s="706"/>
      <c r="H145" s="702" t="s">
        <v>0</v>
      </c>
      <c r="I145" s="746">
        <f>H156</f>
        <v>610</v>
      </c>
    </row>
    <row r="146" spans="2:9" ht="13.5" customHeight="1">
      <c r="B146" s="747"/>
      <c r="C146" s="748"/>
      <c r="D146" s="749"/>
      <c r="E146" s="749"/>
      <c r="F146" s="750"/>
      <c r="G146" s="749"/>
      <c r="H146" s="750"/>
    </row>
    <row r="147" spans="2:9" ht="13.5" customHeight="1">
      <c r="B147" s="747"/>
      <c r="C147" s="973" t="s">
        <v>17</v>
      </c>
      <c r="D147" s="973"/>
      <c r="E147" s="785" t="s">
        <v>2</v>
      </c>
      <c r="F147" s="785" t="s">
        <v>18</v>
      </c>
      <c r="G147" s="785" t="s">
        <v>5</v>
      </c>
      <c r="H147" s="785" t="s">
        <v>4</v>
      </c>
    </row>
    <row r="148" spans="2:9" ht="13.5" customHeight="1">
      <c r="B148" s="747"/>
      <c r="C148" s="970" t="s">
        <v>278</v>
      </c>
      <c r="D148" s="971"/>
      <c r="E148" s="754" t="s">
        <v>2</v>
      </c>
      <c r="F148" s="755">
        <v>0</v>
      </c>
      <c r="G148" s="580">
        <v>4800</v>
      </c>
      <c r="H148" s="757">
        <f t="shared" ref="H148:H155" si="6">+F148*G148</f>
        <v>0</v>
      </c>
    </row>
    <row r="149" spans="2:9" ht="13.5" customHeight="1">
      <c r="B149" s="747"/>
      <c r="C149" s="989" t="s">
        <v>242</v>
      </c>
      <c r="D149" s="989"/>
      <c r="E149" s="756" t="s">
        <v>2</v>
      </c>
      <c r="F149" s="756">
        <v>0</v>
      </c>
      <c r="G149" s="756">
        <v>900</v>
      </c>
      <c r="H149" s="757">
        <f t="shared" si="6"/>
        <v>0</v>
      </c>
    </row>
    <row r="150" spans="2:9" ht="13.5" customHeight="1">
      <c r="B150" s="747"/>
      <c r="C150" s="987" t="s">
        <v>293</v>
      </c>
      <c r="D150" s="988"/>
      <c r="E150" s="763" t="s">
        <v>2</v>
      </c>
      <c r="F150" s="764">
        <v>0</v>
      </c>
      <c r="G150" s="778">
        <v>1200</v>
      </c>
      <c r="H150" s="757">
        <f t="shared" si="6"/>
        <v>0</v>
      </c>
    </row>
    <row r="151" spans="2:9" ht="13.5" customHeight="1">
      <c r="B151" s="747"/>
      <c r="C151" s="765" t="s">
        <v>426</v>
      </c>
      <c r="D151" s="766"/>
      <c r="E151" s="763" t="s">
        <v>2</v>
      </c>
      <c r="F151" s="764">
        <v>1</v>
      </c>
      <c r="G151" s="778">
        <v>300</v>
      </c>
      <c r="H151" s="757">
        <f t="shared" si="6"/>
        <v>300</v>
      </c>
    </row>
    <row r="152" spans="2:9" ht="13.5" customHeight="1">
      <c r="B152" s="747"/>
      <c r="C152" s="765" t="s">
        <v>425</v>
      </c>
      <c r="D152" s="766"/>
      <c r="E152" s="763" t="s">
        <v>2</v>
      </c>
      <c r="F152" s="764">
        <v>0</v>
      </c>
      <c r="G152" s="778">
        <v>300</v>
      </c>
      <c r="H152" s="757">
        <f t="shared" si="6"/>
        <v>0</v>
      </c>
    </row>
    <row r="153" spans="2:9" ht="13.5" customHeight="1">
      <c r="B153" s="747"/>
      <c r="C153" s="765" t="s">
        <v>424</v>
      </c>
      <c r="D153" s="766"/>
      <c r="E153" s="763" t="s">
        <v>2</v>
      </c>
      <c r="F153" s="764">
        <v>1</v>
      </c>
      <c r="G153" s="778">
        <v>250</v>
      </c>
      <c r="H153" s="757">
        <f t="shared" si="6"/>
        <v>250</v>
      </c>
    </row>
    <row r="154" spans="2:9" ht="13.5" customHeight="1">
      <c r="B154" s="747"/>
      <c r="C154" s="989" t="s">
        <v>429</v>
      </c>
      <c r="D154" s="989"/>
      <c r="E154" s="756" t="s">
        <v>2</v>
      </c>
      <c r="F154" s="756">
        <v>0</v>
      </c>
      <c r="G154" s="756">
        <v>360</v>
      </c>
      <c r="H154" s="757">
        <f t="shared" si="6"/>
        <v>0</v>
      </c>
    </row>
    <row r="155" spans="2:9" ht="13.5" customHeight="1">
      <c r="B155" s="747"/>
      <c r="C155" s="989" t="s">
        <v>431</v>
      </c>
      <c r="D155" s="989"/>
      <c r="E155" s="756" t="s">
        <v>2</v>
      </c>
      <c r="F155" s="756">
        <v>1</v>
      </c>
      <c r="G155" s="756">
        <v>60</v>
      </c>
      <c r="H155" s="757">
        <f t="shared" si="6"/>
        <v>60</v>
      </c>
    </row>
    <row r="156" spans="2:9" ht="13.5" customHeight="1">
      <c r="B156" s="767"/>
      <c r="C156" s="962" t="s">
        <v>3</v>
      </c>
      <c r="D156" s="962"/>
      <c r="E156" s="962"/>
      <c r="F156" s="962"/>
      <c r="G156" s="962"/>
      <c r="H156" s="744">
        <f>SUM(H148:H155)</f>
        <v>610</v>
      </c>
    </row>
    <row r="157" spans="2:9" ht="13.5" customHeight="1">
      <c r="B157" s="704"/>
      <c r="C157" s="578"/>
      <c r="D157" s="578"/>
      <c r="E157" s="578"/>
      <c r="F157" s="578"/>
      <c r="G157" s="578"/>
      <c r="H157" s="699"/>
      <c r="I157" s="705"/>
    </row>
    <row r="158" spans="2:9" ht="13.5" customHeight="1">
      <c r="B158" s="704"/>
      <c r="C158" s="578"/>
      <c r="D158" s="578"/>
      <c r="E158" s="578"/>
      <c r="F158" s="578"/>
      <c r="G158" s="578"/>
      <c r="H158" s="699"/>
      <c r="I158" s="705"/>
    </row>
    <row r="159" spans="2:9" ht="13.5" customHeight="1">
      <c r="B159" s="690">
        <v>4</v>
      </c>
      <c r="C159" s="691" t="s">
        <v>92</v>
      </c>
      <c r="D159" s="692"/>
      <c r="E159" s="692"/>
      <c r="F159" s="693"/>
      <c r="G159" s="694"/>
      <c r="H159" s="695" t="s">
        <v>0</v>
      </c>
      <c r="I159" s="696">
        <f>+I161</f>
        <v>669.8</v>
      </c>
    </row>
    <row r="160" spans="2:9" ht="13.5" customHeight="1">
      <c r="B160" s="717"/>
      <c r="C160" s="718"/>
      <c r="D160" s="699"/>
      <c r="E160" s="699"/>
      <c r="F160" s="700"/>
      <c r="G160" s="787"/>
      <c r="H160" s="702"/>
      <c r="I160" s="703"/>
    </row>
    <row r="161" spans="2:10" ht="13.5" customHeight="1">
      <c r="B161" s="701">
        <v>4.01</v>
      </c>
      <c r="C161" s="641" t="s">
        <v>36</v>
      </c>
      <c r="D161" s="699"/>
      <c r="E161" s="699"/>
      <c r="F161" s="700"/>
      <c r="G161" s="700"/>
      <c r="H161" s="702" t="s">
        <v>0</v>
      </c>
      <c r="I161" s="746">
        <f>+H193</f>
        <v>669.8</v>
      </c>
    </row>
    <row r="162" spans="2:10" ht="13.5" customHeight="1">
      <c r="B162" s="715"/>
      <c r="C162" s="641"/>
      <c r="D162" s="699"/>
      <c r="E162" s="699"/>
      <c r="F162" s="700"/>
      <c r="G162" s="700"/>
      <c r="H162" s="699"/>
      <c r="I162" s="705"/>
    </row>
    <row r="163" spans="2:10" ht="13.5" customHeight="1">
      <c r="B163" s="572"/>
      <c r="C163" s="964" t="s">
        <v>34</v>
      </c>
      <c r="D163" s="966"/>
      <c r="E163" s="784" t="s">
        <v>44</v>
      </c>
      <c r="F163" s="783" t="s">
        <v>18</v>
      </c>
      <c r="G163" s="784" t="s">
        <v>5</v>
      </c>
      <c r="H163" s="784" t="s">
        <v>4</v>
      </c>
      <c r="I163" s="705"/>
    </row>
    <row r="164" spans="2:10" ht="13.5" customHeight="1">
      <c r="B164" s="572"/>
      <c r="C164" s="974" t="s">
        <v>432</v>
      </c>
      <c r="D164" s="974"/>
      <c r="E164" s="732" t="s">
        <v>2</v>
      </c>
      <c r="F164" s="733">
        <v>1</v>
      </c>
      <c r="G164" s="735">
        <v>250</v>
      </c>
      <c r="H164" s="711">
        <f>F164*G164</f>
        <v>250</v>
      </c>
      <c r="I164" s="705"/>
      <c r="J164" s="571">
        <f>+F164*3</f>
        <v>3</v>
      </c>
    </row>
    <row r="165" spans="2:10" ht="13.5" customHeight="1">
      <c r="B165" s="572"/>
      <c r="C165" s="974" t="s">
        <v>257</v>
      </c>
      <c r="D165" s="974"/>
      <c r="E165" s="732" t="s">
        <v>258</v>
      </c>
      <c r="F165" s="733">
        <v>0</v>
      </c>
      <c r="G165" s="735">
        <v>350</v>
      </c>
      <c r="H165" s="711">
        <f t="shared" ref="H165:H192" si="7">F165*G165</f>
        <v>0</v>
      </c>
      <c r="I165" s="705"/>
      <c r="J165" s="571">
        <f t="shared" ref="J165:J192" si="8">+F165*3</f>
        <v>0</v>
      </c>
    </row>
    <row r="166" spans="2:10" ht="13.5" customHeight="1">
      <c r="B166" s="572"/>
      <c r="C166" s="974" t="s">
        <v>259</v>
      </c>
      <c r="D166" s="974"/>
      <c r="E166" s="732" t="s">
        <v>256</v>
      </c>
      <c r="F166" s="733">
        <v>1</v>
      </c>
      <c r="G166" s="735">
        <v>10</v>
      </c>
      <c r="H166" s="711">
        <f t="shared" si="7"/>
        <v>10</v>
      </c>
      <c r="I166" s="705"/>
      <c r="J166" s="571">
        <f t="shared" si="8"/>
        <v>3</v>
      </c>
    </row>
    <row r="167" spans="2:10" ht="13.5" hidden="1" customHeight="1">
      <c r="B167" s="572"/>
      <c r="C167" s="974" t="s">
        <v>260</v>
      </c>
      <c r="D167" s="974"/>
      <c r="E167" s="732" t="s">
        <v>256</v>
      </c>
      <c r="F167" s="733">
        <v>0</v>
      </c>
      <c r="G167" s="735">
        <v>50</v>
      </c>
      <c r="H167" s="711">
        <f t="shared" si="7"/>
        <v>0</v>
      </c>
      <c r="I167" s="705"/>
      <c r="J167" s="571">
        <f t="shared" si="8"/>
        <v>0</v>
      </c>
    </row>
    <row r="168" spans="2:10" ht="13.5" customHeight="1">
      <c r="B168" s="572"/>
      <c r="C168" s="974" t="s">
        <v>261</v>
      </c>
      <c r="D168" s="974"/>
      <c r="E168" s="732" t="s">
        <v>2</v>
      </c>
      <c r="F168" s="733">
        <v>1</v>
      </c>
      <c r="G168" s="735">
        <v>25</v>
      </c>
      <c r="H168" s="711">
        <f t="shared" si="7"/>
        <v>25</v>
      </c>
      <c r="I168" s="705"/>
      <c r="J168" s="571">
        <f t="shared" si="8"/>
        <v>3</v>
      </c>
    </row>
    <row r="169" spans="2:10" ht="13.5" customHeight="1">
      <c r="B169" s="572"/>
      <c r="C169" s="974" t="s">
        <v>269</v>
      </c>
      <c r="D169" s="974"/>
      <c r="E169" s="732" t="s">
        <v>256</v>
      </c>
      <c r="F169" s="733">
        <v>1</v>
      </c>
      <c r="G169" s="735">
        <v>8</v>
      </c>
      <c r="H169" s="711">
        <f t="shared" si="7"/>
        <v>8</v>
      </c>
      <c r="I169" s="705"/>
      <c r="J169" s="571">
        <f t="shared" si="8"/>
        <v>3</v>
      </c>
    </row>
    <row r="170" spans="2:10" ht="13.5" customHeight="1">
      <c r="B170" s="572"/>
      <c r="C170" s="974" t="s">
        <v>40</v>
      </c>
      <c r="D170" s="974"/>
      <c r="E170" s="732" t="s">
        <v>2</v>
      </c>
      <c r="F170" s="733">
        <v>1</v>
      </c>
      <c r="G170" s="735">
        <v>25</v>
      </c>
      <c r="H170" s="711">
        <f t="shared" si="7"/>
        <v>25</v>
      </c>
      <c r="I170" s="705"/>
      <c r="J170" s="571">
        <f t="shared" si="8"/>
        <v>3</v>
      </c>
    </row>
    <row r="171" spans="2:10" ht="13.5" customHeight="1">
      <c r="B171" s="572"/>
      <c r="C171" s="974" t="s">
        <v>71</v>
      </c>
      <c r="D171" s="974"/>
      <c r="E171" s="732" t="s">
        <v>2</v>
      </c>
      <c r="F171" s="733">
        <v>0</v>
      </c>
      <c r="G171" s="735">
        <v>1</v>
      </c>
      <c r="H171" s="711">
        <f t="shared" si="7"/>
        <v>0</v>
      </c>
      <c r="I171" s="705"/>
      <c r="J171" s="571">
        <f t="shared" si="8"/>
        <v>0</v>
      </c>
    </row>
    <row r="172" spans="2:10" ht="13.5" customHeight="1">
      <c r="B172" s="572"/>
      <c r="C172" s="974" t="s">
        <v>69</v>
      </c>
      <c r="D172" s="974"/>
      <c r="E172" s="732" t="s">
        <v>2</v>
      </c>
      <c r="F172" s="733">
        <v>0</v>
      </c>
      <c r="G172" s="735">
        <v>1</v>
      </c>
      <c r="H172" s="711">
        <f t="shared" si="7"/>
        <v>0</v>
      </c>
      <c r="I172" s="705"/>
      <c r="J172" s="571">
        <f t="shared" si="8"/>
        <v>0</v>
      </c>
    </row>
    <row r="173" spans="2:10" ht="13.5" customHeight="1">
      <c r="B173" s="572"/>
      <c r="C173" s="974" t="s">
        <v>79</v>
      </c>
      <c r="D173" s="974"/>
      <c r="E173" s="732" t="s">
        <v>35</v>
      </c>
      <c r="F173" s="733">
        <v>1</v>
      </c>
      <c r="G173" s="735">
        <v>60</v>
      </c>
      <c r="H173" s="711">
        <f t="shared" si="7"/>
        <v>60</v>
      </c>
      <c r="I173" s="705"/>
      <c r="J173" s="571">
        <f t="shared" si="8"/>
        <v>3</v>
      </c>
    </row>
    <row r="174" spans="2:10" ht="13.5" customHeight="1">
      <c r="B174" s="572"/>
      <c r="C174" s="974" t="s">
        <v>59</v>
      </c>
      <c r="D174" s="974"/>
      <c r="E174" s="732" t="s">
        <v>2</v>
      </c>
      <c r="F174" s="733">
        <v>1</v>
      </c>
      <c r="G174" s="735">
        <v>5.5</v>
      </c>
      <c r="H174" s="711">
        <f t="shared" si="7"/>
        <v>5.5</v>
      </c>
      <c r="I174" s="705"/>
      <c r="J174" s="571">
        <f t="shared" si="8"/>
        <v>3</v>
      </c>
    </row>
    <row r="175" spans="2:10" ht="13.5" customHeight="1">
      <c r="B175" s="572"/>
      <c r="C175" s="974" t="s">
        <v>67</v>
      </c>
      <c r="D175" s="974"/>
      <c r="E175" s="732" t="s">
        <v>2</v>
      </c>
      <c r="F175" s="733">
        <v>1</v>
      </c>
      <c r="G175" s="735">
        <v>5</v>
      </c>
      <c r="H175" s="711">
        <f t="shared" si="7"/>
        <v>5</v>
      </c>
      <c r="I175" s="705"/>
      <c r="J175" s="571">
        <f t="shared" si="8"/>
        <v>3</v>
      </c>
    </row>
    <row r="176" spans="2:10" ht="13.5" customHeight="1">
      <c r="B176" s="572"/>
      <c r="C176" s="974" t="s">
        <v>38</v>
      </c>
      <c r="D176" s="974"/>
      <c r="E176" s="732" t="s">
        <v>2</v>
      </c>
      <c r="F176" s="733">
        <v>0</v>
      </c>
      <c r="G176" s="735">
        <v>6</v>
      </c>
      <c r="H176" s="711">
        <f t="shared" si="7"/>
        <v>0</v>
      </c>
      <c r="I176" s="705"/>
      <c r="J176" s="571">
        <f t="shared" si="8"/>
        <v>0</v>
      </c>
    </row>
    <row r="177" spans="2:10" ht="13.5" customHeight="1">
      <c r="B177" s="572"/>
      <c r="C177" s="974" t="s">
        <v>39</v>
      </c>
      <c r="D177" s="974"/>
      <c r="E177" s="732" t="s">
        <v>2</v>
      </c>
      <c r="F177" s="733">
        <v>0</v>
      </c>
      <c r="G177" s="735">
        <v>6</v>
      </c>
      <c r="H177" s="711">
        <f t="shared" si="7"/>
        <v>0</v>
      </c>
      <c r="I177" s="705"/>
      <c r="J177" s="571">
        <f t="shared" si="8"/>
        <v>0</v>
      </c>
    </row>
    <row r="178" spans="2:10" ht="13.5" customHeight="1">
      <c r="B178" s="572"/>
      <c r="C178" s="974" t="s">
        <v>86</v>
      </c>
      <c r="D178" s="974"/>
      <c r="E178" s="732" t="s">
        <v>2</v>
      </c>
      <c r="F178" s="733">
        <v>1</v>
      </c>
      <c r="G178" s="735">
        <v>1.5</v>
      </c>
      <c r="H178" s="711">
        <f t="shared" si="7"/>
        <v>1.5</v>
      </c>
      <c r="I178" s="705"/>
      <c r="J178" s="571">
        <f t="shared" si="8"/>
        <v>3</v>
      </c>
    </row>
    <row r="179" spans="2:10" ht="13.5" customHeight="1">
      <c r="B179" s="572"/>
      <c r="C179" s="974" t="s">
        <v>232</v>
      </c>
      <c r="D179" s="974"/>
      <c r="E179" s="732" t="s">
        <v>2</v>
      </c>
      <c r="F179" s="733">
        <v>0</v>
      </c>
      <c r="G179" s="735">
        <v>10</v>
      </c>
      <c r="H179" s="711">
        <f t="shared" si="7"/>
        <v>0</v>
      </c>
      <c r="I179" s="705"/>
      <c r="J179" s="571">
        <f t="shared" si="8"/>
        <v>0</v>
      </c>
    </row>
    <row r="180" spans="2:10" ht="13.5" customHeight="1">
      <c r="B180" s="572"/>
      <c r="C180" s="974" t="s">
        <v>80</v>
      </c>
      <c r="D180" s="974"/>
      <c r="E180" s="732" t="s">
        <v>2</v>
      </c>
      <c r="F180" s="733">
        <v>0</v>
      </c>
      <c r="G180" s="735">
        <v>8</v>
      </c>
      <c r="H180" s="711">
        <f t="shared" si="7"/>
        <v>0</v>
      </c>
      <c r="I180" s="705"/>
      <c r="J180" s="571">
        <f t="shared" si="8"/>
        <v>0</v>
      </c>
    </row>
    <row r="181" spans="2:10" ht="13.5" customHeight="1">
      <c r="B181" s="572"/>
      <c r="C181" s="974" t="s">
        <v>81</v>
      </c>
      <c r="D181" s="974"/>
      <c r="E181" s="732" t="s">
        <v>2</v>
      </c>
      <c r="F181" s="733">
        <v>1</v>
      </c>
      <c r="G181" s="735">
        <v>25</v>
      </c>
      <c r="H181" s="711">
        <f t="shared" si="7"/>
        <v>25</v>
      </c>
      <c r="I181" s="705"/>
      <c r="J181" s="571">
        <f t="shared" si="8"/>
        <v>3</v>
      </c>
    </row>
    <row r="182" spans="2:10" ht="13.5" customHeight="1">
      <c r="B182" s="572"/>
      <c r="C182" s="974" t="s">
        <v>58</v>
      </c>
      <c r="D182" s="974"/>
      <c r="E182" s="732" t="s">
        <v>35</v>
      </c>
      <c r="F182" s="733">
        <v>1</v>
      </c>
      <c r="G182" s="735">
        <v>6</v>
      </c>
      <c r="H182" s="711">
        <f t="shared" si="7"/>
        <v>6</v>
      </c>
      <c r="I182" s="705"/>
      <c r="J182" s="571">
        <f t="shared" si="8"/>
        <v>3</v>
      </c>
    </row>
    <row r="183" spans="2:10" ht="13.5" customHeight="1">
      <c r="B183" s="572"/>
      <c r="C183" s="974" t="s">
        <v>57</v>
      </c>
      <c r="D183" s="974"/>
      <c r="E183" s="732" t="s">
        <v>2</v>
      </c>
      <c r="F183" s="733">
        <v>1</v>
      </c>
      <c r="G183" s="735">
        <v>0.8</v>
      </c>
      <c r="H183" s="711">
        <f t="shared" si="7"/>
        <v>0.8</v>
      </c>
      <c r="I183" s="705"/>
      <c r="J183" s="571">
        <f t="shared" si="8"/>
        <v>3</v>
      </c>
    </row>
    <row r="184" spans="2:10" ht="13.5" customHeight="1">
      <c r="B184" s="572"/>
      <c r="C184" s="974" t="s">
        <v>72</v>
      </c>
      <c r="D184" s="974"/>
      <c r="E184" s="732" t="s">
        <v>35</v>
      </c>
      <c r="F184" s="733">
        <v>1</v>
      </c>
      <c r="G184" s="735">
        <v>30</v>
      </c>
      <c r="H184" s="711">
        <f t="shared" si="7"/>
        <v>30</v>
      </c>
      <c r="I184" s="705"/>
      <c r="J184" s="571">
        <f t="shared" si="8"/>
        <v>3</v>
      </c>
    </row>
    <row r="185" spans="2:10" ht="13.5" customHeight="1">
      <c r="B185" s="572"/>
      <c r="C185" s="974" t="s">
        <v>68</v>
      </c>
      <c r="D185" s="974"/>
      <c r="E185" s="732" t="s">
        <v>2</v>
      </c>
      <c r="F185" s="733">
        <v>0</v>
      </c>
      <c r="G185" s="735">
        <v>3.5</v>
      </c>
      <c r="H185" s="711">
        <f t="shared" si="7"/>
        <v>0</v>
      </c>
      <c r="I185" s="705"/>
      <c r="J185" s="571">
        <f t="shared" si="8"/>
        <v>0</v>
      </c>
    </row>
    <row r="186" spans="2:10" ht="13.5" customHeight="1">
      <c r="B186" s="572"/>
      <c r="C186" s="974" t="s">
        <v>43</v>
      </c>
      <c r="D186" s="974"/>
      <c r="E186" s="732" t="s">
        <v>37</v>
      </c>
      <c r="F186" s="733">
        <v>5</v>
      </c>
      <c r="G186" s="735">
        <v>30</v>
      </c>
      <c r="H186" s="711">
        <f t="shared" si="7"/>
        <v>150</v>
      </c>
      <c r="I186" s="705"/>
      <c r="J186" s="571">
        <f t="shared" si="8"/>
        <v>15</v>
      </c>
    </row>
    <row r="187" spans="2:10" ht="13.5" customHeight="1">
      <c r="B187" s="572"/>
      <c r="C187" s="974" t="s">
        <v>65</v>
      </c>
      <c r="D187" s="974"/>
      <c r="E187" s="732" t="s">
        <v>2</v>
      </c>
      <c r="F187" s="733">
        <v>1</v>
      </c>
      <c r="G187" s="735">
        <v>5</v>
      </c>
      <c r="H187" s="711">
        <f t="shared" si="7"/>
        <v>5</v>
      </c>
      <c r="I187" s="705"/>
      <c r="J187" s="571">
        <f t="shared" si="8"/>
        <v>3</v>
      </c>
    </row>
    <row r="188" spans="2:10" ht="13.5" customHeight="1">
      <c r="B188" s="572"/>
      <c r="C188" s="974" t="s">
        <v>82</v>
      </c>
      <c r="D188" s="974"/>
      <c r="E188" s="732" t="s">
        <v>2</v>
      </c>
      <c r="F188" s="733">
        <v>0</v>
      </c>
      <c r="G188" s="735">
        <v>1</v>
      </c>
      <c r="H188" s="711">
        <f t="shared" si="7"/>
        <v>0</v>
      </c>
      <c r="I188" s="705"/>
      <c r="J188" s="571">
        <f t="shared" si="8"/>
        <v>0</v>
      </c>
    </row>
    <row r="189" spans="2:10" ht="13.5" customHeight="1">
      <c r="B189" s="572"/>
      <c r="C189" s="974" t="s">
        <v>61</v>
      </c>
      <c r="D189" s="974"/>
      <c r="E189" s="732" t="s">
        <v>35</v>
      </c>
      <c r="F189" s="733">
        <v>1</v>
      </c>
      <c r="G189" s="735">
        <v>30</v>
      </c>
      <c r="H189" s="711">
        <f t="shared" si="7"/>
        <v>30</v>
      </c>
      <c r="I189" s="705"/>
      <c r="J189" s="571">
        <f t="shared" si="8"/>
        <v>3</v>
      </c>
    </row>
    <row r="190" spans="2:10" ht="13.5" customHeight="1">
      <c r="B190" s="572"/>
      <c r="C190" s="974" t="s">
        <v>63</v>
      </c>
      <c r="D190" s="974"/>
      <c r="E190" s="732" t="s">
        <v>2</v>
      </c>
      <c r="F190" s="733">
        <v>1</v>
      </c>
      <c r="G190" s="735">
        <v>3</v>
      </c>
      <c r="H190" s="711">
        <f t="shared" si="7"/>
        <v>3</v>
      </c>
      <c r="I190" s="705"/>
      <c r="J190" s="571">
        <f t="shared" si="8"/>
        <v>3</v>
      </c>
    </row>
    <row r="191" spans="2:10" ht="13.5" customHeight="1">
      <c r="B191" s="572"/>
      <c r="C191" s="974" t="s">
        <v>66</v>
      </c>
      <c r="D191" s="974"/>
      <c r="E191" s="732" t="s">
        <v>2</v>
      </c>
      <c r="F191" s="733">
        <v>1</v>
      </c>
      <c r="G191" s="735">
        <v>5</v>
      </c>
      <c r="H191" s="711">
        <f t="shared" si="7"/>
        <v>5</v>
      </c>
      <c r="I191" s="705"/>
      <c r="J191" s="571">
        <f t="shared" si="8"/>
        <v>3</v>
      </c>
    </row>
    <row r="192" spans="2:10" ht="13.5" customHeight="1">
      <c r="B192" s="572"/>
      <c r="C192" s="974" t="s">
        <v>41</v>
      </c>
      <c r="D192" s="974"/>
      <c r="E192" s="732" t="s">
        <v>2</v>
      </c>
      <c r="F192" s="733">
        <v>1</v>
      </c>
      <c r="G192" s="735">
        <v>25</v>
      </c>
      <c r="H192" s="711">
        <f t="shared" si="7"/>
        <v>25</v>
      </c>
      <c r="I192" s="705"/>
      <c r="J192" s="571">
        <f t="shared" si="8"/>
        <v>3</v>
      </c>
    </row>
    <row r="193" spans="2:11" ht="13.5" customHeight="1">
      <c r="B193" s="704"/>
      <c r="C193" s="962" t="s">
        <v>3</v>
      </c>
      <c r="D193" s="962"/>
      <c r="E193" s="962"/>
      <c r="F193" s="962"/>
      <c r="G193" s="962"/>
      <c r="H193" s="714">
        <f>SUM(H164:H192)</f>
        <v>669.8</v>
      </c>
      <c r="I193" s="705"/>
      <c r="K193" s="571">
        <v>1814.2</v>
      </c>
    </row>
    <row r="194" spans="2:11" ht="13.5" customHeight="1">
      <c r="B194" s="704"/>
      <c r="C194" s="578"/>
      <c r="D194" s="578"/>
      <c r="E194" s="578"/>
      <c r="F194" s="578"/>
      <c r="G194" s="578"/>
      <c r="H194" s="699"/>
      <c r="I194" s="705"/>
    </row>
    <row r="195" spans="2:11" ht="13.5" customHeight="1">
      <c r="B195" s="704"/>
      <c r="C195" s="578"/>
      <c r="D195" s="578"/>
      <c r="E195" s="578"/>
      <c r="F195" s="578"/>
      <c r="G195" s="578"/>
      <c r="H195" s="699"/>
      <c r="I195" s="705"/>
    </row>
    <row r="196" spans="2:11" s="831" customFormat="1" ht="13.5" customHeight="1">
      <c r="B196" s="850" t="s">
        <v>511</v>
      </c>
      <c r="C196" s="851"/>
      <c r="D196" s="838"/>
      <c r="E196" s="838"/>
      <c r="F196" s="838"/>
      <c r="G196" s="839"/>
      <c r="H196" s="840" t="s">
        <v>0</v>
      </c>
      <c r="I196" s="841">
        <f>+I200+I208</f>
        <v>1050</v>
      </c>
      <c r="J196" s="842"/>
    </row>
    <row r="197" spans="2:11" s="844" customFormat="1" ht="13.5" customHeight="1">
      <c r="B197" s="852"/>
      <c r="C197" s="853"/>
      <c r="D197" s="845"/>
      <c r="E197" s="845"/>
      <c r="F197" s="845"/>
      <c r="G197" s="846"/>
      <c r="H197" s="847"/>
      <c r="I197" s="848"/>
      <c r="J197" s="849"/>
    </row>
    <row r="198" spans="2:11" ht="13.5" customHeight="1">
      <c r="B198" s="715"/>
      <c r="C198" s="641"/>
      <c r="D198" s="699"/>
      <c r="E198" s="699"/>
      <c r="F198" s="700"/>
      <c r="G198" s="700"/>
      <c r="H198" s="699"/>
      <c r="I198" s="705"/>
    </row>
    <row r="199" spans="2:11" ht="13.5" customHeight="1">
      <c r="B199" s="704"/>
      <c r="C199" s="578"/>
      <c r="D199" s="578"/>
      <c r="E199" s="578"/>
      <c r="F199" s="578"/>
      <c r="G199" s="578"/>
      <c r="H199" s="699"/>
      <c r="I199" s="705"/>
    </row>
    <row r="200" spans="2:11" ht="13.5" customHeight="1">
      <c r="B200" s="701">
        <v>1</v>
      </c>
      <c r="C200" s="641" t="s">
        <v>42</v>
      </c>
      <c r="D200" s="699"/>
      <c r="E200" s="699"/>
      <c r="F200" s="700"/>
      <c r="G200" s="700"/>
      <c r="H200" s="702" t="s">
        <v>0</v>
      </c>
      <c r="I200" s="703">
        <f>+H206</f>
        <v>1050</v>
      </c>
    </row>
    <row r="201" spans="2:11" ht="13.5" customHeight="1">
      <c r="B201" s="715"/>
      <c r="C201" s="641"/>
      <c r="D201" s="699"/>
      <c r="E201" s="699"/>
      <c r="F201" s="700"/>
      <c r="G201" s="700"/>
      <c r="H201" s="699"/>
      <c r="I201" s="705"/>
    </row>
    <row r="202" spans="2:11" ht="13.5" customHeight="1">
      <c r="B202" s="572"/>
      <c r="C202" s="708" t="s">
        <v>34</v>
      </c>
      <c r="D202" s="784" t="s">
        <v>44</v>
      </c>
      <c r="E202" s="784" t="s">
        <v>18</v>
      </c>
      <c r="F202" s="784" t="s">
        <v>32</v>
      </c>
      <c r="G202" s="784" t="s">
        <v>5</v>
      </c>
      <c r="H202" s="784" t="s">
        <v>4</v>
      </c>
      <c r="I202" s="705"/>
    </row>
    <row r="203" spans="2:11" ht="13.5" customHeight="1">
      <c r="B203" s="572"/>
      <c r="C203" s="777" t="s">
        <v>249</v>
      </c>
      <c r="D203" s="778" t="s">
        <v>238</v>
      </c>
      <c r="E203" s="778">
        <v>1</v>
      </c>
      <c r="F203" s="778">
        <v>3</v>
      </c>
      <c r="G203" s="778">
        <v>150</v>
      </c>
      <c r="H203" s="780">
        <f>+E203*F203*G203</f>
        <v>450</v>
      </c>
      <c r="I203" s="705"/>
    </row>
    <row r="204" spans="2:11" ht="13.5" customHeight="1">
      <c r="B204" s="572"/>
      <c r="C204" s="777" t="s">
        <v>94</v>
      </c>
      <c r="D204" s="778" t="s">
        <v>238</v>
      </c>
      <c r="E204" s="778">
        <v>1</v>
      </c>
      <c r="F204" s="778">
        <v>3</v>
      </c>
      <c r="G204" s="778">
        <v>50</v>
      </c>
      <c r="H204" s="780">
        <f>+E204*F204*G204</f>
        <v>150</v>
      </c>
      <c r="I204" s="705"/>
    </row>
    <row r="205" spans="2:11" ht="13.5" customHeight="1">
      <c r="B205" s="572"/>
      <c r="C205" s="777" t="s">
        <v>415</v>
      </c>
      <c r="D205" s="778" t="s">
        <v>238</v>
      </c>
      <c r="E205" s="778">
        <v>1</v>
      </c>
      <c r="F205" s="778">
        <v>1</v>
      </c>
      <c r="G205" s="778">
        <v>50</v>
      </c>
      <c r="H205" s="780">
        <v>450</v>
      </c>
      <c r="I205" s="705"/>
    </row>
    <row r="206" spans="2:11" ht="13.5" customHeight="1">
      <c r="B206" s="572"/>
      <c r="C206" s="962" t="s">
        <v>3</v>
      </c>
      <c r="D206" s="962"/>
      <c r="E206" s="962"/>
      <c r="F206" s="962"/>
      <c r="G206" s="962"/>
      <c r="H206" s="714">
        <f>SUM(H203:H205)</f>
        <v>1050</v>
      </c>
      <c r="I206" s="705"/>
    </row>
    <row r="207" spans="2:11" ht="13.5" customHeight="1">
      <c r="B207" s="572"/>
      <c r="C207" s="578"/>
      <c r="D207" s="578"/>
      <c r="E207" s="578"/>
      <c r="F207" s="578"/>
      <c r="G207" s="578"/>
      <c r="H207" s="699"/>
      <c r="I207" s="705"/>
    </row>
    <row r="208" spans="2:11" ht="13.5" hidden="1" customHeight="1">
      <c r="B208" s="701">
        <v>2</v>
      </c>
      <c r="C208" s="641" t="s">
        <v>457</v>
      </c>
      <c r="D208" s="699"/>
      <c r="E208" s="699"/>
      <c r="F208" s="700"/>
      <c r="G208" s="700"/>
      <c r="H208" s="702" t="s">
        <v>0</v>
      </c>
      <c r="I208" s="703">
        <f>H212</f>
        <v>0</v>
      </c>
    </row>
    <row r="209" spans="2:14" ht="13.5" hidden="1" customHeight="1">
      <c r="B209" s="701"/>
      <c r="C209" s="641"/>
      <c r="D209" s="699"/>
      <c r="E209" s="699"/>
      <c r="F209" s="700"/>
      <c r="G209" s="700"/>
      <c r="H209" s="702"/>
      <c r="I209" s="703"/>
    </row>
    <row r="210" spans="2:14" ht="13.5" hidden="1" customHeight="1">
      <c r="B210" s="701"/>
      <c r="C210" s="708" t="s">
        <v>34</v>
      </c>
      <c r="D210" s="784" t="s">
        <v>44</v>
      </c>
      <c r="E210" s="784" t="s">
        <v>18</v>
      </c>
      <c r="F210" s="784" t="s">
        <v>458</v>
      </c>
      <c r="G210" s="784" t="s">
        <v>5</v>
      </c>
      <c r="H210" s="784" t="s">
        <v>4</v>
      </c>
      <c r="I210" s="703"/>
      <c r="K210" s="741" t="s">
        <v>464</v>
      </c>
      <c r="L210" s="741" t="s">
        <v>465</v>
      </c>
      <c r="M210" s="741" t="s">
        <v>466</v>
      </c>
      <c r="N210" s="741" t="s">
        <v>463</v>
      </c>
    </row>
    <row r="211" spans="2:14" ht="13.5" hidden="1" customHeight="1">
      <c r="B211" s="701"/>
      <c r="C211" s="777" t="s">
        <v>109</v>
      </c>
      <c r="D211" s="778" t="s">
        <v>122</v>
      </c>
      <c r="E211" s="778">
        <v>0</v>
      </c>
      <c r="F211" s="778">
        <f>+N211</f>
        <v>20</v>
      </c>
      <c r="G211" s="778">
        <v>280</v>
      </c>
      <c r="H211" s="780">
        <f>+E211*F211*G211</f>
        <v>0</v>
      </c>
      <c r="I211" s="703"/>
      <c r="K211" s="581">
        <v>2</v>
      </c>
      <c r="L211" s="581">
        <v>2</v>
      </c>
      <c r="M211" s="743">
        <v>5</v>
      </c>
      <c r="N211" s="581">
        <f>PRODUCT(K211:M211)</f>
        <v>20</v>
      </c>
    </row>
    <row r="212" spans="2:14" ht="13.5" hidden="1" customHeight="1">
      <c r="B212" s="701"/>
      <c r="C212" s="964" t="s">
        <v>3</v>
      </c>
      <c r="D212" s="965"/>
      <c r="E212" s="965"/>
      <c r="F212" s="965"/>
      <c r="G212" s="966"/>
      <c r="H212" s="714">
        <f>SUM(H211:H211)</f>
        <v>0</v>
      </c>
      <c r="I212" s="703"/>
    </row>
    <row r="213" spans="2:14" ht="13.5" customHeight="1">
      <c r="B213" s="701"/>
      <c r="C213" s="641"/>
      <c r="D213" s="699"/>
      <c r="E213" s="699"/>
      <c r="F213" s="700"/>
      <c r="G213" s="700"/>
      <c r="H213" s="702"/>
      <c r="I213" s="703"/>
    </row>
    <row r="214" spans="2:14" ht="13.5" customHeight="1">
      <c r="B214" s="572"/>
      <c r="C214" s="578"/>
      <c r="D214" s="578"/>
      <c r="E214" s="578"/>
      <c r="F214" s="578"/>
      <c r="G214" s="578"/>
      <c r="H214" s="699"/>
      <c r="I214" s="705"/>
    </row>
    <row r="215" spans="2:14" ht="13.5" customHeight="1">
      <c r="B215" s="704"/>
      <c r="C215" s="578"/>
      <c r="D215" s="578"/>
      <c r="E215" s="578"/>
      <c r="F215" s="578"/>
      <c r="G215" s="578"/>
      <c r="H215" s="699"/>
      <c r="I215" s="705"/>
      <c r="L215" s="668"/>
    </row>
    <row r="216" spans="2:14" ht="13.5" customHeight="1">
      <c r="B216" s="967" t="s">
        <v>51</v>
      </c>
      <c r="C216" s="967"/>
      <c r="D216" s="967"/>
      <c r="E216" s="967"/>
      <c r="F216" s="967"/>
      <c r="G216" s="967"/>
      <c r="H216" s="702" t="s">
        <v>0</v>
      </c>
      <c r="I216" s="703">
        <f>+I21</f>
        <v>25818.38</v>
      </c>
    </row>
    <row r="217" spans="2:14" ht="13.5" customHeight="1"/>
    <row r="218" spans="2:14" ht="13.5" customHeight="1">
      <c r="I218" s="781"/>
    </row>
    <row r="219" spans="2:14" ht="13.5" customHeight="1">
      <c r="I219" s="703"/>
    </row>
    <row r="220" spans="2:14" ht="13.5" customHeight="1">
      <c r="I220" s="703"/>
    </row>
    <row r="221" spans="2:14" ht="13.5" customHeight="1">
      <c r="I221" s="703"/>
    </row>
    <row r="222" spans="2:14" ht="13.5" customHeight="1">
      <c r="I222" s="703"/>
    </row>
    <row r="223" spans="2:14" ht="13.5" customHeight="1"/>
    <row r="224" spans="2:14" ht="13.5" customHeight="1"/>
    <row r="225" spans="3:12" ht="13.5" customHeight="1"/>
    <row r="226" spans="3:12" ht="13.5" customHeight="1"/>
    <row r="227" spans="3:12" s="642" customFormat="1" ht="13.5" customHeight="1">
      <c r="C227" s="569"/>
      <c r="D227" s="569"/>
      <c r="E227" s="569"/>
      <c r="F227" s="570"/>
      <c r="G227" s="570"/>
      <c r="H227" s="569"/>
      <c r="I227" s="569"/>
      <c r="J227" s="571"/>
      <c r="K227" s="571"/>
      <c r="L227" s="571"/>
    </row>
    <row r="228" spans="3:12" s="642" customFormat="1" ht="13.5" customHeight="1">
      <c r="C228" s="569"/>
      <c r="D228" s="569"/>
      <c r="E228" s="569"/>
      <c r="F228" s="570"/>
      <c r="G228" s="570"/>
      <c r="H228" s="569"/>
      <c r="I228" s="569"/>
      <c r="J228" s="571"/>
      <c r="K228" s="571"/>
      <c r="L228" s="571"/>
    </row>
    <row r="229" spans="3:12" s="642" customFormat="1" ht="13.5" customHeight="1">
      <c r="C229" s="569"/>
      <c r="D229" s="569"/>
      <c r="E229" s="569"/>
      <c r="F229" s="570"/>
      <c r="G229" s="570"/>
      <c r="H229" s="569"/>
      <c r="I229" s="569"/>
      <c r="J229" s="571"/>
      <c r="K229" s="571"/>
      <c r="L229" s="571"/>
    </row>
    <row r="230" spans="3:12" s="642" customFormat="1" ht="13.5" customHeight="1">
      <c r="C230" s="569"/>
      <c r="D230" s="569"/>
      <c r="E230" s="569"/>
      <c r="F230" s="570"/>
      <c r="G230" s="570"/>
      <c r="H230" s="569"/>
      <c r="I230" s="569"/>
      <c r="J230" s="571"/>
      <c r="K230" s="571"/>
      <c r="L230" s="571"/>
    </row>
    <row r="231" spans="3:12" s="642" customFormat="1" ht="13.5" customHeight="1">
      <c r="C231" s="569"/>
      <c r="D231" s="569"/>
      <c r="E231" s="569"/>
      <c r="F231" s="570"/>
      <c r="G231" s="570"/>
      <c r="H231" s="569"/>
      <c r="I231" s="569"/>
      <c r="J231" s="571"/>
      <c r="K231" s="571"/>
      <c r="L231" s="571"/>
    </row>
    <row r="232" spans="3:12" s="642" customFormat="1" ht="13.5" customHeight="1">
      <c r="C232" s="569"/>
      <c r="D232" s="569"/>
      <c r="E232" s="569"/>
      <c r="F232" s="570"/>
      <c r="G232" s="570"/>
      <c r="H232" s="569"/>
      <c r="I232" s="569"/>
      <c r="J232" s="571"/>
      <c r="K232" s="571"/>
      <c r="L232" s="571"/>
    </row>
    <row r="233" spans="3:12" s="642" customFormat="1" ht="13.5" customHeight="1">
      <c r="C233" s="569"/>
      <c r="D233" s="569"/>
      <c r="E233" s="569"/>
      <c r="F233" s="570"/>
      <c r="G233" s="570"/>
      <c r="H233" s="569"/>
      <c r="I233" s="569"/>
      <c r="J233" s="571"/>
      <c r="K233" s="571"/>
      <c r="L233" s="571"/>
    </row>
    <row r="234" spans="3:12" s="642" customFormat="1" ht="13.5" customHeight="1">
      <c r="C234" s="569"/>
      <c r="D234" s="569"/>
      <c r="E234" s="569"/>
      <c r="F234" s="570"/>
      <c r="G234" s="570"/>
      <c r="H234" s="569"/>
      <c r="I234" s="569"/>
      <c r="J234" s="571"/>
      <c r="K234" s="571"/>
      <c r="L234" s="571"/>
    </row>
    <row r="235" spans="3:12" s="642" customFormat="1" ht="13.5" customHeight="1">
      <c r="C235" s="569"/>
      <c r="D235" s="569"/>
      <c r="E235" s="569"/>
      <c r="F235" s="570"/>
      <c r="G235" s="570"/>
      <c r="H235" s="569"/>
      <c r="I235" s="569"/>
      <c r="J235" s="571"/>
      <c r="K235" s="571"/>
      <c r="L235" s="571"/>
    </row>
    <row r="236" spans="3:12" s="642" customFormat="1" ht="13.5" customHeight="1">
      <c r="C236" s="569"/>
      <c r="D236" s="569"/>
      <c r="E236" s="569"/>
      <c r="F236" s="570"/>
      <c r="G236" s="570"/>
      <c r="H236" s="569"/>
      <c r="I236" s="569"/>
      <c r="J236" s="571"/>
      <c r="K236" s="571"/>
      <c r="L236" s="571"/>
    </row>
    <row r="237" spans="3:12" s="642" customFormat="1" ht="13.5" customHeight="1">
      <c r="C237" s="569"/>
      <c r="D237" s="569"/>
      <c r="E237" s="569"/>
      <c r="F237" s="570"/>
      <c r="G237" s="570"/>
      <c r="H237" s="569"/>
      <c r="I237" s="569"/>
      <c r="J237" s="571"/>
      <c r="K237" s="571"/>
      <c r="L237" s="571"/>
    </row>
    <row r="238" spans="3:12" s="642" customFormat="1" ht="13.5" customHeight="1">
      <c r="C238" s="569"/>
      <c r="D238" s="569"/>
      <c r="E238" s="569"/>
      <c r="F238" s="570"/>
      <c r="G238" s="570"/>
      <c r="H238" s="569"/>
      <c r="I238" s="569"/>
      <c r="J238" s="571"/>
      <c r="K238" s="571"/>
      <c r="L238" s="571"/>
    </row>
    <row r="239" spans="3:12" s="642" customFormat="1" ht="13.5" customHeight="1">
      <c r="C239" s="569"/>
      <c r="D239" s="569"/>
      <c r="E239" s="569"/>
      <c r="F239" s="570"/>
      <c r="G239" s="570"/>
      <c r="H239" s="569"/>
      <c r="I239" s="569"/>
      <c r="J239" s="571"/>
      <c r="K239" s="571"/>
      <c r="L239" s="571"/>
    </row>
    <row r="240" spans="3:12" s="642" customFormat="1" ht="13.5" customHeight="1">
      <c r="C240" s="569"/>
      <c r="D240" s="569"/>
      <c r="E240" s="569"/>
      <c r="F240" s="570"/>
      <c r="G240" s="570"/>
      <c r="H240" s="569"/>
      <c r="I240" s="569"/>
      <c r="J240" s="571"/>
      <c r="K240" s="571"/>
      <c r="L240" s="571"/>
    </row>
    <row r="241" spans="2:12" s="642" customFormat="1" ht="13.5" customHeight="1">
      <c r="C241" s="569"/>
      <c r="D241" s="569"/>
      <c r="E241" s="569"/>
      <c r="F241" s="570"/>
      <c r="G241" s="570"/>
      <c r="H241" s="569"/>
      <c r="I241" s="569"/>
      <c r="J241" s="571"/>
      <c r="K241" s="571"/>
      <c r="L241" s="571"/>
    </row>
    <row r="242" spans="2:12" s="642" customFormat="1" ht="13.5" customHeight="1">
      <c r="C242" s="569"/>
      <c r="D242" s="569"/>
      <c r="E242" s="569"/>
      <c r="F242" s="570"/>
      <c r="G242" s="570"/>
      <c r="H242" s="569"/>
      <c r="I242" s="569"/>
      <c r="J242" s="571"/>
      <c r="K242" s="571"/>
      <c r="L242" s="571"/>
    </row>
    <row r="243" spans="2:12" ht="13.5" customHeight="1"/>
    <row r="244" spans="2:12" ht="13.5" customHeight="1"/>
    <row r="245" spans="2:12" s="782" customFormat="1" ht="18" customHeight="1">
      <c r="B245" s="642"/>
      <c r="C245" s="569"/>
      <c r="D245" s="569"/>
      <c r="E245" s="569"/>
      <c r="F245" s="570"/>
      <c r="G245" s="570"/>
      <c r="H245" s="569"/>
      <c r="I245" s="569"/>
    </row>
  </sheetData>
  <mergeCells count="73">
    <mergeCell ref="C40:G40"/>
    <mergeCell ref="C190:D190"/>
    <mergeCell ref="C174:D174"/>
    <mergeCell ref="C179:D179"/>
    <mergeCell ref="C180:D180"/>
    <mergeCell ref="C175:D175"/>
    <mergeCell ref="C140:D140"/>
    <mergeCell ref="C188:D188"/>
    <mergeCell ref="C189:D189"/>
    <mergeCell ref="C187:D187"/>
    <mergeCell ref="C172:D172"/>
    <mergeCell ref="C126:D126"/>
    <mergeCell ref="C127:D127"/>
    <mergeCell ref="C139:D139"/>
    <mergeCell ref="C156:G156"/>
    <mergeCell ref="C170:D170"/>
    <mergeCell ref="B8:I8"/>
    <mergeCell ref="B3:I3"/>
    <mergeCell ref="B4:I4"/>
    <mergeCell ref="B5:I5"/>
    <mergeCell ref="B6:I6"/>
    <mergeCell ref="C138:D138"/>
    <mergeCell ref="C149:D149"/>
    <mergeCell ref="C165:D165"/>
    <mergeCell ref="C167:D167"/>
    <mergeCell ref="C154:D154"/>
    <mergeCell ref="C117:G117"/>
    <mergeCell ref="C55:G55"/>
    <mergeCell ref="C66:G66"/>
    <mergeCell ref="C80:G80"/>
    <mergeCell ref="C91:G91"/>
    <mergeCell ref="C104:G104"/>
    <mergeCell ref="D14:I15"/>
    <mergeCell ref="D16:H16"/>
    <mergeCell ref="C21:H21"/>
    <mergeCell ref="B23:I23"/>
    <mergeCell ref="B25:I25"/>
    <mergeCell ref="D17:H17"/>
    <mergeCell ref="D18:H18"/>
    <mergeCell ref="D19:H19"/>
    <mergeCell ref="D20:H20"/>
    <mergeCell ref="B216:G216"/>
    <mergeCell ref="C178:D178"/>
    <mergeCell ref="C173:D173"/>
    <mergeCell ref="C191:D191"/>
    <mergeCell ref="C192:D192"/>
    <mergeCell ref="C181:D181"/>
    <mergeCell ref="C182:D182"/>
    <mergeCell ref="C183:D183"/>
    <mergeCell ref="C184:D184"/>
    <mergeCell ref="C185:D185"/>
    <mergeCell ref="C176:D176"/>
    <mergeCell ref="C177:D177"/>
    <mergeCell ref="C212:G212"/>
    <mergeCell ref="C193:G193"/>
    <mergeCell ref="C206:G206"/>
    <mergeCell ref="C186:D186"/>
    <mergeCell ref="C171:D171"/>
    <mergeCell ref="C128:D128"/>
    <mergeCell ref="C150:D150"/>
    <mergeCell ref="C163:D163"/>
    <mergeCell ref="C141:G141"/>
    <mergeCell ref="C147:D147"/>
    <mergeCell ref="C148:D148"/>
    <mergeCell ref="C155:D155"/>
    <mergeCell ref="C169:D169"/>
    <mergeCell ref="C164:D164"/>
    <mergeCell ref="C166:D166"/>
    <mergeCell ref="C168:D168"/>
    <mergeCell ref="C129:D129"/>
    <mergeCell ref="C132:G132"/>
    <mergeCell ref="C130:D130"/>
    <mergeCell ref="C131:D131"/>
  </mergeCells>
  <conditionalFormatting sqref="D14:E14">
    <cfRule type="aboveAverage" dxfId="2" priority="1" stopIfTrue="1" aboveAverage="0"/>
  </conditionalFormatting>
  <printOptions horizontalCentered="1"/>
  <pageMargins left="0.27559055118110237" right="0" top="0.66" bottom="1.0629921259842521" header="0" footer="0"/>
  <pageSetup paperSize="9" scale="69" fitToHeight="5" orientation="portrait" horizontalDpi="4294967293" r:id="rId1"/>
  <headerFooter alignWithMargins="0">
    <oddFooter>&amp;C&amp;G</oddFooter>
  </headerFooter>
  <rowBreaks count="3" manualBreakCount="3">
    <brk id="81" min="1" max="8" man="1"/>
    <brk id="133" min="1" max="8" man="1"/>
    <brk id="195" min="1" max="8" man="1"/>
  </rowBreaks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indexed="43"/>
  </sheetPr>
  <dimension ref="A1:K266"/>
  <sheetViews>
    <sheetView view="pageBreakPreview" topLeftCell="A157" zoomScale="115" zoomScaleNormal="70" zoomScaleSheetLayoutView="115" workbookViewId="0">
      <selection activeCell="B49" sqref="B49:F49"/>
    </sheetView>
  </sheetViews>
  <sheetFormatPr baseColWidth="10" defaultColWidth="11.44140625" defaultRowHeight="13.2"/>
  <cols>
    <col min="1" max="1" width="8.6640625" style="159" customWidth="1"/>
    <col min="2" max="2" width="48.5546875" style="159" customWidth="1"/>
    <col min="3" max="4" width="18" style="159" customWidth="1"/>
    <col min="5" max="5" width="15.6640625" style="159" customWidth="1"/>
    <col min="6" max="6" width="11.109375" style="160" customWidth="1"/>
    <col min="7" max="7" width="14.88671875" style="159" customWidth="1"/>
    <col min="8" max="8" width="16.88671875" style="159" customWidth="1"/>
    <col min="9" max="9" width="11.44140625" style="161"/>
    <col min="10" max="10" width="14.109375" style="161" customWidth="1"/>
    <col min="11" max="16384" width="11.44140625" style="161"/>
  </cols>
  <sheetData>
    <row r="1" spans="1:8" ht="21" customHeight="1"/>
    <row r="2" spans="1:8" ht="21" customHeight="1"/>
    <row r="3" spans="1:8" ht="27" customHeight="1">
      <c r="A3" s="1026" t="s">
        <v>251</v>
      </c>
      <c r="B3" s="1026"/>
      <c r="C3" s="1026"/>
      <c r="D3" s="1026"/>
      <c r="E3" s="1026"/>
      <c r="F3" s="1026"/>
      <c r="G3" s="1026"/>
      <c r="H3" s="1026"/>
    </row>
    <row r="4" spans="1:8" ht="18" customHeight="1">
      <c r="A4" s="162"/>
      <c r="B4" s="162"/>
      <c r="C4" s="162"/>
      <c r="D4" s="162"/>
      <c r="E4" s="162"/>
      <c r="F4" s="163"/>
      <c r="G4" s="162"/>
      <c r="H4" s="162"/>
    </row>
    <row r="5" spans="1:8" ht="18" customHeight="1">
      <c r="B5" s="164"/>
      <c r="C5" s="165"/>
      <c r="D5" s="165"/>
      <c r="E5" s="162"/>
      <c r="F5" s="163"/>
      <c r="G5" s="162"/>
    </row>
    <row r="6" spans="1:8" ht="18" customHeight="1">
      <c r="B6" s="164" t="s">
        <v>22</v>
      </c>
      <c r="C6" s="166" t="e">
        <f>#REF!</f>
        <v>#REF!</v>
      </c>
      <c r="D6" s="166"/>
      <c r="E6" s="162"/>
      <c r="F6" s="163"/>
      <c r="G6" s="162"/>
      <c r="H6" s="162"/>
    </row>
    <row r="7" spans="1:8" ht="18" customHeight="1">
      <c r="B7" s="164" t="s">
        <v>46</v>
      </c>
      <c r="C7" s="166" t="e">
        <f>#REF!</f>
        <v>#REF!</v>
      </c>
      <c r="D7" s="166"/>
      <c r="H7" s="166" t="s">
        <v>1</v>
      </c>
    </row>
    <row r="8" spans="1:8" ht="18" customHeight="1">
      <c r="B8" s="164" t="s">
        <v>47</v>
      </c>
      <c r="C8" s="166" t="e">
        <f>#REF!</f>
        <v>#REF!</v>
      </c>
      <c r="D8" s="166"/>
      <c r="H8" s="166"/>
    </row>
    <row r="9" spans="1:8" ht="18" customHeight="1">
      <c r="B9" s="164" t="s">
        <v>48</v>
      </c>
      <c r="C9" s="166" t="e">
        <f>#REF!</f>
        <v>#REF!</v>
      </c>
      <c r="D9" s="166"/>
    </row>
    <row r="10" spans="1:8" ht="31.5" customHeight="1">
      <c r="B10" s="164" t="s">
        <v>76</v>
      </c>
      <c r="C10" s="1029" t="e">
        <f>#REF!</f>
        <v>#REF!</v>
      </c>
      <c r="D10" s="1029"/>
      <c r="E10" s="1029"/>
      <c r="F10" s="1029"/>
      <c r="G10" s="1029"/>
      <c r="H10" s="1029"/>
    </row>
    <row r="11" spans="1:8" ht="18" customHeight="1">
      <c r="B11" s="164"/>
      <c r="C11" s="1029"/>
      <c r="D11" s="1029"/>
      <c r="E11" s="1029"/>
      <c r="F11" s="1029"/>
      <c r="G11" s="1029"/>
      <c r="H11" s="1029"/>
    </row>
    <row r="12" spans="1:8" ht="18" customHeight="1" thickBot="1">
      <c r="B12" s="164"/>
      <c r="C12" s="166"/>
      <c r="D12" s="166"/>
      <c r="E12" s="162"/>
    </row>
    <row r="13" spans="1:8" s="168" customFormat="1" ht="20.25" customHeight="1" thickBot="1">
      <c r="A13" s="167"/>
      <c r="B13" s="260" t="s">
        <v>23</v>
      </c>
      <c r="C13" s="1030" t="s">
        <v>24</v>
      </c>
      <c r="D13" s="1030"/>
      <c r="E13" s="1030"/>
      <c r="F13" s="1030"/>
      <c r="G13" s="1030"/>
      <c r="H13" s="261" t="s">
        <v>158</v>
      </c>
    </row>
    <row r="14" spans="1:8" s="168" customFormat="1" ht="20.25" customHeight="1">
      <c r="A14" s="167"/>
      <c r="B14" s="294" t="s">
        <v>262</v>
      </c>
      <c r="C14" s="1013" t="s">
        <v>99</v>
      </c>
      <c r="D14" s="1013"/>
      <c r="E14" s="1013"/>
      <c r="F14" s="1013"/>
      <c r="G14" s="1013"/>
      <c r="H14" s="295">
        <f>+H28</f>
        <v>1057641.3020833335</v>
      </c>
    </row>
    <row r="15" spans="1:8" s="168" customFormat="1" ht="20.25" customHeight="1">
      <c r="A15" s="167"/>
      <c r="B15" s="294" t="s">
        <v>263</v>
      </c>
      <c r="C15" s="1013" t="s">
        <v>100</v>
      </c>
      <c r="D15" s="1013"/>
      <c r="E15" s="1013"/>
      <c r="F15" s="1013"/>
      <c r="G15" s="1013"/>
      <c r="H15" s="296">
        <f>+H154</f>
        <v>153540.6</v>
      </c>
    </row>
    <row r="16" spans="1:8" s="168" customFormat="1" ht="20.25" customHeight="1">
      <c r="A16" s="167"/>
      <c r="B16" s="294" t="s">
        <v>264</v>
      </c>
      <c r="C16" s="1013" t="s">
        <v>101</v>
      </c>
      <c r="D16" s="1013"/>
      <c r="E16" s="1013"/>
      <c r="F16" s="1013"/>
      <c r="G16" s="1013"/>
      <c r="H16" s="296">
        <f>+H239</f>
        <v>155250</v>
      </c>
    </row>
    <row r="17" spans="1:11" s="168" customFormat="1" ht="20.25" customHeight="1">
      <c r="A17" s="167"/>
      <c r="B17" s="294" t="s">
        <v>265</v>
      </c>
      <c r="C17" s="1013" t="s">
        <v>102</v>
      </c>
      <c r="D17" s="1013"/>
      <c r="E17" s="1013"/>
      <c r="F17" s="1013"/>
      <c r="G17" s="1013"/>
      <c r="H17" s="296">
        <v>0</v>
      </c>
    </row>
    <row r="18" spans="1:11" s="168" customFormat="1" ht="20.25" customHeight="1" thickBot="1">
      <c r="A18" s="167"/>
      <c r="B18" s="1031" t="s">
        <v>51</v>
      </c>
      <c r="C18" s="1032"/>
      <c r="D18" s="1032"/>
      <c r="E18" s="1032"/>
      <c r="F18" s="1032"/>
      <c r="G18" s="1032"/>
      <c r="H18" s="169">
        <f>SUM(H14:H17)</f>
        <v>1366431.9020833336</v>
      </c>
      <c r="I18" s="170"/>
      <c r="J18" s="171"/>
      <c r="K18" s="170"/>
    </row>
    <row r="19" spans="1:11" ht="18" customHeight="1">
      <c r="B19" s="172"/>
      <c r="C19" s="172"/>
      <c r="D19" s="172"/>
      <c r="E19" s="172"/>
      <c r="F19" s="172"/>
      <c r="G19" s="173"/>
      <c r="H19" s="162"/>
    </row>
    <row r="20" spans="1:11" ht="18" customHeight="1">
      <c r="B20" s="172"/>
      <c r="C20" s="172"/>
      <c r="D20" s="172"/>
      <c r="E20" s="172"/>
      <c r="F20" s="172"/>
      <c r="G20" s="173"/>
      <c r="H20" s="162"/>
    </row>
    <row r="21" spans="1:11" ht="18" customHeight="1">
      <c r="B21" s="172"/>
      <c r="C21" s="172"/>
      <c r="D21" s="172"/>
      <c r="E21" s="172"/>
      <c r="F21" s="172"/>
      <c r="G21" s="173"/>
      <c r="H21" s="162"/>
    </row>
    <row r="22" spans="1:11" ht="18" customHeight="1">
      <c r="B22" s="172"/>
      <c r="C22" s="172"/>
      <c r="D22" s="172"/>
      <c r="E22" s="172"/>
      <c r="F22" s="172"/>
      <c r="G22" s="173"/>
      <c r="H22" s="162"/>
    </row>
    <row r="23" spans="1:11" ht="27" customHeight="1">
      <c r="A23" s="1022" t="s">
        <v>27</v>
      </c>
      <c r="B23" s="1023"/>
      <c r="C23" s="1023"/>
      <c r="D23" s="1023"/>
      <c r="E23" s="1023"/>
      <c r="F23" s="1023"/>
      <c r="G23" s="1023"/>
      <c r="H23" s="1023"/>
    </row>
    <row r="24" spans="1:11" ht="12" customHeight="1">
      <c r="A24" s="241"/>
      <c r="B24" s="242"/>
      <c r="C24" s="243"/>
      <c r="D24" s="243"/>
      <c r="E24" s="242"/>
      <c r="F24" s="244"/>
      <c r="G24" s="242"/>
      <c r="H24" s="242"/>
    </row>
    <row r="25" spans="1:11" ht="27" customHeight="1">
      <c r="A25" s="1022" t="s">
        <v>49</v>
      </c>
      <c r="B25" s="1022"/>
      <c r="C25" s="1022"/>
      <c r="D25" s="1022"/>
      <c r="E25" s="1022"/>
      <c r="F25" s="1022"/>
      <c r="G25" s="1022"/>
      <c r="H25" s="1022"/>
    </row>
    <row r="26" spans="1:11" ht="20.25" customHeight="1">
      <c r="A26" s="245"/>
      <c r="B26" s="245"/>
      <c r="C26" s="245"/>
      <c r="D26" s="245"/>
      <c r="E26" s="245"/>
      <c r="F26" s="245"/>
      <c r="G26" s="245"/>
      <c r="H26" s="245"/>
    </row>
    <row r="27" spans="1:11" ht="12.75" customHeight="1">
      <c r="A27" s="246"/>
      <c r="B27" s="246"/>
      <c r="C27" s="247"/>
      <c r="D27" s="247"/>
      <c r="E27" s="248"/>
      <c r="F27" s="249"/>
      <c r="G27" s="246"/>
      <c r="H27" s="246"/>
    </row>
    <row r="28" spans="1:11" s="168" customFormat="1" ht="15">
      <c r="A28" s="262" t="s">
        <v>268</v>
      </c>
      <c r="B28" s="263"/>
      <c r="C28" s="264"/>
      <c r="D28" s="264"/>
      <c r="E28" s="264"/>
      <c r="F28" s="265"/>
      <c r="G28" s="265" t="s">
        <v>0</v>
      </c>
      <c r="H28" s="266">
        <f>+H30+H52+H92+H132</f>
        <v>1057641.3020833335</v>
      </c>
      <c r="I28" s="177"/>
    </row>
    <row r="29" spans="1:11" s="168" customFormat="1" ht="15">
      <c r="A29" s="178"/>
      <c r="B29" s="179"/>
      <c r="C29" s="180"/>
      <c r="D29" s="180"/>
      <c r="E29" s="180"/>
      <c r="F29" s="181"/>
      <c r="G29" s="181"/>
      <c r="H29" s="182"/>
      <c r="I29" s="177"/>
      <c r="J29" s="170"/>
    </row>
    <row r="30" spans="1:11" ht="18" customHeight="1">
      <c r="A30" s="269">
        <v>1</v>
      </c>
      <c r="B30" s="270" t="s">
        <v>10</v>
      </c>
      <c r="C30" s="271"/>
      <c r="D30" s="271"/>
      <c r="E30" s="271"/>
      <c r="F30" s="272"/>
      <c r="G30" s="273" t="s">
        <v>0</v>
      </c>
      <c r="H30" s="274">
        <f>+H32</f>
        <v>821250</v>
      </c>
      <c r="J30" s="250"/>
    </row>
    <row r="31" spans="1:11" ht="12.75" customHeight="1">
      <c r="A31" s="183"/>
      <c r="B31" s="184"/>
      <c r="C31" s="185"/>
      <c r="D31" s="185"/>
      <c r="E31" s="185"/>
      <c r="F31" s="186"/>
      <c r="G31" s="185"/>
      <c r="H31" s="185"/>
    </row>
    <row r="32" spans="1:11" ht="12.75" customHeight="1">
      <c r="A32" s="187">
        <v>1.01</v>
      </c>
      <c r="B32" s="188" t="s">
        <v>12</v>
      </c>
      <c r="C32" s="185"/>
      <c r="D32" s="185"/>
      <c r="E32" s="185"/>
      <c r="F32" s="186"/>
      <c r="G32" s="231" t="s">
        <v>0</v>
      </c>
      <c r="H32" s="232">
        <f>+G49</f>
        <v>821250</v>
      </c>
    </row>
    <row r="33" spans="1:10" ht="12.75" customHeight="1">
      <c r="A33" s="189"/>
      <c r="B33" s="175"/>
      <c r="C33" s="185"/>
      <c r="D33" s="185"/>
      <c r="E33" s="185"/>
      <c r="F33" s="186"/>
      <c r="G33" s="185"/>
      <c r="H33" s="185"/>
    </row>
    <row r="34" spans="1:10" ht="12.75" customHeight="1">
      <c r="A34" s="190"/>
      <c r="B34" s="188" t="s">
        <v>29</v>
      </c>
      <c r="C34" s="175"/>
      <c r="D34" s="175"/>
      <c r="E34" s="175"/>
      <c r="F34" s="191"/>
      <c r="G34" s="175"/>
      <c r="H34" s="185"/>
    </row>
    <row r="35" spans="1:10" ht="12.75" customHeight="1">
      <c r="A35" s="190"/>
      <c r="B35" s="188"/>
      <c r="C35" s="175"/>
      <c r="D35" s="175"/>
      <c r="E35" s="175"/>
      <c r="F35" s="191"/>
      <c r="G35" s="175"/>
      <c r="H35" s="185"/>
    </row>
    <row r="36" spans="1:10" ht="12.75" customHeight="1">
      <c r="A36" s="189"/>
      <c r="B36" s="192" t="s">
        <v>30</v>
      </c>
      <c r="C36" s="193" t="s">
        <v>31</v>
      </c>
      <c r="D36" s="193" t="s">
        <v>287</v>
      </c>
      <c r="E36" s="193" t="s">
        <v>32</v>
      </c>
      <c r="F36" s="193" t="s">
        <v>13</v>
      </c>
      <c r="G36" s="193" t="s">
        <v>4</v>
      </c>
      <c r="H36" s="234" t="s">
        <v>243</v>
      </c>
      <c r="J36" s="251"/>
    </row>
    <row r="37" spans="1:10" ht="12.75" customHeight="1">
      <c r="A37" s="190"/>
      <c r="B37" s="194" t="s">
        <v>274</v>
      </c>
      <c r="C37" s="195">
        <v>1</v>
      </c>
      <c r="D37" s="195">
        <v>0.25</v>
      </c>
      <c r="E37" s="195">
        <v>25</v>
      </c>
      <c r="F37" s="195">
        <v>5000</v>
      </c>
      <c r="G37" s="234">
        <f>+C37*D37*E37*F37</f>
        <v>31250</v>
      </c>
      <c r="H37" s="1033" t="s">
        <v>244</v>
      </c>
    </row>
    <row r="38" spans="1:10" ht="12.75" customHeight="1">
      <c r="A38" s="190"/>
      <c r="B38" s="194" t="s">
        <v>275</v>
      </c>
      <c r="C38" s="195">
        <v>1</v>
      </c>
      <c r="D38" s="195">
        <v>1</v>
      </c>
      <c r="E38" s="195">
        <v>25</v>
      </c>
      <c r="F38" s="195">
        <v>4500</v>
      </c>
      <c r="G38" s="234">
        <f t="shared" ref="G38:G48" si="0">+C38*D38*E38*F38</f>
        <v>112500</v>
      </c>
      <c r="H38" s="1034"/>
    </row>
    <row r="39" spans="1:10" ht="12.75" customHeight="1">
      <c r="A39" s="190"/>
      <c r="B39" s="194" t="s">
        <v>280</v>
      </c>
      <c r="C39" s="195">
        <v>1</v>
      </c>
      <c r="D39" s="195">
        <v>0.5</v>
      </c>
      <c r="E39" s="195">
        <v>25</v>
      </c>
      <c r="F39" s="195">
        <v>5000</v>
      </c>
      <c r="G39" s="234">
        <f t="shared" si="0"/>
        <v>62500</v>
      </c>
      <c r="H39" s="1034"/>
    </row>
    <row r="40" spans="1:10" ht="12.75" customHeight="1">
      <c r="A40" s="190"/>
      <c r="B40" s="194" t="s">
        <v>301</v>
      </c>
      <c r="C40" s="195">
        <v>1</v>
      </c>
      <c r="D40" s="195">
        <v>0.5</v>
      </c>
      <c r="E40" s="195">
        <v>25</v>
      </c>
      <c r="F40" s="195">
        <v>5000</v>
      </c>
      <c r="G40" s="234">
        <f t="shared" si="0"/>
        <v>62500</v>
      </c>
      <c r="H40" s="1034"/>
    </row>
    <row r="41" spans="1:10" ht="12.75" customHeight="1">
      <c r="A41" s="190"/>
      <c r="B41" s="194" t="s">
        <v>281</v>
      </c>
      <c r="C41" s="195">
        <v>1</v>
      </c>
      <c r="D41" s="195">
        <v>0.5</v>
      </c>
      <c r="E41" s="195">
        <v>25</v>
      </c>
      <c r="F41" s="195">
        <v>5000</v>
      </c>
      <c r="G41" s="234">
        <f t="shared" si="0"/>
        <v>62500</v>
      </c>
      <c r="H41" s="1034"/>
    </row>
    <row r="42" spans="1:10" ht="12.75" customHeight="1">
      <c r="A42" s="190"/>
      <c r="B42" s="194" t="s">
        <v>282</v>
      </c>
      <c r="C42" s="195">
        <v>1</v>
      </c>
      <c r="D42" s="195">
        <v>0.3</v>
      </c>
      <c r="E42" s="195">
        <v>25</v>
      </c>
      <c r="F42" s="195">
        <v>5000</v>
      </c>
      <c r="G42" s="234">
        <f t="shared" si="0"/>
        <v>37500</v>
      </c>
      <c r="H42" s="1034"/>
    </row>
    <row r="43" spans="1:10" ht="12.75" customHeight="1">
      <c r="A43" s="190"/>
      <c r="B43" s="194" t="s">
        <v>283</v>
      </c>
      <c r="C43" s="195">
        <v>1</v>
      </c>
      <c r="D43" s="195">
        <v>0.3</v>
      </c>
      <c r="E43" s="195">
        <v>25</v>
      </c>
      <c r="F43" s="195">
        <v>5000</v>
      </c>
      <c r="G43" s="234">
        <f t="shared" si="0"/>
        <v>37500</v>
      </c>
      <c r="H43" s="1034"/>
    </row>
    <row r="44" spans="1:10" ht="12.75" customHeight="1">
      <c r="A44" s="190"/>
      <c r="B44" s="194" t="s">
        <v>284</v>
      </c>
      <c r="C44" s="195">
        <v>1</v>
      </c>
      <c r="D44" s="195">
        <v>1</v>
      </c>
      <c r="E44" s="195">
        <v>25</v>
      </c>
      <c r="F44" s="195">
        <v>5000</v>
      </c>
      <c r="G44" s="234">
        <f t="shared" si="0"/>
        <v>125000</v>
      </c>
      <c r="H44" s="1034"/>
    </row>
    <row r="45" spans="1:10" ht="12.75" customHeight="1">
      <c r="A45" s="190"/>
      <c r="B45" s="194" t="s">
        <v>285</v>
      </c>
      <c r="C45" s="195">
        <v>1</v>
      </c>
      <c r="D45" s="195">
        <v>0.5</v>
      </c>
      <c r="E45" s="195">
        <v>25</v>
      </c>
      <c r="F45" s="195">
        <v>5000</v>
      </c>
      <c r="G45" s="234">
        <f t="shared" si="0"/>
        <v>62500</v>
      </c>
      <c r="H45" s="1034"/>
    </row>
    <row r="46" spans="1:10" ht="12.75" customHeight="1">
      <c r="A46" s="190"/>
      <c r="B46" s="194" t="s">
        <v>286</v>
      </c>
      <c r="C46" s="195">
        <v>1</v>
      </c>
      <c r="D46" s="195">
        <v>1</v>
      </c>
      <c r="E46" s="195">
        <v>25</v>
      </c>
      <c r="F46" s="195">
        <v>5000</v>
      </c>
      <c r="G46" s="234">
        <f t="shared" si="0"/>
        <v>125000</v>
      </c>
      <c r="H46" s="1034"/>
    </row>
    <row r="47" spans="1:10" ht="12.75" customHeight="1">
      <c r="A47" s="190"/>
      <c r="B47" s="194" t="s">
        <v>237</v>
      </c>
      <c r="C47" s="195">
        <v>1</v>
      </c>
      <c r="D47" s="195">
        <v>1</v>
      </c>
      <c r="E47" s="195">
        <v>25</v>
      </c>
      <c r="F47" s="195">
        <v>2600</v>
      </c>
      <c r="G47" s="234">
        <f t="shared" si="0"/>
        <v>65000</v>
      </c>
      <c r="H47" s="1034"/>
    </row>
    <row r="48" spans="1:10" ht="12.75" customHeight="1">
      <c r="A48" s="190"/>
      <c r="B48" s="194" t="s">
        <v>276</v>
      </c>
      <c r="C48" s="195">
        <v>1</v>
      </c>
      <c r="D48" s="195">
        <v>0.5</v>
      </c>
      <c r="E48" s="195">
        <v>25</v>
      </c>
      <c r="F48" s="195">
        <v>3000</v>
      </c>
      <c r="G48" s="234">
        <f t="shared" si="0"/>
        <v>37500</v>
      </c>
      <c r="H48" s="1035"/>
    </row>
    <row r="49" spans="1:9" ht="12.75" customHeight="1">
      <c r="A49" s="174"/>
      <c r="B49" s="1028" t="s">
        <v>3</v>
      </c>
      <c r="C49" s="1028"/>
      <c r="D49" s="1028"/>
      <c r="E49" s="1028"/>
      <c r="F49" s="1028"/>
      <c r="G49" s="196">
        <f>SUM(G37:G48)</f>
        <v>821250</v>
      </c>
      <c r="H49" s="175"/>
    </row>
    <row r="50" spans="1:9" ht="12.75" customHeight="1">
      <c r="A50" s="190"/>
      <c r="B50" s="185"/>
      <c r="C50" s="185"/>
      <c r="D50" s="185"/>
      <c r="E50" s="185"/>
      <c r="F50" s="186"/>
      <c r="G50" s="185" t="s">
        <v>159</v>
      </c>
      <c r="H50" s="185"/>
    </row>
    <row r="51" spans="1:9" ht="15.75" customHeight="1">
      <c r="A51" s="190"/>
      <c r="B51" s="185"/>
      <c r="C51" s="185"/>
      <c r="D51" s="185"/>
      <c r="E51" s="185"/>
      <c r="F51" s="186"/>
      <c r="G51" s="185"/>
      <c r="H51" s="185"/>
    </row>
    <row r="52" spans="1:9" ht="18" customHeight="1">
      <c r="A52" s="275">
        <v>2</v>
      </c>
      <c r="B52" s="270" t="s">
        <v>15</v>
      </c>
      <c r="C52" s="271"/>
      <c r="D52" s="271"/>
      <c r="E52" s="271"/>
      <c r="F52" s="272"/>
      <c r="G52" s="273" t="s">
        <v>0</v>
      </c>
      <c r="H52" s="274">
        <f>+H54+H73</f>
        <v>90328.802083333328</v>
      </c>
    </row>
    <row r="53" spans="1:9" ht="12.75" customHeight="1">
      <c r="A53" s="183"/>
      <c r="B53" s="184"/>
      <c r="C53" s="185"/>
      <c r="D53" s="185"/>
      <c r="E53" s="185"/>
      <c r="F53" s="186"/>
      <c r="G53" s="185"/>
      <c r="H53" s="185"/>
      <c r="I53" s="171"/>
    </row>
    <row r="54" spans="1:9" ht="12.75" customHeight="1">
      <c r="A54" s="187">
        <v>2.0099999999999998</v>
      </c>
      <c r="B54" s="188" t="s">
        <v>95</v>
      </c>
      <c r="C54" s="185"/>
      <c r="D54" s="185"/>
      <c r="E54" s="185"/>
      <c r="F54" s="186"/>
      <c r="G54" s="231" t="s">
        <v>0</v>
      </c>
      <c r="H54" s="232">
        <f>+G71</f>
        <v>77161.875</v>
      </c>
    </row>
    <row r="55" spans="1:9" ht="12.75" customHeight="1">
      <c r="A55" s="187"/>
      <c r="B55" s="188"/>
      <c r="C55" s="185"/>
      <c r="D55" s="185"/>
      <c r="E55" s="185"/>
      <c r="F55" s="186"/>
      <c r="G55" s="185"/>
      <c r="H55" s="185"/>
    </row>
    <row r="56" spans="1:9" ht="12.75" customHeight="1">
      <c r="A56" s="189"/>
      <c r="B56" s="188" t="s">
        <v>29</v>
      </c>
      <c r="C56" s="175"/>
      <c r="D56" s="175"/>
      <c r="E56" s="175"/>
      <c r="F56" s="191"/>
      <c r="G56" s="185"/>
      <c r="H56" s="185"/>
    </row>
    <row r="57" spans="1:9" ht="12.75" customHeight="1">
      <c r="A57" s="189"/>
      <c r="B57" s="188"/>
      <c r="C57" s="175"/>
      <c r="D57" s="175"/>
      <c r="E57" s="175"/>
      <c r="F57" s="191"/>
      <c r="G57" s="185"/>
      <c r="H57" s="185"/>
    </row>
    <row r="58" spans="1:9" ht="12.75" customHeight="1">
      <c r="A58" s="190"/>
      <c r="B58" s="192" t="s">
        <v>30</v>
      </c>
      <c r="C58" s="193" t="s">
        <v>31</v>
      </c>
      <c r="D58" s="193" t="s">
        <v>287</v>
      </c>
      <c r="E58" s="193" t="s">
        <v>32</v>
      </c>
      <c r="F58" s="193" t="s">
        <v>13</v>
      </c>
      <c r="G58" s="193" t="s">
        <v>4</v>
      </c>
      <c r="H58" s="185"/>
    </row>
    <row r="59" spans="1:9" ht="12.75" customHeight="1">
      <c r="A59" s="190"/>
      <c r="B59" s="194" t="str">
        <f t="shared" ref="B59:E64" si="1">+B37</f>
        <v>COORDINADOR DE SUPERVISION</v>
      </c>
      <c r="C59" s="195">
        <f t="shared" si="1"/>
        <v>1</v>
      </c>
      <c r="D59" s="195">
        <f t="shared" si="1"/>
        <v>0.25</v>
      </c>
      <c r="E59" s="195">
        <f t="shared" si="1"/>
        <v>25</v>
      </c>
      <c r="F59" s="195">
        <f>+(F37+F118)*0.09</f>
        <v>487.5</v>
      </c>
      <c r="G59" s="234">
        <f>+C59*D59*E59*F59</f>
        <v>3046.875</v>
      </c>
      <c r="H59" s="185"/>
    </row>
    <row r="60" spans="1:9" ht="12.75" customHeight="1">
      <c r="A60" s="190"/>
      <c r="B60" s="194" t="str">
        <f t="shared" si="1"/>
        <v>SUPERVISOR GENERAL DE OBRA</v>
      </c>
      <c r="C60" s="195">
        <f t="shared" si="1"/>
        <v>1</v>
      </c>
      <c r="D60" s="195">
        <f t="shared" si="1"/>
        <v>1</v>
      </c>
      <c r="E60" s="195">
        <f t="shared" si="1"/>
        <v>25</v>
      </c>
      <c r="F60" s="195">
        <f>+(F38+F124)*0.09</f>
        <v>442.5</v>
      </c>
      <c r="G60" s="234">
        <f t="shared" ref="G60:G70" si="2">+C60*D60*E60*F60</f>
        <v>11062.5</v>
      </c>
      <c r="H60" s="185"/>
    </row>
    <row r="61" spans="1:9" ht="12.75" customHeight="1">
      <c r="A61" s="190"/>
      <c r="B61" s="194" t="str">
        <f t="shared" si="1"/>
        <v>ESPECIALISTA DE ESTRUCTURAS</v>
      </c>
      <c r="C61" s="195">
        <f t="shared" si="1"/>
        <v>1</v>
      </c>
      <c r="D61" s="195">
        <f t="shared" si="1"/>
        <v>0.5</v>
      </c>
      <c r="E61" s="195">
        <f t="shared" si="1"/>
        <v>25</v>
      </c>
      <c r="F61" s="195">
        <f>+(F39+F128)*0.09</f>
        <v>469.5</v>
      </c>
      <c r="G61" s="234">
        <f t="shared" si="2"/>
        <v>5868.75</v>
      </c>
      <c r="H61" s="185"/>
    </row>
    <row r="62" spans="1:9" ht="12.75" customHeight="1">
      <c r="A62" s="190"/>
      <c r="B62" s="194" t="str">
        <f t="shared" si="1"/>
        <v>ESPECIALISTA GEOTECNISTA</v>
      </c>
      <c r="C62" s="195">
        <f t="shared" si="1"/>
        <v>1</v>
      </c>
      <c r="D62" s="195">
        <f t="shared" si="1"/>
        <v>0.5</v>
      </c>
      <c r="E62" s="195">
        <f t="shared" si="1"/>
        <v>25</v>
      </c>
      <c r="F62" s="195">
        <f>+(F40+F129)*0.09</f>
        <v>472.5</v>
      </c>
      <c r="G62" s="234">
        <f>+C62*D62*E62*F62</f>
        <v>5906.25</v>
      </c>
      <c r="H62" s="185"/>
    </row>
    <row r="63" spans="1:9" ht="12.75" customHeight="1">
      <c r="A63" s="190"/>
      <c r="B63" s="194" t="str">
        <f t="shared" si="1"/>
        <v>ESPECIALISTA DE ARQUITECTURA</v>
      </c>
      <c r="C63" s="195">
        <f t="shared" si="1"/>
        <v>1</v>
      </c>
      <c r="D63" s="195">
        <f t="shared" si="1"/>
        <v>0.5</v>
      </c>
      <c r="E63" s="195">
        <f t="shared" si="1"/>
        <v>25</v>
      </c>
      <c r="F63" s="195">
        <f>+(F41+F129)*0.09</f>
        <v>472.5</v>
      </c>
      <c r="G63" s="234">
        <f t="shared" si="2"/>
        <v>5906.25</v>
      </c>
      <c r="H63" s="185"/>
    </row>
    <row r="64" spans="1:9" ht="12.75" customHeight="1">
      <c r="A64" s="190"/>
      <c r="B64" s="194" t="str">
        <f t="shared" si="1"/>
        <v>ESPECIALISTA EN INST. SANITARIAS</v>
      </c>
      <c r="C64" s="195">
        <f t="shared" si="1"/>
        <v>1</v>
      </c>
      <c r="D64" s="195">
        <f t="shared" si="1"/>
        <v>0.3</v>
      </c>
      <c r="E64" s="195">
        <f t="shared" si="1"/>
        <v>25</v>
      </c>
      <c r="F64" s="195">
        <f>+(F42+F130)*0.09</f>
        <v>450</v>
      </c>
      <c r="G64" s="234">
        <f t="shared" si="2"/>
        <v>3375</v>
      </c>
      <c r="H64" s="185"/>
    </row>
    <row r="65" spans="1:8" ht="12.75" customHeight="1">
      <c r="A65" s="190"/>
      <c r="B65" s="194" t="str">
        <f t="shared" ref="B65:B70" si="3">+B43</f>
        <v>ESPECIALISTA EN INST. ELECTRICAS</v>
      </c>
      <c r="C65" s="195">
        <f>+C39</f>
        <v>1</v>
      </c>
      <c r="D65" s="195">
        <f t="shared" ref="D65:E70" si="4">+D43</f>
        <v>0.3</v>
      </c>
      <c r="E65" s="195">
        <f t="shared" si="4"/>
        <v>25</v>
      </c>
      <c r="F65" s="195">
        <f>+(F39+F128)*0.09</f>
        <v>469.5</v>
      </c>
      <c r="G65" s="234">
        <f t="shared" si="2"/>
        <v>3521.25</v>
      </c>
      <c r="H65" s="185"/>
    </row>
    <row r="66" spans="1:8" ht="12.75" customHeight="1">
      <c r="A66" s="190"/>
      <c r="B66" s="194" t="str">
        <f t="shared" si="3"/>
        <v>ESPECIALISTA EN EQUIPOS Y MOBILIARIO EDUCATIVO</v>
      </c>
      <c r="C66" s="195">
        <f>+C41</f>
        <v>1</v>
      </c>
      <c r="D66" s="195">
        <f t="shared" si="4"/>
        <v>1</v>
      </c>
      <c r="E66" s="195">
        <f t="shared" si="4"/>
        <v>25</v>
      </c>
      <c r="F66" s="195">
        <f>+(F41+F129)*0.09</f>
        <v>472.5</v>
      </c>
      <c r="G66" s="234">
        <f t="shared" si="2"/>
        <v>11812.5</v>
      </c>
      <c r="H66" s="185"/>
    </row>
    <row r="67" spans="1:8" ht="12.75" customHeight="1">
      <c r="A67" s="190"/>
      <c r="B67" s="194" t="str">
        <f t="shared" si="3"/>
        <v>ESPECIALISTA EN GESTION DE CAPACITACIÓN</v>
      </c>
      <c r="C67" s="195">
        <f>+C42</f>
        <v>1</v>
      </c>
      <c r="D67" s="195">
        <f t="shared" si="4"/>
        <v>0.5</v>
      </c>
      <c r="E67" s="195">
        <f t="shared" si="4"/>
        <v>25</v>
      </c>
      <c r="F67" s="195">
        <f>+(F42+F130)*0.09</f>
        <v>450</v>
      </c>
      <c r="G67" s="234">
        <f t="shared" si="2"/>
        <v>5625</v>
      </c>
      <c r="H67" s="185"/>
    </row>
    <row r="68" spans="1:8" ht="12.75" customHeight="1">
      <c r="A68" s="190"/>
      <c r="B68" s="194" t="str">
        <f t="shared" si="3"/>
        <v>ESPECIALISTA EN MATERIAL PEDAGÓGICO</v>
      </c>
      <c r="C68" s="195">
        <f>+C43</f>
        <v>1</v>
      </c>
      <c r="D68" s="195">
        <f t="shared" si="4"/>
        <v>1</v>
      </c>
      <c r="E68" s="195">
        <f t="shared" si="4"/>
        <v>25</v>
      </c>
      <c r="F68" s="195">
        <f>+(F43+F131)*0.09</f>
        <v>450</v>
      </c>
      <c r="G68" s="234">
        <f t="shared" si="2"/>
        <v>11250</v>
      </c>
      <c r="H68" s="185"/>
    </row>
    <row r="69" spans="1:8" ht="12.75" customHeight="1">
      <c r="A69" s="190"/>
      <c r="B69" s="194" t="str">
        <f t="shared" si="3"/>
        <v>ASISTENTE TECNICO</v>
      </c>
      <c r="C69" s="195">
        <f>+C47</f>
        <v>1</v>
      </c>
      <c r="D69" s="195">
        <f t="shared" si="4"/>
        <v>1</v>
      </c>
      <c r="E69" s="195">
        <f t="shared" si="4"/>
        <v>25</v>
      </c>
      <c r="F69" s="195">
        <f>+(F47+F129)*0.09</f>
        <v>256.5</v>
      </c>
      <c r="G69" s="234">
        <f t="shared" si="2"/>
        <v>6412.5</v>
      </c>
      <c r="H69" s="185"/>
    </row>
    <row r="70" spans="1:8" ht="12.75" customHeight="1">
      <c r="A70" s="190"/>
      <c r="B70" s="194" t="str">
        <f t="shared" si="3"/>
        <v>ASISTENTE ADMINISTRATIVO DE PLANTA</v>
      </c>
      <c r="C70" s="195">
        <f>+C48</f>
        <v>1</v>
      </c>
      <c r="D70" s="195">
        <f t="shared" si="4"/>
        <v>0.5</v>
      </c>
      <c r="E70" s="195">
        <f t="shared" si="4"/>
        <v>25</v>
      </c>
      <c r="F70" s="195">
        <f>+(F48+F130)*0.09</f>
        <v>270</v>
      </c>
      <c r="G70" s="234">
        <f t="shared" si="2"/>
        <v>3375</v>
      </c>
      <c r="H70" s="185"/>
    </row>
    <row r="71" spans="1:8" ht="12.75" customHeight="1">
      <c r="A71" s="190"/>
      <c r="B71" s="1037" t="s">
        <v>3</v>
      </c>
      <c r="C71" s="1037"/>
      <c r="D71" s="1037"/>
      <c r="E71" s="1037"/>
      <c r="F71" s="1037"/>
      <c r="G71" s="196">
        <f>SUM(G59:G70)</f>
        <v>77161.875</v>
      </c>
      <c r="H71" s="185"/>
    </row>
    <row r="72" spans="1:8" ht="13.5" customHeight="1">
      <c r="A72" s="190"/>
      <c r="B72" s="197"/>
      <c r="C72" s="197"/>
      <c r="D72" s="197"/>
      <c r="E72" s="197"/>
      <c r="F72" s="186"/>
      <c r="G72" s="185"/>
      <c r="H72" s="185"/>
    </row>
    <row r="73" spans="1:8" ht="12.75" customHeight="1">
      <c r="A73" s="198">
        <v>2.02</v>
      </c>
      <c r="B73" s="188" t="s">
        <v>55</v>
      </c>
      <c r="C73" s="185"/>
      <c r="D73" s="185"/>
      <c r="E73" s="185"/>
      <c r="F73" s="186"/>
      <c r="G73" s="231" t="s">
        <v>0</v>
      </c>
      <c r="H73" s="232">
        <f>+G90</f>
        <v>13166.927083333334</v>
      </c>
    </row>
    <row r="74" spans="1:8" ht="12.75" customHeight="1">
      <c r="A74" s="187"/>
      <c r="B74" s="188"/>
      <c r="C74" s="185"/>
      <c r="D74" s="185"/>
      <c r="E74" s="185"/>
      <c r="F74" s="186"/>
      <c r="G74" s="185"/>
      <c r="H74" s="185"/>
    </row>
    <row r="75" spans="1:8" ht="12.75" customHeight="1">
      <c r="A75" s="190"/>
      <c r="B75" s="188" t="s">
        <v>29</v>
      </c>
      <c r="C75" s="175"/>
      <c r="D75" s="175"/>
      <c r="E75" s="175"/>
      <c r="F75" s="191"/>
      <c r="G75" s="185"/>
      <c r="H75" s="185"/>
    </row>
    <row r="76" spans="1:8" ht="12.75" customHeight="1">
      <c r="A76" s="190"/>
      <c r="B76" s="188"/>
      <c r="C76" s="175"/>
      <c r="D76" s="175"/>
      <c r="E76" s="175"/>
      <c r="F76" s="191"/>
      <c r="G76" s="185"/>
      <c r="H76" s="185"/>
    </row>
    <row r="77" spans="1:8" ht="12.75" customHeight="1">
      <c r="A77" s="190"/>
      <c r="B77" s="192" t="s">
        <v>30</v>
      </c>
      <c r="C77" s="193" t="s">
        <v>31</v>
      </c>
      <c r="D77" s="193" t="s">
        <v>287</v>
      </c>
      <c r="E77" s="193" t="s">
        <v>32</v>
      </c>
      <c r="F77" s="193" t="s">
        <v>13</v>
      </c>
      <c r="G77" s="193" t="s">
        <v>4</v>
      </c>
      <c r="H77" s="185"/>
    </row>
    <row r="78" spans="1:8" ht="12.75" customHeight="1">
      <c r="A78" s="190"/>
      <c r="B78" s="194" t="str">
        <f t="shared" ref="B78:D84" si="5">+B37</f>
        <v>COORDINADOR DE SUPERVISION</v>
      </c>
      <c r="C78" s="195">
        <f t="shared" si="5"/>
        <v>1</v>
      </c>
      <c r="D78" s="195">
        <f t="shared" si="5"/>
        <v>0.25</v>
      </c>
      <c r="E78" s="195">
        <f t="shared" ref="E78:E89" si="6">+E59</f>
        <v>25</v>
      </c>
      <c r="F78" s="195">
        <f>+(F37+F118)*0.0155</f>
        <v>83.958333333333343</v>
      </c>
      <c r="G78" s="234">
        <f>+C78*D78*E78*F78</f>
        <v>524.73958333333337</v>
      </c>
      <c r="H78" s="185"/>
    </row>
    <row r="79" spans="1:8" ht="12.75" customHeight="1">
      <c r="A79" s="190"/>
      <c r="B79" s="194" t="str">
        <f t="shared" si="5"/>
        <v>SUPERVISOR GENERAL DE OBRA</v>
      </c>
      <c r="C79" s="195">
        <f t="shared" si="5"/>
        <v>1</v>
      </c>
      <c r="D79" s="195">
        <f t="shared" si="5"/>
        <v>1</v>
      </c>
      <c r="E79" s="195">
        <f t="shared" si="6"/>
        <v>25</v>
      </c>
      <c r="F79" s="195">
        <f>+(F38+F124)*0.0155</f>
        <v>76.208333333333343</v>
      </c>
      <c r="G79" s="234">
        <f t="shared" ref="G79:G89" si="7">+C79*D79*E79*F79</f>
        <v>1905.2083333333335</v>
      </c>
      <c r="H79" s="185"/>
    </row>
    <row r="80" spans="1:8" ht="12.75" customHeight="1">
      <c r="A80" s="190"/>
      <c r="B80" s="194" t="str">
        <f t="shared" si="5"/>
        <v>ESPECIALISTA DE ESTRUCTURAS</v>
      </c>
      <c r="C80" s="195">
        <f t="shared" si="5"/>
        <v>1</v>
      </c>
      <c r="D80" s="195">
        <f t="shared" si="5"/>
        <v>0.5</v>
      </c>
      <c r="E80" s="195">
        <f t="shared" si="6"/>
        <v>25</v>
      </c>
      <c r="F80" s="195">
        <f>+(F39+F128)*0.0155</f>
        <v>80.858333333333334</v>
      </c>
      <c r="G80" s="234">
        <f t="shared" si="7"/>
        <v>1010.7291666666666</v>
      </c>
      <c r="H80" s="185"/>
    </row>
    <row r="81" spans="1:9" ht="12.75" customHeight="1">
      <c r="A81" s="190"/>
      <c r="B81" s="194" t="str">
        <f t="shared" si="5"/>
        <v>ESPECIALISTA GEOTECNISTA</v>
      </c>
      <c r="C81" s="195">
        <f t="shared" si="5"/>
        <v>1</v>
      </c>
      <c r="D81" s="195">
        <f t="shared" si="5"/>
        <v>0.5</v>
      </c>
      <c r="E81" s="195">
        <f t="shared" si="6"/>
        <v>25</v>
      </c>
      <c r="F81" s="195">
        <f>+(F40+F129)*0.0155</f>
        <v>81.375</v>
      </c>
      <c r="G81" s="234">
        <f>+C81*D81*E81*F81</f>
        <v>1017.1875</v>
      </c>
      <c r="H81" s="185"/>
    </row>
    <row r="82" spans="1:9" ht="12.75" customHeight="1">
      <c r="A82" s="190"/>
      <c r="B82" s="194" t="str">
        <f t="shared" si="5"/>
        <v>ESPECIALISTA DE ARQUITECTURA</v>
      </c>
      <c r="C82" s="195">
        <f t="shared" si="5"/>
        <v>1</v>
      </c>
      <c r="D82" s="195">
        <f t="shared" si="5"/>
        <v>0.5</v>
      </c>
      <c r="E82" s="195">
        <f t="shared" si="6"/>
        <v>25</v>
      </c>
      <c r="F82" s="195">
        <f t="shared" ref="F82:F87" si="8">+(F41+F129)*0.0155</f>
        <v>81.375</v>
      </c>
      <c r="G82" s="234">
        <f t="shared" si="7"/>
        <v>1017.1875</v>
      </c>
      <c r="H82" s="185"/>
    </row>
    <row r="83" spans="1:9" ht="12.75" customHeight="1">
      <c r="A83" s="190"/>
      <c r="B83" s="194" t="str">
        <f t="shared" si="5"/>
        <v>ESPECIALISTA EN INST. SANITARIAS</v>
      </c>
      <c r="C83" s="195">
        <f t="shared" si="5"/>
        <v>1</v>
      </c>
      <c r="D83" s="195">
        <f t="shared" si="5"/>
        <v>0.3</v>
      </c>
      <c r="E83" s="195">
        <f t="shared" si="6"/>
        <v>25</v>
      </c>
      <c r="F83" s="195">
        <f t="shared" si="8"/>
        <v>77.5</v>
      </c>
      <c r="G83" s="234">
        <f t="shared" si="7"/>
        <v>581.25</v>
      </c>
      <c r="H83" s="185"/>
    </row>
    <row r="84" spans="1:9" ht="12.75" customHeight="1">
      <c r="A84" s="190"/>
      <c r="B84" s="194" t="str">
        <f t="shared" si="5"/>
        <v>ESPECIALISTA EN INST. ELECTRICAS</v>
      </c>
      <c r="C84" s="195">
        <f t="shared" si="5"/>
        <v>1</v>
      </c>
      <c r="D84" s="195">
        <f t="shared" si="5"/>
        <v>0.3</v>
      </c>
      <c r="E84" s="195">
        <f t="shared" si="6"/>
        <v>25</v>
      </c>
      <c r="F84" s="195">
        <f t="shared" si="8"/>
        <v>77.5</v>
      </c>
      <c r="G84" s="234">
        <f t="shared" si="7"/>
        <v>581.25</v>
      </c>
      <c r="H84" s="185"/>
    </row>
    <row r="85" spans="1:9" ht="12.75" customHeight="1">
      <c r="A85" s="190"/>
      <c r="B85" s="194" t="str">
        <f t="shared" ref="B85:D89" si="9">+B44</f>
        <v>ESPECIALISTA EN EQUIPOS Y MOBILIARIO EDUCATIVO</v>
      </c>
      <c r="C85" s="195">
        <f t="shared" si="9"/>
        <v>1</v>
      </c>
      <c r="D85" s="195">
        <f t="shared" si="9"/>
        <v>1</v>
      </c>
      <c r="E85" s="195">
        <f t="shared" si="6"/>
        <v>25</v>
      </c>
      <c r="F85" s="195">
        <f t="shared" si="8"/>
        <v>77.5</v>
      </c>
      <c r="G85" s="234">
        <f t="shared" si="7"/>
        <v>1937.5</v>
      </c>
      <c r="H85" s="185"/>
    </row>
    <row r="86" spans="1:9" ht="12.75" customHeight="1">
      <c r="A86" s="190"/>
      <c r="B86" s="194" t="str">
        <f t="shared" si="9"/>
        <v>ESPECIALISTA EN GESTION DE CAPACITACIÓN</v>
      </c>
      <c r="C86" s="195">
        <f t="shared" si="9"/>
        <v>1</v>
      </c>
      <c r="D86" s="195">
        <f t="shared" si="9"/>
        <v>0.5</v>
      </c>
      <c r="E86" s="195">
        <f t="shared" si="6"/>
        <v>25</v>
      </c>
      <c r="F86" s="195">
        <f t="shared" si="8"/>
        <v>77.5</v>
      </c>
      <c r="G86" s="234">
        <f t="shared" si="7"/>
        <v>968.75</v>
      </c>
      <c r="H86" s="185"/>
    </row>
    <row r="87" spans="1:9" ht="12.75" customHeight="1">
      <c r="A87" s="190"/>
      <c r="B87" s="194" t="str">
        <f t="shared" si="9"/>
        <v>ESPECIALISTA EN MATERIAL PEDAGÓGICO</v>
      </c>
      <c r="C87" s="195">
        <f t="shared" si="9"/>
        <v>1</v>
      </c>
      <c r="D87" s="195">
        <f t="shared" si="9"/>
        <v>1</v>
      </c>
      <c r="E87" s="195">
        <f t="shared" si="6"/>
        <v>25</v>
      </c>
      <c r="F87" s="195">
        <f t="shared" si="8"/>
        <v>77.5</v>
      </c>
      <c r="G87" s="234">
        <f t="shared" si="7"/>
        <v>1937.5</v>
      </c>
      <c r="H87" s="185"/>
    </row>
    <row r="88" spans="1:9" ht="12.75" customHeight="1">
      <c r="A88" s="190"/>
      <c r="B88" s="194" t="str">
        <f t="shared" si="9"/>
        <v>ASISTENTE TECNICO</v>
      </c>
      <c r="C88" s="195">
        <f t="shared" si="9"/>
        <v>1</v>
      </c>
      <c r="D88" s="195">
        <f t="shared" si="9"/>
        <v>1</v>
      </c>
      <c r="E88" s="195">
        <f t="shared" si="6"/>
        <v>25</v>
      </c>
      <c r="F88" s="195">
        <f>+(F47+F129)*0.0155</f>
        <v>44.174999999999997</v>
      </c>
      <c r="G88" s="234">
        <f t="shared" si="7"/>
        <v>1104.375</v>
      </c>
      <c r="H88" s="185"/>
    </row>
    <row r="89" spans="1:9" ht="12.75" customHeight="1">
      <c r="A89" s="190"/>
      <c r="B89" s="194" t="str">
        <f t="shared" si="9"/>
        <v>ASISTENTE ADMINISTRATIVO DE PLANTA</v>
      </c>
      <c r="C89" s="195">
        <f t="shared" si="9"/>
        <v>1</v>
      </c>
      <c r="D89" s="195">
        <f t="shared" si="9"/>
        <v>0.5</v>
      </c>
      <c r="E89" s="195">
        <f t="shared" si="6"/>
        <v>25</v>
      </c>
      <c r="F89" s="195">
        <f>+(F48+F130)*0.0155</f>
        <v>46.5</v>
      </c>
      <c r="G89" s="234">
        <f t="shared" si="7"/>
        <v>581.25</v>
      </c>
      <c r="H89" s="185"/>
    </row>
    <row r="90" spans="1:9" ht="12.75" customHeight="1">
      <c r="A90" s="190"/>
      <c r="B90" s="1025" t="s">
        <v>3</v>
      </c>
      <c r="C90" s="1025"/>
      <c r="D90" s="1025"/>
      <c r="E90" s="1025"/>
      <c r="F90" s="1025"/>
      <c r="G90" s="196">
        <f>SUM(G78:G89)</f>
        <v>13166.927083333334</v>
      </c>
      <c r="H90" s="185"/>
    </row>
    <row r="91" spans="1:9" ht="12.75" customHeight="1">
      <c r="A91" s="190"/>
      <c r="B91" s="197"/>
      <c r="C91" s="185"/>
      <c r="D91" s="185"/>
      <c r="E91" s="197"/>
      <c r="F91" s="186"/>
      <c r="G91" s="185"/>
      <c r="H91" s="185"/>
    </row>
    <row r="92" spans="1:9" ht="18" customHeight="1">
      <c r="A92" s="269">
        <v>3</v>
      </c>
      <c r="B92" s="270" t="s">
        <v>16</v>
      </c>
      <c r="C92" s="271"/>
      <c r="D92" s="271"/>
      <c r="E92" s="271"/>
      <c r="F92" s="272"/>
      <c r="G92" s="273" t="s">
        <v>0</v>
      </c>
      <c r="H92" s="274">
        <f>+H94+H113</f>
        <v>136875</v>
      </c>
    </row>
    <row r="93" spans="1:9" ht="12.75" customHeight="1">
      <c r="A93" s="187"/>
      <c r="B93" s="188"/>
      <c r="C93" s="185"/>
      <c r="D93" s="185"/>
      <c r="E93" s="185"/>
      <c r="F93" s="186"/>
      <c r="G93" s="185"/>
      <c r="H93" s="185"/>
      <c r="I93" s="171"/>
    </row>
    <row r="94" spans="1:9" ht="12.75" customHeight="1">
      <c r="A94" s="198">
        <v>3.01</v>
      </c>
      <c r="B94" s="188" t="s">
        <v>98</v>
      </c>
      <c r="C94" s="185"/>
      <c r="D94" s="185"/>
      <c r="E94" s="185"/>
      <c r="F94" s="186"/>
      <c r="G94" s="231" t="s">
        <v>0</v>
      </c>
      <c r="H94" s="232">
        <f>+G111</f>
        <v>68437.5</v>
      </c>
    </row>
    <row r="95" spans="1:9" ht="12.75" customHeight="1">
      <c r="A95" s="189"/>
      <c r="B95" s="199"/>
      <c r="C95" s="185"/>
      <c r="D95" s="185"/>
      <c r="E95" s="185"/>
      <c r="F95" s="186"/>
      <c r="G95" s="185"/>
      <c r="H95" s="185"/>
    </row>
    <row r="96" spans="1:9" ht="12.75" customHeight="1">
      <c r="A96" s="190"/>
      <c r="B96" s="188" t="s">
        <v>29</v>
      </c>
      <c r="C96" s="175"/>
      <c r="D96" s="175"/>
      <c r="E96" s="175"/>
      <c r="F96" s="191"/>
      <c r="G96" s="175"/>
      <c r="H96" s="185"/>
    </row>
    <row r="97" spans="1:8" ht="12.75" customHeight="1">
      <c r="A97" s="190"/>
      <c r="B97" s="188"/>
      <c r="C97" s="175"/>
      <c r="D97" s="175"/>
      <c r="E97" s="175"/>
      <c r="F97" s="191"/>
      <c r="G97" s="175"/>
      <c r="H97" s="185"/>
    </row>
    <row r="98" spans="1:8" ht="12.75" customHeight="1">
      <c r="A98" s="190"/>
      <c r="B98" s="192" t="s">
        <v>30</v>
      </c>
      <c r="C98" s="193" t="s">
        <v>31</v>
      </c>
      <c r="D98" s="193" t="s">
        <v>287</v>
      </c>
      <c r="E98" s="193" t="s">
        <v>32</v>
      </c>
      <c r="F98" s="193" t="s">
        <v>13</v>
      </c>
      <c r="G98" s="193" t="s">
        <v>4</v>
      </c>
      <c r="H98" s="185"/>
    </row>
    <row r="99" spans="1:8" ht="12.75" customHeight="1">
      <c r="A99" s="174"/>
      <c r="B99" s="194" t="str">
        <f>+B37</f>
        <v>COORDINADOR DE SUPERVISION</v>
      </c>
      <c r="C99" s="195">
        <f>+C37</f>
        <v>1</v>
      </c>
      <c r="D99" s="195">
        <f>+D37</f>
        <v>0.25</v>
      </c>
      <c r="E99" s="195">
        <f t="shared" ref="E99:E110" si="10">+E78</f>
        <v>25</v>
      </c>
      <c r="F99" s="195">
        <f t="shared" ref="F99:F110" si="11">+F37/12</f>
        <v>416.66666666666669</v>
      </c>
      <c r="G99" s="234">
        <f>+C99*D99*E99*F99</f>
        <v>2604.166666666667</v>
      </c>
      <c r="H99" s="185"/>
    </row>
    <row r="100" spans="1:8" ht="12.75" customHeight="1">
      <c r="A100" s="174"/>
      <c r="B100" s="194" t="str">
        <f t="shared" ref="B100:B108" si="12">+B38</f>
        <v>SUPERVISOR GENERAL DE OBRA</v>
      </c>
      <c r="C100" s="195">
        <f t="shared" ref="C100:D105" si="13">+C38</f>
        <v>1</v>
      </c>
      <c r="D100" s="195">
        <f t="shared" si="13"/>
        <v>1</v>
      </c>
      <c r="E100" s="195">
        <f t="shared" si="10"/>
        <v>25</v>
      </c>
      <c r="F100" s="195">
        <f t="shared" si="11"/>
        <v>375</v>
      </c>
      <c r="G100" s="234">
        <f t="shared" ref="G100:G110" si="14">+C100*D100*E100*F100</f>
        <v>9375</v>
      </c>
      <c r="H100" s="185"/>
    </row>
    <row r="101" spans="1:8" ht="12.75" customHeight="1">
      <c r="A101" s="174"/>
      <c r="B101" s="194" t="str">
        <f t="shared" si="12"/>
        <v>ESPECIALISTA DE ESTRUCTURAS</v>
      </c>
      <c r="C101" s="195">
        <f t="shared" si="13"/>
        <v>1</v>
      </c>
      <c r="D101" s="195">
        <f t="shared" si="13"/>
        <v>0.5</v>
      </c>
      <c r="E101" s="195">
        <f t="shared" si="10"/>
        <v>25</v>
      </c>
      <c r="F101" s="195">
        <f t="shared" si="11"/>
        <v>416.66666666666669</v>
      </c>
      <c r="G101" s="234">
        <f t="shared" si="14"/>
        <v>5208.3333333333339</v>
      </c>
      <c r="H101" s="185"/>
    </row>
    <row r="102" spans="1:8" ht="12.75" customHeight="1">
      <c r="A102" s="174"/>
      <c r="B102" s="194" t="str">
        <f t="shared" si="12"/>
        <v>ESPECIALISTA GEOTECNISTA</v>
      </c>
      <c r="C102" s="195">
        <f t="shared" si="13"/>
        <v>1</v>
      </c>
      <c r="D102" s="195">
        <f t="shared" si="13"/>
        <v>0.5</v>
      </c>
      <c r="E102" s="195">
        <f t="shared" si="10"/>
        <v>25</v>
      </c>
      <c r="F102" s="195">
        <f t="shared" si="11"/>
        <v>416.66666666666669</v>
      </c>
      <c r="G102" s="234">
        <f>+C102*D102*E102*F102</f>
        <v>5208.3333333333339</v>
      </c>
      <c r="H102" s="185"/>
    </row>
    <row r="103" spans="1:8" ht="12.75" customHeight="1">
      <c r="A103" s="174"/>
      <c r="B103" s="194" t="str">
        <f t="shared" si="12"/>
        <v>ESPECIALISTA DE ARQUITECTURA</v>
      </c>
      <c r="C103" s="195">
        <f t="shared" si="13"/>
        <v>1</v>
      </c>
      <c r="D103" s="195">
        <f t="shared" si="13"/>
        <v>0.5</v>
      </c>
      <c r="E103" s="195">
        <f t="shared" si="10"/>
        <v>25</v>
      </c>
      <c r="F103" s="195">
        <f t="shared" si="11"/>
        <v>416.66666666666669</v>
      </c>
      <c r="G103" s="234">
        <f t="shared" si="14"/>
        <v>5208.3333333333339</v>
      </c>
      <c r="H103" s="185"/>
    </row>
    <row r="104" spans="1:8" ht="12.75" customHeight="1">
      <c r="A104" s="174"/>
      <c r="B104" s="194" t="str">
        <f t="shared" si="12"/>
        <v>ESPECIALISTA EN INST. SANITARIAS</v>
      </c>
      <c r="C104" s="195">
        <f t="shared" si="13"/>
        <v>1</v>
      </c>
      <c r="D104" s="195">
        <f t="shared" si="13"/>
        <v>0.3</v>
      </c>
      <c r="E104" s="195">
        <f t="shared" si="10"/>
        <v>25</v>
      </c>
      <c r="F104" s="195">
        <f t="shared" si="11"/>
        <v>416.66666666666669</v>
      </c>
      <c r="G104" s="234">
        <f t="shared" si="14"/>
        <v>3125</v>
      </c>
      <c r="H104" s="185"/>
    </row>
    <row r="105" spans="1:8" ht="12.75" customHeight="1">
      <c r="A105" s="174"/>
      <c r="B105" s="194" t="str">
        <f t="shared" si="12"/>
        <v>ESPECIALISTA EN INST. ELECTRICAS</v>
      </c>
      <c r="C105" s="195">
        <f t="shared" si="13"/>
        <v>1</v>
      </c>
      <c r="D105" s="195">
        <f t="shared" si="13"/>
        <v>0.3</v>
      </c>
      <c r="E105" s="195">
        <f t="shared" si="10"/>
        <v>25</v>
      </c>
      <c r="F105" s="195">
        <f t="shared" si="11"/>
        <v>416.66666666666669</v>
      </c>
      <c r="G105" s="234">
        <f t="shared" si="14"/>
        <v>3125</v>
      </c>
      <c r="H105" s="185"/>
    </row>
    <row r="106" spans="1:8" ht="12.75" customHeight="1">
      <c r="A106" s="174"/>
      <c r="B106" s="194" t="str">
        <f t="shared" si="12"/>
        <v>ESPECIALISTA EN EQUIPOS Y MOBILIARIO EDUCATIVO</v>
      </c>
      <c r="C106" s="195">
        <f t="shared" ref="C106:D108" si="15">+C44</f>
        <v>1</v>
      </c>
      <c r="D106" s="195">
        <f t="shared" si="15"/>
        <v>1</v>
      </c>
      <c r="E106" s="195">
        <f t="shared" si="10"/>
        <v>25</v>
      </c>
      <c r="F106" s="195">
        <f t="shared" si="11"/>
        <v>416.66666666666669</v>
      </c>
      <c r="G106" s="234">
        <f t="shared" si="14"/>
        <v>10416.666666666668</v>
      </c>
      <c r="H106" s="185"/>
    </row>
    <row r="107" spans="1:8" ht="12.75" customHeight="1">
      <c r="A107" s="174"/>
      <c r="B107" s="194" t="str">
        <f t="shared" si="12"/>
        <v>ESPECIALISTA EN GESTION DE CAPACITACIÓN</v>
      </c>
      <c r="C107" s="195">
        <f t="shared" si="15"/>
        <v>1</v>
      </c>
      <c r="D107" s="195">
        <f t="shared" si="15"/>
        <v>0.5</v>
      </c>
      <c r="E107" s="195">
        <f t="shared" si="10"/>
        <v>25</v>
      </c>
      <c r="F107" s="195">
        <f t="shared" si="11"/>
        <v>416.66666666666669</v>
      </c>
      <c r="G107" s="234">
        <f t="shared" si="14"/>
        <v>5208.3333333333339</v>
      </c>
      <c r="H107" s="185"/>
    </row>
    <row r="108" spans="1:8" ht="12.75" customHeight="1">
      <c r="A108" s="174"/>
      <c r="B108" s="194" t="str">
        <f t="shared" si="12"/>
        <v>ESPECIALISTA EN MATERIAL PEDAGÓGICO</v>
      </c>
      <c r="C108" s="195">
        <f t="shared" si="15"/>
        <v>1</v>
      </c>
      <c r="D108" s="195">
        <f t="shared" si="15"/>
        <v>1</v>
      </c>
      <c r="E108" s="195">
        <f t="shared" si="10"/>
        <v>25</v>
      </c>
      <c r="F108" s="195">
        <f t="shared" si="11"/>
        <v>416.66666666666669</v>
      </c>
      <c r="G108" s="234">
        <f t="shared" si="14"/>
        <v>10416.666666666668</v>
      </c>
      <c r="H108" s="185"/>
    </row>
    <row r="109" spans="1:8" ht="12.75" customHeight="1">
      <c r="A109" s="190"/>
      <c r="B109" s="194" t="str">
        <f t="shared" ref="B109:D110" si="16">+B47</f>
        <v>ASISTENTE TECNICO</v>
      </c>
      <c r="C109" s="195">
        <f t="shared" si="16"/>
        <v>1</v>
      </c>
      <c r="D109" s="195">
        <f t="shared" si="16"/>
        <v>1</v>
      </c>
      <c r="E109" s="195">
        <f t="shared" si="10"/>
        <v>25</v>
      </c>
      <c r="F109" s="195">
        <f t="shared" si="11"/>
        <v>216.66666666666666</v>
      </c>
      <c r="G109" s="234">
        <f t="shared" si="14"/>
        <v>5416.6666666666661</v>
      </c>
      <c r="H109" s="185"/>
    </row>
    <row r="110" spans="1:8" ht="12.75" customHeight="1">
      <c r="A110" s="190"/>
      <c r="B110" s="194" t="str">
        <f t="shared" si="16"/>
        <v>ASISTENTE ADMINISTRATIVO DE PLANTA</v>
      </c>
      <c r="C110" s="195">
        <f t="shared" si="16"/>
        <v>1</v>
      </c>
      <c r="D110" s="195">
        <f t="shared" si="16"/>
        <v>0.5</v>
      </c>
      <c r="E110" s="195">
        <f t="shared" si="10"/>
        <v>25</v>
      </c>
      <c r="F110" s="195">
        <f t="shared" si="11"/>
        <v>250</v>
      </c>
      <c r="G110" s="234">
        <f t="shared" si="14"/>
        <v>3125</v>
      </c>
      <c r="H110" s="185"/>
    </row>
    <row r="111" spans="1:8" ht="12.75" customHeight="1">
      <c r="A111" s="190"/>
      <c r="B111" s="1027" t="s">
        <v>3</v>
      </c>
      <c r="C111" s="1027"/>
      <c r="D111" s="1027"/>
      <c r="E111" s="1027"/>
      <c r="F111" s="1027"/>
      <c r="G111" s="196">
        <f>SUM(G99:G110)</f>
        <v>68437.5</v>
      </c>
      <c r="H111" s="185"/>
    </row>
    <row r="112" spans="1:8" ht="12.75" customHeight="1">
      <c r="A112" s="187"/>
      <c r="B112" s="188"/>
      <c r="C112" s="185"/>
      <c r="D112" s="185"/>
      <c r="E112" s="185"/>
      <c r="F112" s="186"/>
      <c r="G112" s="185"/>
      <c r="H112" s="185"/>
    </row>
    <row r="113" spans="1:8" ht="12.75" customHeight="1">
      <c r="A113" s="198">
        <v>3.02</v>
      </c>
      <c r="B113" s="188" t="s">
        <v>97</v>
      </c>
      <c r="C113" s="185"/>
      <c r="D113" s="185"/>
      <c r="E113" s="185"/>
      <c r="F113" s="186"/>
      <c r="G113" s="231" t="s">
        <v>0</v>
      </c>
      <c r="H113" s="232">
        <f>+G130</f>
        <v>68437.5</v>
      </c>
    </row>
    <row r="114" spans="1:8" ht="12.75" customHeight="1">
      <c r="A114" s="189"/>
      <c r="B114" s="199"/>
      <c r="C114" s="185"/>
      <c r="D114" s="185"/>
      <c r="E114" s="185"/>
      <c r="F114" s="186"/>
      <c r="G114" s="185"/>
      <c r="H114" s="185"/>
    </row>
    <row r="115" spans="1:8" ht="12.75" customHeight="1">
      <c r="A115" s="190"/>
      <c r="B115" s="188" t="s">
        <v>29</v>
      </c>
      <c r="C115" s="175"/>
      <c r="D115" s="175"/>
      <c r="E115" s="175"/>
      <c r="F115" s="191"/>
      <c r="G115" s="175"/>
      <c r="H115" s="185"/>
    </row>
    <row r="116" spans="1:8" ht="12.75" customHeight="1">
      <c r="A116" s="190"/>
      <c r="B116" s="188"/>
      <c r="C116" s="175"/>
      <c r="D116" s="175"/>
      <c r="E116" s="175"/>
      <c r="F116" s="191"/>
      <c r="G116" s="175"/>
      <c r="H116" s="185"/>
    </row>
    <row r="117" spans="1:8" ht="12.75" customHeight="1">
      <c r="A117" s="190"/>
      <c r="B117" s="192" t="s">
        <v>30</v>
      </c>
      <c r="C117" s="193" t="s">
        <v>31</v>
      </c>
      <c r="D117" s="193" t="s">
        <v>287</v>
      </c>
      <c r="E117" s="193" t="s">
        <v>32</v>
      </c>
      <c r="F117" s="193" t="s">
        <v>13</v>
      </c>
      <c r="G117" s="193" t="s">
        <v>4</v>
      </c>
      <c r="H117" s="185"/>
    </row>
    <row r="118" spans="1:8" ht="12.75" customHeight="1">
      <c r="A118" s="174"/>
      <c r="B118" s="194" t="str">
        <f t="shared" ref="B118:D123" si="17">+B37</f>
        <v>COORDINADOR DE SUPERVISION</v>
      </c>
      <c r="C118" s="195">
        <f t="shared" si="17"/>
        <v>1</v>
      </c>
      <c r="D118" s="195">
        <f t="shared" si="17"/>
        <v>0.25</v>
      </c>
      <c r="E118" s="195">
        <f t="shared" ref="E118:E129" si="18">+E99</f>
        <v>25</v>
      </c>
      <c r="F118" s="195">
        <f t="shared" ref="F118:F123" si="19">+F37/12</f>
        <v>416.66666666666669</v>
      </c>
      <c r="G118" s="234">
        <f>+C118*D118*E118*F118</f>
        <v>2604.166666666667</v>
      </c>
      <c r="H118" s="185"/>
    </row>
    <row r="119" spans="1:8" ht="12.75" customHeight="1">
      <c r="A119" s="174"/>
      <c r="B119" s="194" t="str">
        <f t="shared" si="17"/>
        <v>SUPERVISOR GENERAL DE OBRA</v>
      </c>
      <c r="C119" s="195">
        <f t="shared" si="17"/>
        <v>1</v>
      </c>
      <c r="D119" s="195">
        <f t="shared" si="17"/>
        <v>1</v>
      </c>
      <c r="E119" s="195">
        <f t="shared" si="18"/>
        <v>25</v>
      </c>
      <c r="F119" s="195">
        <f t="shared" si="19"/>
        <v>375</v>
      </c>
      <c r="G119" s="234">
        <f t="shared" ref="G119:G129" si="20">+C119*D119*E119*F119</f>
        <v>9375</v>
      </c>
      <c r="H119" s="185"/>
    </row>
    <row r="120" spans="1:8" ht="12.75" customHeight="1">
      <c r="A120" s="174"/>
      <c r="B120" s="194" t="str">
        <f t="shared" si="17"/>
        <v>ESPECIALISTA DE ESTRUCTURAS</v>
      </c>
      <c r="C120" s="195">
        <f t="shared" si="17"/>
        <v>1</v>
      </c>
      <c r="D120" s="195">
        <f t="shared" si="17"/>
        <v>0.5</v>
      </c>
      <c r="E120" s="195">
        <f t="shared" si="18"/>
        <v>25</v>
      </c>
      <c r="F120" s="195">
        <f t="shared" si="19"/>
        <v>416.66666666666669</v>
      </c>
      <c r="G120" s="234">
        <f t="shared" si="20"/>
        <v>5208.3333333333339</v>
      </c>
      <c r="H120" s="185"/>
    </row>
    <row r="121" spans="1:8" ht="12.75" customHeight="1">
      <c r="A121" s="174"/>
      <c r="B121" s="194" t="str">
        <f t="shared" si="17"/>
        <v>ESPECIALISTA GEOTECNISTA</v>
      </c>
      <c r="C121" s="195">
        <f t="shared" si="17"/>
        <v>1</v>
      </c>
      <c r="D121" s="195">
        <f t="shared" si="17"/>
        <v>0.5</v>
      </c>
      <c r="E121" s="195">
        <f t="shared" si="18"/>
        <v>25</v>
      </c>
      <c r="F121" s="195">
        <f t="shared" si="19"/>
        <v>416.66666666666669</v>
      </c>
      <c r="G121" s="234">
        <f>+C121*D121*E121*F121</f>
        <v>5208.3333333333339</v>
      </c>
      <c r="H121" s="185"/>
    </row>
    <row r="122" spans="1:8" ht="12.75" customHeight="1">
      <c r="A122" s="174"/>
      <c r="B122" s="194" t="str">
        <f t="shared" si="17"/>
        <v>ESPECIALISTA DE ARQUITECTURA</v>
      </c>
      <c r="C122" s="195">
        <f t="shared" si="17"/>
        <v>1</v>
      </c>
      <c r="D122" s="195">
        <f t="shared" si="17"/>
        <v>0.5</v>
      </c>
      <c r="E122" s="195">
        <f t="shared" si="18"/>
        <v>25</v>
      </c>
      <c r="F122" s="195">
        <f t="shared" si="19"/>
        <v>416.66666666666669</v>
      </c>
      <c r="G122" s="234">
        <f t="shared" si="20"/>
        <v>5208.3333333333339</v>
      </c>
      <c r="H122" s="185"/>
    </row>
    <row r="123" spans="1:8" ht="12.75" customHeight="1">
      <c r="A123" s="174"/>
      <c r="B123" s="194" t="str">
        <f t="shared" si="17"/>
        <v>ESPECIALISTA EN INST. SANITARIAS</v>
      </c>
      <c r="C123" s="195">
        <f t="shared" si="17"/>
        <v>1</v>
      </c>
      <c r="D123" s="195">
        <f t="shared" si="17"/>
        <v>0.3</v>
      </c>
      <c r="E123" s="195">
        <f t="shared" si="18"/>
        <v>25</v>
      </c>
      <c r="F123" s="195">
        <f t="shared" si="19"/>
        <v>416.66666666666669</v>
      </c>
      <c r="G123" s="234">
        <f t="shared" si="20"/>
        <v>3125</v>
      </c>
      <c r="H123" s="185"/>
    </row>
    <row r="124" spans="1:8" ht="12.75" customHeight="1">
      <c r="A124" s="174"/>
      <c r="B124" s="194" t="str">
        <f>+B39</f>
        <v>ESPECIALISTA DE ESTRUCTURAS</v>
      </c>
      <c r="C124" s="195">
        <f>+C39</f>
        <v>1</v>
      </c>
      <c r="D124" s="195">
        <f t="shared" ref="D124:D129" si="21">+D43</f>
        <v>0.3</v>
      </c>
      <c r="E124" s="195">
        <f t="shared" si="18"/>
        <v>25</v>
      </c>
      <c r="F124" s="195">
        <f>+F39/12</f>
        <v>416.66666666666669</v>
      </c>
      <c r="G124" s="234">
        <f t="shared" si="20"/>
        <v>3125</v>
      </c>
      <c r="H124" s="185"/>
    </row>
    <row r="125" spans="1:8" ht="12.75" customHeight="1">
      <c r="A125" s="174"/>
      <c r="B125" s="194" t="str">
        <f t="shared" ref="B125:C127" si="22">+B41</f>
        <v>ESPECIALISTA DE ARQUITECTURA</v>
      </c>
      <c r="C125" s="195">
        <f t="shared" si="22"/>
        <v>1</v>
      </c>
      <c r="D125" s="195">
        <f t="shared" si="21"/>
        <v>1</v>
      </c>
      <c r="E125" s="195">
        <f t="shared" si="18"/>
        <v>25</v>
      </c>
      <c r="F125" s="195">
        <f>+F41/12</f>
        <v>416.66666666666669</v>
      </c>
      <c r="G125" s="234">
        <f t="shared" si="20"/>
        <v>10416.666666666668</v>
      </c>
      <c r="H125" s="185"/>
    </row>
    <row r="126" spans="1:8" ht="12.75" customHeight="1">
      <c r="A126" s="174"/>
      <c r="B126" s="194" t="str">
        <f t="shared" si="22"/>
        <v>ESPECIALISTA EN INST. SANITARIAS</v>
      </c>
      <c r="C126" s="195">
        <f t="shared" si="22"/>
        <v>1</v>
      </c>
      <c r="D126" s="195">
        <f t="shared" si="21"/>
        <v>0.5</v>
      </c>
      <c r="E126" s="195">
        <f t="shared" si="18"/>
        <v>25</v>
      </c>
      <c r="F126" s="195">
        <f>+F42/12</f>
        <v>416.66666666666669</v>
      </c>
      <c r="G126" s="234">
        <f t="shared" si="20"/>
        <v>5208.3333333333339</v>
      </c>
      <c r="H126" s="185"/>
    </row>
    <row r="127" spans="1:8" ht="12.75" customHeight="1">
      <c r="A127" s="174"/>
      <c r="B127" s="194" t="str">
        <f t="shared" si="22"/>
        <v>ESPECIALISTA EN INST. ELECTRICAS</v>
      </c>
      <c r="C127" s="195">
        <f t="shared" si="22"/>
        <v>1</v>
      </c>
      <c r="D127" s="195">
        <f t="shared" si="21"/>
        <v>1</v>
      </c>
      <c r="E127" s="195">
        <f t="shared" si="18"/>
        <v>25</v>
      </c>
      <c r="F127" s="195">
        <f>+F43/12</f>
        <v>416.66666666666669</v>
      </c>
      <c r="G127" s="234">
        <f t="shared" si="20"/>
        <v>10416.666666666668</v>
      </c>
      <c r="H127" s="185"/>
    </row>
    <row r="128" spans="1:8" ht="12.75" customHeight="1">
      <c r="A128" s="190"/>
      <c r="B128" s="194" t="str">
        <f>+B47</f>
        <v>ASISTENTE TECNICO</v>
      </c>
      <c r="C128" s="195">
        <f>+C47</f>
        <v>1</v>
      </c>
      <c r="D128" s="195">
        <f t="shared" si="21"/>
        <v>1</v>
      </c>
      <c r="E128" s="195">
        <f t="shared" si="18"/>
        <v>25</v>
      </c>
      <c r="F128" s="195">
        <f>+F47/12</f>
        <v>216.66666666666666</v>
      </c>
      <c r="G128" s="234">
        <f t="shared" si="20"/>
        <v>5416.6666666666661</v>
      </c>
      <c r="H128" s="185"/>
    </row>
    <row r="129" spans="1:8" ht="12.75" customHeight="1">
      <c r="A129" s="190"/>
      <c r="B129" s="194" t="str">
        <f>+B48</f>
        <v>ASISTENTE ADMINISTRATIVO DE PLANTA</v>
      </c>
      <c r="C129" s="195">
        <f>+C48</f>
        <v>1</v>
      </c>
      <c r="D129" s="195">
        <f t="shared" si="21"/>
        <v>0.5</v>
      </c>
      <c r="E129" s="195">
        <f t="shared" si="18"/>
        <v>25</v>
      </c>
      <c r="F129" s="195">
        <f>+F48/12</f>
        <v>250</v>
      </c>
      <c r="G129" s="234">
        <f t="shared" si="20"/>
        <v>3125</v>
      </c>
      <c r="H129" s="185"/>
    </row>
    <row r="130" spans="1:8" ht="12.75" customHeight="1">
      <c r="A130" s="190"/>
      <c r="B130" s="1027" t="s">
        <v>3</v>
      </c>
      <c r="C130" s="1027"/>
      <c r="D130" s="1027"/>
      <c r="E130" s="1027"/>
      <c r="F130" s="1027"/>
      <c r="G130" s="196">
        <f>SUM(G118:G129)</f>
        <v>68437.5</v>
      </c>
      <c r="H130" s="185"/>
    </row>
    <row r="131" spans="1:8" ht="12.75" customHeight="1">
      <c r="A131" s="187"/>
      <c r="B131" s="188"/>
      <c r="C131" s="185"/>
      <c r="D131" s="185"/>
      <c r="E131" s="185"/>
      <c r="F131" s="186"/>
      <c r="G131" s="185"/>
      <c r="H131" s="185"/>
    </row>
    <row r="132" spans="1:8" ht="18" customHeight="1">
      <c r="A132" s="269">
        <v>4</v>
      </c>
      <c r="B132" s="270" t="s">
        <v>214</v>
      </c>
      <c r="C132" s="271"/>
      <c r="D132" s="271"/>
      <c r="E132" s="271"/>
      <c r="F132" s="272"/>
      <c r="G132" s="273" t="s">
        <v>0</v>
      </c>
      <c r="H132" s="274">
        <f>+H134</f>
        <v>9187.5</v>
      </c>
    </row>
    <row r="133" spans="1:8" ht="12.75" customHeight="1">
      <c r="A133" s="187"/>
      <c r="B133" s="188"/>
      <c r="C133" s="185"/>
      <c r="D133" s="185"/>
      <c r="E133" s="185"/>
      <c r="F133" s="186"/>
      <c r="G133" s="185"/>
      <c r="H133" s="185"/>
    </row>
    <row r="134" spans="1:8" ht="14.25" customHeight="1">
      <c r="A134" s="187">
        <v>4.01</v>
      </c>
      <c r="B134" s="188" t="s">
        <v>96</v>
      </c>
      <c r="C134" s="200">
        <v>300</v>
      </c>
      <c r="D134" s="200"/>
      <c r="E134" s="175"/>
      <c r="F134" s="191"/>
      <c r="G134" s="231" t="s">
        <v>0</v>
      </c>
      <c r="H134" s="232">
        <f>+G151</f>
        <v>9187.5</v>
      </c>
    </row>
    <row r="135" spans="1:8" ht="12.75" customHeight="1">
      <c r="A135" s="198"/>
      <c r="B135" s="188"/>
      <c r="C135" s="175"/>
      <c r="D135" s="175"/>
      <c r="E135" s="175"/>
      <c r="F135" s="191"/>
      <c r="G135" s="175"/>
      <c r="H135" s="185"/>
    </row>
    <row r="136" spans="1:8" ht="12.75" customHeight="1">
      <c r="A136" s="198"/>
      <c r="B136" s="188" t="s">
        <v>29</v>
      </c>
      <c r="C136" s="175"/>
      <c r="D136" s="175"/>
      <c r="E136" s="175"/>
      <c r="F136" s="191"/>
      <c r="G136" s="175"/>
      <c r="H136" s="185"/>
    </row>
    <row r="137" spans="1:8" ht="14.25" customHeight="1">
      <c r="A137" s="190"/>
      <c r="B137" s="188"/>
      <c r="C137" s="175"/>
      <c r="D137" s="175"/>
      <c r="E137" s="175"/>
      <c r="F137" s="191"/>
      <c r="G137" s="175"/>
      <c r="H137" s="185"/>
    </row>
    <row r="138" spans="1:8" ht="14.25" customHeight="1">
      <c r="A138" s="190"/>
      <c r="B138" s="192" t="s">
        <v>30</v>
      </c>
      <c r="C138" s="193" t="s">
        <v>31</v>
      </c>
      <c r="D138" s="193" t="s">
        <v>287</v>
      </c>
      <c r="E138" s="193" t="s">
        <v>32</v>
      </c>
      <c r="F138" s="193" t="s">
        <v>13</v>
      </c>
      <c r="G138" s="193" t="s">
        <v>4</v>
      </c>
      <c r="H138" s="185"/>
    </row>
    <row r="139" spans="1:8" ht="14.25" customHeight="1">
      <c r="A139" s="190"/>
      <c r="B139" s="234" t="str">
        <f t="shared" ref="B139:E140" si="23">+B37</f>
        <v>COORDINADOR DE SUPERVISION</v>
      </c>
      <c r="C139" s="277">
        <f t="shared" si="23"/>
        <v>1</v>
      </c>
      <c r="D139" s="277">
        <f t="shared" si="23"/>
        <v>0.25</v>
      </c>
      <c r="E139" s="277">
        <f t="shared" si="23"/>
        <v>25</v>
      </c>
      <c r="F139" s="277">
        <f>($C$134*2)/12*(E139*D139)</f>
        <v>312.5</v>
      </c>
      <c r="G139" s="234">
        <f>+C139*F139</f>
        <v>312.5</v>
      </c>
      <c r="H139" s="185"/>
    </row>
    <row r="140" spans="1:8" ht="14.25" customHeight="1">
      <c r="A140" s="190"/>
      <c r="B140" s="234" t="str">
        <f t="shared" si="23"/>
        <v>SUPERVISOR GENERAL DE OBRA</v>
      </c>
      <c r="C140" s="277">
        <f t="shared" si="23"/>
        <v>1</v>
      </c>
      <c r="D140" s="277">
        <f t="shared" si="23"/>
        <v>1</v>
      </c>
      <c r="E140" s="277">
        <f t="shared" si="23"/>
        <v>25</v>
      </c>
      <c r="F140" s="277">
        <f t="shared" ref="F140:F150" si="24">($C$134*2)/12*(E140*D140)</f>
        <v>1250</v>
      </c>
      <c r="G140" s="234">
        <f t="shared" ref="G140:G150" si="25">+C140*F140</f>
        <v>1250</v>
      </c>
      <c r="H140" s="185"/>
    </row>
    <row r="141" spans="1:8" ht="14.25" customHeight="1">
      <c r="A141" s="190"/>
      <c r="B141" s="234" t="str">
        <f t="shared" ref="B141:E142" si="26">+B39</f>
        <v>ESPECIALISTA DE ESTRUCTURAS</v>
      </c>
      <c r="C141" s="277">
        <f t="shared" si="26"/>
        <v>1</v>
      </c>
      <c r="D141" s="277">
        <f t="shared" si="26"/>
        <v>0.5</v>
      </c>
      <c r="E141" s="277">
        <f t="shared" si="26"/>
        <v>25</v>
      </c>
      <c r="F141" s="277">
        <f t="shared" si="24"/>
        <v>625</v>
      </c>
      <c r="G141" s="234">
        <f t="shared" si="25"/>
        <v>625</v>
      </c>
      <c r="H141" s="185"/>
    </row>
    <row r="142" spans="1:8" ht="14.25" customHeight="1">
      <c r="A142" s="190"/>
      <c r="B142" s="234" t="str">
        <f t="shared" si="26"/>
        <v>ESPECIALISTA GEOTECNISTA</v>
      </c>
      <c r="C142" s="277">
        <f t="shared" si="26"/>
        <v>1</v>
      </c>
      <c r="D142" s="277">
        <f t="shared" si="26"/>
        <v>0.5</v>
      </c>
      <c r="E142" s="277">
        <f t="shared" si="26"/>
        <v>25</v>
      </c>
      <c r="F142" s="277">
        <f>($C$134*2)/12*(E142*D142)</f>
        <v>625</v>
      </c>
      <c r="G142" s="234">
        <f>+C142*F142</f>
        <v>625</v>
      </c>
      <c r="H142" s="185"/>
    </row>
    <row r="143" spans="1:8" ht="14.25" customHeight="1">
      <c r="A143" s="190"/>
      <c r="B143" s="234" t="str">
        <f t="shared" ref="B143:E150" si="27">+B41</f>
        <v>ESPECIALISTA DE ARQUITECTURA</v>
      </c>
      <c r="C143" s="277">
        <f t="shared" si="27"/>
        <v>1</v>
      </c>
      <c r="D143" s="277">
        <f t="shared" si="27"/>
        <v>0.5</v>
      </c>
      <c r="E143" s="277">
        <f t="shared" si="27"/>
        <v>25</v>
      </c>
      <c r="F143" s="277">
        <f t="shared" si="24"/>
        <v>625</v>
      </c>
      <c r="G143" s="234">
        <f t="shared" si="25"/>
        <v>625</v>
      </c>
      <c r="H143" s="185"/>
    </row>
    <row r="144" spans="1:8" ht="14.25" customHeight="1">
      <c r="A144" s="190"/>
      <c r="B144" s="234" t="str">
        <f t="shared" si="27"/>
        <v>ESPECIALISTA EN INST. SANITARIAS</v>
      </c>
      <c r="C144" s="277">
        <f t="shared" si="27"/>
        <v>1</v>
      </c>
      <c r="D144" s="277">
        <f t="shared" si="27"/>
        <v>0.3</v>
      </c>
      <c r="E144" s="277">
        <f t="shared" si="27"/>
        <v>25</v>
      </c>
      <c r="F144" s="277">
        <f t="shared" si="24"/>
        <v>375</v>
      </c>
      <c r="G144" s="234">
        <f t="shared" si="25"/>
        <v>375</v>
      </c>
      <c r="H144" s="185"/>
    </row>
    <row r="145" spans="1:9" ht="14.25" customHeight="1">
      <c r="A145" s="190"/>
      <c r="B145" s="234" t="str">
        <f t="shared" si="27"/>
        <v>ESPECIALISTA EN INST. ELECTRICAS</v>
      </c>
      <c r="C145" s="277">
        <f t="shared" si="27"/>
        <v>1</v>
      </c>
      <c r="D145" s="277">
        <f t="shared" si="27"/>
        <v>0.3</v>
      </c>
      <c r="E145" s="277">
        <f t="shared" si="27"/>
        <v>25</v>
      </c>
      <c r="F145" s="277">
        <f t="shared" si="24"/>
        <v>375</v>
      </c>
      <c r="G145" s="234">
        <f t="shared" si="25"/>
        <v>375</v>
      </c>
      <c r="H145" s="185"/>
    </row>
    <row r="146" spans="1:9" ht="14.25" customHeight="1">
      <c r="A146" s="190"/>
      <c r="B146" s="234" t="str">
        <f t="shared" si="27"/>
        <v>ESPECIALISTA EN EQUIPOS Y MOBILIARIO EDUCATIVO</v>
      </c>
      <c r="C146" s="277">
        <f t="shared" si="27"/>
        <v>1</v>
      </c>
      <c r="D146" s="277">
        <f t="shared" si="27"/>
        <v>1</v>
      </c>
      <c r="E146" s="277">
        <f t="shared" si="27"/>
        <v>25</v>
      </c>
      <c r="F146" s="277">
        <f t="shared" si="24"/>
        <v>1250</v>
      </c>
      <c r="G146" s="234">
        <f t="shared" si="25"/>
        <v>1250</v>
      </c>
      <c r="H146" s="185"/>
    </row>
    <row r="147" spans="1:9" ht="14.25" customHeight="1">
      <c r="A147" s="190"/>
      <c r="B147" s="234" t="str">
        <f t="shared" si="27"/>
        <v>ESPECIALISTA EN GESTION DE CAPACITACIÓN</v>
      </c>
      <c r="C147" s="277">
        <f t="shared" si="27"/>
        <v>1</v>
      </c>
      <c r="D147" s="277">
        <f t="shared" si="27"/>
        <v>0.5</v>
      </c>
      <c r="E147" s="277">
        <f t="shared" si="27"/>
        <v>25</v>
      </c>
      <c r="F147" s="277">
        <f t="shared" si="24"/>
        <v>625</v>
      </c>
      <c r="G147" s="234">
        <f t="shared" si="25"/>
        <v>625</v>
      </c>
      <c r="H147" s="185"/>
    </row>
    <row r="148" spans="1:9" ht="14.25" customHeight="1">
      <c r="A148" s="190"/>
      <c r="B148" s="234" t="str">
        <f t="shared" si="27"/>
        <v>ESPECIALISTA EN MATERIAL PEDAGÓGICO</v>
      </c>
      <c r="C148" s="277">
        <f t="shared" si="27"/>
        <v>1</v>
      </c>
      <c r="D148" s="277">
        <f t="shared" si="27"/>
        <v>1</v>
      </c>
      <c r="E148" s="277">
        <f t="shared" si="27"/>
        <v>25</v>
      </c>
      <c r="F148" s="277">
        <f t="shared" si="24"/>
        <v>1250</v>
      </c>
      <c r="G148" s="234">
        <f t="shared" si="25"/>
        <v>1250</v>
      </c>
      <c r="H148" s="185"/>
    </row>
    <row r="149" spans="1:9" ht="12.75" customHeight="1">
      <c r="A149" s="190"/>
      <c r="B149" s="234" t="str">
        <f t="shared" si="27"/>
        <v>ASISTENTE TECNICO</v>
      </c>
      <c r="C149" s="277">
        <f t="shared" si="27"/>
        <v>1</v>
      </c>
      <c r="D149" s="277">
        <f t="shared" si="27"/>
        <v>1</v>
      </c>
      <c r="E149" s="277">
        <f t="shared" si="27"/>
        <v>25</v>
      </c>
      <c r="F149" s="277">
        <f t="shared" si="24"/>
        <v>1250</v>
      </c>
      <c r="G149" s="234">
        <f t="shared" si="25"/>
        <v>1250</v>
      </c>
      <c r="H149" s="185"/>
    </row>
    <row r="150" spans="1:9" ht="12.75" customHeight="1">
      <c r="A150" s="190"/>
      <c r="B150" s="234" t="str">
        <f t="shared" si="27"/>
        <v>ASISTENTE ADMINISTRATIVO DE PLANTA</v>
      </c>
      <c r="C150" s="277">
        <f t="shared" si="27"/>
        <v>1</v>
      </c>
      <c r="D150" s="277">
        <f t="shared" si="27"/>
        <v>0.5</v>
      </c>
      <c r="E150" s="277">
        <f t="shared" si="27"/>
        <v>25</v>
      </c>
      <c r="F150" s="277">
        <f t="shared" si="24"/>
        <v>625</v>
      </c>
      <c r="G150" s="234">
        <f t="shared" si="25"/>
        <v>625</v>
      </c>
      <c r="H150" s="185"/>
    </row>
    <row r="151" spans="1:9" ht="14.25" customHeight="1">
      <c r="A151" s="174"/>
      <c r="B151" s="1028" t="s">
        <v>3</v>
      </c>
      <c r="C151" s="1028"/>
      <c r="D151" s="1028"/>
      <c r="E151" s="1028"/>
      <c r="F151" s="1028"/>
      <c r="G151" s="196">
        <f>SUM(G139:G150)</f>
        <v>9187.5</v>
      </c>
      <c r="H151" s="185"/>
    </row>
    <row r="152" spans="1:9" ht="14.25" customHeight="1">
      <c r="A152" s="190"/>
      <c r="B152" s="185"/>
      <c r="C152" s="185"/>
      <c r="D152" s="185"/>
      <c r="E152" s="185"/>
      <c r="F152" s="186"/>
      <c r="G152" s="185"/>
      <c r="H152" s="185"/>
    </row>
    <row r="153" spans="1:9" ht="12.75" customHeight="1">
      <c r="A153" s="190"/>
      <c r="B153" s="252"/>
      <c r="C153" s="185"/>
      <c r="D153" s="185"/>
      <c r="E153" s="197"/>
      <c r="F153" s="186"/>
      <c r="G153" s="185"/>
      <c r="H153" s="185"/>
    </row>
    <row r="154" spans="1:9" s="168" customFormat="1" ht="15">
      <c r="A154" s="267" t="s">
        <v>266</v>
      </c>
      <c r="B154" s="268"/>
      <c r="C154" s="264"/>
      <c r="D154" s="264"/>
      <c r="E154" s="264"/>
      <c r="F154" s="265"/>
      <c r="G154" s="265" t="s">
        <v>0</v>
      </c>
      <c r="H154" s="266">
        <f>+H156+H200+H174+H166</f>
        <v>153540.6</v>
      </c>
      <c r="I154" s="177"/>
    </row>
    <row r="155" spans="1:9" s="168" customFormat="1" ht="15">
      <c r="A155" s="202"/>
      <c r="B155" s="203"/>
      <c r="C155" s="180"/>
      <c r="D155" s="180"/>
      <c r="E155" s="180"/>
      <c r="F155" s="181"/>
      <c r="G155" s="181"/>
      <c r="H155" s="182"/>
      <c r="I155" s="177"/>
    </row>
    <row r="156" spans="1:9" s="168" customFormat="1" ht="15">
      <c r="A156" s="269">
        <v>1</v>
      </c>
      <c r="B156" s="270" t="s">
        <v>255</v>
      </c>
      <c r="C156" s="271"/>
      <c r="D156" s="271"/>
      <c r="E156" s="276"/>
      <c r="F156" s="272"/>
      <c r="G156" s="273" t="s">
        <v>0</v>
      </c>
      <c r="H156" s="273">
        <f>G164</f>
        <v>44880</v>
      </c>
      <c r="I156" s="177"/>
    </row>
    <row r="157" spans="1:9" s="168" customFormat="1" ht="15">
      <c r="A157" s="202"/>
      <c r="B157" s="203"/>
      <c r="C157" s="180"/>
      <c r="D157" s="180"/>
      <c r="E157" s="180"/>
      <c r="F157" s="181"/>
      <c r="G157" s="181"/>
      <c r="H157" s="182"/>
      <c r="I157" s="177"/>
    </row>
    <row r="158" spans="1:9" ht="15.75" customHeight="1">
      <c r="A158" s="204">
        <v>1.01</v>
      </c>
      <c r="B158" s="188" t="s">
        <v>25</v>
      </c>
      <c r="C158" s="185"/>
      <c r="D158" s="185"/>
      <c r="E158" s="185"/>
      <c r="F158" s="186"/>
      <c r="G158" s="201" t="s">
        <v>0</v>
      </c>
      <c r="H158" s="205">
        <f>G164</f>
        <v>44880</v>
      </c>
    </row>
    <row r="159" spans="1:9" ht="12.75" customHeight="1">
      <c r="A159" s="187"/>
      <c r="B159" s="188"/>
      <c r="C159" s="185"/>
      <c r="D159" s="185"/>
      <c r="E159" s="185"/>
      <c r="F159" s="186"/>
      <c r="G159" s="185"/>
      <c r="H159" s="185"/>
      <c r="I159" s="171"/>
    </row>
    <row r="160" spans="1:9" ht="12.75" customHeight="1">
      <c r="A160" s="190"/>
      <c r="B160" s="1019" t="s">
        <v>17</v>
      </c>
      <c r="C160" s="1019"/>
      <c r="D160" s="206" t="s">
        <v>2</v>
      </c>
      <c r="E160" s="206" t="s">
        <v>18</v>
      </c>
      <c r="F160" s="206" t="s">
        <v>5</v>
      </c>
      <c r="G160" s="206" t="s">
        <v>4</v>
      </c>
      <c r="H160" s="207"/>
    </row>
    <row r="161" spans="1:11" ht="13.5" customHeight="1">
      <c r="A161" s="208"/>
      <c r="B161" s="1017" t="s">
        <v>74</v>
      </c>
      <c r="C161" s="1018"/>
      <c r="D161" s="279" t="s">
        <v>2</v>
      </c>
      <c r="E161" s="209">
        <f>11*8</f>
        <v>88</v>
      </c>
      <c r="F161" s="210">
        <v>50</v>
      </c>
      <c r="G161" s="194">
        <f>E161*F161</f>
        <v>4400</v>
      </c>
      <c r="H161" s="211"/>
    </row>
    <row r="162" spans="1:11" ht="12.75" customHeight="1">
      <c r="A162" s="190"/>
      <c r="B162" s="1014" t="s">
        <v>252</v>
      </c>
      <c r="C162" s="1015"/>
      <c r="D162" s="280" t="s">
        <v>2</v>
      </c>
      <c r="E162" s="209">
        <v>88</v>
      </c>
      <c r="F162" s="212">
        <v>80</v>
      </c>
      <c r="G162" s="213">
        <f>E162*F162</f>
        <v>7040</v>
      </c>
      <c r="H162" s="199"/>
    </row>
    <row r="163" spans="1:11" ht="12.75" customHeight="1">
      <c r="A163" s="190"/>
      <c r="B163" s="1038" t="s">
        <v>254</v>
      </c>
      <c r="C163" s="1039"/>
      <c r="D163" s="280" t="s">
        <v>8</v>
      </c>
      <c r="E163" s="209">
        <v>88</v>
      </c>
      <c r="F163" s="212">
        <v>380</v>
      </c>
      <c r="G163" s="213">
        <f>E163*F163</f>
        <v>33440</v>
      </c>
      <c r="H163" s="199"/>
    </row>
    <row r="164" spans="1:11" ht="12.75" customHeight="1">
      <c r="A164" s="190"/>
      <c r="B164" s="1024" t="s">
        <v>3</v>
      </c>
      <c r="C164" s="1024"/>
      <c r="D164" s="1025"/>
      <c r="E164" s="1025"/>
      <c r="F164" s="1025"/>
      <c r="G164" s="214">
        <f>SUM(G161:G163)</f>
        <v>44880</v>
      </c>
      <c r="H164" s="199"/>
    </row>
    <row r="165" spans="1:11" ht="12.75" customHeight="1">
      <c r="A165" s="190"/>
      <c r="B165" s="207"/>
      <c r="C165" s="207"/>
      <c r="D165" s="207"/>
      <c r="E165" s="207"/>
      <c r="F165" s="207"/>
      <c r="G165" s="215"/>
      <c r="H165" s="199"/>
    </row>
    <row r="166" spans="1:11" ht="12.75" customHeight="1">
      <c r="A166" s="269">
        <v>2</v>
      </c>
      <c r="B166" s="270" t="s">
        <v>270</v>
      </c>
      <c r="C166" s="271"/>
      <c r="D166" s="271"/>
      <c r="E166" s="271"/>
      <c r="F166" s="272"/>
      <c r="G166" s="273" t="s">
        <v>0</v>
      </c>
      <c r="H166" s="274">
        <f>+H168</f>
        <v>45965</v>
      </c>
    </row>
    <row r="167" spans="1:11" ht="12.75" customHeight="1">
      <c r="A167" s="187"/>
      <c r="B167" s="188"/>
      <c r="C167" s="185"/>
      <c r="D167" s="185"/>
      <c r="E167" s="185"/>
      <c r="F167" s="186"/>
      <c r="G167" s="185"/>
      <c r="H167" s="185"/>
    </row>
    <row r="168" spans="1:11" ht="12.75" customHeight="1">
      <c r="A168" s="187">
        <v>2.0099999999999998</v>
      </c>
      <c r="B168" s="188" t="s">
        <v>271</v>
      </c>
      <c r="C168" s="175"/>
      <c r="D168" s="175"/>
      <c r="E168" s="175"/>
      <c r="F168" s="191"/>
      <c r="G168" s="201" t="s">
        <v>0</v>
      </c>
      <c r="H168" s="205">
        <f>G172</f>
        <v>45965</v>
      </c>
    </row>
    <row r="169" spans="1:11" ht="12.75" customHeight="1">
      <c r="A169" s="216"/>
      <c r="B169" s="217"/>
      <c r="C169" s="218"/>
      <c r="D169" s="218"/>
      <c r="E169" s="219"/>
      <c r="F169" s="218"/>
      <c r="G169" s="219"/>
    </row>
    <row r="170" spans="1:11" ht="12.75" customHeight="1">
      <c r="A170" s="216"/>
      <c r="B170" s="1021" t="s">
        <v>17</v>
      </c>
      <c r="C170" s="1021"/>
      <c r="D170" s="206" t="s">
        <v>2</v>
      </c>
      <c r="E170" s="206" t="s">
        <v>18</v>
      </c>
      <c r="F170" s="206" t="s">
        <v>5</v>
      </c>
      <c r="G170" s="206" t="s">
        <v>4</v>
      </c>
    </row>
    <row r="171" spans="1:11" ht="12.75" customHeight="1">
      <c r="A171" s="216"/>
      <c r="B171" s="1016" t="s">
        <v>108</v>
      </c>
      <c r="C171" s="1016"/>
      <c r="D171" s="195" t="s">
        <v>6</v>
      </c>
      <c r="E171" s="221">
        <f>317*2*5</f>
        <v>3170</v>
      </c>
      <c r="F171" s="195">
        <v>14.5</v>
      </c>
      <c r="G171" s="222">
        <f>+E171*F171</f>
        <v>45965</v>
      </c>
      <c r="I171" s="161">
        <v>365</v>
      </c>
      <c r="J171" s="161">
        <f>4*12</f>
        <v>48</v>
      </c>
      <c r="K171" s="161">
        <f>+I171-J171</f>
        <v>317</v>
      </c>
    </row>
    <row r="172" spans="1:11" ht="12.75" customHeight="1">
      <c r="A172" s="223"/>
      <c r="B172" s="1025" t="s">
        <v>3</v>
      </c>
      <c r="C172" s="1025"/>
      <c r="D172" s="1025"/>
      <c r="E172" s="1025"/>
      <c r="F172" s="1025"/>
      <c r="G172" s="224">
        <f>SUM(G171:G171)</f>
        <v>45965</v>
      </c>
    </row>
    <row r="173" spans="1:11" ht="12.75" customHeight="1">
      <c r="A173" s="190"/>
      <c r="B173" s="207"/>
      <c r="C173" s="207"/>
      <c r="D173" s="207"/>
      <c r="E173" s="207"/>
      <c r="F173" s="207"/>
      <c r="G173" s="215"/>
      <c r="H173" s="199"/>
    </row>
    <row r="174" spans="1:11" ht="12.75" customHeight="1">
      <c r="A174" s="269">
        <v>3</v>
      </c>
      <c r="B174" s="270" t="s">
        <v>292</v>
      </c>
      <c r="C174" s="271"/>
      <c r="D174" s="271"/>
      <c r="E174" s="271"/>
      <c r="F174" s="272"/>
      <c r="G174" s="273" t="s">
        <v>0</v>
      </c>
      <c r="H174" s="274">
        <f>+H176</f>
        <v>17950</v>
      </c>
    </row>
    <row r="175" spans="1:11" ht="12.75" customHeight="1">
      <c r="A175" s="187"/>
      <c r="B175" s="188"/>
      <c r="C175" s="185"/>
      <c r="D175" s="185"/>
      <c r="E175" s="185"/>
      <c r="F175" s="186"/>
      <c r="G175" s="185"/>
      <c r="H175" s="185"/>
    </row>
    <row r="176" spans="1:11" ht="12.75" customHeight="1">
      <c r="A176" s="187">
        <v>3.01</v>
      </c>
      <c r="B176" s="188" t="s">
        <v>288</v>
      </c>
      <c r="C176" s="175"/>
      <c r="D176" s="175"/>
      <c r="E176" s="175"/>
      <c r="F176" s="191"/>
      <c r="G176" s="201" t="s">
        <v>0</v>
      </c>
      <c r="H176" s="205">
        <f>G198</f>
        <v>17950</v>
      </c>
    </row>
    <row r="177" spans="1:7" ht="12.75" customHeight="1">
      <c r="A177" s="216"/>
      <c r="B177" s="217"/>
      <c r="C177" s="218"/>
      <c r="D177" s="218"/>
      <c r="E177" s="219"/>
      <c r="F177" s="218"/>
      <c r="G177" s="219"/>
    </row>
    <row r="178" spans="1:7" ht="12.75" customHeight="1">
      <c r="A178" s="216"/>
      <c r="B178" s="1019" t="s">
        <v>17</v>
      </c>
      <c r="C178" s="1020"/>
      <c r="D178" s="281" t="s">
        <v>2</v>
      </c>
      <c r="E178" s="288" t="s">
        <v>18</v>
      </c>
      <c r="F178" s="281" t="s">
        <v>5</v>
      </c>
      <c r="G178" s="286" t="s">
        <v>4</v>
      </c>
    </row>
    <row r="179" spans="1:7" ht="12.75" customHeight="1">
      <c r="A179" s="216"/>
      <c r="B179" s="1017" t="s">
        <v>273</v>
      </c>
      <c r="C179" s="1018"/>
      <c r="D179" s="297" t="s">
        <v>2</v>
      </c>
      <c r="E179" s="282">
        <v>1</v>
      </c>
      <c r="F179" s="287">
        <v>11500</v>
      </c>
      <c r="G179" s="283">
        <f>+E179*F179</f>
        <v>11500</v>
      </c>
    </row>
    <row r="180" spans="1:7" ht="12.75" customHeight="1">
      <c r="A180" s="216"/>
      <c r="B180" s="1014" t="s">
        <v>250</v>
      </c>
      <c r="C180" s="1015"/>
      <c r="D180" s="289" t="s">
        <v>2</v>
      </c>
      <c r="E180" s="191">
        <v>1</v>
      </c>
      <c r="F180" s="228">
        <v>4500</v>
      </c>
      <c r="G180" s="284">
        <f>+E180*F180</f>
        <v>4500</v>
      </c>
    </row>
    <row r="181" spans="1:7" ht="12.75" customHeight="1">
      <c r="A181" s="216"/>
      <c r="B181" s="1014" t="s">
        <v>277</v>
      </c>
      <c r="C181" s="1015"/>
      <c r="D181" s="289" t="s">
        <v>2</v>
      </c>
      <c r="E181" s="191">
        <v>1</v>
      </c>
      <c r="F181" s="228">
        <v>750</v>
      </c>
      <c r="G181" s="284">
        <f>+E181*F181</f>
        <v>750</v>
      </c>
    </row>
    <row r="182" spans="1:7" ht="12.75" customHeight="1">
      <c r="A182" s="216"/>
      <c r="B182" s="1014" t="s">
        <v>293</v>
      </c>
      <c r="C182" s="1015"/>
      <c r="D182" s="289" t="s">
        <v>2</v>
      </c>
      <c r="E182" s="191">
        <v>1</v>
      </c>
      <c r="F182" s="228">
        <v>1200</v>
      </c>
      <c r="G182" s="284">
        <f>+E182*F182</f>
        <v>1200</v>
      </c>
    </row>
    <row r="183" spans="1:7" ht="12.75" customHeight="1">
      <c r="A183" s="216"/>
      <c r="B183" s="1043" t="s">
        <v>302</v>
      </c>
      <c r="C183" s="1044"/>
      <c r="D183" s="289"/>
      <c r="E183" s="191"/>
      <c r="F183" s="228"/>
      <c r="G183" s="284"/>
    </row>
    <row r="184" spans="1:7" ht="12.75" customHeight="1">
      <c r="A184" s="216"/>
      <c r="B184" s="1014" t="s">
        <v>296</v>
      </c>
      <c r="C184" s="1015" t="s">
        <v>44</v>
      </c>
      <c r="D184" s="289">
        <v>1</v>
      </c>
      <c r="E184" s="191"/>
      <c r="F184" s="228">
        <v>1260</v>
      </c>
      <c r="G184" s="284">
        <f>+F184*D184</f>
        <v>1260</v>
      </c>
    </row>
    <row r="185" spans="1:7" ht="12.75" customHeight="1">
      <c r="A185" s="216"/>
      <c r="B185" s="1014" t="s">
        <v>297</v>
      </c>
      <c r="C185" s="1015" t="s">
        <v>44</v>
      </c>
      <c r="D185" s="289">
        <v>1</v>
      </c>
      <c r="E185" s="191"/>
      <c r="F185" s="228">
        <v>3600</v>
      </c>
      <c r="G185" s="284">
        <f>+F185*D185</f>
        <v>3600</v>
      </c>
    </row>
    <row r="186" spans="1:7" ht="12.75" customHeight="1">
      <c r="A186" s="216"/>
      <c r="B186" s="1014" t="s">
        <v>298</v>
      </c>
      <c r="C186" s="1015" t="s">
        <v>44</v>
      </c>
      <c r="D186" s="289">
        <v>1</v>
      </c>
      <c r="E186" s="191"/>
      <c r="F186" s="228">
        <v>1569</v>
      </c>
      <c r="G186" s="284">
        <f>+F186*D186</f>
        <v>1569</v>
      </c>
    </row>
    <row r="187" spans="1:7" ht="12.75" customHeight="1">
      <c r="A187" s="216"/>
      <c r="B187" s="1014" t="s">
        <v>299</v>
      </c>
      <c r="C187" s="1015" t="s">
        <v>44</v>
      </c>
      <c r="D187" s="289">
        <v>1</v>
      </c>
      <c r="E187" s="191"/>
      <c r="F187" s="228">
        <v>10705.38</v>
      </c>
      <c r="G187" s="284">
        <f>+F187*D187</f>
        <v>10705.38</v>
      </c>
    </row>
    <row r="188" spans="1:7" ht="12.75" customHeight="1">
      <c r="A188" s="216"/>
      <c r="B188" s="1014" t="s">
        <v>300</v>
      </c>
      <c r="C188" s="1015" t="s">
        <v>44</v>
      </c>
      <c r="D188" s="289">
        <v>1</v>
      </c>
      <c r="E188" s="191"/>
      <c r="F188" s="228"/>
      <c r="G188" s="284"/>
    </row>
    <row r="189" spans="1:7" ht="12.75" customHeight="1">
      <c r="A189" s="216"/>
      <c r="B189" s="1014"/>
      <c r="C189" s="1015"/>
      <c r="D189" s="289"/>
      <c r="E189" s="191"/>
      <c r="F189" s="228"/>
      <c r="G189" s="284"/>
    </row>
    <row r="190" spans="1:7" ht="12.75" customHeight="1">
      <c r="A190" s="216"/>
      <c r="B190" s="1014"/>
      <c r="C190" s="1015"/>
      <c r="D190" s="289"/>
      <c r="E190" s="191"/>
      <c r="F190" s="228"/>
      <c r="G190" s="284"/>
    </row>
    <row r="191" spans="1:7" ht="12.75" customHeight="1">
      <c r="A191" s="216"/>
      <c r="B191" s="1014"/>
      <c r="C191" s="1015"/>
      <c r="D191" s="289"/>
      <c r="E191" s="191"/>
      <c r="F191" s="228"/>
      <c r="G191" s="284"/>
    </row>
    <row r="192" spans="1:7" ht="12.75" customHeight="1">
      <c r="A192" s="216"/>
      <c r="B192" s="1014"/>
      <c r="C192" s="1015"/>
      <c r="D192" s="289"/>
      <c r="E192" s="191"/>
      <c r="F192" s="228"/>
      <c r="G192" s="284"/>
    </row>
    <row r="193" spans="1:8" ht="12.75" customHeight="1">
      <c r="A193" s="216"/>
      <c r="B193" s="1014"/>
      <c r="C193" s="1015"/>
      <c r="D193" s="289"/>
      <c r="E193" s="191"/>
      <c r="F193" s="228"/>
      <c r="G193" s="284"/>
    </row>
    <row r="194" spans="1:8" ht="12.75" customHeight="1">
      <c r="A194" s="216"/>
      <c r="B194" s="1014"/>
      <c r="C194" s="1015"/>
      <c r="D194" s="289"/>
      <c r="E194" s="191"/>
      <c r="F194" s="228"/>
      <c r="G194" s="284"/>
    </row>
    <row r="195" spans="1:8" ht="12.75" customHeight="1">
      <c r="A195" s="216"/>
      <c r="B195" s="1014"/>
      <c r="C195" s="1015"/>
      <c r="D195" s="289"/>
      <c r="E195" s="191"/>
      <c r="F195" s="228"/>
      <c r="G195" s="284"/>
    </row>
    <row r="196" spans="1:8" ht="12.75" customHeight="1">
      <c r="A196" s="216"/>
      <c r="B196" s="1014"/>
      <c r="C196" s="1015"/>
      <c r="D196" s="289"/>
      <c r="E196" s="191"/>
      <c r="F196" s="228"/>
      <c r="G196" s="284"/>
    </row>
    <row r="197" spans="1:8" ht="12.75" customHeight="1">
      <c r="A197" s="216"/>
      <c r="B197" s="238"/>
      <c r="C197" s="299"/>
      <c r="D197" s="298"/>
      <c r="E197" s="285"/>
      <c r="F197" s="240"/>
      <c r="G197" s="284"/>
    </row>
    <row r="198" spans="1:8" ht="12.75" customHeight="1">
      <c r="A198" s="223"/>
      <c r="B198" s="1024" t="s">
        <v>3</v>
      </c>
      <c r="C198" s="1024"/>
      <c r="D198" s="1025"/>
      <c r="E198" s="1025"/>
      <c r="F198" s="1025"/>
      <c r="G198" s="224">
        <f>SUM(G179:G182)</f>
        <v>17950</v>
      </c>
    </row>
    <row r="199" spans="1:8" ht="12.75" customHeight="1">
      <c r="A199" s="190"/>
      <c r="B199" s="207"/>
      <c r="C199" s="207"/>
      <c r="D199" s="207"/>
      <c r="E199" s="207"/>
      <c r="F199" s="207"/>
      <c r="G199" s="215"/>
      <c r="H199" s="199"/>
    </row>
    <row r="200" spans="1:8" ht="12.75" customHeight="1">
      <c r="A200" s="269">
        <v>4</v>
      </c>
      <c r="B200" s="270" t="s">
        <v>92</v>
      </c>
      <c r="C200" s="271"/>
      <c r="D200" s="271"/>
      <c r="E200" s="276"/>
      <c r="F200" s="272"/>
      <c r="G200" s="273" t="s">
        <v>0</v>
      </c>
      <c r="H200" s="274">
        <f>+H202</f>
        <v>44745.599999999999</v>
      </c>
    </row>
    <row r="201" spans="1:8" ht="12.75" customHeight="1">
      <c r="A201" s="225"/>
      <c r="B201" s="226"/>
      <c r="C201" s="185"/>
      <c r="D201" s="185"/>
      <c r="E201" s="186"/>
      <c r="F201" s="227"/>
      <c r="G201" s="201"/>
      <c r="H201" s="173"/>
    </row>
    <row r="202" spans="1:8" ht="12.75" customHeight="1">
      <c r="A202" s="204">
        <v>4.01</v>
      </c>
      <c r="B202" s="188" t="s">
        <v>36</v>
      </c>
      <c r="C202" s="185"/>
      <c r="D202" s="185"/>
      <c r="E202" s="186"/>
      <c r="F202" s="186"/>
      <c r="G202" s="201" t="s">
        <v>0</v>
      </c>
      <c r="H202" s="205">
        <f>+G230</f>
        <v>44745.599999999999</v>
      </c>
    </row>
    <row r="203" spans="1:8" ht="12.75" hidden="1" customHeight="1">
      <c r="A203" s="187">
        <v>1</v>
      </c>
      <c r="B203" s="188" t="s">
        <v>53</v>
      </c>
      <c r="C203" s="185"/>
      <c r="D203" s="185"/>
      <c r="E203" s="185"/>
      <c r="F203" s="186"/>
      <c r="G203" s="185"/>
      <c r="H203" s="175"/>
    </row>
    <row r="204" spans="1:8" ht="12.75" hidden="1" customHeight="1">
      <c r="A204" s="187"/>
      <c r="B204" s="188"/>
      <c r="C204" s="185"/>
      <c r="D204" s="185"/>
      <c r="E204" s="185"/>
      <c r="F204" s="186"/>
      <c r="G204" s="185"/>
      <c r="H204" s="175"/>
    </row>
    <row r="205" spans="1:8" ht="12.75" hidden="1" customHeight="1">
      <c r="A205" s="187"/>
      <c r="B205" s="192" t="s">
        <v>34</v>
      </c>
      <c r="C205" s="193" t="s">
        <v>44</v>
      </c>
      <c r="D205" s="193"/>
      <c r="E205" s="193" t="s">
        <v>18</v>
      </c>
      <c r="F205" s="193" t="s">
        <v>5</v>
      </c>
      <c r="G205" s="193" t="s">
        <v>4</v>
      </c>
      <c r="H205" s="175"/>
    </row>
    <row r="206" spans="1:8" ht="12.75" hidden="1" customHeight="1">
      <c r="A206" s="187"/>
      <c r="B206" s="235"/>
      <c r="C206" s="236"/>
      <c r="D206" s="236"/>
      <c r="E206" s="237">
        <v>0</v>
      </c>
      <c r="F206" s="236">
        <v>0</v>
      </c>
      <c r="G206" s="237">
        <f>+E206*F206</f>
        <v>0</v>
      </c>
      <c r="H206" s="175"/>
    </row>
    <row r="207" spans="1:8" ht="12.75" hidden="1" customHeight="1">
      <c r="A207" s="187"/>
      <c r="B207" s="1025" t="s">
        <v>3</v>
      </c>
      <c r="C207" s="1025"/>
      <c r="D207" s="1025"/>
      <c r="E207" s="1025"/>
      <c r="F207" s="1025"/>
      <c r="G207" s="234">
        <f>SUM(G206:G206)</f>
        <v>0</v>
      </c>
      <c r="H207" s="175"/>
    </row>
    <row r="208" spans="1:8" ht="12.75" hidden="1" customHeight="1">
      <c r="A208" s="187"/>
      <c r="B208" s="188"/>
      <c r="C208" s="185"/>
      <c r="D208" s="185"/>
      <c r="E208" s="185"/>
      <c r="F208" s="186"/>
      <c r="G208" s="185"/>
      <c r="H208" s="175"/>
    </row>
    <row r="209" spans="1:8" ht="12.75" customHeight="1">
      <c r="A209" s="187"/>
      <c r="B209" s="188"/>
      <c r="C209" s="185"/>
      <c r="D209" s="185"/>
      <c r="E209" s="185"/>
      <c r="F209" s="186"/>
      <c r="G209" s="185"/>
      <c r="H209" s="175"/>
    </row>
    <row r="210" spans="1:8" ht="12.75" customHeight="1">
      <c r="A210" s="190"/>
      <c r="B210" s="291" t="s">
        <v>34</v>
      </c>
      <c r="C210" s="193" t="s">
        <v>44</v>
      </c>
      <c r="D210" s="193" t="s">
        <v>18</v>
      </c>
      <c r="E210" s="300" t="s">
        <v>272</v>
      </c>
      <c r="F210" s="193" t="s">
        <v>5</v>
      </c>
      <c r="G210" s="193" t="s">
        <v>4</v>
      </c>
      <c r="H210" s="175"/>
    </row>
    <row r="211" spans="1:8">
      <c r="A211" s="190"/>
      <c r="B211" s="220" t="s">
        <v>71</v>
      </c>
      <c r="C211" s="289" t="s">
        <v>2</v>
      </c>
      <c r="D211" s="228">
        <v>15</v>
      </c>
      <c r="E211" s="160">
        <v>24</v>
      </c>
      <c r="F211" s="228">
        <v>1</v>
      </c>
      <c r="G211" s="229">
        <f>+F211*E211*D211</f>
        <v>360</v>
      </c>
      <c r="H211" s="175"/>
    </row>
    <row r="212" spans="1:8" ht="12.75" customHeight="1">
      <c r="A212" s="190"/>
      <c r="B212" s="292" t="s">
        <v>40</v>
      </c>
      <c r="C212" s="289" t="s">
        <v>2</v>
      </c>
      <c r="D212" s="228">
        <v>12</v>
      </c>
      <c r="E212" s="160">
        <v>24</v>
      </c>
      <c r="F212" s="228">
        <v>35</v>
      </c>
      <c r="G212" s="229">
        <f t="shared" ref="G212:G229" si="28">+F212*E212*D212</f>
        <v>10080</v>
      </c>
      <c r="H212" s="175"/>
    </row>
    <row r="213" spans="1:8">
      <c r="A213" s="190"/>
      <c r="B213" s="292" t="s">
        <v>69</v>
      </c>
      <c r="C213" s="289" t="s">
        <v>2</v>
      </c>
      <c r="D213" s="228">
        <v>4</v>
      </c>
      <c r="E213" s="160">
        <v>24</v>
      </c>
      <c r="F213" s="228">
        <v>1</v>
      </c>
      <c r="G213" s="229">
        <f t="shared" si="28"/>
        <v>96</v>
      </c>
      <c r="H213" s="175"/>
    </row>
    <row r="214" spans="1:8" ht="12.75" customHeight="1">
      <c r="A214" s="190"/>
      <c r="B214" s="292" t="s">
        <v>160</v>
      </c>
      <c r="C214" s="289" t="s">
        <v>2</v>
      </c>
      <c r="D214" s="228">
        <v>9</v>
      </c>
      <c r="E214" s="160">
        <v>24</v>
      </c>
      <c r="F214" s="228">
        <v>2</v>
      </c>
      <c r="G214" s="229">
        <f t="shared" si="28"/>
        <v>432</v>
      </c>
      <c r="H214" s="175"/>
    </row>
    <row r="215" spans="1:8">
      <c r="A215" s="190"/>
      <c r="B215" s="292" t="s">
        <v>84</v>
      </c>
      <c r="C215" s="289" t="s">
        <v>2</v>
      </c>
      <c r="D215" s="228">
        <v>9</v>
      </c>
      <c r="E215" s="160">
        <v>24</v>
      </c>
      <c r="F215" s="228">
        <v>3</v>
      </c>
      <c r="G215" s="229">
        <f t="shared" si="28"/>
        <v>648</v>
      </c>
      <c r="H215" s="175"/>
    </row>
    <row r="216" spans="1:8" ht="12.75" customHeight="1">
      <c r="A216" s="190"/>
      <c r="B216" s="292" t="s">
        <v>110</v>
      </c>
      <c r="C216" s="289" t="s">
        <v>2</v>
      </c>
      <c r="D216" s="228">
        <v>4</v>
      </c>
      <c r="E216" s="160">
        <v>24</v>
      </c>
      <c r="F216" s="228">
        <v>6</v>
      </c>
      <c r="G216" s="229">
        <f t="shared" si="28"/>
        <v>576</v>
      </c>
      <c r="H216" s="175"/>
    </row>
    <row r="217" spans="1:8">
      <c r="A217" s="190"/>
      <c r="B217" s="292" t="s">
        <v>67</v>
      </c>
      <c r="C217" s="289" t="s">
        <v>2</v>
      </c>
      <c r="D217" s="228">
        <v>4</v>
      </c>
      <c r="E217" s="160">
        <v>24</v>
      </c>
      <c r="F217" s="228">
        <v>4</v>
      </c>
      <c r="G217" s="229">
        <f t="shared" si="28"/>
        <v>384</v>
      </c>
      <c r="H217" s="175"/>
    </row>
    <row r="218" spans="1:8" ht="13.5" customHeight="1">
      <c r="A218" s="190"/>
      <c r="B218" s="292" t="s">
        <v>58</v>
      </c>
      <c r="C218" s="289" t="s">
        <v>35</v>
      </c>
      <c r="D218" s="228">
        <v>4</v>
      </c>
      <c r="E218" s="160">
        <v>24</v>
      </c>
      <c r="F218" s="228">
        <v>6</v>
      </c>
      <c r="G218" s="229">
        <f t="shared" si="28"/>
        <v>576</v>
      </c>
      <c r="H218" s="175"/>
    </row>
    <row r="219" spans="1:8" ht="13.5" customHeight="1">
      <c r="A219" s="190"/>
      <c r="B219" s="292" t="s">
        <v>57</v>
      </c>
      <c r="C219" s="289" t="s">
        <v>2</v>
      </c>
      <c r="D219" s="228">
        <v>8</v>
      </c>
      <c r="E219" s="160">
        <v>24</v>
      </c>
      <c r="F219" s="228">
        <v>0.8</v>
      </c>
      <c r="G219" s="229">
        <f t="shared" si="28"/>
        <v>153.60000000000002</v>
      </c>
      <c r="H219" s="175"/>
    </row>
    <row r="220" spans="1:8" ht="13.5" customHeight="1">
      <c r="A220" s="190"/>
      <c r="B220" s="292" t="s">
        <v>85</v>
      </c>
      <c r="C220" s="289" t="s">
        <v>240</v>
      </c>
      <c r="D220" s="228">
        <v>4</v>
      </c>
      <c r="E220" s="160">
        <v>24</v>
      </c>
      <c r="F220" s="228">
        <v>50</v>
      </c>
      <c r="G220" s="229">
        <f t="shared" si="28"/>
        <v>4800</v>
      </c>
      <c r="H220" s="175"/>
    </row>
    <row r="221" spans="1:8" ht="12.75" customHeight="1">
      <c r="A221" s="190"/>
      <c r="B221" s="292" t="s">
        <v>208</v>
      </c>
      <c r="C221" s="289" t="s">
        <v>2</v>
      </c>
      <c r="D221" s="228">
        <v>4</v>
      </c>
      <c r="E221" s="160">
        <v>24</v>
      </c>
      <c r="F221" s="228">
        <v>5</v>
      </c>
      <c r="G221" s="229">
        <f t="shared" si="28"/>
        <v>480</v>
      </c>
      <c r="H221" s="175"/>
    </row>
    <row r="222" spans="1:8" ht="12" customHeight="1">
      <c r="A222" s="190"/>
      <c r="B222" s="292" t="s">
        <v>43</v>
      </c>
      <c r="C222" s="289" t="s">
        <v>37</v>
      </c>
      <c r="D222" s="228">
        <v>6</v>
      </c>
      <c r="E222" s="160">
        <v>24</v>
      </c>
      <c r="F222" s="228">
        <v>35</v>
      </c>
      <c r="G222" s="229">
        <f t="shared" si="28"/>
        <v>5040</v>
      </c>
      <c r="H222" s="175"/>
    </row>
    <row r="223" spans="1:8">
      <c r="A223" s="190"/>
      <c r="B223" s="292" t="s">
        <v>65</v>
      </c>
      <c r="C223" s="289" t="s">
        <v>2</v>
      </c>
      <c r="D223" s="228">
        <v>6</v>
      </c>
      <c r="E223" s="160">
        <v>24</v>
      </c>
      <c r="F223" s="228">
        <v>4.5</v>
      </c>
      <c r="G223" s="229">
        <f t="shared" si="28"/>
        <v>648</v>
      </c>
      <c r="H223" s="175"/>
    </row>
    <row r="224" spans="1:8">
      <c r="A224" s="190"/>
      <c r="B224" s="292" t="s">
        <v>61</v>
      </c>
      <c r="C224" s="289" t="s">
        <v>2</v>
      </c>
      <c r="D224" s="228">
        <v>9</v>
      </c>
      <c r="E224" s="160">
        <v>24</v>
      </c>
      <c r="F224" s="228">
        <v>5</v>
      </c>
      <c r="G224" s="229">
        <f t="shared" si="28"/>
        <v>1080</v>
      </c>
      <c r="H224" s="175"/>
    </row>
    <row r="225" spans="1:11">
      <c r="A225" s="190"/>
      <c r="B225" s="292" t="s">
        <v>62</v>
      </c>
      <c r="C225" s="289" t="s">
        <v>2</v>
      </c>
      <c r="D225" s="228">
        <v>4</v>
      </c>
      <c r="E225" s="160">
        <v>24</v>
      </c>
      <c r="F225" s="228">
        <v>15</v>
      </c>
      <c r="G225" s="229">
        <f t="shared" si="28"/>
        <v>1440</v>
      </c>
      <c r="H225" s="175"/>
    </row>
    <row r="226" spans="1:11">
      <c r="A226" s="190"/>
      <c r="B226" s="292" t="s">
        <v>73</v>
      </c>
      <c r="C226" s="289" t="s">
        <v>54</v>
      </c>
      <c r="D226" s="228">
        <v>4</v>
      </c>
      <c r="E226" s="160">
        <v>24</v>
      </c>
      <c r="F226" s="228">
        <v>8</v>
      </c>
      <c r="G226" s="229">
        <f t="shared" si="28"/>
        <v>768</v>
      </c>
      <c r="H226" s="175"/>
    </row>
    <row r="227" spans="1:11">
      <c r="A227" s="190"/>
      <c r="B227" s="292" t="s">
        <v>63</v>
      </c>
      <c r="C227" s="289" t="s">
        <v>2</v>
      </c>
      <c r="D227" s="228">
        <v>4</v>
      </c>
      <c r="E227" s="160">
        <v>24</v>
      </c>
      <c r="F227" s="228">
        <v>1.5</v>
      </c>
      <c r="G227" s="229">
        <f t="shared" si="28"/>
        <v>144</v>
      </c>
      <c r="H227" s="175"/>
    </row>
    <row r="228" spans="1:11">
      <c r="A228" s="190"/>
      <c r="B228" s="292" t="s">
        <v>66</v>
      </c>
      <c r="C228" s="289" t="s">
        <v>2</v>
      </c>
      <c r="D228" s="228">
        <v>4</v>
      </c>
      <c r="E228" s="160">
        <v>24</v>
      </c>
      <c r="F228" s="228">
        <v>2.5</v>
      </c>
      <c r="G228" s="229">
        <f t="shared" si="28"/>
        <v>240</v>
      </c>
      <c r="H228" s="175"/>
    </row>
    <row r="229" spans="1:11">
      <c r="A229" s="190"/>
      <c r="B229" s="293" t="s">
        <v>52</v>
      </c>
      <c r="C229" s="290" t="s">
        <v>2</v>
      </c>
      <c r="D229" s="236">
        <v>2</v>
      </c>
      <c r="E229" s="160">
        <v>24</v>
      </c>
      <c r="F229" s="236">
        <v>350</v>
      </c>
      <c r="G229" s="229">
        <f t="shared" si="28"/>
        <v>16800</v>
      </c>
      <c r="H229" s="175"/>
    </row>
    <row r="230" spans="1:11" ht="12.75" customHeight="1">
      <c r="A230" s="189"/>
      <c r="B230" s="1024" t="s">
        <v>3</v>
      </c>
      <c r="C230" s="1024"/>
      <c r="D230" s="1025"/>
      <c r="E230" s="1025"/>
      <c r="F230" s="1025"/>
      <c r="G230" s="234">
        <f>SUM(G211:G229)</f>
        <v>44745.599999999999</v>
      </c>
      <c r="H230" s="175"/>
    </row>
    <row r="231" spans="1:11" ht="12.75" customHeight="1">
      <c r="A231" s="189"/>
      <c r="B231" s="207"/>
      <c r="C231" s="207"/>
      <c r="D231" s="207"/>
      <c r="E231" s="207"/>
      <c r="F231" s="207"/>
      <c r="G231" s="185"/>
      <c r="H231" s="175"/>
    </row>
    <row r="232" spans="1:11" ht="15" hidden="1" customHeight="1">
      <c r="A232" s="230">
        <v>3</v>
      </c>
      <c r="B232" s="233" t="s">
        <v>93</v>
      </c>
      <c r="C232" s="253"/>
      <c r="D232" s="253"/>
      <c r="E232" s="254"/>
      <c r="F232" s="255"/>
      <c r="G232" s="231" t="s">
        <v>0</v>
      </c>
      <c r="H232" s="232">
        <f>+G236</f>
        <v>0</v>
      </c>
    </row>
    <row r="233" spans="1:11" ht="12.75" hidden="1" customHeight="1">
      <c r="A233" s="216"/>
      <c r="B233" s="217"/>
      <c r="C233" s="218"/>
      <c r="D233" s="218"/>
      <c r="E233" s="219"/>
      <c r="F233" s="218"/>
      <c r="G233" s="219"/>
    </row>
    <row r="234" spans="1:11" ht="18" hidden="1" customHeight="1">
      <c r="A234" s="216"/>
      <c r="B234" s="206" t="s">
        <v>17</v>
      </c>
      <c r="C234" s="206" t="s">
        <v>2</v>
      </c>
      <c r="D234" s="206"/>
      <c r="E234" s="206" t="s">
        <v>18</v>
      </c>
      <c r="F234" s="206" t="s">
        <v>5</v>
      </c>
      <c r="G234" s="206" t="s">
        <v>4</v>
      </c>
      <c r="H234" s="256"/>
    </row>
    <row r="235" spans="1:11" ht="13.5" hidden="1" customHeight="1">
      <c r="A235" s="187"/>
      <c r="B235" s="220" t="s">
        <v>108</v>
      </c>
      <c r="C235" s="195" t="s">
        <v>6</v>
      </c>
      <c r="D235" s="278"/>
      <c r="E235" s="221">
        <v>0</v>
      </c>
      <c r="F235" s="195">
        <v>14.5</v>
      </c>
      <c r="G235" s="222">
        <f>F235*E235</f>
        <v>0</v>
      </c>
      <c r="H235" s="185"/>
      <c r="K235" s="171"/>
    </row>
    <row r="236" spans="1:11" ht="12.75" hidden="1" customHeight="1">
      <c r="A236" s="223"/>
      <c r="B236" s="1025" t="s">
        <v>3</v>
      </c>
      <c r="C236" s="1025"/>
      <c r="D236" s="1025"/>
      <c r="E236" s="1025"/>
      <c r="F236" s="1025"/>
      <c r="G236" s="257">
        <f>SUM(G235:G235)</f>
        <v>0</v>
      </c>
    </row>
    <row r="237" spans="1:11" ht="12.75" hidden="1" customHeight="1">
      <c r="A237" s="223"/>
      <c r="B237" s="258"/>
      <c r="C237" s="176"/>
      <c r="D237" s="176"/>
      <c r="E237" s="259"/>
      <c r="F237" s="176"/>
      <c r="G237" s="259"/>
    </row>
    <row r="238" spans="1:11" ht="16.5" customHeight="1">
      <c r="A238" s="230"/>
      <c r="B238" s="207"/>
      <c r="C238" s="207"/>
      <c r="D238" s="207"/>
      <c r="E238" s="207"/>
      <c r="F238" s="207"/>
      <c r="G238" s="185"/>
      <c r="H238" s="232"/>
    </row>
    <row r="239" spans="1:11" s="168" customFormat="1" ht="15">
      <c r="A239" s="267" t="s">
        <v>267</v>
      </c>
      <c r="B239" s="268"/>
      <c r="C239" s="264"/>
      <c r="D239" s="264"/>
      <c r="E239" s="264"/>
      <c r="F239" s="265"/>
      <c r="G239" s="265" t="s">
        <v>0</v>
      </c>
      <c r="H239" s="266">
        <f>+H241</f>
        <v>155250</v>
      </c>
      <c r="I239" s="177"/>
    </row>
    <row r="240" spans="1:11" ht="12.75" customHeight="1">
      <c r="A240" s="189"/>
      <c r="B240" s="207"/>
      <c r="C240" s="207"/>
      <c r="D240" s="207"/>
      <c r="E240" s="207"/>
      <c r="F240" s="207"/>
      <c r="G240" s="185"/>
      <c r="H240" s="175"/>
    </row>
    <row r="241" spans="1:8" ht="16.5" customHeight="1">
      <c r="A241" s="269">
        <v>1</v>
      </c>
      <c r="B241" s="270" t="s">
        <v>20</v>
      </c>
      <c r="C241" s="271"/>
      <c r="D241" s="271"/>
      <c r="E241" s="276"/>
      <c r="F241" s="272"/>
      <c r="G241" s="273" t="s">
        <v>0</v>
      </c>
      <c r="H241" s="273">
        <f>G254</f>
        <v>155250</v>
      </c>
    </row>
    <row r="242" spans="1:8" ht="16.5" customHeight="1">
      <c r="A242" s="230"/>
      <c r="B242" s="188"/>
      <c r="C242" s="185"/>
      <c r="D242" s="185"/>
      <c r="E242" s="185"/>
      <c r="F242" s="186"/>
      <c r="G242" s="185"/>
      <c r="H242" s="232"/>
    </row>
    <row r="243" spans="1:8" ht="16.5" customHeight="1">
      <c r="A243" s="230"/>
      <c r="B243" s="291" t="s">
        <v>34</v>
      </c>
      <c r="C243" s="193" t="s">
        <v>44</v>
      </c>
      <c r="D243" s="193" t="s">
        <v>18</v>
      </c>
      <c r="E243" s="193" t="s">
        <v>32</v>
      </c>
      <c r="F243" s="193" t="s">
        <v>5</v>
      </c>
      <c r="G243" s="193" t="s">
        <v>4</v>
      </c>
      <c r="H243" s="232"/>
    </row>
    <row r="244" spans="1:8" ht="16.5" hidden="1" customHeight="1">
      <c r="A244" s="230"/>
      <c r="B244" s="235" t="s">
        <v>109</v>
      </c>
      <c r="C244" s="236" t="s">
        <v>122</v>
      </c>
      <c r="D244" s="236">
        <v>0</v>
      </c>
      <c r="E244" s="161"/>
      <c r="F244" s="236">
        <v>250</v>
      </c>
      <c r="G244" s="237">
        <f>+D244*F244</f>
        <v>0</v>
      </c>
      <c r="H244" s="232"/>
    </row>
    <row r="245" spans="1:8" ht="16.5" customHeight="1">
      <c r="A245" s="230"/>
      <c r="B245" s="292" t="s">
        <v>289</v>
      </c>
      <c r="C245" s="236" t="s">
        <v>241</v>
      </c>
      <c r="D245" s="236">
        <v>1</v>
      </c>
      <c r="E245" s="236">
        <v>24</v>
      </c>
      <c r="F245" s="236">
        <v>250</v>
      </c>
      <c r="G245" s="237">
        <f>+D245*E245*F245</f>
        <v>6000</v>
      </c>
      <c r="H245" s="232"/>
    </row>
    <row r="246" spans="1:8" ht="16.5" customHeight="1">
      <c r="A246" s="230"/>
      <c r="B246" s="292" t="s">
        <v>94</v>
      </c>
      <c r="C246" s="236" t="s">
        <v>241</v>
      </c>
      <c r="D246" s="236">
        <v>1</v>
      </c>
      <c r="E246" s="236">
        <v>9</v>
      </c>
      <c r="F246" s="236">
        <v>250</v>
      </c>
      <c r="G246" s="237">
        <f>+D246*E246*F246</f>
        <v>2250</v>
      </c>
      <c r="H246" s="232"/>
    </row>
    <row r="247" spans="1:8" ht="16.5" customHeight="1">
      <c r="A247" s="230"/>
      <c r="B247" s="292" t="s">
        <v>290</v>
      </c>
      <c r="C247" s="236" t="s">
        <v>44</v>
      </c>
      <c r="D247" s="236">
        <v>1</v>
      </c>
      <c r="E247" s="236">
        <v>24</v>
      </c>
      <c r="F247" s="236">
        <v>6000</v>
      </c>
      <c r="G247" s="237">
        <f>+D247*E247*F247</f>
        <v>144000</v>
      </c>
      <c r="H247" s="232"/>
    </row>
    <row r="248" spans="1:8" ht="16.5" customHeight="1">
      <c r="A248" s="230"/>
      <c r="B248" s="292" t="s">
        <v>294</v>
      </c>
      <c r="C248" s="236" t="s">
        <v>44</v>
      </c>
      <c r="D248" s="236">
        <v>2</v>
      </c>
      <c r="E248" s="236" t="s">
        <v>295</v>
      </c>
      <c r="F248" s="236">
        <v>1500</v>
      </c>
      <c r="G248" s="237">
        <f>D248*F248</f>
        <v>3000</v>
      </c>
      <c r="H248" s="232"/>
    </row>
    <row r="249" spans="1:8" ht="16.5" customHeight="1">
      <c r="A249" s="230"/>
      <c r="B249" s="292"/>
      <c r="C249" s="236"/>
      <c r="D249" s="236"/>
      <c r="E249" s="236"/>
      <c r="F249" s="236"/>
      <c r="G249" s="237"/>
      <c r="H249" s="232"/>
    </row>
    <row r="250" spans="1:8" ht="16.5" customHeight="1">
      <c r="A250" s="230"/>
      <c r="B250" s="292"/>
      <c r="C250" s="236"/>
      <c r="D250" s="236"/>
      <c r="E250" s="236"/>
      <c r="F250" s="236"/>
      <c r="G250" s="237"/>
      <c r="H250" s="232"/>
    </row>
    <row r="251" spans="1:8" ht="16.5" customHeight="1">
      <c r="A251" s="230"/>
      <c r="B251" s="292"/>
      <c r="C251" s="236"/>
      <c r="D251" s="236"/>
      <c r="E251" s="236"/>
      <c r="F251" s="236"/>
      <c r="G251" s="237"/>
      <c r="H251" s="232"/>
    </row>
    <row r="252" spans="1:8" ht="16.5" customHeight="1">
      <c r="A252" s="230"/>
      <c r="B252" s="292"/>
      <c r="C252" s="236"/>
      <c r="D252" s="236"/>
      <c r="E252" s="236"/>
      <c r="F252" s="236"/>
      <c r="G252" s="237"/>
      <c r="H252" s="232"/>
    </row>
    <row r="253" spans="1:8" ht="16.5" customHeight="1">
      <c r="A253" s="230"/>
      <c r="B253" s="292"/>
      <c r="C253" s="236"/>
      <c r="D253" s="236"/>
      <c r="E253" s="236"/>
      <c r="F253" s="236"/>
      <c r="G253" s="237"/>
      <c r="H253" s="232"/>
    </row>
    <row r="254" spans="1:8" ht="16.5" customHeight="1">
      <c r="A254" s="230"/>
      <c r="B254" s="1040">
        <v>9</v>
      </c>
      <c r="C254" s="1041"/>
      <c r="D254" s="1041"/>
      <c r="E254" s="1041"/>
      <c r="F254" s="1042"/>
      <c r="G254" s="234">
        <f>SUM(G244:G248)</f>
        <v>155250</v>
      </c>
      <c r="H254" s="232"/>
    </row>
    <row r="255" spans="1:8" ht="16.5" customHeight="1">
      <c r="A255" s="230"/>
      <c r="B255" s="207"/>
      <c r="C255" s="207"/>
      <c r="D255" s="207"/>
      <c r="E255" s="207"/>
      <c r="F255" s="207"/>
      <c r="G255" s="185"/>
      <c r="H255" s="232"/>
    </row>
    <row r="256" spans="1:8" ht="15">
      <c r="A256" s="1036" t="s">
        <v>51</v>
      </c>
      <c r="B256" s="1036"/>
      <c r="C256" s="1036"/>
      <c r="D256" s="1036"/>
      <c r="E256" s="1036"/>
      <c r="F256" s="1036"/>
      <c r="G256" s="201" t="s">
        <v>0</v>
      </c>
      <c r="H256" s="239">
        <f>+H18</f>
        <v>1366431.9020833336</v>
      </c>
    </row>
    <row r="259" spans="7:8" ht="15">
      <c r="H259" s="239"/>
    </row>
    <row r="260" spans="7:8" ht="15">
      <c r="H260" s="239"/>
    </row>
    <row r="261" spans="7:8" ht="15">
      <c r="H261" s="239"/>
    </row>
    <row r="262" spans="7:8" ht="15">
      <c r="H262" s="239"/>
    </row>
    <row r="263" spans="7:8" ht="15">
      <c r="H263" s="239"/>
    </row>
    <row r="264" spans="7:8" ht="15">
      <c r="G264" s="211"/>
      <c r="H264" s="239"/>
    </row>
    <row r="265" spans="7:8" ht="15">
      <c r="H265" s="239"/>
    </row>
    <row r="266" spans="7:8" ht="15">
      <c r="H266" s="239"/>
    </row>
  </sheetData>
  <mergeCells count="50">
    <mergeCell ref="B183:C183"/>
    <mergeCell ref="B184:C184"/>
    <mergeCell ref="B185:C185"/>
    <mergeCell ref="B186:C186"/>
    <mergeCell ref="B187:C187"/>
    <mergeCell ref="B191:C191"/>
    <mergeCell ref="B192:C192"/>
    <mergeCell ref="A256:F256"/>
    <mergeCell ref="B90:F90"/>
    <mergeCell ref="B71:F71"/>
    <mergeCell ref="B164:F164"/>
    <mergeCell ref="B172:F172"/>
    <mergeCell ref="B161:C161"/>
    <mergeCell ref="B162:C162"/>
    <mergeCell ref="B163:C163"/>
    <mergeCell ref="B190:C190"/>
    <mergeCell ref="B193:C193"/>
    <mergeCell ref="B194:C194"/>
    <mergeCell ref="B254:F254"/>
    <mergeCell ref="B207:F207"/>
    <mergeCell ref="B188:C188"/>
    <mergeCell ref="B230:F230"/>
    <mergeCell ref="A3:H3"/>
    <mergeCell ref="B236:F236"/>
    <mergeCell ref="B111:F111"/>
    <mergeCell ref="B151:F151"/>
    <mergeCell ref="C10:H11"/>
    <mergeCell ref="B49:F49"/>
    <mergeCell ref="B130:F130"/>
    <mergeCell ref="C13:G13"/>
    <mergeCell ref="B18:G18"/>
    <mergeCell ref="H37:H48"/>
    <mergeCell ref="B198:F198"/>
    <mergeCell ref="B160:C160"/>
    <mergeCell ref="B189:C189"/>
    <mergeCell ref="B195:C195"/>
    <mergeCell ref="B196:C196"/>
    <mergeCell ref="C14:G14"/>
    <mergeCell ref="C15:G15"/>
    <mergeCell ref="C16:G16"/>
    <mergeCell ref="C17:G17"/>
    <mergeCell ref="B182:C182"/>
    <mergeCell ref="B180:C180"/>
    <mergeCell ref="B171:C171"/>
    <mergeCell ref="B179:C179"/>
    <mergeCell ref="B178:C178"/>
    <mergeCell ref="B170:C170"/>
    <mergeCell ref="B181:C181"/>
    <mergeCell ref="A23:H23"/>
    <mergeCell ref="A25:H25"/>
  </mergeCells>
  <phoneticPr fontId="0" type="noConversion"/>
  <printOptions horizontalCentered="1"/>
  <pageMargins left="0.98425196850393704" right="0.98425196850393704" top="1.46" bottom="0.98425196850393704" header="0.35433070866141736" footer="0.51181102362204722"/>
  <pageSetup paperSize="9" scale="53" orientation="portrait" horizontalDpi="4294967293" verticalDpi="180" r:id="rId1"/>
  <headerFooter alignWithMargins="0">
    <oddHeader>&amp;C&amp;G</oddHeader>
  </headerFooter>
  <rowBreaks count="2" manualBreakCount="2">
    <brk id="21" max="6" man="1"/>
    <brk id="152" max="6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indexed="43"/>
  </sheetPr>
  <dimension ref="A1:I208"/>
  <sheetViews>
    <sheetView view="pageBreakPreview" topLeftCell="A4" zoomScale="82" zoomScaleSheetLayoutView="82" workbookViewId="0">
      <selection activeCell="B16" sqref="B16"/>
    </sheetView>
  </sheetViews>
  <sheetFormatPr baseColWidth="10" defaultColWidth="11.44140625" defaultRowHeight="13.2"/>
  <cols>
    <col min="1" max="1" width="7.5546875" style="22" customWidth="1"/>
    <col min="2" max="2" width="57" style="22" customWidth="1"/>
    <col min="3" max="3" width="18" style="22" customWidth="1"/>
    <col min="4" max="4" width="15.6640625" style="22" customWidth="1"/>
    <col min="5" max="5" width="11.109375" style="23" customWidth="1"/>
    <col min="6" max="6" width="14.6640625" style="22" customWidth="1"/>
    <col min="7" max="7" width="16.88671875" style="22" customWidth="1"/>
    <col min="8" max="16384" width="11.44140625" style="15"/>
  </cols>
  <sheetData>
    <row r="1" spans="1:7" ht="27" customHeight="1">
      <c r="A1" s="946" t="s">
        <v>118</v>
      </c>
      <c r="B1" s="946"/>
      <c r="C1" s="946"/>
      <c r="D1" s="946"/>
      <c r="E1" s="946"/>
      <c r="F1" s="946"/>
      <c r="G1" s="946"/>
    </row>
    <row r="2" spans="1:7" ht="18" customHeight="1">
      <c r="A2" s="17"/>
      <c r="B2" s="17"/>
      <c r="C2" s="17"/>
      <c r="D2" s="17"/>
      <c r="E2" s="18"/>
      <c r="F2" s="17"/>
      <c r="G2" s="17"/>
    </row>
    <row r="3" spans="1:7" ht="18" customHeight="1">
      <c r="B3" s="20"/>
      <c r="C3" s="21"/>
      <c r="D3" s="17"/>
      <c r="E3" s="18"/>
      <c r="F3" s="17"/>
    </row>
    <row r="4" spans="1:7" ht="18" customHeight="1">
      <c r="B4" s="20" t="s">
        <v>22</v>
      </c>
      <c r="C4" s="7" t="e">
        <f>#REF!</f>
        <v>#REF!</v>
      </c>
      <c r="D4" s="17"/>
      <c r="E4" s="18"/>
      <c r="F4" s="17"/>
      <c r="G4" s="17"/>
    </row>
    <row r="5" spans="1:7" ht="18" customHeight="1">
      <c r="B5" s="20" t="s">
        <v>45</v>
      </c>
      <c r="C5" s="8" t="e">
        <f>#REF!</f>
        <v>#REF!</v>
      </c>
      <c r="G5" s="10" t="s">
        <v>1</v>
      </c>
    </row>
    <row r="6" spans="1:7" ht="18" customHeight="1">
      <c r="B6" s="20" t="s">
        <v>46</v>
      </c>
      <c r="C6" s="7" t="e">
        <f>#REF!</f>
        <v>#REF!</v>
      </c>
      <c r="G6" s="10" t="s">
        <v>1</v>
      </c>
    </row>
    <row r="7" spans="1:7" ht="18" customHeight="1">
      <c r="B7" s="6" t="s">
        <v>47</v>
      </c>
      <c r="C7" s="7" t="e">
        <f>#REF!</f>
        <v>#REF!</v>
      </c>
      <c r="G7" s="10"/>
    </row>
    <row r="8" spans="1:7" ht="18" customHeight="1">
      <c r="B8" s="6" t="s">
        <v>48</v>
      </c>
      <c r="C8" s="7" t="e">
        <f>#REF!</f>
        <v>#REF!</v>
      </c>
    </row>
    <row r="9" spans="1:7" ht="18" customHeight="1">
      <c r="B9" s="6" t="s">
        <v>76</v>
      </c>
      <c r="C9" s="947" t="e">
        <f>#REF!</f>
        <v>#REF!</v>
      </c>
      <c r="D9" s="947"/>
      <c r="E9" s="947"/>
      <c r="F9" s="947"/>
      <c r="G9" s="947"/>
    </row>
    <row r="10" spans="1:7" ht="18" customHeight="1">
      <c r="B10" s="6"/>
      <c r="C10" s="947"/>
      <c r="D10" s="947"/>
      <c r="E10" s="947"/>
      <c r="F10" s="947"/>
      <c r="G10" s="947"/>
    </row>
    <row r="11" spans="1:7" ht="18" customHeight="1">
      <c r="B11" s="6"/>
      <c r="C11" s="7"/>
      <c r="D11" s="17"/>
    </row>
    <row r="12" spans="1:7" ht="18" customHeight="1" thickBot="1">
      <c r="B12" s="6"/>
      <c r="C12" s="7"/>
      <c r="D12" s="17"/>
    </row>
    <row r="13" spans="1:7" s="101" customFormat="1" ht="20.25" customHeight="1" thickBot="1">
      <c r="A13" s="102"/>
      <c r="B13" s="128" t="s">
        <v>23</v>
      </c>
      <c r="C13" s="948" t="s">
        <v>24</v>
      </c>
      <c r="D13" s="948"/>
      <c r="E13" s="948"/>
      <c r="F13" s="948"/>
      <c r="G13" s="129" t="s">
        <v>161</v>
      </c>
    </row>
    <row r="14" spans="1:7" s="101" customFormat="1" ht="20.25" customHeight="1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+G26</f>
        <v>10359.6</v>
      </c>
    </row>
    <row r="15" spans="1:7" s="101" customFormat="1" ht="20.25" customHeight="1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+G93</f>
        <v>6693.49</v>
      </c>
    </row>
    <row r="16" spans="1:7" s="101" customFormat="1" ht="20.25" customHeight="1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+G178</f>
        <v>1350</v>
      </c>
    </row>
    <row r="17" spans="1:9" s="101" customFormat="1" ht="20.25" customHeight="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/>
    </row>
    <row r="18" spans="1:9" s="101" customFormat="1" ht="20.25" customHeight="1" thickBot="1">
      <c r="A18" s="102"/>
      <c r="B18" s="949" t="s">
        <v>211</v>
      </c>
      <c r="C18" s="950"/>
      <c r="D18" s="950"/>
      <c r="E18" s="950"/>
      <c r="F18" s="950"/>
      <c r="G18" s="110">
        <f>SUM(G14:G17)</f>
        <v>18403.09</v>
      </c>
      <c r="H18" s="103"/>
      <c r="I18" s="103"/>
    </row>
    <row r="19" spans="1:9" ht="18" customHeight="1">
      <c r="B19" s="24"/>
      <c r="C19" s="24"/>
      <c r="D19" s="24"/>
      <c r="E19" s="24"/>
      <c r="F19" s="35"/>
      <c r="G19" s="17"/>
    </row>
    <row r="20" spans="1:9" ht="18" customHeight="1">
      <c r="B20" s="24"/>
      <c r="C20" s="24"/>
      <c r="D20" s="24"/>
      <c r="E20" s="24"/>
      <c r="F20" s="35"/>
      <c r="G20" s="17"/>
    </row>
    <row r="21" spans="1:9" ht="18" customHeight="1">
      <c r="A21" s="25"/>
      <c r="B21" s="25"/>
      <c r="C21" s="19"/>
      <c r="D21" s="26"/>
      <c r="E21" s="27"/>
      <c r="F21" s="19"/>
    </row>
    <row r="22" spans="1:9" ht="27" customHeight="1">
      <c r="A22" s="951" t="s">
        <v>27</v>
      </c>
      <c r="B22" s="952"/>
      <c r="C22" s="952"/>
      <c r="D22" s="952"/>
      <c r="E22" s="952"/>
      <c r="F22" s="952"/>
      <c r="G22" s="952"/>
    </row>
    <row r="23" spans="1:9" ht="12" customHeight="1">
      <c r="A23" s="131"/>
      <c r="B23" s="132"/>
      <c r="C23" s="133"/>
      <c r="D23" s="132"/>
      <c r="E23" s="134"/>
      <c r="F23" s="132"/>
      <c r="G23" s="132"/>
    </row>
    <row r="24" spans="1:9" ht="27" customHeight="1">
      <c r="A24" s="951" t="s">
        <v>209</v>
      </c>
      <c r="B24" s="951"/>
      <c r="C24" s="951"/>
      <c r="D24" s="951"/>
      <c r="E24" s="951"/>
      <c r="F24" s="951"/>
      <c r="G24" s="951"/>
    </row>
    <row r="25" spans="1:9" ht="12.75" customHeight="1">
      <c r="A25" s="65"/>
      <c r="B25" s="65"/>
      <c r="C25" s="66"/>
      <c r="D25" s="67"/>
      <c r="E25" s="68"/>
      <c r="F25" s="65"/>
      <c r="G25" s="65"/>
    </row>
    <row r="26" spans="1:9" s="101" customFormat="1" ht="15.6">
      <c r="A26" s="138" t="s">
        <v>154</v>
      </c>
      <c r="B26" s="139"/>
      <c r="C26" s="140"/>
      <c r="D26" s="140"/>
      <c r="E26" s="141"/>
      <c r="F26" s="141" t="s">
        <v>0</v>
      </c>
      <c r="G26" s="142">
        <f>+G28+G40+G61+G81</f>
        <v>10359.6</v>
      </c>
      <c r="H26" s="115"/>
    </row>
    <row r="27" spans="1:9" ht="18" customHeight="1">
      <c r="A27" s="25"/>
      <c r="B27" s="25"/>
      <c r="C27" s="19"/>
      <c r="D27" s="26"/>
      <c r="E27" s="27"/>
      <c r="F27" s="19"/>
    </row>
    <row r="28" spans="1:9" ht="18" customHeight="1">
      <c r="A28" s="121"/>
      <c r="B28" s="122" t="s">
        <v>10</v>
      </c>
      <c r="C28" s="123"/>
      <c r="D28" s="123"/>
      <c r="E28" s="124"/>
      <c r="F28" s="125" t="s">
        <v>0</v>
      </c>
      <c r="G28" s="126">
        <f>+F37</f>
        <v>7200</v>
      </c>
    </row>
    <row r="29" spans="1:9" ht="12.75" customHeight="1">
      <c r="A29" s="36"/>
      <c r="B29" s="37"/>
      <c r="C29" s="32"/>
      <c r="D29" s="32"/>
      <c r="E29" s="33"/>
      <c r="F29" s="32"/>
      <c r="G29" s="32"/>
    </row>
    <row r="30" spans="1:9" ht="12.75" customHeight="1">
      <c r="A30" s="38" t="s">
        <v>11</v>
      </c>
      <c r="B30" s="39" t="s">
        <v>12</v>
      </c>
      <c r="C30" s="32"/>
      <c r="D30" s="32"/>
      <c r="E30" s="33"/>
      <c r="F30" s="32"/>
      <c r="G30" s="32"/>
    </row>
    <row r="31" spans="1:9" ht="12.75" customHeight="1">
      <c r="A31" s="40"/>
      <c r="B31" s="26"/>
      <c r="C31" s="32"/>
      <c r="D31" s="32"/>
      <c r="E31" s="33"/>
      <c r="F31" s="32"/>
      <c r="G31" s="32"/>
    </row>
    <row r="32" spans="1:9" ht="12.75" customHeight="1">
      <c r="A32" s="16"/>
      <c r="B32" s="39" t="s">
        <v>29</v>
      </c>
      <c r="C32" s="26"/>
      <c r="D32" s="26"/>
      <c r="E32" s="41"/>
      <c r="F32" s="26"/>
      <c r="G32" s="32"/>
    </row>
    <row r="33" spans="1:9" ht="12.75" customHeight="1">
      <c r="A33" s="16"/>
      <c r="B33" s="39"/>
      <c r="C33" s="26"/>
      <c r="D33" s="26"/>
      <c r="E33" s="41"/>
      <c r="F33" s="26"/>
      <c r="G33" s="32"/>
    </row>
    <row r="34" spans="1:9" ht="12.75" customHeight="1">
      <c r="A34" s="40"/>
      <c r="B34" s="42" t="s">
        <v>30</v>
      </c>
      <c r="C34" s="43" t="s">
        <v>31</v>
      </c>
      <c r="D34" s="43" t="s">
        <v>32</v>
      </c>
      <c r="E34" s="43" t="s">
        <v>13</v>
      </c>
      <c r="F34" s="43" t="s">
        <v>4</v>
      </c>
      <c r="G34" s="32"/>
    </row>
    <row r="35" spans="1:9" ht="12.75" customHeight="1">
      <c r="A35" s="40"/>
      <c r="B35" s="62" t="s">
        <v>119</v>
      </c>
      <c r="C35" s="46">
        <v>1</v>
      </c>
      <c r="D35" s="46">
        <v>6</v>
      </c>
      <c r="E35" s="46">
        <f>40*30</f>
        <v>1200</v>
      </c>
      <c r="F35" s="45">
        <f>+C35*D35*E35</f>
        <v>7200</v>
      </c>
      <c r="G35" s="32"/>
    </row>
    <row r="36" spans="1:9" ht="12.75" customHeight="1">
      <c r="A36" s="16"/>
      <c r="B36" s="62"/>
      <c r="C36" s="46"/>
      <c r="D36" s="46"/>
      <c r="E36" s="46"/>
      <c r="F36" s="44"/>
      <c r="G36" s="32"/>
    </row>
    <row r="37" spans="1:9" ht="12.75" customHeight="1">
      <c r="A37" s="19"/>
      <c r="B37" s="943" t="s">
        <v>3</v>
      </c>
      <c r="C37" s="943"/>
      <c r="D37" s="943"/>
      <c r="E37" s="943"/>
      <c r="F37" s="45">
        <f>SUM(F35:F36)</f>
        <v>7200</v>
      </c>
      <c r="G37" s="26"/>
    </row>
    <row r="38" spans="1:9" ht="12.75" customHeight="1">
      <c r="A38" s="16"/>
      <c r="B38" s="32"/>
      <c r="C38" s="32"/>
      <c r="D38" s="32"/>
      <c r="E38" s="33"/>
      <c r="F38" s="32"/>
      <c r="G38" s="32"/>
      <c r="I38" s="105"/>
    </row>
    <row r="39" spans="1:9" ht="15.75" customHeight="1">
      <c r="A39" s="16"/>
      <c r="B39" s="32"/>
      <c r="C39" s="32"/>
      <c r="D39" s="32"/>
      <c r="E39" s="33"/>
      <c r="F39" s="32"/>
      <c r="G39" s="32"/>
    </row>
    <row r="40" spans="1:9" ht="18" customHeight="1">
      <c r="A40" s="121"/>
      <c r="B40" s="122" t="s">
        <v>15</v>
      </c>
      <c r="C40" s="123"/>
      <c r="D40" s="123"/>
      <c r="E40" s="124"/>
      <c r="F40" s="125" t="s">
        <v>0</v>
      </c>
      <c r="G40" s="126">
        <f>+F49+F59</f>
        <v>759.6</v>
      </c>
    </row>
    <row r="41" spans="1:9" ht="12.75" customHeight="1">
      <c r="A41" s="36"/>
      <c r="B41" s="37"/>
      <c r="C41" s="32"/>
      <c r="D41" s="32"/>
      <c r="E41" s="33"/>
      <c r="F41" s="32"/>
      <c r="G41" s="32"/>
    </row>
    <row r="42" spans="1:9" ht="12.75" customHeight="1">
      <c r="A42" s="38" t="s">
        <v>11</v>
      </c>
      <c r="B42" s="39" t="s">
        <v>95</v>
      </c>
      <c r="C42" s="32"/>
      <c r="D42" s="32"/>
      <c r="E42" s="33"/>
      <c r="F42" s="32"/>
      <c r="G42" s="32"/>
    </row>
    <row r="43" spans="1:9" ht="12.75" customHeight="1">
      <c r="A43" s="38"/>
      <c r="B43" s="39"/>
      <c r="C43" s="32"/>
      <c r="D43" s="32"/>
      <c r="E43" s="33"/>
      <c r="F43" s="32"/>
      <c r="G43" s="32"/>
    </row>
    <row r="44" spans="1:9" ht="12.75" customHeight="1">
      <c r="A44" s="40"/>
      <c r="B44" s="39" t="s">
        <v>29</v>
      </c>
      <c r="C44" s="26"/>
      <c r="D44" s="26"/>
      <c r="E44" s="41"/>
      <c r="F44" s="32"/>
      <c r="G44" s="32"/>
    </row>
    <row r="45" spans="1:9" ht="12.75" customHeight="1">
      <c r="A45" s="40"/>
      <c r="B45" s="39"/>
      <c r="C45" s="26"/>
      <c r="D45" s="26"/>
      <c r="E45" s="41"/>
      <c r="F45" s="32"/>
      <c r="G45" s="32"/>
    </row>
    <row r="46" spans="1:9" ht="12.75" customHeight="1">
      <c r="A46" s="16"/>
      <c r="B46" s="42" t="s">
        <v>30</v>
      </c>
      <c r="C46" s="43" t="s">
        <v>31</v>
      </c>
      <c r="D46" s="43" t="s">
        <v>32</v>
      </c>
      <c r="E46" s="43" t="s">
        <v>13</v>
      </c>
      <c r="F46" s="43" t="s">
        <v>4</v>
      </c>
      <c r="G46" s="32"/>
      <c r="I46" s="105"/>
    </row>
    <row r="47" spans="1:9" ht="12.75" customHeight="1">
      <c r="A47" s="16"/>
      <c r="B47" s="45" t="str">
        <f>+B35</f>
        <v>PROMOTOR</v>
      </c>
      <c r="C47" s="46">
        <v>1</v>
      </c>
      <c r="D47" s="46">
        <f>+D35</f>
        <v>6</v>
      </c>
      <c r="E47" s="46">
        <f>+E35*0.09</f>
        <v>108</v>
      </c>
      <c r="F47" s="45">
        <f>+C47*D47*E47</f>
        <v>648</v>
      </c>
      <c r="G47" s="32"/>
      <c r="I47" s="105"/>
    </row>
    <row r="48" spans="1:9" ht="12.75" customHeight="1">
      <c r="A48" s="16"/>
      <c r="B48" s="62"/>
      <c r="C48" s="46"/>
      <c r="D48" s="46"/>
      <c r="E48" s="46"/>
      <c r="F48" s="44"/>
      <c r="G48" s="32"/>
      <c r="I48" s="105"/>
    </row>
    <row r="49" spans="1:9" ht="12.75" customHeight="1">
      <c r="A49" s="16"/>
      <c r="B49" s="945" t="s">
        <v>3</v>
      </c>
      <c r="C49" s="945"/>
      <c r="D49" s="945"/>
      <c r="E49" s="945"/>
      <c r="F49" s="45">
        <f>SUM(F47:F48)</f>
        <v>648</v>
      </c>
      <c r="G49" s="32"/>
      <c r="I49" s="105"/>
    </row>
    <row r="50" spans="1:9" ht="13.5" customHeight="1">
      <c r="A50" s="16"/>
      <c r="B50" s="48"/>
      <c r="C50" s="48"/>
      <c r="D50" s="48"/>
      <c r="E50" s="33"/>
      <c r="F50" s="32"/>
      <c r="G50" s="32"/>
      <c r="I50" s="105"/>
    </row>
    <row r="51" spans="1:9" ht="13.5" customHeight="1">
      <c r="A51" s="16"/>
      <c r="B51" s="48"/>
      <c r="C51" s="32"/>
      <c r="D51" s="48"/>
      <c r="E51" s="33"/>
      <c r="F51" s="32"/>
      <c r="G51" s="32"/>
      <c r="I51" s="105"/>
    </row>
    <row r="52" spans="1:9" ht="12.75" customHeight="1">
      <c r="A52" s="49" t="s">
        <v>14</v>
      </c>
      <c r="B52" s="39" t="s">
        <v>55</v>
      </c>
      <c r="C52" s="32"/>
      <c r="D52" s="32"/>
      <c r="E52" s="33"/>
      <c r="F52" s="32"/>
      <c r="G52" s="32"/>
      <c r="I52" s="105"/>
    </row>
    <row r="53" spans="1:9" ht="12.75" customHeight="1">
      <c r="A53" s="38"/>
      <c r="B53" s="39"/>
      <c r="C53" s="32"/>
      <c r="D53" s="32"/>
      <c r="E53" s="33"/>
      <c r="F53" s="32"/>
      <c r="G53" s="32"/>
      <c r="I53" s="105"/>
    </row>
    <row r="54" spans="1:9" ht="12.75" customHeight="1">
      <c r="A54" s="16"/>
      <c r="B54" s="39" t="s">
        <v>29</v>
      </c>
      <c r="C54" s="26"/>
      <c r="D54" s="26"/>
      <c r="E54" s="41"/>
      <c r="F54" s="32"/>
      <c r="G54" s="32"/>
    </row>
    <row r="55" spans="1:9" ht="12.75" customHeight="1">
      <c r="A55" s="16"/>
      <c r="B55" s="39"/>
      <c r="C55" s="26"/>
      <c r="D55" s="26"/>
      <c r="E55" s="41"/>
      <c r="F55" s="32"/>
      <c r="G55" s="32"/>
    </row>
    <row r="56" spans="1:9" ht="12.75" customHeight="1">
      <c r="A56" s="16"/>
      <c r="B56" s="42" t="s">
        <v>30</v>
      </c>
      <c r="C56" s="43" t="s">
        <v>31</v>
      </c>
      <c r="D56" s="43" t="s">
        <v>32</v>
      </c>
      <c r="E56" s="43" t="s">
        <v>13</v>
      </c>
      <c r="F56" s="43" t="s">
        <v>4</v>
      </c>
      <c r="G56" s="32"/>
    </row>
    <row r="57" spans="1:9" ht="12.75" customHeight="1">
      <c r="A57" s="16"/>
      <c r="B57" s="45" t="str">
        <f>+B35</f>
        <v>PROMOTOR</v>
      </c>
      <c r="C57" s="46">
        <f>+$C$35</f>
        <v>1</v>
      </c>
      <c r="D57" s="46">
        <f>+D47</f>
        <v>6</v>
      </c>
      <c r="E57" s="46">
        <f>+E35*0.0155</f>
        <v>18.600000000000001</v>
      </c>
      <c r="F57" s="45">
        <f>+C57*D57*E57</f>
        <v>111.60000000000001</v>
      </c>
      <c r="G57" s="32"/>
    </row>
    <row r="58" spans="1:9" ht="12.75" customHeight="1">
      <c r="A58" s="16"/>
      <c r="B58" s="62"/>
      <c r="C58" s="46"/>
      <c r="D58" s="46"/>
      <c r="E58" s="46"/>
      <c r="F58" s="44"/>
      <c r="G58" s="32"/>
    </row>
    <row r="59" spans="1:9" ht="12.75" customHeight="1">
      <c r="A59" s="16"/>
      <c r="B59" s="944" t="s">
        <v>3</v>
      </c>
      <c r="C59" s="944"/>
      <c r="D59" s="944"/>
      <c r="E59" s="944"/>
      <c r="F59" s="45">
        <f>SUM(F57:F58)</f>
        <v>111.60000000000001</v>
      </c>
      <c r="G59" s="32"/>
    </row>
    <row r="60" spans="1:9" ht="12.75" customHeight="1">
      <c r="A60" s="16"/>
      <c r="B60" s="48"/>
      <c r="C60" s="32"/>
      <c r="D60" s="48"/>
      <c r="E60" s="33"/>
      <c r="F60" s="32"/>
      <c r="G60" s="32"/>
    </row>
    <row r="61" spans="1:9" ht="18" customHeight="1">
      <c r="A61" s="121"/>
      <c r="B61" s="122" t="s">
        <v>16</v>
      </c>
      <c r="C61" s="123"/>
      <c r="D61" s="123"/>
      <c r="E61" s="124"/>
      <c r="F61" s="125" t="s">
        <v>0</v>
      </c>
      <c r="G61" s="126">
        <f>+F70+F79</f>
        <v>1200</v>
      </c>
    </row>
    <row r="62" spans="1:9" ht="12.75" customHeight="1">
      <c r="A62" s="38"/>
      <c r="B62" s="39"/>
      <c r="C62" s="32"/>
      <c r="D62" s="32"/>
      <c r="E62" s="33"/>
      <c r="F62" s="32"/>
      <c r="G62" s="32"/>
    </row>
    <row r="63" spans="1:9" ht="12.75" customHeight="1">
      <c r="A63" s="49" t="s">
        <v>11</v>
      </c>
      <c r="B63" s="39" t="s">
        <v>98</v>
      </c>
      <c r="C63" s="32"/>
      <c r="D63" s="32"/>
      <c r="E63" s="33"/>
      <c r="F63" s="32"/>
      <c r="G63" s="32"/>
    </row>
    <row r="64" spans="1:9" ht="12.75" customHeight="1">
      <c r="A64" s="40"/>
      <c r="B64" s="50"/>
      <c r="C64" s="32"/>
      <c r="D64" s="32"/>
      <c r="E64" s="33"/>
      <c r="F64" s="32"/>
      <c r="G64" s="32"/>
    </row>
    <row r="65" spans="1:7" ht="12.75" customHeight="1">
      <c r="A65" s="16"/>
      <c r="B65" s="39" t="s">
        <v>29</v>
      </c>
      <c r="C65" s="26"/>
      <c r="D65" s="26"/>
      <c r="E65" s="41"/>
      <c r="F65" s="26"/>
      <c r="G65" s="32"/>
    </row>
    <row r="66" spans="1:7" ht="12.75" customHeight="1">
      <c r="A66" s="16"/>
      <c r="B66" s="39"/>
      <c r="C66" s="26"/>
      <c r="D66" s="26"/>
      <c r="E66" s="41"/>
      <c r="F66" s="26"/>
      <c r="G66" s="32"/>
    </row>
    <row r="67" spans="1:7" ht="12.75" customHeight="1">
      <c r="A67" s="16"/>
      <c r="B67" s="42" t="s">
        <v>30</v>
      </c>
      <c r="C67" s="43" t="s">
        <v>31</v>
      </c>
      <c r="D67" s="43" t="s">
        <v>32</v>
      </c>
      <c r="E67" s="43" t="s">
        <v>13</v>
      </c>
      <c r="F67" s="43" t="s">
        <v>4</v>
      </c>
      <c r="G67" s="32"/>
    </row>
    <row r="68" spans="1:7" ht="12.75" customHeight="1">
      <c r="A68" s="16"/>
      <c r="B68" s="45" t="str">
        <f>+B35</f>
        <v>PROMOTOR</v>
      </c>
      <c r="C68" s="46">
        <v>1</v>
      </c>
      <c r="D68" s="46">
        <f>+D57</f>
        <v>6</v>
      </c>
      <c r="E68" s="46">
        <f>+E35/12</f>
        <v>100</v>
      </c>
      <c r="F68" s="45">
        <f>+C68*D68*E68</f>
        <v>600</v>
      </c>
      <c r="G68" s="32"/>
    </row>
    <row r="69" spans="1:7" ht="12.75" customHeight="1">
      <c r="A69" s="19"/>
      <c r="B69" s="62"/>
      <c r="C69" s="46"/>
      <c r="D69" s="46"/>
      <c r="E69" s="46"/>
      <c r="F69" s="44"/>
      <c r="G69" s="32"/>
    </row>
    <row r="70" spans="1:7" ht="12.75" customHeight="1">
      <c r="A70" s="16"/>
      <c r="B70" s="1045" t="s">
        <v>3</v>
      </c>
      <c r="C70" s="1045"/>
      <c r="D70" s="1045"/>
      <c r="E70" s="1045"/>
      <c r="F70" s="45">
        <f>SUM(F68:F69)</f>
        <v>600</v>
      </c>
      <c r="G70" s="32"/>
    </row>
    <row r="71" spans="1:7" ht="12.75" customHeight="1">
      <c r="A71" s="38"/>
      <c r="B71" s="39"/>
      <c r="C71" s="32"/>
      <c r="D71" s="32"/>
      <c r="E71" s="33"/>
      <c r="F71" s="32"/>
      <c r="G71" s="32"/>
    </row>
    <row r="72" spans="1:7" ht="12.75" customHeight="1">
      <c r="A72" s="49" t="s">
        <v>14</v>
      </c>
      <c r="B72" s="39" t="s">
        <v>97</v>
      </c>
      <c r="C72" s="32"/>
      <c r="D72" s="32"/>
      <c r="E72" s="33"/>
      <c r="F72" s="32"/>
      <c r="G72" s="32"/>
    </row>
    <row r="73" spans="1:7" ht="12.75" customHeight="1">
      <c r="A73" s="40"/>
      <c r="B73" s="50"/>
      <c r="C73" s="32"/>
      <c r="D73" s="32"/>
      <c r="E73" s="33"/>
      <c r="F73" s="32"/>
      <c r="G73" s="32"/>
    </row>
    <row r="74" spans="1:7" ht="12.75" customHeight="1">
      <c r="A74" s="16"/>
      <c r="B74" s="39" t="s">
        <v>29</v>
      </c>
      <c r="C74" s="26"/>
      <c r="D74" s="26"/>
      <c r="E74" s="41"/>
      <c r="F74" s="26"/>
      <c r="G74" s="32"/>
    </row>
    <row r="75" spans="1:7" ht="12.75" customHeight="1">
      <c r="A75" s="16"/>
      <c r="B75" s="39"/>
      <c r="C75" s="26"/>
      <c r="D75" s="26"/>
      <c r="E75" s="41"/>
      <c r="F75" s="26"/>
      <c r="G75" s="32"/>
    </row>
    <row r="76" spans="1:7" ht="12.75" customHeight="1">
      <c r="A76" s="16"/>
      <c r="B76" s="42" t="s">
        <v>30</v>
      </c>
      <c r="C76" s="43" t="s">
        <v>31</v>
      </c>
      <c r="D76" s="43" t="s">
        <v>32</v>
      </c>
      <c r="E76" s="43" t="s">
        <v>13</v>
      </c>
      <c r="F76" s="43" t="s">
        <v>4</v>
      </c>
      <c r="G76" s="32"/>
    </row>
    <row r="77" spans="1:7" ht="12.75" customHeight="1">
      <c r="A77" s="16"/>
      <c r="B77" s="45" t="str">
        <f>+B35</f>
        <v>PROMOTOR</v>
      </c>
      <c r="C77" s="46">
        <f>+C68</f>
        <v>1</v>
      </c>
      <c r="D77" s="46">
        <f>+D68</f>
        <v>6</v>
      </c>
      <c r="E77" s="46">
        <f>+E35/12</f>
        <v>100</v>
      </c>
      <c r="F77" s="45">
        <f>+C77*D77*E77</f>
        <v>600</v>
      </c>
      <c r="G77" s="32"/>
    </row>
    <row r="78" spans="1:7" ht="12.75" customHeight="1">
      <c r="A78" s="19"/>
      <c r="B78" s="62"/>
      <c r="C78" s="46">
        <f>+$C$36</f>
        <v>0</v>
      </c>
      <c r="D78" s="46">
        <f>+D69</f>
        <v>0</v>
      </c>
      <c r="E78" s="46">
        <f>+E36/12</f>
        <v>0</v>
      </c>
      <c r="F78" s="44">
        <f>+C78*D78*E78</f>
        <v>0</v>
      </c>
      <c r="G78" s="32"/>
    </row>
    <row r="79" spans="1:7" ht="12.75" customHeight="1">
      <c r="A79" s="16"/>
      <c r="B79" s="1045" t="s">
        <v>3</v>
      </c>
      <c r="C79" s="1045"/>
      <c r="D79" s="1045"/>
      <c r="E79" s="1045"/>
      <c r="F79" s="45">
        <f>SUM(F77:F78)</f>
        <v>600</v>
      </c>
      <c r="G79" s="32"/>
    </row>
    <row r="80" spans="1:7" ht="12.75" customHeight="1">
      <c r="A80" s="38"/>
      <c r="B80" s="39"/>
      <c r="C80" s="32"/>
      <c r="D80" s="32"/>
      <c r="E80" s="33"/>
      <c r="F80" s="32"/>
      <c r="G80" s="32"/>
    </row>
    <row r="81" spans="1:8" ht="18" customHeight="1">
      <c r="A81" s="121"/>
      <c r="B81" s="122" t="s">
        <v>75</v>
      </c>
      <c r="C81" s="123"/>
      <c r="D81" s="123"/>
      <c r="E81" s="124"/>
      <c r="F81" s="125" t="s">
        <v>0</v>
      </c>
      <c r="G81" s="126">
        <f>+F90</f>
        <v>1200</v>
      </c>
    </row>
    <row r="82" spans="1:8" ht="12.75" customHeight="1">
      <c r="A82" s="38"/>
      <c r="B82" s="39"/>
      <c r="C82" s="32"/>
      <c r="D82" s="32"/>
      <c r="E82" s="33"/>
      <c r="F82" s="32"/>
      <c r="G82" s="32"/>
    </row>
    <row r="83" spans="1:8" ht="14.25" customHeight="1">
      <c r="A83" s="38" t="s">
        <v>56</v>
      </c>
      <c r="B83" s="39" t="s">
        <v>96</v>
      </c>
      <c r="C83" s="26"/>
      <c r="D83" s="26"/>
      <c r="E83" s="41"/>
      <c r="F83" s="26"/>
      <c r="G83" s="32"/>
    </row>
    <row r="84" spans="1:8" ht="12.75" customHeight="1">
      <c r="A84" s="49"/>
      <c r="B84" s="39"/>
      <c r="C84" s="26"/>
      <c r="D84" s="26"/>
      <c r="E84" s="41"/>
      <c r="F84" s="26"/>
      <c r="G84" s="32"/>
    </row>
    <row r="85" spans="1:8" ht="12.75" customHeight="1">
      <c r="A85" s="49"/>
      <c r="B85" s="39" t="s">
        <v>29</v>
      </c>
      <c r="C85" s="26"/>
      <c r="D85" s="26"/>
      <c r="E85" s="41"/>
      <c r="F85" s="26"/>
      <c r="G85" s="32"/>
    </row>
    <row r="86" spans="1:8" ht="14.25" customHeight="1">
      <c r="A86" s="16"/>
      <c r="B86" s="39"/>
      <c r="C86" s="26"/>
      <c r="D86" s="26"/>
      <c r="E86" s="41"/>
      <c r="F86" s="26"/>
      <c r="G86" s="32"/>
    </row>
    <row r="87" spans="1:8" ht="14.25" customHeight="1">
      <c r="A87" s="16"/>
      <c r="B87" s="42" t="s">
        <v>30</v>
      </c>
      <c r="C87" s="43" t="s">
        <v>31</v>
      </c>
      <c r="D87" s="43" t="s">
        <v>32</v>
      </c>
      <c r="E87" s="43" t="s">
        <v>13</v>
      </c>
      <c r="F87" s="43" t="s">
        <v>4</v>
      </c>
      <c r="G87" s="32"/>
    </row>
    <row r="88" spans="1:8" ht="14.25" customHeight="1">
      <c r="A88" s="16"/>
      <c r="B88" s="62" t="str">
        <f>+B35</f>
        <v>PROMOTOR</v>
      </c>
      <c r="C88" s="46">
        <v>1</v>
      </c>
      <c r="D88" s="46">
        <f>+D77</f>
        <v>6</v>
      </c>
      <c r="E88" s="46">
        <f>+E35/12*2</f>
        <v>200</v>
      </c>
      <c r="F88" s="45">
        <f>+C88*D88*E88</f>
        <v>1200</v>
      </c>
      <c r="G88" s="32"/>
    </row>
    <row r="89" spans="1:8" ht="14.25" customHeight="1">
      <c r="A89" s="16"/>
      <c r="B89" s="62"/>
      <c r="C89" s="46"/>
      <c r="D89" s="46"/>
      <c r="E89" s="46"/>
      <c r="F89" s="44"/>
      <c r="G89" s="32"/>
    </row>
    <row r="90" spans="1:8" ht="14.25" customHeight="1">
      <c r="A90" s="19"/>
      <c r="B90" s="943" t="s">
        <v>3</v>
      </c>
      <c r="C90" s="943"/>
      <c r="D90" s="943"/>
      <c r="E90" s="943"/>
      <c r="F90" s="45">
        <f>SUM(F88:F89)</f>
        <v>1200</v>
      </c>
      <c r="G90" s="32"/>
    </row>
    <row r="91" spans="1:8" ht="14.25" customHeight="1">
      <c r="A91" s="16"/>
      <c r="B91" s="32"/>
      <c r="C91" s="32"/>
      <c r="D91" s="32"/>
      <c r="E91" s="33"/>
      <c r="F91" s="32"/>
      <c r="G91" s="32"/>
    </row>
    <row r="92" spans="1:8" ht="12.75" customHeight="1">
      <c r="A92" s="16"/>
      <c r="B92" s="52"/>
      <c r="C92" s="32"/>
      <c r="D92" s="48"/>
      <c r="E92" s="33"/>
      <c r="F92" s="32"/>
      <c r="G92" s="32"/>
    </row>
    <row r="93" spans="1:8" s="101" customFormat="1" ht="15.6">
      <c r="A93" s="143" t="s">
        <v>155</v>
      </c>
      <c r="B93" s="144"/>
      <c r="C93" s="140"/>
      <c r="D93" s="140"/>
      <c r="E93" s="141"/>
      <c r="F93" s="141" t="s">
        <v>0</v>
      </c>
      <c r="G93" s="142">
        <f>+G95</f>
        <v>6693.49</v>
      </c>
      <c r="H93" s="115"/>
    </row>
    <row r="94" spans="1:8" s="101" customFormat="1" ht="15.6">
      <c r="A94" s="116"/>
      <c r="B94" s="117"/>
      <c r="C94" s="118"/>
      <c r="D94" s="118"/>
      <c r="E94" s="119"/>
      <c r="F94" s="119"/>
      <c r="G94" s="120"/>
      <c r="H94" s="115"/>
    </row>
    <row r="95" spans="1:8" ht="15.75" customHeight="1">
      <c r="A95" s="30"/>
      <c r="B95" s="39" t="s">
        <v>162</v>
      </c>
      <c r="C95" s="32"/>
      <c r="D95" s="32"/>
      <c r="E95" s="33"/>
      <c r="F95" s="34" t="s">
        <v>0</v>
      </c>
      <c r="G95" s="35">
        <f>F176</f>
        <v>6693.49</v>
      </c>
    </row>
    <row r="96" spans="1:8" ht="12.75" customHeight="1">
      <c r="A96" s="38"/>
      <c r="B96" s="39"/>
      <c r="C96" s="32"/>
      <c r="D96" s="32"/>
      <c r="E96" s="33"/>
      <c r="F96" s="32"/>
      <c r="G96" s="32"/>
    </row>
    <row r="97" spans="1:7" ht="12.75" customHeight="1">
      <c r="A97" s="16"/>
      <c r="B97" s="76" t="s">
        <v>17</v>
      </c>
      <c r="C97" s="76" t="s">
        <v>2</v>
      </c>
      <c r="D97" s="76" t="s">
        <v>18</v>
      </c>
      <c r="E97" s="76" t="s">
        <v>5</v>
      </c>
      <c r="F97" s="76" t="s">
        <v>4</v>
      </c>
      <c r="G97" s="63"/>
    </row>
    <row r="98" spans="1:7" ht="13.5" customHeight="1">
      <c r="A98" s="11"/>
      <c r="B98" s="93" t="s">
        <v>163</v>
      </c>
      <c r="C98" s="100" t="s">
        <v>111</v>
      </c>
      <c r="D98" s="99">
        <v>1</v>
      </c>
      <c r="E98" s="104">
        <v>290</v>
      </c>
      <c r="F98" s="45">
        <f>+E98*D98</f>
        <v>290</v>
      </c>
      <c r="G98" s="9"/>
    </row>
    <row r="99" spans="1:7" ht="13.5" customHeight="1">
      <c r="A99" s="11"/>
      <c r="B99" s="93" t="s">
        <v>164</v>
      </c>
      <c r="C99" s="100" t="s">
        <v>111</v>
      </c>
      <c r="D99" s="99">
        <v>1</v>
      </c>
      <c r="E99" s="104">
        <v>10</v>
      </c>
      <c r="F99" s="45">
        <f t="shared" ref="F99:F163" si="0">+E99*D99</f>
        <v>10</v>
      </c>
      <c r="G99" s="9"/>
    </row>
    <row r="100" spans="1:7" ht="13.5" customHeight="1">
      <c r="A100" s="11"/>
      <c r="B100" s="93" t="s">
        <v>165</v>
      </c>
      <c r="C100" s="100" t="s">
        <v>111</v>
      </c>
      <c r="D100" s="99">
        <v>1</v>
      </c>
      <c r="E100" s="104">
        <v>100</v>
      </c>
      <c r="F100" s="45">
        <f t="shared" si="0"/>
        <v>100</v>
      </c>
      <c r="G100" s="9"/>
    </row>
    <row r="101" spans="1:7" ht="13.5" customHeight="1">
      <c r="A101" s="11"/>
      <c r="B101" s="93" t="s">
        <v>77</v>
      </c>
      <c r="C101" s="100" t="s">
        <v>104</v>
      </c>
      <c r="D101" s="99">
        <v>2</v>
      </c>
      <c r="E101" s="104">
        <v>2</v>
      </c>
      <c r="F101" s="45">
        <f t="shared" si="0"/>
        <v>4</v>
      </c>
      <c r="G101" s="9"/>
    </row>
    <row r="102" spans="1:7" ht="13.5" customHeight="1">
      <c r="A102" s="11"/>
      <c r="B102" s="93" t="s">
        <v>166</v>
      </c>
      <c r="C102" s="100" t="s">
        <v>111</v>
      </c>
      <c r="D102" s="99">
        <v>8</v>
      </c>
      <c r="E102" s="104">
        <v>1</v>
      </c>
      <c r="F102" s="45">
        <f t="shared" si="0"/>
        <v>8</v>
      </c>
      <c r="G102" s="9"/>
    </row>
    <row r="103" spans="1:7" ht="13.5" customHeight="1">
      <c r="A103" s="11"/>
      <c r="B103" s="93" t="s">
        <v>167</v>
      </c>
      <c r="C103" s="100" t="s">
        <v>111</v>
      </c>
      <c r="D103" s="99">
        <v>3</v>
      </c>
      <c r="E103" s="104">
        <v>7</v>
      </c>
      <c r="F103" s="45">
        <f t="shared" si="0"/>
        <v>21</v>
      </c>
      <c r="G103" s="9"/>
    </row>
    <row r="104" spans="1:7" ht="13.5" customHeight="1">
      <c r="A104" s="11"/>
      <c r="B104" s="93" t="s">
        <v>168</v>
      </c>
      <c r="C104" s="100" t="s">
        <v>111</v>
      </c>
      <c r="D104" s="99">
        <v>40</v>
      </c>
      <c r="E104" s="104">
        <v>0.5</v>
      </c>
      <c r="F104" s="45">
        <f t="shared" si="0"/>
        <v>20</v>
      </c>
      <c r="G104" s="9"/>
    </row>
    <row r="105" spans="1:7" ht="13.5" customHeight="1">
      <c r="A105" s="11"/>
      <c r="B105" s="93" t="s">
        <v>169</v>
      </c>
      <c r="C105" s="100" t="s">
        <v>111</v>
      </c>
      <c r="D105" s="99">
        <v>20</v>
      </c>
      <c r="E105" s="104">
        <v>1</v>
      </c>
      <c r="F105" s="45">
        <f t="shared" si="0"/>
        <v>20</v>
      </c>
      <c r="G105" s="9"/>
    </row>
    <row r="106" spans="1:7" ht="13.5" customHeight="1">
      <c r="A106" s="11"/>
      <c r="B106" s="93" t="s">
        <v>170</v>
      </c>
      <c r="C106" s="100" t="s">
        <v>111</v>
      </c>
      <c r="D106" s="99">
        <v>20</v>
      </c>
      <c r="E106" s="104">
        <v>0.5</v>
      </c>
      <c r="F106" s="45">
        <f t="shared" si="0"/>
        <v>10</v>
      </c>
      <c r="G106" s="9"/>
    </row>
    <row r="107" spans="1:7" ht="13.5" customHeight="1">
      <c r="A107" s="11"/>
      <c r="B107" s="93" t="s">
        <v>171</v>
      </c>
      <c r="C107" s="100" t="s">
        <v>111</v>
      </c>
      <c r="D107" s="99">
        <v>40</v>
      </c>
      <c r="E107" s="104">
        <v>1</v>
      </c>
      <c r="F107" s="45">
        <f t="shared" si="0"/>
        <v>40</v>
      </c>
      <c r="G107" s="9"/>
    </row>
    <row r="108" spans="1:7" ht="13.5" customHeight="1">
      <c r="A108" s="11"/>
      <c r="B108" s="93" t="s">
        <v>172</v>
      </c>
      <c r="C108" s="100" t="s">
        <v>112</v>
      </c>
      <c r="D108" s="99">
        <v>50</v>
      </c>
      <c r="E108" s="104">
        <v>13.5</v>
      </c>
      <c r="F108" s="45">
        <f t="shared" si="0"/>
        <v>675</v>
      </c>
      <c r="G108" s="9"/>
    </row>
    <row r="109" spans="1:7" ht="13.5" customHeight="1">
      <c r="A109" s="11"/>
      <c r="B109" s="93" t="s">
        <v>113</v>
      </c>
      <c r="C109" s="100" t="s">
        <v>103</v>
      </c>
      <c r="D109" s="99">
        <v>10</v>
      </c>
      <c r="E109" s="104">
        <v>12</v>
      </c>
      <c r="F109" s="45">
        <f t="shared" si="0"/>
        <v>120</v>
      </c>
      <c r="G109" s="9"/>
    </row>
    <row r="110" spans="1:7" ht="13.5" customHeight="1">
      <c r="A110" s="11"/>
      <c r="B110" s="93" t="s">
        <v>173</v>
      </c>
      <c r="C110" s="100" t="s">
        <v>8</v>
      </c>
      <c r="D110" s="99">
        <v>5</v>
      </c>
      <c r="E110" s="104">
        <v>7</v>
      </c>
      <c r="F110" s="45">
        <f t="shared" si="0"/>
        <v>35</v>
      </c>
      <c r="G110" s="9"/>
    </row>
    <row r="111" spans="1:7" ht="13.5" customHeight="1">
      <c r="A111" s="11"/>
      <c r="B111" s="93" t="s">
        <v>174</v>
      </c>
      <c r="C111" s="100" t="s">
        <v>111</v>
      </c>
      <c r="D111" s="99">
        <v>20</v>
      </c>
      <c r="E111" s="104">
        <v>1.5</v>
      </c>
      <c r="F111" s="45">
        <f t="shared" si="0"/>
        <v>30</v>
      </c>
      <c r="G111" s="9"/>
    </row>
    <row r="112" spans="1:7" ht="13.5" customHeight="1">
      <c r="A112" s="11"/>
      <c r="B112" s="93" t="s">
        <v>120</v>
      </c>
      <c r="C112" s="100" t="s">
        <v>121</v>
      </c>
      <c r="D112" s="99">
        <v>5</v>
      </c>
      <c r="E112" s="104">
        <v>32</v>
      </c>
      <c r="F112" s="45">
        <f t="shared" si="0"/>
        <v>160</v>
      </c>
      <c r="G112" s="9"/>
    </row>
    <row r="113" spans="1:7" ht="13.5" customHeight="1">
      <c r="A113" s="11"/>
      <c r="B113" s="93" t="s">
        <v>175</v>
      </c>
      <c r="C113" s="100" t="s">
        <v>111</v>
      </c>
      <c r="D113" s="99">
        <v>8</v>
      </c>
      <c r="E113" s="104">
        <v>1</v>
      </c>
      <c r="F113" s="45">
        <f t="shared" si="0"/>
        <v>8</v>
      </c>
      <c r="G113" s="9"/>
    </row>
    <row r="114" spans="1:7" ht="13.5" customHeight="1">
      <c r="A114" s="11"/>
      <c r="B114" s="93" t="s">
        <v>176</v>
      </c>
      <c r="C114" s="100" t="s">
        <v>111</v>
      </c>
      <c r="D114" s="99">
        <v>69</v>
      </c>
      <c r="E114" s="104">
        <v>0.5</v>
      </c>
      <c r="F114" s="45">
        <f t="shared" si="0"/>
        <v>34.5</v>
      </c>
      <c r="G114" s="9"/>
    </row>
    <row r="115" spans="1:7" ht="13.5" customHeight="1">
      <c r="A115" s="11"/>
      <c r="B115" s="93" t="s">
        <v>177</v>
      </c>
      <c r="C115" s="100" t="s">
        <v>111</v>
      </c>
      <c r="D115" s="99">
        <v>2</v>
      </c>
      <c r="E115" s="104">
        <v>6</v>
      </c>
      <c r="F115" s="45">
        <f t="shared" si="0"/>
        <v>12</v>
      </c>
      <c r="G115" s="9"/>
    </row>
    <row r="116" spans="1:7" ht="13.5" customHeight="1">
      <c r="A116" s="11"/>
      <c r="B116" s="93" t="s">
        <v>178</v>
      </c>
      <c r="C116" s="100" t="s">
        <v>111</v>
      </c>
      <c r="D116" s="99">
        <v>1</v>
      </c>
      <c r="E116" s="104">
        <v>4</v>
      </c>
      <c r="F116" s="45">
        <f t="shared" si="0"/>
        <v>4</v>
      </c>
      <c r="G116" s="9"/>
    </row>
    <row r="117" spans="1:7" ht="13.5" customHeight="1">
      <c r="A117" s="11"/>
      <c r="B117" s="93" t="s">
        <v>179</v>
      </c>
      <c r="C117" s="100" t="s">
        <v>104</v>
      </c>
      <c r="D117" s="99">
        <v>1</v>
      </c>
      <c r="E117" s="104">
        <v>1.5</v>
      </c>
      <c r="F117" s="45">
        <f t="shared" si="0"/>
        <v>1.5</v>
      </c>
      <c r="G117" s="9"/>
    </row>
    <row r="118" spans="1:7" ht="13.5" customHeight="1">
      <c r="A118" s="11"/>
      <c r="B118" s="93" t="s">
        <v>180</v>
      </c>
      <c r="C118" s="100" t="s">
        <v>111</v>
      </c>
      <c r="D118" s="99">
        <v>1</v>
      </c>
      <c r="E118" s="104">
        <v>2</v>
      </c>
      <c r="F118" s="45">
        <f t="shared" si="0"/>
        <v>2</v>
      </c>
      <c r="G118" s="9"/>
    </row>
    <row r="119" spans="1:7" ht="13.5" customHeight="1">
      <c r="A119" s="11"/>
      <c r="B119" s="93" t="s">
        <v>181</v>
      </c>
      <c r="C119" s="100" t="s">
        <v>111</v>
      </c>
      <c r="D119" s="99">
        <v>2</v>
      </c>
      <c r="E119" s="104">
        <v>9</v>
      </c>
      <c r="F119" s="45">
        <f t="shared" si="0"/>
        <v>18</v>
      </c>
      <c r="G119" s="9"/>
    </row>
    <row r="120" spans="1:7" ht="13.5" customHeight="1">
      <c r="A120" s="11"/>
      <c r="B120" s="93" t="s">
        <v>182</v>
      </c>
      <c r="C120" s="100" t="s">
        <v>111</v>
      </c>
      <c r="D120" s="99">
        <v>2</v>
      </c>
      <c r="E120" s="104">
        <v>10</v>
      </c>
      <c r="F120" s="45">
        <f t="shared" si="0"/>
        <v>20</v>
      </c>
      <c r="G120" s="9"/>
    </row>
    <row r="121" spans="1:7" ht="13.5" customHeight="1">
      <c r="A121" s="11"/>
      <c r="B121" s="93" t="s">
        <v>183</v>
      </c>
      <c r="C121" s="100" t="s">
        <v>111</v>
      </c>
      <c r="D121" s="99">
        <v>1</v>
      </c>
      <c r="E121" s="104">
        <v>10</v>
      </c>
      <c r="F121" s="45">
        <f>+E121*D121</f>
        <v>10</v>
      </c>
      <c r="G121" s="9"/>
    </row>
    <row r="122" spans="1:7" ht="13.5" customHeight="1">
      <c r="A122" s="11"/>
      <c r="B122" s="93" t="s">
        <v>184</v>
      </c>
      <c r="C122" s="100" t="s">
        <v>111</v>
      </c>
      <c r="D122" s="99">
        <v>1</v>
      </c>
      <c r="E122" s="104">
        <v>2</v>
      </c>
      <c r="F122" s="45">
        <f t="shared" si="0"/>
        <v>2</v>
      </c>
      <c r="G122" s="9"/>
    </row>
    <row r="123" spans="1:7" ht="13.5" customHeight="1">
      <c r="A123" s="11"/>
      <c r="B123" s="93" t="s">
        <v>185</v>
      </c>
      <c r="C123" s="100" t="s">
        <v>104</v>
      </c>
      <c r="D123" s="99">
        <v>1</v>
      </c>
      <c r="E123" s="104">
        <v>1.5</v>
      </c>
      <c r="F123" s="45">
        <f t="shared" si="0"/>
        <v>1.5</v>
      </c>
      <c r="G123" s="9"/>
    </row>
    <row r="124" spans="1:7" ht="13.5" customHeight="1">
      <c r="A124" s="11"/>
      <c r="B124" s="93" t="s">
        <v>186</v>
      </c>
      <c r="C124" s="100" t="s">
        <v>111</v>
      </c>
      <c r="D124" s="99">
        <v>1</v>
      </c>
      <c r="E124" s="104">
        <v>1</v>
      </c>
      <c r="F124" s="45">
        <f t="shared" si="0"/>
        <v>1</v>
      </c>
      <c r="G124" s="9"/>
    </row>
    <row r="125" spans="1:7" ht="13.5" customHeight="1">
      <c r="A125" s="11"/>
      <c r="B125" s="93" t="s">
        <v>115</v>
      </c>
      <c r="C125" s="100" t="s">
        <v>111</v>
      </c>
      <c r="D125" s="99">
        <v>3</v>
      </c>
      <c r="E125" s="104">
        <v>1</v>
      </c>
      <c r="F125" s="45">
        <f t="shared" si="0"/>
        <v>3</v>
      </c>
      <c r="G125" s="9"/>
    </row>
    <row r="126" spans="1:7" ht="13.5" customHeight="1">
      <c r="A126" s="11"/>
      <c r="B126" s="93" t="s">
        <v>187</v>
      </c>
      <c r="C126" s="100" t="s">
        <v>111</v>
      </c>
      <c r="D126" s="99">
        <v>9</v>
      </c>
      <c r="E126" s="104">
        <v>30</v>
      </c>
      <c r="F126" s="45">
        <f t="shared" si="0"/>
        <v>270</v>
      </c>
      <c r="G126" s="9"/>
    </row>
    <row r="127" spans="1:7" ht="13.5" customHeight="1">
      <c r="A127" s="11"/>
      <c r="B127" s="93" t="s">
        <v>188</v>
      </c>
      <c r="C127" s="100" t="s">
        <v>111</v>
      </c>
      <c r="D127" s="99">
        <v>45</v>
      </c>
      <c r="E127" s="104">
        <v>0.1</v>
      </c>
      <c r="F127" s="45">
        <f t="shared" si="0"/>
        <v>4.5</v>
      </c>
      <c r="G127" s="9"/>
    </row>
    <row r="128" spans="1:7" ht="13.5" customHeight="1">
      <c r="A128" s="11"/>
      <c r="B128" s="93" t="s">
        <v>189</v>
      </c>
      <c r="C128" s="100" t="s">
        <v>111</v>
      </c>
      <c r="D128" s="99">
        <v>100</v>
      </c>
      <c r="E128" s="104">
        <v>0.1</v>
      </c>
      <c r="F128" s="45">
        <f t="shared" si="0"/>
        <v>10</v>
      </c>
      <c r="G128" s="9"/>
    </row>
    <row r="129" spans="1:7" ht="13.5" customHeight="1">
      <c r="A129" s="11"/>
      <c r="B129" s="93" t="s">
        <v>116</v>
      </c>
      <c r="C129" s="100" t="s">
        <v>111</v>
      </c>
      <c r="D129" s="99">
        <v>1</v>
      </c>
      <c r="E129" s="104">
        <v>30</v>
      </c>
      <c r="F129" s="45">
        <f t="shared" si="0"/>
        <v>30</v>
      </c>
      <c r="G129" s="9"/>
    </row>
    <row r="130" spans="1:7" ht="13.5" customHeight="1">
      <c r="A130" s="11"/>
      <c r="B130" s="93" t="s">
        <v>190</v>
      </c>
      <c r="C130" s="100" t="s">
        <v>111</v>
      </c>
      <c r="D130" s="99">
        <v>1</v>
      </c>
      <c r="E130" s="104">
        <v>16</v>
      </c>
      <c r="F130" s="45">
        <f t="shared" si="0"/>
        <v>16</v>
      </c>
      <c r="G130" s="9"/>
    </row>
    <row r="131" spans="1:7" ht="13.5" customHeight="1">
      <c r="A131" s="11"/>
      <c r="B131" s="93" t="s">
        <v>117</v>
      </c>
      <c r="C131" s="100" t="s">
        <v>111</v>
      </c>
      <c r="D131" s="99">
        <v>1</v>
      </c>
      <c r="E131" s="104">
        <v>2</v>
      </c>
      <c r="F131" s="45">
        <f t="shared" si="0"/>
        <v>2</v>
      </c>
      <c r="G131" s="9"/>
    </row>
    <row r="132" spans="1:7" ht="13.5" customHeight="1">
      <c r="A132" s="11"/>
      <c r="B132" s="93" t="s">
        <v>123</v>
      </c>
      <c r="C132" s="100" t="s">
        <v>111</v>
      </c>
      <c r="D132" s="99">
        <v>87</v>
      </c>
      <c r="E132" s="104">
        <v>3</v>
      </c>
      <c r="F132" s="45">
        <f t="shared" si="0"/>
        <v>261</v>
      </c>
      <c r="G132" s="9"/>
    </row>
    <row r="133" spans="1:7" ht="13.5" customHeight="1">
      <c r="A133" s="11"/>
      <c r="B133" s="93" t="s">
        <v>124</v>
      </c>
      <c r="C133" s="100" t="s">
        <v>111</v>
      </c>
      <c r="D133" s="99">
        <v>38</v>
      </c>
      <c r="E133" s="104">
        <v>3</v>
      </c>
      <c r="F133" s="45">
        <f t="shared" si="0"/>
        <v>114</v>
      </c>
      <c r="G133" s="9"/>
    </row>
    <row r="134" spans="1:7" ht="13.5" customHeight="1">
      <c r="A134" s="11"/>
      <c r="B134" s="93" t="s">
        <v>125</v>
      </c>
      <c r="C134" s="100" t="s">
        <v>111</v>
      </c>
      <c r="D134" s="99">
        <v>2</v>
      </c>
      <c r="E134" s="104">
        <v>5</v>
      </c>
      <c r="F134" s="45">
        <f t="shared" si="0"/>
        <v>10</v>
      </c>
      <c r="G134" s="9"/>
    </row>
    <row r="135" spans="1:7" ht="13.5" customHeight="1">
      <c r="A135" s="11"/>
      <c r="B135" s="93" t="s">
        <v>126</v>
      </c>
      <c r="C135" s="100" t="s">
        <v>111</v>
      </c>
      <c r="D135" s="99">
        <v>2</v>
      </c>
      <c r="E135" s="104">
        <v>5</v>
      </c>
      <c r="F135" s="45">
        <f t="shared" si="0"/>
        <v>10</v>
      </c>
      <c r="G135" s="9"/>
    </row>
    <row r="136" spans="1:7" ht="13.5" customHeight="1">
      <c r="A136" s="11"/>
      <c r="B136" s="93" t="s">
        <v>127</v>
      </c>
      <c r="C136" s="100" t="s">
        <v>128</v>
      </c>
      <c r="D136" s="99">
        <v>1</v>
      </c>
      <c r="E136" s="104">
        <v>10</v>
      </c>
      <c r="F136" s="45">
        <f t="shared" si="0"/>
        <v>10</v>
      </c>
      <c r="G136" s="9"/>
    </row>
    <row r="137" spans="1:7" ht="13.5" customHeight="1">
      <c r="A137" s="11"/>
      <c r="B137" s="93" t="s">
        <v>129</v>
      </c>
      <c r="C137" s="100" t="s">
        <v>111</v>
      </c>
      <c r="D137" s="99">
        <v>135</v>
      </c>
      <c r="E137" s="104">
        <v>2.63</v>
      </c>
      <c r="F137" s="45">
        <f t="shared" si="0"/>
        <v>355.05</v>
      </c>
      <c r="G137" s="9"/>
    </row>
    <row r="138" spans="1:7" ht="13.5" customHeight="1">
      <c r="A138" s="11"/>
      <c r="B138" s="93" t="s">
        <v>191</v>
      </c>
      <c r="C138" s="100" t="s">
        <v>111</v>
      </c>
      <c r="D138" s="99">
        <v>1</v>
      </c>
      <c r="E138" s="104">
        <v>15</v>
      </c>
      <c r="F138" s="45">
        <f t="shared" si="0"/>
        <v>15</v>
      </c>
      <c r="G138" s="9"/>
    </row>
    <row r="139" spans="1:7" ht="13.5" customHeight="1">
      <c r="A139" s="11"/>
      <c r="B139" s="93" t="s">
        <v>130</v>
      </c>
      <c r="C139" s="100" t="s">
        <v>105</v>
      </c>
      <c r="D139" s="99">
        <v>4</v>
      </c>
      <c r="E139" s="104">
        <v>9</v>
      </c>
      <c r="F139" s="45">
        <f t="shared" si="0"/>
        <v>36</v>
      </c>
      <c r="G139" s="9"/>
    </row>
    <row r="140" spans="1:7" ht="13.5" customHeight="1">
      <c r="A140" s="11"/>
      <c r="B140" s="93" t="s">
        <v>131</v>
      </c>
      <c r="C140" s="100" t="s">
        <v>111</v>
      </c>
      <c r="D140" s="99">
        <v>9</v>
      </c>
      <c r="E140" s="104">
        <v>15</v>
      </c>
      <c r="F140" s="45">
        <f t="shared" si="0"/>
        <v>135</v>
      </c>
      <c r="G140" s="9"/>
    </row>
    <row r="141" spans="1:7" ht="13.5" customHeight="1">
      <c r="A141" s="11"/>
      <c r="B141" s="93" t="s">
        <v>132</v>
      </c>
      <c r="C141" s="100" t="s">
        <v>111</v>
      </c>
      <c r="D141" s="99">
        <v>9</v>
      </c>
      <c r="E141" s="104">
        <v>22</v>
      </c>
      <c r="F141" s="45">
        <f>+E141*D141</f>
        <v>198</v>
      </c>
      <c r="G141" s="9"/>
    </row>
    <row r="142" spans="1:7" ht="13.5" customHeight="1">
      <c r="A142" s="11"/>
      <c r="B142" s="93" t="s">
        <v>192</v>
      </c>
      <c r="C142" s="100" t="s">
        <v>111</v>
      </c>
      <c r="D142" s="99">
        <v>1</v>
      </c>
      <c r="E142" s="104">
        <v>150</v>
      </c>
      <c r="F142" s="45">
        <f t="shared" si="0"/>
        <v>150</v>
      </c>
      <c r="G142" s="9"/>
    </row>
    <row r="143" spans="1:7" ht="13.5" customHeight="1">
      <c r="A143" s="11"/>
      <c r="B143" s="93" t="s">
        <v>193</v>
      </c>
      <c r="C143" s="100" t="s">
        <v>111</v>
      </c>
      <c r="D143" s="99">
        <v>1</v>
      </c>
      <c r="E143" s="104">
        <v>100</v>
      </c>
      <c r="F143" s="45">
        <f t="shared" si="0"/>
        <v>100</v>
      </c>
      <c r="G143" s="9"/>
    </row>
    <row r="144" spans="1:7" ht="13.5" customHeight="1">
      <c r="A144" s="11"/>
      <c r="B144" s="93" t="s">
        <v>133</v>
      </c>
      <c r="C144" s="100" t="s">
        <v>111</v>
      </c>
      <c r="D144" s="99">
        <v>1</v>
      </c>
      <c r="E144" s="104">
        <v>22</v>
      </c>
      <c r="F144" s="45">
        <f t="shared" si="0"/>
        <v>22</v>
      </c>
      <c r="G144" s="9"/>
    </row>
    <row r="145" spans="1:7" ht="13.5" customHeight="1">
      <c r="A145" s="11"/>
      <c r="B145" s="93" t="s">
        <v>134</v>
      </c>
      <c r="C145" s="100" t="s">
        <v>111</v>
      </c>
      <c r="D145" s="99">
        <v>1</v>
      </c>
      <c r="E145" s="104">
        <v>5</v>
      </c>
      <c r="F145" s="45">
        <f t="shared" si="0"/>
        <v>5</v>
      </c>
      <c r="G145" s="9"/>
    </row>
    <row r="146" spans="1:7" ht="13.5" customHeight="1">
      <c r="A146" s="11"/>
      <c r="B146" s="93" t="s">
        <v>135</v>
      </c>
      <c r="C146" s="100" t="s">
        <v>111</v>
      </c>
      <c r="D146" s="99">
        <v>1</v>
      </c>
      <c r="E146" s="104">
        <v>450</v>
      </c>
      <c r="F146" s="45">
        <f t="shared" si="0"/>
        <v>450</v>
      </c>
      <c r="G146" s="9"/>
    </row>
    <row r="147" spans="1:7" ht="13.5" customHeight="1">
      <c r="A147" s="11"/>
      <c r="B147" s="93" t="s">
        <v>136</v>
      </c>
      <c r="C147" s="100" t="s">
        <v>111</v>
      </c>
      <c r="D147" s="99">
        <v>1</v>
      </c>
      <c r="E147" s="104">
        <v>300</v>
      </c>
      <c r="F147" s="45">
        <f t="shared" si="0"/>
        <v>300</v>
      </c>
      <c r="G147" s="9"/>
    </row>
    <row r="148" spans="1:7" ht="13.5" customHeight="1">
      <c r="A148" s="11"/>
      <c r="B148" s="93" t="s">
        <v>137</v>
      </c>
      <c r="C148" s="100" t="s">
        <v>111</v>
      </c>
      <c r="D148" s="99">
        <v>1</v>
      </c>
      <c r="E148" s="104">
        <v>400</v>
      </c>
      <c r="F148" s="45">
        <f t="shared" si="0"/>
        <v>400</v>
      </c>
      <c r="G148" s="9"/>
    </row>
    <row r="149" spans="1:7" ht="13.5" customHeight="1">
      <c r="A149" s="11"/>
      <c r="B149" s="93" t="s">
        <v>194</v>
      </c>
      <c r="C149" s="100" t="s">
        <v>111</v>
      </c>
      <c r="D149" s="99">
        <v>1</v>
      </c>
      <c r="E149" s="104">
        <v>75</v>
      </c>
      <c r="F149" s="45">
        <f t="shared" si="0"/>
        <v>75</v>
      </c>
      <c r="G149" s="9"/>
    </row>
    <row r="150" spans="1:7" ht="13.5" customHeight="1">
      <c r="A150" s="11"/>
      <c r="B150" s="93" t="s">
        <v>195</v>
      </c>
      <c r="C150" s="100" t="s">
        <v>111</v>
      </c>
      <c r="D150" s="99">
        <v>64</v>
      </c>
      <c r="E150" s="104">
        <v>0.5</v>
      </c>
      <c r="F150" s="45">
        <f t="shared" si="0"/>
        <v>32</v>
      </c>
      <c r="G150" s="9"/>
    </row>
    <row r="151" spans="1:7" ht="13.5" customHeight="1">
      <c r="A151" s="11"/>
      <c r="B151" s="93" t="s">
        <v>196</v>
      </c>
      <c r="C151" s="100" t="s">
        <v>111</v>
      </c>
      <c r="D151" s="99">
        <v>64</v>
      </c>
      <c r="E151" s="104">
        <v>0.5</v>
      </c>
      <c r="F151" s="45">
        <f t="shared" si="0"/>
        <v>32</v>
      </c>
      <c r="G151" s="9"/>
    </row>
    <row r="152" spans="1:7" ht="13.5" customHeight="1">
      <c r="A152" s="11"/>
      <c r="B152" s="93" t="s">
        <v>138</v>
      </c>
      <c r="C152" s="100" t="s">
        <v>111</v>
      </c>
      <c r="D152" s="99">
        <v>300</v>
      </c>
      <c r="E152" s="104">
        <v>0.5</v>
      </c>
      <c r="F152" s="45">
        <f t="shared" si="0"/>
        <v>150</v>
      </c>
      <c r="G152" s="9"/>
    </row>
    <row r="153" spans="1:7" ht="13.5" customHeight="1">
      <c r="A153" s="11"/>
      <c r="B153" s="93" t="s">
        <v>139</v>
      </c>
      <c r="C153" s="100" t="s">
        <v>111</v>
      </c>
      <c r="D153" s="99">
        <v>1</v>
      </c>
      <c r="E153" s="104">
        <v>20</v>
      </c>
      <c r="F153" s="45">
        <f t="shared" si="0"/>
        <v>20</v>
      </c>
      <c r="G153" s="9"/>
    </row>
    <row r="154" spans="1:7" ht="13.5" customHeight="1">
      <c r="A154" s="11"/>
      <c r="B154" s="93" t="s">
        <v>140</v>
      </c>
      <c r="C154" s="100" t="s">
        <v>111</v>
      </c>
      <c r="D154" s="99">
        <v>9</v>
      </c>
      <c r="E154" s="104">
        <v>5</v>
      </c>
      <c r="F154" s="45">
        <f t="shared" si="0"/>
        <v>45</v>
      </c>
      <c r="G154" s="9"/>
    </row>
    <row r="155" spans="1:7" ht="13.5" customHeight="1">
      <c r="A155" s="11"/>
      <c r="B155" s="93" t="s">
        <v>141</v>
      </c>
      <c r="C155" s="100" t="s">
        <v>111</v>
      </c>
      <c r="D155" s="99">
        <v>9</v>
      </c>
      <c r="E155" s="104">
        <v>5</v>
      </c>
      <c r="F155" s="45">
        <f t="shared" si="0"/>
        <v>45</v>
      </c>
      <c r="G155" s="9"/>
    </row>
    <row r="156" spans="1:7" ht="13.5" customHeight="1">
      <c r="A156" s="11"/>
      <c r="B156" s="93" t="s">
        <v>142</v>
      </c>
      <c r="C156" s="100" t="s">
        <v>111</v>
      </c>
      <c r="D156" s="99">
        <v>9</v>
      </c>
      <c r="E156" s="104">
        <v>5</v>
      </c>
      <c r="F156" s="45">
        <f t="shared" si="0"/>
        <v>45</v>
      </c>
      <c r="G156" s="9"/>
    </row>
    <row r="157" spans="1:7" ht="13.5" customHeight="1">
      <c r="A157" s="11"/>
      <c r="B157" s="93" t="s">
        <v>197</v>
      </c>
      <c r="C157" s="100" t="s">
        <v>111</v>
      </c>
      <c r="D157" s="99">
        <v>9</v>
      </c>
      <c r="E157" s="104">
        <v>5</v>
      </c>
      <c r="F157" s="45">
        <f t="shared" si="0"/>
        <v>45</v>
      </c>
      <c r="G157" s="9"/>
    </row>
    <row r="158" spans="1:7" ht="13.5" customHeight="1">
      <c r="A158" s="11"/>
      <c r="B158" s="93" t="s">
        <v>143</v>
      </c>
      <c r="C158" s="100" t="s">
        <v>111</v>
      </c>
      <c r="D158" s="99">
        <v>9</v>
      </c>
      <c r="E158" s="104">
        <v>5</v>
      </c>
      <c r="F158" s="45">
        <f t="shared" si="0"/>
        <v>45</v>
      </c>
      <c r="G158" s="9"/>
    </row>
    <row r="159" spans="1:7" ht="13.5" customHeight="1">
      <c r="A159" s="11"/>
      <c r="B159" s="93" t="s">
        <v>144</v>
      </c>
      <c r="C159" s="100" t="s">
        <v>111</v>
      </c>
      <c r="D159" s="99">
        <v>9</v>
      </c>
      <c r="E159" s="104">
        <v>5</v>
      </c>
      <c r="F159" s="45">
        <f t="shared" si="0"/>
        <v>45</v>
      </c>
      <c r="G159" s="9"/>
    </row>
    <row r="160" spans="1:7" ht="13.5" customHeight="1">
      <c r="A160" s="11"/>
      <c r="B160" s="93" t="s">
        <v>145</v>
      </c>
      <c r="C160" s="100" t="s">
        <v>111</v>
      </c>
      <c r="D160" s="99">
        <v>9</v>
      </c>
      <c r="E160" s="104">
        <v>5</v>
      </c>
      <c r="F160" s="45">
        <f t="shared" si="0"/>
        <v>45</v>
      </c>
      <c r="G160" s="9"/>
    </row>
    <row r="161" spans="1:7" ht="13.5" customHeight="1">
      <c r="A161" s="11"/>
      <c r="B161" s="93" t="s">
        <v>146</v>
      </c>
      <c r="C161" s="100" t="s">
        <v>111</v>
      </c>
      <c r="D161" s="99">
        <v>9</v>
      </c>
      <c r="E161" s="104">
        <v>5</v>
      </c>
      <c r="F161" s="45">
        <f t="shared" si="0"/>
        <v>45</v>
      </c>
      <c r="G161" s="9"/>
    </row>
    <row r="162" spans="1:7" ht="13.5" customHeight="1">
      <c r="A162" s="11"/>
      <c r="B162" s="93" t="s">
        <v>147</v>
      </c>
      <c r="C162" s="100" t="s">
        <v>111</v>
      </c>
      <c r="D162" s="99">
        <v>9</v>
      </c>
      <c r="E162" s="104">
        <v>5</v>
      </c>
      <c r="F162" s="45">
        <f>+E162*D162</f>
        <v>45</v>
      </c>
      <c r="G162" s="9"/>
    </row>
    <row r="163" spans="1:7" ht="13.5" customHeight="1">
      <c r="A163" s="11"/>
      <c r="B163" s="93" t="s">
        <v>198</v>
      </c>
      <c r="C163" s="100" t="s">
        <v>111</v>
      </c>
      <c r="D163" s="99">
        <v>9</v>
      </c>
      <c r="E163" s="104">
        <v>5</v>
      </c>
      <c r="F163" s="45">
        <f t="shared" si="0"/>
        <v>45</v>
      </c>
      <c r="G163" s="9"/>
    </row>
    <row r="164" spans="1:7" ht="13.5" customHeight="1">
      <c r="A164" s="11"/>
      <c r="B164" s="93" t="s">
        <v>199</v>
      </c>
      <c r="C164" s="100" t="s">
        <v>111</v>
      </c>
      <c r="D164" s="99">
        <v>9</v>
      </c>
      <c r="E164" s="104">
        <v>5</v>
      </c>
      <c r="F164" s="45">
        <f t="shared" ref="F164:F175" si="1">+E164*D164</f>
        <v>45</v>
      </c>
      <c r="G164" s="9"/>
    </row>
    <row r="165" spans="1:7" ht="13.5" customHeight="1">
      <c r="A165" s="11"/>
      <c r="B165" s="93" t="s">
        <v>200</v>
      </c>
      <c r="C165" s="100" t="s">
        <v>111</v>
      </c>
      <c r="D165" s="99">
        <v>2</v>
      </c>
      <c r="E165" s="104">
        <v>7</v>
      </c>
      <c r="F165" s="45">
        <f t="shared" si="1"/>
        <v>14</v>
      </c>
      <c r="G165" s="9"/>
    </row>
    <row r="166" spans="1:7" ht="13.5" customHeight="1">
      <c r="A166" s="11"/>
      <c r="B166" s="93" t="s">
        <v>201</v>
      </c>
      <c r="C166" s="100" t="s">
        <v>111</v>
      </c>
      <c r="D166" s="99">
        <v>5</v>
      </c>
      <c r="E166" s="104">
        <v>5</v>
      </c>
      <c r="F166" s="45">
        <f t="shared" si="1"/>
        <v>25</v>
      </c>
      <c r="G166" s="9"/>
    </row>
    <row r="167" spans="1:7" ht="13.5" customHeight="1">
      <c r="A167" s="11"/>
      <c r="B167" s="93" t="s">
        <v>148</v>
      </c>
      <c r="C167" s="100" t="s">
        <v>111</v>
      </c>
      <c r="D167" s="99">
        <v>45</v>
      </c>
      <c r="E167" s="104">
        <v>4</v>
      </c>
      <c r="F167" s="45">
        <f t="shared" si="1"/>
        <v>180</v>
      </c>
      <c r="G167" s="9"/>
    </row>
    <row r="168" spans="1:7" ht="13.5" customHeight="1">
      <c r="A168" s="11"/>
      <c r="B168" s="93" t="s">
        <v>149</v>
      </c>
      <c r="C168" s="47" t="s">
        <v>111</v>
      </c>
      <c r="D168" s="51">
        <v>45</v>
      </c>
      <c r="E168" s="136">
        <v>8</v>
      </c>
      <c r="F168" s="45">
        <f t="shared" si="1"/>
        <v>360</v>
      </c>
      <c r="G168" s="9"/>
    </row>
    <row r="169" spans="1:7" ht="13.5" customHeight="1">
      <c r="A169" s="11"/>
      <c r="B169" s="93" t="s">
        <v>150</v>
      </c>
      <c r="C169" s="47" t="s">
        <v>111</v>
      </c>
      <c r="D169" s="51">
        <v>45</v>
      </c>
      <c r="E169" s="136">
        <v>4</v>
      </c>
      <c r="F169" s="45">
        <f t="shared" si="1"/>
        <v>180</v>
      </c>
      <c r="G169" s="9"/>
    </row>
    <row r="170" spans="1:7" ht="13.5" customHeight="1">
      <c r="A170" s="11"/>
      <c r="B170" s="93" t="s">
        <v>151</v>
      </c>
      <c r="C170" s="47" t="s">
        <v>111</v>
      </c>
      <c r="D170" s="51">
        <v>1</v>
      </c>
      <c r="E170" s="136">
        <v>78.459999999999994</v>
      </c>
      <c r="F170" s="45">
        <f t="shared" si="1"/>
        <v>78.459999999999994</v>
      </c>
      <c r="G170" s="9"/>
    </row>
    <row r="171" spans="1:7" ht="13.5" customHeight="1">
      <c r="A171" s="11"/>
      <c r="B171" s="93" t="s">
        <v>152</v>
      </c>
      <c r="C171" s="47" t="s">
        <v>111</v>
      </c>
      <c r="D171" s="51">
        <v>45</v>
      </c>
      <c r="E171" s="136">
        <v>3.5</v>
      </c>
      <c r="F171" s="45">
        <f t="shared" si="1"/>
        <v>157.5</v>
      </c>
      <c r="G171" s="9"/>
    </row>
    <row r="172" spans="1:7" ht="13.5" customHeight="1">
      <c r="A172" s="11"/>
      <c r="B172" s="93" t="s">
        <v>153</v>
      </c>
      <c r="C172" s="47" t="s">
        <v>111</v>
      </c>
      <c r="D172" s="51">
        <v>45</v>
      </c>
      <c r="E172" s="136">
        <v>1</v>
      </c>
      <c r="F172" s="45">
        <f t="shared" si="1"/>
        <v>45</v>
      </c>
      <c r="G172" s="9"/>
    </row>
    <row r="173" spans="1:7" ht="13.5" customHeight="1">
      <c r="A173" s="11"/>
      <c r="B173" s="93" t="s">
        <v>202</v>
      </c>
      <c r="C173" s="47" t="s">
        <v>111</v>
      </c>
      <c r="D173" s="51">
        <v>1</v>
      </c>
      <c r="E173" s="136">
        <v>230</v>
      </c>
      <c r="F173" s="45">
        <f t="shared" si="1"/>
        <v>230</v>
      </c>
      <c r="G173" s="9"/>
    </row>
    <row r="174" spans="1:7" ht="13.5" customHeight="1">
      <c r="A174" s="11"/>
      <c r="B174" s="93" t="s">
        <v>203</v>
      </c>
      <c r="C174" s="47" t="s">
        <v>111</v>
      </c>
      <c r="D174" s="51">
        <v>1</v>
      </c>
      <c r="E174" s="136">
        <v>40</v>
      </c>
      <c r="F174" s="45">
        <f t="shared" si="1"/>
        <v>40</v>
      </c>
      <c r="G174" s="9"/>
    </row>
    <row r="175" spans="1:7" ht="13.5" customHeight="1">
      <c r="A175" s="11"/>
      <c r="B175" s="93" t="s">
        <v>204</v>
      </c>
      <c r="C175" s="47" t="s">
        <v>111</v>
      </c>
      <c r="D175" s="51">
        <v>1</v>
      </c>
      <c r="E175" s="136">
        <v>15.48</v>
      </c>
      <c r="F175" s="45">
        <f t="shared" si="1"/>
        <v>15.48</v>
      </c>
      <c r="G175" s="9"/>
    </row>
    <row r="176" spans="1:7" ht="12.75" customHeight="1">
      <c r="A176" s="16"/>
      <c r="B176" s="944" t="s">
        <v>3</v>
      </c>
      <c r="C176" s="944"/>
      <c r="D176" s="944"/>
      <c r="E176" s="944"/>
      <c r="F176" s="147">
        <f>SUM(F98:F175)</f>
        <v>6693.49</v>
      </c>
      <c r="G176" s="50"/>
    </row>
    <row r="177" spans="1:8" ht="12.75" customHeight="1">
      <c r="A177" s="16"/>
      <c r="B177" s="63"/>
      <c r="C177" s="63"/>
      <c r="D177" s="63"/>
      <c r="E177" s="63"/>
      <c r="F177" s="63"/>
      <c r="G177" s="50"/>
    </row>
    <row r="178" spans="1:8" s="101" customFormat="1" ht="15.6">
      <c r="A178" s="143" t="s">
        <v>156</v>
      </c>
      <c r="B178" s="144"/>
      <c r="C178" s="140"/>
      <c r="D178" s="140"/>
      <c r="E178" s="141"/>
      <c r="F178" s="141" t="s">
        <v>0</v>
      </c>
      <c r="G178" s="142">
        <f>+G180</f>
        <v>1350</v>
      </c>
      <c r="H178" s="115"/>
    </row>
    <row r="179" spans="1:8" s="101" customFormat="1" ht="15.6">
      <c r="A179" s="116"/>
      <c r="B179" s="117"/>
      <c r="C179" s="118"/>
      <c r="D179" s="118"/>
      <c r="E179" s="119"/>
      <c r="F179" s="119"/>
      <c r="G179" s="120"/>
      <c r="H179" s="115"/>
    </row>
    <row r="180" spans="1:8" ht="18" customHeight="1">
      <c r="A180" s="30"/>
      <c r="B180" s="137" t="s">
        <v>36</v>
      </c>
      <c r="C180" s="32"/>
      <c r="D180" s="32"/>
      <c r="E180" s="2"/>
      <c r="F180" s="34" t="s">
        <v>0</v>
      </c>
      <c r="G180" s="35">
        <f>+F186</f>
        <v>1350</v>
      </c>
    </row>
    <row r="181" spans="1:8" ht="12.75" customHeight="1">
      <c r="A181" s="38"/>
      <c r="B181" s="39"/>
      <c r="C181" s="32"/>
      <c r="D181" s="32"/>
      <c r="E181" s="33"/>
      <c r="F181" s="32"/>
      <c r="G181" s="26"/>
    </row>
    <row r="182" spans="1:8" ht="12.75" customHeight="1">
      <c r="A182" s="16"/>
      <c r="B182" s="42" t="s">
        <v>34</v>
      </c>
      <c r="C182" s="43" t="s">
        <v>44</v>
      </c>
      <c r="D182" s="43" t="s">
        <v>18</v>
      </c>
      <c r="E182" s="43" t="s">
        <v>5</v>
      </c>
      <c r="F182" s="43" t="s">
        <v>4</v>
      </c>
      <c r="G182" s="26"/>
    </row>
    <row r="183" spans="1:8">
      <c r="A183" s="16"/>
      <c r="B183" s="14" t="s">
        <v>205</v>
      </c>
      <c r="C183" s="56" t="s">
        <v>122</v>
      </c>
      <c r="D183" s="56">
        <v>9</v>
      </c>
      <c r="E183" s="56">
        <v>120</v>
      </c>
      <c r="F183" s="14">
        <f>+D183*E183</f>
        <v>1080</v>
      </c>
      <c r="G183" s="26"/>
    </row>
    <row r="184" spans="1:8" ht="12.75" customHeight="1">
      <c r="A184" s="16"/>
      <c r="B184" s="14" t="s">
        <v>206</v>
      </c>
      <c r="C184" s="56" t="s">
        <v>111</v>
      </c>
      <c r="D184" s="56">
        <v>9</v>
      </c>
      <c r="E184" s="56">
        <v>20</v>
      </c>
      <c r="F184" s="14">
        <f>+D184*E184</f>
        <v>180</v>
      </c>
      <c r="G184" s="26"/>
    </row>
    <row r="185" spans="1:8">
      <c r="A185" s="16"/>
      <c r="B185" s="14" t="s">
        <v>207</v>
      </c>
      <c r="C185" s="56" t="s">
        <v>111</v>
      </c>
      <c r="D185" s="56">
        <v>9</v>
      </c>
      <c r="E185" s="56">
        <v>10</v>
      </c>
      <c r="F185" s="14">
        <f>+D185*E185</f>
        <v>90</v>
      </c>
      <c r="G185" s="26"/>
    </row>
    <row r="186" spans="1:8" ht="12.75" customHeight="1">
      <c r="A186" s="40"/>
      <c r="B186" s="944" t="s">
        <v>3</v>
      </c>
      <c r="C186" s="944"/>
      <c r="D186" s="944"/>
      <c r="E186" s="944"/>
      <c r="F186" s="45">
        <f>SUM(F183:F185)</f>
        <v>1350</v>
      </c>
      <c r="G186" s="26"/>
    </row>
    <row r="187" spans="1:8" ht="12.75" customHeight="1">
      <c r="A187" s="40"/>
      <c r="B187" s="63"/>
      <c r="C187" s="63"/>
      <c r="D187" s="63"/>
      <c r="E187" s="63"/>
      <c r="F187" s="32"/>
      <c r="G187" s="26"/>
    </row>
    <row r="188" spans="1:8" ht="12.75" customHeight="1">
      <c r="A188" s="40"/>
      <c r="B188" s="63"/>
      <c r="C188" s="63"/>
      <c r="D188" s="63"/>
      <c r="E188" s="63"/>
      <c r="G188" s="26"/>
    </row>
    <row r="189" spans="1:8" ht="15" hidden="1" customHeight="1">
      <c r="A189" s="30" t="s">
        <v>21</v>
      </c>
      <c r="B189" s="31" t="s">
        <v>90</v>
      </c>
      <c r="C189" s="32"/>
      <c r="D189" s="32"/>
      <c r="E189" s="2"/>
      <c r="F189" s="34" t="s">
        <v>0</v>
      </c>
      <c r="G189" s="91">
        <f>F197</f>
        <v>6445.5</v>
      </c>
    </row>
    <row r="190" spans="1:8" ht="12.75" hidden="1" customHeight="1">
      <c r="A190" s="38"/>
      <c r="B190" s="39"/>
      <c r="C190" s="32"/>
      <c r="D190" s="32"/>
      <c r="E190" s="33"/>
      <c r="F190" s="32"/>
      <c r="G190" s="26"/>
    </row>
    <row r="191" spans="1:8" ht="12.75" hidden="1" customHeight="1">
      <c r="A191" s="38">
        <v>1</v>
      </c>
      <c r="B191" s="39" t="s">
        <v>53</v>
      </c>
      <c r="C191" s="32"/>
      <c r="D191" s="32"/>
      <c r="E191" s="33"/>
      <c r="F191" s="32"/>
      <c r="G191" s="26"/>
    </row>
    <row r="192" spans="1:8" ht="12.75" hidden="1" customHeight="1">
      <c r="A192" s="38"/>
      <c r="B192" s="39"/>
      <c r="C192" s="32"/>
      <c r="D192" s="32"/>
      <c r="E192" s="33"/>
      <c r="F192" s="32"/>
      <c r="G192" s="26"/>
    </row>
    <row r="193" spans="1:7" ht="12.75" hidden="1" customHeight="1">
      <c r="A193" s="38"/>
      <c r="B193" s="42" t="s">
        <v>34</v>
      </c>
      <c r="C193" s="43" t="s">
        <v>44</v>
      </c>
      <c r="D193" s="43" t="s">
        <v>18</v>
      </c>
      <c r="E193" s="43" t="s">
        <v>5</v>
      </c>
      <c r="F193" s="43" t="s">
        <v>4</v>
      </c>
      <c r="G193" s="26"/>
    </row>
    <row r="194" spans="1:7" ht="14.25" hidden="1" customHeight="1">
      <c r="A194" s="38"/>
      <c r="B194" s="64" t="s">
        <v>88</v>
      </c>
      <c r="C194" s="1" t="s">
        <v>44</v>
      </c>
      <c r="D194" s="33">
        <v>1</v>
      </c>
      <c r="E194" s="13">
        <v>165</v>
      </c>
      <c r="F194" s="92">
        <f>D194*E194</f>
        <v>165</v>
      </c>
      <c r="G194" s="26"/>
    </row>
    <row r="195" spans="1:7" ht="14.25" hidden="1" customHeight="1">
      <c r="A195" s="38"/>
      <c r="B195" s="93" t="s">
        <v>87</v>
      </c>
      <c r="C195" s="1" t="s">
        <v>44</v>
      </c>
      <c r="D195" s="33">
        <v>1</v>
      </c>
      <c r="E195" s="13">
        <v>5600</v>
      </c>
      <c r="F195" s="92">
        <f>D195*E195</f>
        <v>5600</v>
      </c>
      <c r="G195" s="26"/>
    </row>
    <row r="196" spans="1:7" ht="12.75" hidden="1" customHeight="1">
      <c r="A196" s="38"/>
      <c r="B196" s="94" t="s">
        <v>78</v>
      </c>
      <c r="C196" s="47" t="s">
        <v>44</v>
      </c>
      <c r="D196" s="95">
        <v>1</v>
      </c>
      <c r="E196" s="47">
        <v>680.5</v>
      </c>
      <c r="F196" s="96">
        <f>+D196*E196</f>
        <v>680.5</v>
      </c>
      <c r="G196" s="26"/>
    </row>
    <row r="197" spans="1:7" ht="12.75" hidden="1" customHeight="1">
      <c r="A197" s="38"/>
      <c r="B197" s="939" t="s">
        <v>3</v>
      </c>
      <c r="C197" s="940"/>
      <c r="D197" s="940"/>
      <c r="E197" s="941"/>
      <c r="F197" s="45">
        <f>SUM(F194:F196)</f>
        <v>6445.5</v>
      </c>
      <c r="G197" s="26"/>
    </row>
    <row r="198" spans="1:7" ht="12.75" hidden="1" customHeight="1">
      <c r="A198" s="40"/>
      <c r="B198" s="63"/>
      <c r="C198" s="63"/>
      <c r="D198" s="63"/>
      <c r="E198" s="63"/>
      <c r="F198" s="32"/>
      <c r="G198" s="26"/>
    </row>
    <row r="199" spans="1:7" ht="12.75" hidden="1" customHeight="1">
      <c r="A199" s="40"/>
      <c r="B199" s="63"/>
      <c r="C199" s="63"/>
      <c r="D199" s="63"/>
      <c r="E199" s="63"/>
      <c r="F199" s="32"/>
      <c r="G199" s="26"/>
    </row>
    <row r="200" spans="1:7" ht="15.6">
      <c r="A200" s="942" t="s">
        <v>210</v>
      </c>
      <c r="B200" s="942"/>
      <c r="C200" s="942"/>
      <c r="D200" s="942"/>
      <c r="E200" s="942"/>
      <c r="F200" s="34" t="s">
        <v>0</v>
      </c>
      <c r="G200" s="97">
        <f>+G18</f>
        <v>18403.09</v>
      </c>
    </row>
    <row r="203" spans="1:7">
      <c r="G203" s="28"/>
    </row>
    <row r="205" spans="1:7">
      <c r="G205" s="19"/>
    </row>
    <row r="206" spans="1:7">
      <c r="G206" s="98"/>
    </row>
    <row r="207" spans="1:7">
      <c r="G207" s="98"/>
    </row>
    <row r="208" spans="1:7">
      <c r="F208" s="28"/>
      <c r="G208" s="19"/>
    </row>
  </sheetData>
  <mergeCells count="16">
    <mergeCell ref="A24:G24"/>
    <mergeCell ref="A1:G1"/>
    <mergeCell ref="C9:G10"/>
    <mergeCell ref="C13:F13"/>
    <mergeCell ref="B18:F18"/>
    <mergeCell ref="A22:G22"/>
    <mergeCell ref="A200:E200"/>
    <mergeCell ref="B176:E176"/>
    <mergeCell ref="B186:E186"/>
    <mergeCell ref="B197:E197"/>
    <mergeCell ref="B37:E37"/>
    <mergeCell ref="B49:E49"/>
    <mergeCell ref="B59:E59"/>
    <mergeCell ref="B70:E70"/>
    <mergeCell ref="B79:E79"/>
    <mergeCell ref="B90:E90"/>
  </mergeCells>
  <printOptions horizontalCentered="1"/>
  <pageMargins left="0.55000000000000004" right="0.19685039370078741" top="0.98425196850393704" bottom="0.39370078740157483" header="0.02" footer="0"/>
  <pageSetup paperSize="9" scale="68" orientation="portrait" horizontalDpi="4294967292" verticalDpi="180" r:id="rId1"/>
  <headerFooter alignWithMargins="0"/>
  <rowBreaks count="3" manualBreakCount="3">
    <brk id="20" max="16383" man="1"/>
    <brk id="90" max="6" man="1"/>
    <brk id="152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tabColor indexed="43"/>
    <pageSetUpPr fitToPage="1"/>
  </sheetPr>
  <dimension ref="B2:P198"/>
  <sheetViews>
    <sheetView showGridLines="0" view="pageBreakPreview" topLeftCell="A87" zoomScale="70" zoomScaleNormal="85" zoomScaleSheetLayoutView="70" zoomScalePageLayoutView="75" workbookViewId="0">
      <selection activeCell="C133" sqref="C133:D133"/>
    </sheetView>
  </sheetViews>
  <sheetFormatPr baseColWidth="10" defaultColWidth="11.44140625" defaultRowHeight="13.8"/>
  <cols>
    <col min="1" max="1" width="2.109375" style="571" customWidth="1"/>
    <col min="2" max="2" width="8.44140625" style="642" customWidth="1"/>
    <col min="3" max="3" width="46.33203125" style="569" customWidth="1"/>
    <col min="4" max="4" width="20" style="569" customWidth="1"/>
    <col min="5" max="5" width="15.109375" style="569" customWidth="1"/>
    <col min="6" max="6" width="10.44140625" style="570" customWidth="1"/>
    <col min="7" max="7" width="15.33203125" style="570" customWidth="1"/>
    <col min="8" max="8" width="13.44140625" style="569" customWidth="1"/>
    <col min="9" max="9" width="14.5546875" style="569" customWidth="1"/>
    <col min="10" max="10" width="19.33203125" style="571" customWidth="1"/>
    <col min="11" max="11" width="33.44140625" style="571" customWidth="1"/>
    <col min="12" max="16384" width="11.44140625" style="571"/>
  </cols>
  <sheetData>
    <row r="2" spans="2:9">
      <c r="B2" s="571"/>
    </row>
    <row r="3" spans="2:9" ht="28.8">
      <c r="B3" s="571"/>
      <c r="C3" s="1007" t="s">
        <v>476</v>
      </c>
      <c r="D3" s="1007"/>
      <c r="E3" s="1007"/>
      <c r="F3" s="1007"/>
      <c r="G3" s="1007"/>
      <c r="H3" s="1007"/>
      <c r="I3" s="1007"/>
    </row>
    <row r="4" spans="2:9" ht="23.4">
      <c r="B4" s="571"/>
      <c r="C4" s="1008" t="s">
        <v>477</v>
      </c>
      <c r="D4" s="1008"/>
      <c r="E4" s="1008"/>
      <c r="F4" s="1008"/>
      <c r="G4" s="1008"/>
      <c r="H4" s="1008"/>
      <c r="I4" s="1008"/>
    </row>
    <row r="5" spans="2:9" ht="20.399999999999999">
      <c r="B5" s="571"/>
      <c r="C5" s="1009" t="s">
        <v>478</v>
      </c>
      <c r="D5" s="1009"/>
      <c r="E5" s="1009"/>
      <c r="F5" s="1009"/>
      <c r="G5" s="1009"/>
      <c r="H5" s="1009"/>
      <c r="I5" s="1009"/>
    </row>
    <row r="6" spans="2:9" ht="21" customHeight="1" thickBot="1">
      <c r="B6" s="571"/>
      <c r="C6" s="1010" t="str">
        <f>+G.General!C6</f>
        <v>"Año de la Universalización de la Salud"</v>
      </c>
      <c r="D6" s="1010"/>
      <c r="E6" s="1010"/>
      <c r="F6" s="1010"/>
      <c r="G6" s="1010"/>
      <c r="H6" s="1010"/>
      <c r="I6" s="1010"/>
    </row>
    <row r="7" spans="2:9" ht="21" customHeight="1">
      <c r="B7" s="571"/>
      <c r="F7" s="569"/>
    </row>
    <row r="8" spans="2:9" ht="23.4" customHeight="1">
      <c r="B8" s="1006" t="s">
        <v>520</v>
      </c>
      <c r="C8" s="1006"/>
      <c r="D8" s="1006"/>
      <c r="E8" s="1006"/>
      <c r="F8" s="1006"/>
      <c r="G8" s="1006"/>
      <c r="H8" s="1006"/>
      <c r="I8" s="1006"/>
    </row>
    <row r="9" spans="2:9" ht="18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6" t="s">
        <v>623</v>
      </c>
      <c r="D10" s="575" t="str">
        <f>+'RESUMEN TOTAL'!D9</f>
        <v>: 2485224</v>
      </c>
      <c r="E10" s="575"/>
      <c r="F10" s="573"/>
      <c r="G10" s="573"/>
      <c r="H10" s="573"/>
      <c r="I10" s="573"/>
    </row>
    <row r="11" spans="2:9" ht="18" customHeight="1">
      <c r="C11" s="826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826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826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35.25" customHeight="1">
      <c r="C14" s="827" t="s">
        <v>467</v>
      </c>
      <c r="D14" s="980" t="str">
        <f>'G. Liquidacion'!D14:H15</f>
        <v>"ADQUISICION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APURIMAC"</v>
      </c>
      <c r="E14" s="980"/>
      <c r="F14" s="980"/>
      <c r="G14" s="980"/>
      <c r="H14" s="980"/>
      <c r="I14" s="980"/>
    </row>
    <row r="15" spans="2:9" ht="18" customHeight="1" thickBot="1">
      <c r="C15" s="669"/>
      <c r="D15" s="980"/>
      <c r="E15" s="980"/>
      <c r="F15" s="980"/>
      <c r="G15" s="980"/>
      <c r="H15" s="980"/>
      <c r="I15" s="980"/>
    </row>
    <row r="16" spans="2:9" s="831" customFormat="1" ht="20.25" customHeight="1">
      <c r="B16" s="828"/>
      <c r="C16" s="854" t="s">
        <v>23</v>
      </c>
      <c r="D16" s="1050" t="s">
        <v>24</v>
      </c>
      <c r="E16" s="1050"/>
      <c r="F16" s="1050"/>
      <c r="G16" s="1050"/>
      <c r="H16" s="1050"/>
      <c r="I16" s="855" t="s">
        <v>445</v>
      </c>
    </row>
    <row r="17" spans="2:13" s="831" customFormat="1" ht="17.399999999999999" customHeight="1">
      <c r="B17" s="828"/>
      <c r="C17" s="639" t="s">
        <v>471</v>
      </c>
      <c r="D17" s="1049" t="s">
        <v>99</v>
      </c>
      <c r="E17" s="1049"/>
      <c r="F17" s="1049"/>
      <c r="G17" s="1049"/>
      <c r="H17" s="1049"/>
      <c r="I17" s="576">
        <f>+I27</f>
        <v>15605</v>
      </c>
    </row>
    <row r="18" spans="2:13" s="831" customFormat="1" ht="17.399999999999999" customHeight="1">
      <c r="B18" s="828"/>
      <c r="C18" s="639" t="s">
        <v>472</v>
      </c>
      <c r="D18" s="1049" t="s">
        <v>100</v>
      </c>
      <c r="E18" s="1049"/>
      <c r="F18" s="1049"/>
      <c r="G18" s="1049"/>
      <c r="H18" s="1049"/>
      <c r="I18" s="576">
        <f>+I105</f>
        <v>271.5</v>
      </c>
    </row>
    <row r="19" spans="2:13" s="831" customFormat="1" ht="17.399999999999999" customHeight="1">
      <c r="B19" s="828"/>
      <c r="C19" s="639" t="s">
        <v>473</v>
      </c>
      <c r="D19" s="1049" t="s">
        <v>101</v>
      </c>
      <c r="E19" s="1049"/>
      <c r="F19" s="1049"/>
      <c r="G19" s="1049"/>
      <c r="H19" s="1049"/>
      <c r="I19" s="576">
        <f>+I144</f>
        <v>300</v>
      </c>
    </row>
    <row r="20" spans="2:13" s="831" customFormat="1" ht="17.399999999999999" customHeight="1">
      <c r="B20" s="828"/>
      <c r="C20" s="639" t="s">
        <v>474</v>
      </c>
      <c r="D20" s="1049" t="s">
        <v>102</v>
      </c>
      <c r="E20" s="1049"/>
      <c r="F20" s="1049"/>
      <c r="G20" s="1049"/>
      <c r="H20" s="1049"/>
      <c r="I20" s="576">
        <v>0</v>
      </c>
    </row>
    <row r="21" spans="2:13" s="831" customFormat="1" ht="20.25" customHeight="1" thickBot="1">
      <c r="B21" s="828"/>
      <c r="C21" s="1051" t="s">
        <v>26</v>
      </c>
      <c r="D21" s="1052"/>
      <c r="E21" s="1052"/>
      <c r="F21" s="1052"/>
      <c r="G21" s="1052"/>
      <c r="H21" s="1052"/>
      <c r="I21" s="577">
        <f>SUM(I17:I20)</f>
        <v>16176.5</v>
      </c>
      <c r="J21" s="835"/>
      <c r="K21" s="668"/>
      <c r="L21" s="835"/>
    </row>
    <row r="22" spans="2:13" ht="18" customHeight="1">
      <c r="C22" s="669"/>
      <c r="D22" s="670"/>
      <c r="E22" s="670"/>
      <c r="F22" s="671"/>
    </row>
    <row r="23" spans="2:13" ht="27" customHeight="1">
      <c r="B23" s="993" t="s">
        <v>479</v>
      </c>
      <c r="C23" s="993"/>
      <c r="D23" s="993"/>
      <c r="E23" s="993"/>
      <c r="F23" s="993"/>
      <c r="G23" s="993"/>
      <c r="H23" s="993"/>
      <c r="I23" s="993"/>
    </row>
    <row r="24" spans="2:13" ht="10.95" customHeight="1">
      <c r="B24" s="672"/>
      <c r="C24" s="673"/>
      <c r="D24" s="674"/>
      <c r="E24" s="674"/>
      <c r="F24" s="675"/>
      <c r="G24" s="675"/>
      <c r="H24" s="673"/>
      <c r="I24" s="673"/>
    </row>
    <row r="25" spans="2:13" ht="19.95" customHeight="1">
      <c r="B25" s="994" t="s">
        <v>519</v>
      </c>
      <c r="C25" s="994"/>
      <c r="D25" s="994"/>
      <c r="E25" s="994"/>
      <c r="F25" s="994"/>
      <c r="G25" s="994"/>
      <c r="H25" s="994"/>
      <c r="I25" s="994"/>
    </row>
    <row r="26" spans="2:13" ht="13.5" customHeight="1">
      <c r="B26" s="572"/>
      <c r="C26" s="572"/>
      <c r="D26" s="676"/>
      <c r="E26" s="676"/>
      <c r="F26" s="677"/>
      <c r="G26" s="677"/>
      <c r="H26" s="572"/>
      <c r="I26" s="572"/>
    </row>
    <row r="27" spans="2:13" s="831" customFormat="1" ht="13.5" customHeight="1">
      <c r="B27" s="836" t="s">
        <v>313</v>
      </c>
      <c r="C27" s="837"/>
      <c r="D27" s="838"/>
      <c r="E27" s="838"/>
      <c r="F27" s="838"/>
      <c r="G27" s="840"/>
      <c r="H27" s="840" t="s">
        <v>0</v>
      </c>
      <c r="I27" s="841">
        <f>ROUND((I29+I41+I62+I82+I93),2)</f>
        <v>15605</v>
      </c>
      <c r="J27" s="842"/>
      <c r="K27" s="856" t="s">
        <v>446</v>
      </c>
      <c r="L27" s="856"/>
      <c r="M27" s="856"/>
    </row>
    <row r="28" spans="2:13" s="844" customFormat="1" ht="13.5" customHeight="1">
      <c r="B28" s="843"/>
      <c r="D28" s="845"/>
      <c r="E28" s="845"/>
      <c r="F28" s="845"/>
      <c r="G28" s="847"/>
      <c r="H28" s="847"/>
      <c r="I28" s="848"/>
      <c r="J28" s="849"/>
      <c r="K28" s="857" t="s">
        <v>447</v>
      </c>
      <c r="L28" s="857" t="s">
        <v>448</v>
      </c>
      <c r="M28" s="857" t="s">
        <v>44</v>
      </c>
    </row>
    <row r="29" spans="2:13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+H38</f>
        <v>11975</v>
      </c>
      <c r="K29" s="858" t="s">
        <v>449</v>
      </c>
      <c r="L29" s="859"/>
      <c r="M29" s="859"/>
    </row>
    <row r="30" spans="2:13" ht="13.5" customHeight="1">
      <c r="B30" s="697"/>
      <c r="C30" s="698"/>
      <c r="D30" s="699"/>
      <c r="E30" s="699"/>
      <c r="F30" s="700"/>
      <c r="G30" s="700"/>
      <c r="H30" s="699"/>
      <c r="I30" s="699"/>
      <c r="K30" s="1047" t="s">
        <v>450</v>
      </c>
      <c r="L30" s="860">
        <v>20</v>
      </c>
      <c r="M30" s="1046" t="s">
        <v>451</v>
      </c>
    </row>
    <row r="31" spans="2:13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+H38</f>
        <v>11975</v>
      </c>
      <c r="K31" s="1047"/>
      <c r="L31" s="860"/>
      <c r="M31" s="1046"/>
    </row>
    <row r="32" spans="2:13" ht="13.5" customHeight="1">
      <c r="B32" s="704"/>
      <c r="C32" s="705"/>
      <c r="D32" s="699"/>
      <c r="E32" s="699"/>
      <c r="F32" s="700"/>
      <c r="G32" s="700"/>
      <c r="H32" s="699"/>
      <c r="I32" s="699"/>
      <c r="K32" s="1047" t="s">
        <v>452</v>
      </c>
      <c r="L32" s="860">
        <f>5*30</f>
        <v>150</v>
      </c>
      <c r="M32" s="1046" t="s">
        <v>451</v>
      </c>
    </row>
    <row r="33" spans="2:14" ht="13.5" customHeight="1">
      <c r="B33" s="572"/>
      <c r="C33" s="641" t="s">
        <v>556</v>
      </c>
      <c r="D33" s="705"/>
      <c r="E33" s="705"/>
      <c r="F33" s="706"/>
      <c r="G33" s="706"/>
      <c r="H33" s="705"/>
      <c r="I33" s="699"/>
      <c r="K33" s="1047"/>
      <c r="L33" s="860"/>
      <c r="M33" s="1046"/>
    </row>
    <row r="34" spans="2:14" ht="13.5" customHeight="1">
      <c r="B34" s="572"/>
      <c r="C34" s="641"/>
      <c r="D34" s="705"/>
      <c r="E34" s="705"/>
      <c r="F34" s="706"/>
      <c r="G34" s="706"/>
      <c r="H34" s="705"/>
      <c r="I34" s="699"/>
      <c r="K34" s="1047" t="s">
        <v>453</v>
      </c>
      <c r="L34" s="860">
        <v>20</v>
      </c>
      <c r="M34" s="1046" t="s">
        <v>451</v>
      </c>
    </row>
    <row r="35" spans="2:14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  <c r="K35" s="1047"/>
      <c r="L35" s="860"/>
      <c r="M35" s="1046"/>
    </row>
    <row r="36" spans="2:14" ht="13.5" customHeight="1">
      <c r="B36" s="710"/>
      <c r="C36" s="711" t="s">
        <v>559</v>
      </c>
      <c r="D36" s="640">
        <v>1</v>
      </c>
      <c r="E36" s="640">
        <v>0.5</v>
      </c>
      <c r="F36" s="640">
        <v>3</v>
      </c>
      <c r="G36" s="640">
        <v>5750</v>
      </c>
      <c r="H36" s="711">
        <f>PRODUCT(D36:G36)</f>
        <v>8625</v>
      </c>
      <c r="K36" s="1047" t="s">
        <v>454</v>
      </c>
      <c r="L36" s="860">
        <v>540</v>
      </c>
      <c r="M36" s="1046" t="s">
        <v>451</v>
      </c>
      <c r="N36" s="571">
        <f>18*30</f>
        <v>540</v>
      </c>
    </row>
    <row r="37" spans="2:14" ht="13.5" customHeight="1">
      <c r="B37" s="710"/>
      <c r="C37" s="711" t="s">
        <v>308</v>
      </c>
      <c r="D37" s="640">
        <v>1</v>
      </c>
      <c r="E37" s="640">
        <v>0.5</v>
      </c>
      <c r="F37" s="640">
        <v>2</v>
      </c>
      <c r="G37" s="640">
        <v>3350</v>
      </c>
      <c r="H37" s="711">
        <f>PRODUCT(D37:G37)</f>
        <v>3350</v>
      </c>
      <c r="K37" s="1047"/>
      <c r="L37" s="860"/>
      <c r="M37" s="1046"/>
    </row>
    <row r="38" spans="2:14" ht="13.5" customHeight="1">
      <c r="B38" s="713"/>
      <c r="C38" s="986" t="s">
        <v>3</v>
      </c>
      <c r="D38" s="986"/>
      <c r="E38" s="986"/>
      <c r="F38" s="986"/>
      <c r="G38" s="986"/>
      <c r="H38" s="714">
        <f>SUM(H36:H37)</f>
        <v>11975</v>
      </c>
      <c r="I38" s="705"/>
      <c r="K38" s="1047" t="s">
        <v>455</v>
      </c>
      <c r="L38" s="860">
        <v>25</v>
      </c>
      <c r="M38" s="1046" t="s">
        <v>451</v>
      </c>
    </row>
    <row r="39" spans="2:14" ht="13.5" customHeight="1">
      <c r="B39" s="572"/>
      <c r="C39" s="699"/>
      <c r="D39" s="699"/>
      <c r="E39" s="699"/>
      <c r="F39" s="700"/>
      <c r="G39" s="700"/>
      <c r="H39" s="699"/>
      <c r="I39" s="699"/>
      <c r="K39" s="1047"/>
      <c r="L39" s="860"/>
      <c r="M39" s="1046"/>
    </row>
    <row r="40" spans="2:14" ht="13.5" customHeight="1">
      <c r="B40" s="572"/>
      <c r="C40" s="699"/>
      <c r="D40" s="699"/>
      <c r="E40" s="699"/>
      <c r="F40" s="700"/>
      <c r="G40" s="700"/>
      <c r="H40" s="699"/>
      <c r="I40" s="699"/>
      <c r="K40" s="1047" t="s">
        <v>456</v>
      </c>
      <c r="L40" s="860">
        <v>60</v>
      </c>
      <c r="M40" s="1046" t="s">
        <v>451</v>
      </c>
    </row>
    <row r="41" spans="2:14" ht="13.5" customHeight="1">
      <c r="B41" s="690">
        <v>2</v>
      </c>
      <c r="C41" s="691" t="s">
        <v>15</v>
      </c>
      <c r="D41" s="692"/>
      <c r="E41" s="692"/>
      <c r="F41" s="693"/>
      <c r="G41" s="694"/>
      <c r="H41" s="695" t="s">
        <v>0</v>
      </c>
      <c r="I41" s="696">
        <f>+H50+H59</f>
        <v>1442.9875</v>
      </c>
      <c r="K41" s="1047"/>
      <c r="L41" s="860"/>
      <c r="M41" s="1046"/>
    </row>
    <row r="42" spans="2:14" ht="13.5" customHeight="1">
      <c r="B42" s="697"/>
      <c r="C42" s="698"/>
      <c r="D42" s="699"/>
      <c r="E42" s="699"/>
      <c r="F42" s="700"/>
      <c r="G42" s="700"/>
      <c r="H42" s="699"/>
      <c r="I42" s="699"/>
      <c r="K42" s="1048" t="s">
        <v>3</v>
      </c>
      <c r="L42" s="859">
        <f>SUM(L30:L41)</f>
        <v>815</v>
      </c>
      <c r="M42" s="859" t="s">
        <v>451</v>
      </c>
    </row>
    <row r="43" spans="2:14" ht="13.5" customHeight="1">
      <c r="B43" s="701">
        <v>2.0099999999999998</v>
      </c>
      <c r="C43" s="641" t="s">
        <v>95</v>
      </c>
      <c r="D43" s="699"/>
      <c r="E43" s="699"/>
      <c r="F43" s="700"/>
      <c r="G43" s="700"/>
      <c r="H43" s="702" t="s">
        <v>0</v>
      </c>
      <c r="I43" s="703">
        <f>+H50</f>
        <v>1077.75</v>
      </c>
      <c r="K43" s="1048"/>
      <c r="L43" s="861">
        <f>+L42/30</f>
        <v>27.166666666666668</v>
      </c>
      <c r="M43" s="859" t="s">
        <v>32</v>
      </c>
    </row>
    <row r="44" spans="2:14" ht="13.5" customHeight="1">
      <c r="B44" s="715"/>
      <c r="C44" s="641"/>
      <c r="D44" s="699"/>
      <c r="E44" s="699"/>
      <c r="F44" s="700"/>
      <c r="G44" s="700"/>
      <c r="H44" s="699"/>
      <c r="I44" s="699"/>
    </row>
    <row r="45" spans="2:14" ht="13.5" customHeight="1">
      <c r="B45" s="704"/>
      <c r="C45" s="641" t="s">
        <v>29</v>
      </c>
      <c r="D45" s="705"/>
      <c r="E45" s="705"/>
      <c r="F45" s="706"/>
      <c r="G45" s="706"/>
      <c r="H45" s="699"/>
      <c r="I45" s="699"/>
    </row>
    <row r="46" spans="2:14" ht="13.5" customHeight="1">
      <c r="B46" s="704"/>
      <c r="C46" s="641"/>
      <c r="D46" s="705"/>
      <c r="E46" s="705"/>
      <c r="F46" s="706"/>
      <c r="G46" s="706"/>
      <c r="H46" s="699"/>
      <c r="I46" s="699"/>
    </row>
    <row r="47" spans="2:14" ht="13.5" customHeight="1">
      <c r="B47" s="572"/>
      <c r="C47" s="708" t="s">
        <v>30</v>
      </c>
      <c r="D47" s="784" t="s">
        <v>31</v>
      </c>
      <c r="E47" s="784" t="str">
        <f>+E35</f>
        <v>COEF. PARTIC.</v>
      </c>
      <c r="F47" s="784" t="s">
        <v>32</v>
      </c>
      <c r="G47" s="784" t="s">
        <v>13</v>
      </c>
      <c r="H47" s="784" t="s">
        <v>4</v>
      </c>
      <c r="I47" s="699"/>
    </row>
    <row r="48" spans="2:14" ht="13.5" customHeight="1">
      <c r="B48" s="572"/>
      <c r="C48" s="711" t="str">
        <f>+C36</f>
        <v>COORDINADOR DE OBRAS (INGENIERO CIVIL O ARQUITECTO)</v>
      </c>
      <c r="D48" s="640">
        <f>+D36</f>
        <v>1</v>
      </c>
      <c r="E48" s="640">
        <f>+E36</f>
        <v>0.5</v>
      </c>
      <c r="F48" s="640">
        <f>+F36</f>
        <v>3</v>
      </c>
      <c r="G48" s="640">
        <f>+G36*0.09</f>
        <v>517.5</v>
      </c>
      <c r="H48" s="711">
        <f>PRODUCT(D48:G48)</f>
        <v>776.25</v>
      </c>
      <c r="I48" s="699"/>
    </row>
    <row r="49" spans="2:9" ht="13.5" customHeight="1">
      <c r="B49" s="572"/>
      <c r="C49" s="711" t="str">
        <f>+C37</f>
        <v>ASISTENTE ADMINISTRATIVO</v>
      </c>
      <c r="D49" s="640">
        <f>+D37</f>
        <v>1</v>
      </c>
      <c r="E49" s="640">
        <f>+E37</f>
        <v>0.5</v>
      </c>
      <c r="F49" s="640">
        <f>+F37</f>
        <v>2</v>
      </c>
      <c r="G49" s="640">
        <f>+G37*0.09</f>
        <v>301.5</v>
      </c>
      <c r="H49" s="711">
        <f>PRODUCT(D49:G49)</f>
        <v>301.5</v>
      </c>
      <c r="I49" s="699"/>
    </row>
    <row r="50" spans="2:9" ht="13.5" customHeight="1">
      <c r="B50" s="572"/>
      <c r="C50" s="964" t="s">
        <v>3</v>
      </c>
      <c r="D50" s="965"/>
      <c r="E50" s="965"/>
      <c r="F50" s="965"/>
      <c r="G50" s="966"/>
      <c r="H50" s="714">
        <f>SUM(H48:H49)</f>
        <v>1077.75</v>
      </c>
      <c r="I50" s="699"/>
    </row>
    <row r="51" spans="2:9" ht="13.5" customHeight="1">
      <c r="B51" s="572"/>
      <c r="C51" s="716"/>
      <c r="D51" s="716"/>
      <c r="E51" s="716"/>
      <c r="F51" s="700"/>
      <c r="G51" s="700"/>
      <c r="H51" s="699"/>
      <c r="I51" s="699"/>
    </row>
    <row r="52" spans="2:9" ht="13.5" customHeight="1">
      <c r="B52" s="701">
        <v>2.02</v>
      </c>
      <c r="C52" s="641" t="s">
        <v>557</v>
      </c>
      <c r="D52" s="699"/>
      <c r="E52" s="699"/>
      <c r="F52" s="700"/>
      <c r="G52" s="700"/>
      <c r="H52" s="702" t="s">
        <v>0</v>
      </c>
      <c r="I52" s="703">
        <f>+H59</f>
        <v>365.23750000000001</v>
      </c>
    </row>
    <row r="53" spans="2:9" ht="13.5" customHeight="1">
      <c r="B53" s="715"/>
      <c r="C53" s="641"/>
      <c r="D53" s="699"/>
      <c r="E53" s="699"/>
      <c r="F53" s="700"/>
      <c r="G53" s="700"/>
      <c r="H53" s="699"/>
      <c r="I53" s="699"/>
    </row>
    <row r="54" spans="2:9" ht="13.5" customHeight="1">
      <c r="B54" s="572"/>
      <c r="C54" s="641" t="s">
        <v>29</v>
      </c>
      <c r="D54" s="705"/>
      <c r="E54" s="705"/>
      <c r="F54" s="706"/>
      <c r="G54" s="706"/>
      <c r="H54" s="699"/>
      <c r="I54" s="699"/>
    </row>
    <row r="55" spans="2:9" ht="13.5" customHeight="1">
      <c r="B55" s="572"/>
      <c r="C55" s="641"/>
      <c r="D55" s="705"/>
      <c r="E55" s="705"/>
      <c r="F55" s="706"/>
      <c r="G55" s="706"/>
      <c r="H55" s="699"/>
      <c r="I55" s="699"/>
    </row>
    <row r="56" spans="2:9" ht="13.5" customHeight="1">
      <c r="B56" s="572"/>
      <c r="C56" s="708" t="s">
        <v>30</v>
      </c>
      <c r="D56" s="784" t="s">
        <v>31</v>
      </c>
      <c r="E56" s="784" t="str">
        <f>+E35</f>
        <v>COEF. PARTIC.</v>
      </c>
      <c r="F56" s="784" t="s">
        <v>32</v>
      </c>
      <c r="G56" s="784" t="s">
        <v>13</v>
      </c>
      <c r="H56" s="784" t="s">
        <v>4</v>
      </c>
      <c r="I56" s="699"/>
    </row>
    <row r="57" spans="2:9" ht="13.5" customHeight="1">
      <c r="B57" s="572"/>
      <c r="C57" s="711" t="str">
        <f>+C36</f>
        <v>COORDINADOR DE OBRAS (INGENIERO CIVIL O ARQUITECTO)</v>
      </c>
      <c r="D57" s="640">
        <f>+D36</f>
        <v>1</v>
      </c>
      <c r="E57" s="640">
        <f>+E36</f>
        <v>0.5</v>
      </c>
      <c r="F57" s="640">
        <f>+F36</f>
        <v>3</v>
      </c>
      <c r="G57" s="640">
        <f>+G36*0.0305</f>
        <v>175.375</v>
      </c>
      <c r="H57" s="711">
        <f>PRODUCT(D57:G57)</f>
        <v>263.0625</v>
      </c>
      <c r="I57" s="699"/>
    </row>
    <row r="58" spans="2:9" ht="13.5" customHeight="1">
      <c r="B58" s="572"/>
      <c r="C58" s="711" t="str">
        <f>+C37</f>
        <v>ASISTENTE ADMINISTRATIVO</v>
      </c>
      <c r="D58" s="640">
        <f>+D37</f>
        <v>1</v>
      </c>
      <c r="E58" s="640">
        <f>+E37</f>
        <v>0.5</v>
      </c>
      <c r="F58" s="640">
        <f>+F37</f>
        <v>2</v>
      </c>
      <c r="G58" s="640">
        <f>+G37*0.0305</f>
        <v>102.175</v>
      </c>
      <c r="H58" s="711">
        <f>PRODUCT(D58:G58)</f>
        <v>102.175</v>
      </c>
      <c r="I58" s="699"/>
    </row>
    <row r="59" spans="2:9" ht="13.5" customHeight="1">
      <c r="B59" s="572"/>
      <c r="C59" s="964" t="s">
        <v>3</v>
      </c>
      <c r="D59" s="965"/>
      <c r="E59" s="965"/>
      <c r="F59" s="965"/>
      <c r="G59" s="966"/>
      <c r="H59" s="714">
        <f>SUM(H57:H58)</f>
        <v>365.23750000000001</v>
      </c>
      <c r="I59" s="699"/>
    </row>
    <row r="60" spans="2:9" ht="13.5" customHeight="1">
      <c r="B60" s="572"/>
      <c r="C60" s="578"/>
      <c r="D60" s="578"/>
      <c r="E60" s="578"/>
      <c r="F60" s="578"/>
      <c r="G60" s="578"/>
      <c r="H60" s="699"/>
      <c r="I60" s="699"/>
    </row>
    <row r="61" spans="2:9" ht="13.5" customHeight="1">
      <c r="B61" s="572"/>
      <c r="C61" s="699"/>
      <c r="D61" s="699"/>
      <c r="E61" s="699"/>
      <c r="F61" s="700"/>
      <c r="G61" s="700"/>
      <c r="H61" s="699"/>
      <c r="I61" s="699"/>
    </row>
    <row r="62" spans="2:9" ht="13.5" customHeight="1">
      <c r="B62" s="690">
        <v>3</v>
      </c>
      <c r="C62" s="691" t="s">
        <v>16</v>
      </c>
      <c r="D62" s="692"/>
      <c r="E62" s="692"/>
      <c r="F62" s="693"/>
      <c r="G62" s="694"/>
      <c r="H62" s="695" t="s">
        <v>0</v>
      </c>
      <c r="I62" s="696">
        <f>+H71+H80</f>
        <v>1829.5138888888889</v>
      </c>
    </row>
    <row r="63" spans="2:9" ht="13.5" customHeight="1">
      <c r="B63" s="717"/>
      <c r="C63" s="718"/>
      <c r="D63" s="699"/>
      <c r="E63" s="699"/>
      <c r="F63" s="705"/>
      <c r="G63" s="787"/>
      <c r="H63" s="702"/>
      <c r="I63" s="703"/>
    </row>
    <row r="64" spans="2:9" ht="13.5" customHeight="1">
      <c r="B64" s="701">
        <v>3.01</v>
      </c>
      <c r="C64" s="641" t="s">
        <v>419</v>
      </c>
      <c r="D64" s="699"/>
      <c r="E64" s="699"/>
      <c r="F64" s="700"/>
      <c r="G64" s="700"/>
      <c r="H64" s="702" t="s">
        <v>0</v>
      </c>
      <c r="I64" s="703">
        <f>+H71</f>
        <v>1796.25</v>
      </c>
    </row>
    <row r="65" spans="2:9" ht="13.5" customHeight="1">
      <c r="B65" s="715"/>
      <c r="C65" s="641"/>
      <c r="D65" s="699"/>
      <c r="E65" s="699"/>
      <c r="F65" s="700"/>
      <c r="G65" s="700"/>
      <c r="H65" s="699"/>
      <c r="I65" s="699"/>
    </row>
    <row r="66" spans="2:9" ht="13.5" customHeight="1">
      <c r="B66" s="572"/>
      <c r="C66" s="720" t="s">
        <v>29</v>
      </c>
      <c r="D66" s="705"/>
      <c r="E66" s="705"/>
      <c r="F66" s="706"/>
      <c r="G66" s="706"/>
      <c r="H66" s="705"/>
      <c r="I66" s="700"/>
    </row>
    <row r="67" spans="2:9" ht="13.5" customHeight="1">
      <c r="B67" s="572"/>
      <c r="C67" s="720"/>
      <c r="D67" s="705"/>
      <c r="E67" s="705"/>
      <c r="F67" s="706"/>
      <c r="G67" s="706"/>
      <c r="H67" s="705"/>
      <c r="I67" s="700"/>
    </row>
    <row r="68" spans="2:9" ht="13.5" customHeight="1">
      <c r="B68" s="572"/>
      <c r="C68" s="708" t="s">
        <v>30</v>
      </c>
      <c r="D68" s="784" t="s">
        <v>31</v>
      </c>
      <c r="E68" s="784" t="str">
        <f>+E35</f>
        <v>COEF. PARTIC.</v>
      </c>
      <c r="F68" s="784" t="s">
        <v>32</v>
      </c>
      <c r="G68" s="784" t="s">
        <v>13</v>
      </c>
      <c r="H68" s="784" t="s">
        <v>4</v>
      </c>
      <c r="I68" s="699"/>
    </row>
    <row r="69" spans="2:9" ht="13.5" customHeight="1">
      <c r="B69" s="572"/>
      <c r="C69" s="711" t="str">
        <f>+C36</f>
        <v>COORDINADOR DE OBRAS (INGENIERO CIVIL O ARQUITECTO)</v>
      </c>
      <c r="D69" s="640">
        <f>+D36</f>
        <v>1</v>
      </c>
      <c r="E69" s="640">
        <f>+E36</f>
        <v>0.5</v>
      </c>
      <c r="F69" s="640">
        <f>+F36</f>
        <v>3</v>
      </c>
      <c r="G69" s="640">
        <f>+G36*0.15</f>
        <v>862.5</v>
      </c>
      <c r="H69" s="711">
        <f>PRODUCT(D69:G69)</f>
        <v>1293.75</v>
      </c>
      <c r="I69" s="699"/>
    </row>
    <row r="70" spans="2:9" ht="13.5" customHeight="1">
      <c r="B70" s="572"/>
      <c r="C70" s="711" t="str">
        <f>+C37</f>
        <v>ASISTENTE ADMINISTRATIVO</v>
      </c>
      <c r="D70" s="640">
        <f>+D37</f>
        <v>1</v>
      </c>
      <c r="E70" s="640">
        <f>+E37</f>
        <v>0.5</v>
      </c>
      <c r="F70" s="640">
        <f>+F37</f>
        <v>2</v>
      </c>
      <c r="G70" s="640">
        <f>+G37*0.15</f>
        <v>502.5</v>
      </c>
      <c r="H70" s="711">
        <f>PRODUCT(D70:G70)</f>
        <v>502.5</v>
      </c>
      <c r="I70" s="699"/>
    </row>
    <row r="71" spans="2:9" ht="13.5" customHeight="1">
      <c r="B71" s="572"/>
      <c r="C71" s="964" t="s">
        <v>3</v>
      </c>
      <c r="D71" s="965"/>
      <c r="E71" s="965"/>
      <c r="F71" s="965"/>
      <c r="G71" s="966"/>
      <c r="H71" s="714">
        <f>SUM(H69:H70)</f>
        <v>1796.25</v>
      </c>
      <c r="I71" s="699"/>
    </row>
    <row r="72" spans="2:9" ht="13.5" customHeight="1">
      <c r="B72" s="572"/>
      <c r="C72" s="699"/>
      <c r="D72" s="699"/>
      <c r="E72" s="699"/>
      <c r="F72" s="700"/>
      <c r="G72" s="700"/>
      <c r="H72" s="699"/>
      <c r="I72" s="699"/>
    </row>
    <row r="73" spans="2:9" ht="13.5" customHeight="1">
      <c r="B73" s="701">
        <v>3.02</v>
      </c>
      <c r="C73" s="641" t="s">
        <v>97</v>
      </c>
      <c r="D73" s="699"/>
      <c r="E73" s="699"/>
      <c r="F73" s="700"/>
      <c r="G73" s="700"/>
      <c r="H73" s="702" t="s">
        <v>0</v>
      </c>
      <c r="I73" s="703">
        <f>+H80</f>
        <v>33.263888888888886</v>
      </c>
    </row>
    <row r="74" spans="2:9" ht="13.5" customHeight="1">
      <c r="B74" s="715"/>
      <c r="C74" s="641"/>
      <c r="D74" s="699"/>
      <c r="E74" s="699"/>
      <c r="F74" s="700"/>
      <c r="G74" s="700"/>
      <c r="H74" s="699"/>
      <c r="I74" s="699"/>
    </row>
    <row r="75" spans="2:9" ht="13.5" customHeight="1">
      <c r="B75" s="572"/>
      <c r="C75" s="720" t="s">
        <v>29</v>
      </c>
      <c r="D75" s="705"/>
      <c r="E75" s="705"/>
      <c r="F75" s="706"/>
      <c r="G75" s="706"/>
      <c r="H75" s="705"/>
      <c r="I75" s="700"/>
    </row>
    <row r="76" spans="2:9" ht="13.5" customHeight="1">
      <c r="B76" s="572"/>
      <c r="C76" s="720"/>
      <c r="D76" s="705"/>
      <c r="E76" s="705"/>
      <c r="F76" s="706"/>
      <c r="G76" s="706"/>
      <c r="H76" s="705"/>
      <c r="I76" s="700"/>
    </row>
    <row r="77" spans="2:9" ht="13.5" customHeight="1">
      <c r="B77" s="572"/>
      <c r="C77" s="708" t="s">
        <v>30</v>
      </c>
      <c r="D77" s="784" t="s">
        <v>31</v>
      </c>
      <c r="E77" s="784" t="str">
        <f>+E35</f>
        <v>COEF. PARTIC.</v>
      </c>
      <c r="F77" s="784" t="s">
        <v>32</v>
      </c>
      <c r="G77" s="784" t="s">
        <v>13</v>
      </c>
      <c r="H77" s="784" t="s">
        <v>4</v>
      </c>
      <c r="I77" s="699"/>
    </row>
    <row r="78" spans="2:9" ht="13.5" customHeight="1">
      <c r="B78" s="572"/>
      <c r="C78" s="711" t="str">
        <f>+C36</f>
        <v>COORDINADOR DE OBRAS (INGENIERO CIVIL O ARQUITECTO)</v>
      </c>
      <c r="D78" s="640">
        <f>+D36</f>
        <v>1</v>
      </c>
      <c r="E78" s="640">
        <f>+E36</f>
        <v>0.5</v>
      </c>
      <c r="F78" s="640">
        <f>+F36</f>
        <v>3</v>
      </c>
      <c r="G78" s="640">
        <f>+G36/360</f>
        <v>15.972222222222221</v>
      </c>
      <c r="H78" s="711">
        <f>PRODUCT(D78:G78)</f>
        <v>23.958333333333332</v>
      </c>
      <c r="I78" s="699"/>
    </row>
    <row r="79" spans="2:9" ht="13.5" customHeight="1">
      <c r="B79" s="572"/>
      <c r="C79" s="711" t="str">
        <f>+C37</f>
        <v>ASISTENTE ADMINISTRATIVO</v>
      </c>
      <c r="D79" s="640">
        <f>+D37</f>
        <v>1</v>
      </c>
      <c r="E79" s="640">
        <f>+E37</f>
        <v>0.5</v>
      </c>
      <c r="F79" s="640">
        <f>+F37</f>
        <v>2</v>
      </c>
      <c r="G79" s="640">
        <f>+G37/360</f>
        <v>9.3055555555555554</v>
      </c>
      <c r="H79" s="711">
        <f>PRODUCT(D79:G79)</f>
        <v>9.3055555555555554</v>
      </c>
      <c r="I79" s="699"/>
    </row>
    <row r="80" spans="2:9" ht="13.5" customHeight="1">
      <c r="B80" s="572"/>
      <c r="C80" s="964" t="s">
        <v>3</v>
      </c>
      <c r="D80" s="965"/>
      <c r="E80" s="965"/>
      <c r="F80" s="965"/>
      <c r="G80" s="966"/>
      <c r="H80" s="714">
        <f>SUM(H78:H79)</f>
        <v>33.263888888888886</v>
      </c>
      <c r="I80" s="699"/>
    </row>
    <row r="81" spans="2:9" ht="13.5" customHeight="1">
      <c r="B81" s="572"/>
      <c r="C81" s="699"/>
      <c r="D81" s="699"/>
      <c r="E81" s="699"/>
      <c r="F81" s="700"/>
      <c r="G81" s="700"/>
      <c r="H81" s="699"/>
      <c r="I81" s="699"/>
    </row>
    <row r="82" spans="2:9" ht="13.5" customHeight="1">
      <c r="B82" s="690">
        <v>4</v>
      </c>
      <c r="C82" s="691" t="s">
        <v>214</v>
      </c>
      <c r="D82" s="692"/>
      <c r="E82" s="692"/>
      <c r="F82" s="693"/>
      <c r="G82" s="694"/>
      <c r="H82" s="695" t="s">
        <v>0</v>
      </c>
      <c r="I82" s="696">
        <f>+I84</f>
        <v>125</v>
      </c>
    </row>
    <row r="83" spans="2:9" ht="13.5" customHeight="1">
      <c r="B83" s="717"/>
      <c r="C83" s="718"/>
      <c r="D83" s="699"/>
      <c r="E83" s="699"/>
      <c r="F83" s="705"/>
      <c r="G83" s="787"/>
      <c r="H83" s="702"/>
      <c r="I83" s="703"/>
    </row>
    <row r="84" spans="2:9" ht="13.5" customHeight="1">
      <c r="B84" s="701">
        <v>4.01</v>
      </c>
      <c r="C84" s="641" t="s">
        <v>96</v>
      </c>
      <c r="D84" s="721">
        <v>300</v>
      </c>
      <c r="E84" s="721"/>
      <c r="F84" s="700"/>
      <c r="G84" s="700"/>
      <c r="H84" s="702" t="s">
        <v>0</v>
      </c>
      <c r="I84" s="703">
        <f>+H91</f>
        <v>125</v>
      </c>
    </row>
    <row r="85" spans="2:9" ht="13.5" customHeight="1">
      <c r="B85" s="715"/>
      <c r="C85" s="641"/>
      <c r="D85" s="699"/>
      <c r="E85" s="699"/>
      <c r="F85" s="700"/>
      <c r="G85" s="700"/>
      <c r="H85" s="699"/>
      <c r="I85" s="699"/>
    </row>
    <row r="86" spans="2:9" ht="13.5" customHeight="1">
      <c r="B86" s="572"/>
      <c r="C86" s="720" t="s">
        <v>29</v>
      </c>
      <c r="D86" s="705"/>
      <c r="E86" s="705"/>
      <c r="F86" s="706"/>
      <c r="G86" s="706"/>
      <c r="H86" s="705"/>
      <c r="I86" s="700"/>
    </row>
    <row r="87" spans="2:9" ht="13.5" customHeight="1">
      <c r="B87" s="572"/>
      <c r="C87" s="720"/>
      <c r="D87" s="705"/>
      <c r="E87" s="705"/>
      <c r="F87" s="706"/>
      <c r="G87" s="706"/>
      <c r="H87" s="705"/>
      <c r="I87" s="700"/>
    </row>
    <row r="88" spans="2:9" ht="13.5" customHeight="1">
      <c r="B88" s="572"/>
      <c r="C88" s="708" t="s">
        <v>30</v>
      </c>
      <c r="D88" s="784" t="s">
        <v>31</v>
      </c>
      <c r="E88" s="784" t="str">
        <f>+E35</f>
        <v>COEF. PARTIC.</v>
      </c>
      <c r="F88" s="784" t="s">
        <v>32</v>
      </c>
      <c r="G88" s="784" t="s">
        <v>13</v>
      </c>
      <c r="H88" s="784" t="s">
        <v>4</v>
      </c>
      <c r="I88" s="699"/>
    </row>
    <row r="89" spans="2:9" ht="13.5" customHeight="1">
      <c r="B89" s="572"/>
      <c r="C89" s="711" t="str">
        <f>+C36</f>
        <v>COORDINADOR DE OBRAS (INGENIERO CIVIL O ARQUITECTO)</v>
      </c>
      <c r="D89" s="640">
        <f>+D36</f>
        <v>1</v>
      </c>
      <c r="E89" s="640">
        <f>+E36</f>
        <v>0.5</v>
      </c>
      <c r="F89" s="640">
        <f>+F36</f>
        <v>3</v>
      </c>
      <c r="G89" s="640">
        <f>($D$84*2)/12*(F89*E89)</f>
        <v>75</v>
      </c>
      <c r="H89" s="776">
        <f>+D89*G89</f>
        <v>75</v>
      </c>
      <c r="I89" s="699"/>
    </row>
    <row r="90" spans="2:9" ht="13.5" customHeight="1">
      <c r="B90" s="572"/>
      <c r="C90" s="711" t="str">
        <f>+C37</f>
        <v>ASISTENTE ADMINISTRATIVO</v>
      </c>
      <c r="D90" s="640">
        <f>+D37</f>
        <v>1</v>
      </c>
      <c r="E90" s="640">
        <f>+E37</f>
        <v>0.5</v>
      </c>
      <c r="F90" s="640">
        <f>+F37</f>
        <v>2</v>
      </c>
      <c r="G90" s="640">
        <f>($D$84*2)/12*(F90*E90)</f>
        <v>50</v>
      </c>
      <c r="H90" s="776">
        <f>+D90*G90</f>
        <v>50</v>
      </c>
      <c r="I90" s="699"/>
    </row>
    <row r="91" spans="2:9" ht="13.5" customHeight="1">
      <c r="B91" s="572"/>
      <c r="C91" s="964" t="s">
        <v>3</v>
      </c>
      <c r="D91" s="965"/>
      <c r="E91" s="965"/>
      <c r="F91" s="965"/>
      <c r="G91" s="966"/>
      <c r="H91" s="714">
        <f>SUM(H89:H90)</f>
        <v>125</v>
      </c>
      <c r="I91" s="699"/>
    </row>
    <row r="92" spans="2:9" ht="13.5" customHeight="1">
      <c r="B92" s="572"/>
      <c r="C92" s="699"/>
      <c r="D92" s="699"/>
      <c r="E92" s="699"/>
      <c r="F92" s="700"/>
      <c r="G92" s="700"/>
      <c r="H92" s="699"/>
      <c r="I92" s="699"/>
    </row>
    <row r="93" spans="2:9" ht="13.5" customHeight="1">
      <c r="B93" s="690">
        <v>5</v>
      </c>
      <c r="C93" s="691" t="s">
        <v>417</v>
      </c>
      <c r="D93" s="692"/>
      <c r="E93" s="692"/>
      <c r="F93" s="693"/>
      <c r="G93" s="694"/>
      <c r="H93" s="695" t="s">
        <v>0</v>
      </c>
      <c r="I93" s="696">
        <f>+I95</f>
        <v>232.5</v>
      </c>
    </row>
    <row r="94" spans="2:9" ht="13.5" customHeight="1">
      <c r="B94" s="717"/>
      <c r="C94" s="718"/>
      <c r="D94" s="699"/>
      <c r="E94" s="699"/>
      <c r="F94" s="705"/>
      <c r="G94" s="787"/>
      <c r="H94" s="702"/>
      <c r="I94" s="703"/>
    </row>
    <row r="95" spans="2:9" ht="13.5" customHeight="1">
      <c r="B95" s="701">
        <v>4.01</v>
      </c>
      <c r="C95" s="641" t="s">
        <v>418</v>
      </c>
      <c r="D95" s="721"/>
      <c r="E95" s="721"/>
      <c r="F95" s="700"/>
      <c r="G95" s="700"/>
      <c r="H95" s="702" t="s">
        <v>0</v>
      </c>
      <c r="I95" s="703">
        <f>+H102</f>
        <v>232.5</v>
      </c>
    </row>
    <row r="96" spans="2:9" ht="13.5" customHeight="1">
      <c r="B96" s="715"/>
      <c r="C96" s="641"/>
      <c r="D96" s="699"/>
      <c r="E96" s="699"/>
      <c r="F96" s="700"/>
      <c r="G96" s="700"/>
      <c r="H96" s="699"/>
      <c r="I96" s="699"/>
    </row>
    <row r="97" spans="2:16" ht="13.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16" ht="13.5" customHeight="1">
      <c r="B98" s="572"/>
      <c r="C98" s="720"/>
      <c r="D98" s="705"/>
      <c r="E98" s="705"/>
      <c r="F98" s="706"/>
      <c r="G98" s="706"/>
      <c r="H98" s="705"/>
      <c r="I98" s="700"/>
    </row>
    <row r="99" spans="2:16" ht="13.5" customHeight="1">
      <c r="B99" s="572"/>
      <c r="C99" s="708" t="s">
        <v>30</v>
      </c>
      <c r="D99" s="784" t="s">
        <v>31</v>
      </c>
      <c r="E99" s="784" t="s">
        <v>291</v>
      </c>
      <c r="F99" s="784" t="s">
        <v>32</v>
      </c>
      <c r="G99" s="784" t="s">
        <v>13</v>
      </c>
      <c r="H99" s="784" t="s">
        <v>4</v>
      </c>
      <c r="I99" s="699"/>
    </row>
    <row r="100" spans="2:16" ht="13.5" customHeight="1">
      <c r="B100" s="572"/>
      <c r="C100" s="711" t="str">
        <f t="shared" ref="C100:F101" si="0">+C36</f>
        <v>COORDINADOR DE OBRAS (INGENIERO CIVIL O ARQUITECTO)</v>
      </c>
      <c r="D100" s="640">
        <f t="shared" si="0"/>
        <v>1</v>
      </c>
      <c r="E100" s="640">
        <f t="shared" si="0"/>
        <v>0.5</v>
      </c>
      <c r="F100" s="640">
        <f t="shared" si="0"/>
        <v>3</v>
      </c>
      <c r="G100" s="640">
        <f>930/10</f>
        <v>93</v>
      </c>
      <c r="H100" s="711">
        <f>PRODUCT(D100:G100)</f>
        <v>139.5</v>
      </c>
      <c r="I100" s="699"/>
    </row>
    <row r="101" spans="2:16" ht="13.5" customHeight="1">
      <c r="B101" s="572"/>
      <c r="C101" s="711" t="str">
        <f t="shared" si="0"/>
        <v>ASISTENTE ADMINISTRATIVO</v>
      </c>
      <c r="D101" s="640">
        <f t="shared" si="0"/>
        <v>1</v>
      </c>
      <c r="E101" s="640">
        <f t="shared" si="0"/>
        <v>0.5</v>
      </c>
      <c r="F101" s="640">
        <f t="shared" si="0"/>
        <v>2</v>
      </c>
      <c r="G101" s="640">
        <f>930/10</f>
        <v>93</v>
      </c>
      <c r="H101" s="711">
        <f>PRODUCT(D101:G101)</f>
        <v>93</v>
      </c>
      <c r="I101" s="699"/>
    </row>
    <row r="102" spans="2:16" ht="13.5" customHeight="1">
      <c r="B102" s="572"/>
      <c r="C102" s="964" t="s">
        <v>3</v>
      </c>
      <c r="D102" s="965"/>
      <c r="E102" s="965"/>
      <c r="F102" s="965"/>
      <c r="G102" s="966"/>
      <c r="H102" s="714">
        <f>SUM(H100:H101)</f>
        <v>232.5</v>
      </c>
      <c r="I102" s="699"/>
    </row>
    <row r="103" spans="2:16" ht="13.5" customHeight="1">
      <c r="B103" s="572"/>
      <c r="C103" s="699"/>
      <c r="D103" s="699"/>
      <c r="E103" s="699"/>
      <c r="F103" s="700"/>
      <c r="G103" s="700"/>
      <c r="H103" s="699"/>
      <c r="I103" s="699"/>
    </row>
    <row r="104" spans="2:16" ht="13.5" customHeight="1">
      <c r="B104" s="572"/>
      <c r="C104" s="699"/>
      <c r="D104" s="699"/>
      <c r="E104" s="699"/>
      <c r="F104" s="700"/>
      <c r="G104" s="700"/>
      <c r="H104" s="699"/>
      <c r="I104" s="699"/>
    </row>
    <row r="105" spans="2:16" ht="13.5" customHeight="1">
      <c r="B105" s="850" t="s">
        <v>314</v>
      </c>
      <c r="C105" s="851"/>
      <c r="D105" s="838"/>
      <c r="E105" s="838"/>
      <c r="F105" s="838"/>
      <c r="G105" s="840"/>
      <c r="H105" s="840" t="s">
        <v>0</v>
      </c>
      <c r="I105" s="841">
        <f>+ROUND((+I107+I115),2)</f>
        <v>271.5</v>
      </c>
    </row>
    <row r="106" spans="2:16" ht="13.5" customHeight="1">
      <c r="B106" s="852"/>
      <c r="C106" s="853"/>
      <c r="D106" s="845"/>
      <c r="E106" s="845"/>
      <c r="F106" s="845"/>
      <c r="G106" s="847"/>
      <c r="H106" s="847"/>
      <c r="I106" s="848"/>
    </row>
    <row r="107" spans="2:16" ht="13.5" hidden="1" customHeight="1">
      <c r="B107" s="740">
        <v>2</v>
      </c>
      <c r="C107" s="691" t="s">
        <v>93</v>
      </c>
      <c r="D107" s="692"/>
      <c r="E107" s="692"/>
      <c r="F107" s="693"/>
      <c r="G107" s="694"/>
      <c r="H107" s="695" t="s">
        <v>0</v>
      </c>
      <c r="I107" s="696">
        <f>H113</f>
        <v>0</v>
      </c>
    </row>
    <row r="108" spans="2:16" ht="13.5" hidden="1" customHeight="1">
      <c r="B108" s="852"/>
      <c r="C108" s="853"/>
      <c r="D108" s="845"/>
      <c r="E108" s="845"/>
      <c r="F108" s="845"/>
      <c r="G108" s="847"/>
      <c r="H108" s="847"/>
      <c r="I108" s="848"/>
    </row>
    <row r="109" spans="2:16" ht="13.5" hidden="1" customHeight="1">
      <c r="B109" s="701">
        <v>2.0099999999999998</v>
      </c>
      <c r="C109" s="641" t="s">
        <v>172</v>
      </c>
      <c r="D109" s="699"/>
      <c r="E109" s="699"/>
      <c r="F109" s="699"/>
      <c r="G109" s="700"/>
      <c r="H109" s="702" t="s">
        <v>0</v>
      </c>
      <c r="I109" s="728">
        <f>H113</f>
        <v>0</v>
      </c>
    </row>
    <row r="110" spans="2:16" ht="13.5" hidden="1" customHeight="1">
      <c r="B110" s="715"/>
      <c r="C110" s="641"/>
      <c r="D110" s="699"/>
      <c r="E110" s="699"/>
      <c r="F110" s="699"/>
      <c r="G110" s="700"/>
      <c r="H110" s="699"/>
      <c r="I110" s="699"/>
    </row>
    <row r="111" spans="2:16" ht="13.5" hidden="1" customHeight="1">
      <c r="B111" s="572"/>
      <c r="C111" s="973" t="s">
        <v>17</v>
      </c>
      <c r="D111" s="973"/>
      <c r="E111" s="785" t="s">
        <v>2</v>
      </c>
      <c r="F111" s="785" t="s">
        <v>18</v>
      </c>
      <c r="G111" s="785" t="s">
        <v>5</v>
      </c>
      <c r="H111" s="785" t="s">
        <v>4</v>
      </c>
      <c r="I111" s="578"/>
      <c r="K111" s="741" t="s">
        <v>459</v>
      </c>
      <c r="L111" s="741" t="s">
        <v>460</v>
      </c>
      <c r="M111" s="741" t="s">
        <v>461</v>
      </c>
      <c r="N111" s="741" t="s">
        <v>462</v>
      </c>
      <c r="O111" s="741" t="s">
        <v>466</v>
      </c>
      <c r="P111" s="741" t="s">
        <v>463</v>
      </c>
    </row>
    <row r="112" spans="2:16" s="831" customFormat="1" ht="13.5" hidden="1" customHeight="1">
      <c r="B112" s="572"/>
      <c r="C112" s="974" t="s">
        <v>279</v>
      </c>
      <c r="D112" s="974"/>
      <c r="E112" s="579" t="s">
        <v>6</v>
      </c>
      <c r="F112" s="733">
        <v>0</v>
      </c>
      <c r="G112" s="580">
        <v>13.5</v>
      </c>
      <c r="H112" s="711">
        <f>PRODUCT(F112:G112)</f>
        <v>0</v>
      </c>
      <c r="I112" s="578"/>
      <c r="J112" s="842"/>
      <c r="K112" s="581">
        <v>1.5</v>
      </c>
      <c r="L112" s="581">
        <v>3.5</v>
      </c>
      <c r="M112" s="581">
        <v>2</v>
      </c>
      <c r="N112" s="581">
        <v>2</v>
      </c>
      <c r="O112" s="743">
        <f>+F36</f>
        <v>3</v>
      </c>
      <c r="P112" s="581">
        <f>PRODUCT(K112:O112)</f>
        <v>63</v>
      </c>
    </row>
    <row r="113" spans="2:10" s="831" customFormat="1" ht="13.5" hidden="1" customHeight="1">
      <c r="B113" s="572"/>
      <c r="C113" s="962" t="s">
        <v>3</v>
      </c>
      <c r="D113" s="962"/>
      <c r="E113" s="962"/>
      <c r="F113" s="962"/>
      <c r="G113" s="962"/>
      <c r="H113" s="744">
        <f>SUM(H112)</f>
        <v>0</v>
      </c>
      <c r="I113" s="578"/>
      <c r="J113" s="842"/>
    </row>
    <row r="114" spans="2:10" ht="13.5" customHeight="1">
      <c r="B114" s="704"/>
      <c r="C114" s="578"/>
      <c r="D114" s="578"/>
      <c r="E114" s="578"/>
      <c r="F114" s="578"/>
      <c r="G114" s="578"/>
      <c r="H114" s="699"/>
      <c r="I114" s="705"/>
    </row>
    <row r="115" spans="2:10" ht="13.5" customHeight="1">
      <c r="B115" s="690">
        <v>1</v>
      </c>
      <c r="C115" s="691" t="s">
        <v>92</v>
      </c>
      <c r="D115" s="692"/>
      <c r="E115" s="692"/>
      <c r="F115" s="693"/>
      <c r="G115" s="694"/>
      <c r="H115" s="695" t="s">
        <v>0</v>
      </c>
      <c r="I115" s="696">
        <f>+I117</f>
        <v>271.5</v>
      </c>
    </row>
    <row r="116" spans="2:10" ht="13.5" customHeight="1">
      <c r="B116" s="717"/>
      <c r="C116" s="718"/>
      <c r="D116" s="699"/>
      <c r="E116" s="699"/>
      <c r="F116" s="700"/>
      <c r="G116" s="787"/>
      <c r="H116" s="702"/>
      <c r="I116" s="703"/>
    </row>
    <row r="117" spans="2:10" ht="13.5" customHeight="1">
      <c r="B117" s="701">
        <v>1.01</v>
      </c>
      <c r="C117" s="641" t="s">
        <v>36</v>
      </c>
      <c r="D117" s="699"/>
      <c r="E117" s="699"/>
      <c r="F117" s="700"/>
      <c r="G117" s="700"/>
      <c r="H117" s="702" t="s">
        <v>0</v>
      </c>
      <c r="I117" s="746">
        <f>+H141</f>
        <v>271.5</v>
      </c>
    </row>
    <row r="118" spans="2:10" ht="13.5" customHeight="1">
      <c r="B118" s="715"/>
      <c r="C118" s="641"/>
      <c r="D118" s="699"/>
      <c r="E118" s="699"/>
      <c r="F118" s="700"/>
      <c r="G118" s="700"/>
      <c r="H118" s="699"/>
      <c r="I118" s="705"/>
    </row>
    <row r="119" spans="2:10" ht="13.5" customHeight="1">
      <c r="B119" s="572"/>
      <c r="C119" s="964" t="s">
        <v>34</v>
      </c>
      <c r="D119" s="966"/>
      <c r="E119" s="784" t="s">
        <v>44</v>
      </c>
      <c r="F119" s="769" t="s">
        <v>18</v>
      </c>
      <c r="G119" s="784" t="s">
        <v>5</v>
      </c>
      <c r="H119" s="784" t="s">
        <v>4</v>
      </c>
      <c r="I119" s="705"/>
    </row>
    <row r="120" spans="2:10" ht="13.5" customHeight="1">
      <c r="B120" s="572"/>
      <c r="C120" s="970" t="s">
        <v>259</v>
      </c>
      <c r="D120" s="971"/>
      <c r="E120" s="756" t="s">
        <v>256</v>
      </c>
      <c r="F120" s="733">
        <v>1</v>
      </c>
      <c r="G120" s="756">
        <v>10</v>
      </c>
      <c r="H120" s="711">
        <f>PRODUCT(F120:G120)</f>
        <v>10</v>
      </c>
      <c r="I120" s="705"/>
    </row>
    <row r="121" spans="2:10" ht="13.5" customHeight="1">
      <c r="B121" s="572"/>
      <c r="C121" s="970" t="s">
        <v>260</v>
      </c>
      <c r="D121" s="971"/>
      <c r="E121" s="756" t="s">
        <v>256</v>
      </c>
      <c r="F121" s="733">
        <v>0</v>
      </c>
      <c r="G121" s="756">
        <v>7</v>
      </c>
      <c r="H121" s="711">
        <f t="shared" ref="H121:H140" si="1">PRODUCT(F121:G121)</f>
        <v>0</v>
      </c>
      <c r="I121" s="705"/>
    </row>
    <row r="122" spans="2:10" ht="13.5" customHeight="1">
      <c r="B122" s="572"/>
      <c r="C122" s="970" t="s">
        <v>261</v>
      </c>
      <c r="D122" s="971"/>
      <c r="E122" s="756" t="s">
        <v>2</v>
      </c>
      <c r="F122" s="733">
        <v>1</v>
      </c>
      <c r="G122" s="756">
        <v>25</v>
      </c>
      <c r="H122" s="711">
        <f t="shared" si="1"/>
        <v>25</v>
      </c>
      <c r="I122" s="705"/>
    </row>
    <row r="123" spans="2:10" ht="13.5" customHeight="1">
      <c r="B123" s="572"/>
      <c r="C123" s="970" t="s">
        <v>269</v>
      </c>
      <c r="D123" s="971"/>
      <c r="E123" s="756" t="s">
        <v>256</v>
      </c>
      <c r="F123" s="733">
        <v>1</v>
      </c>
      <c r="G123" s="756">
        <v>8</v>
      </c>
      <c r="H123" s="711">
        <f t="shared" si="1"/>
        <v>8</v>
      </c>
      <c r="I123" s="705"/>
    </row>
    <row r="124" spans="2:10" ht="13.5" customHeight="1">
      <c r="B124" s="572"/>
      <c r="C124" s="970" t="s">
        <v>40</v>
      </c>
      <c r="D124" s="971"/>
      <c r="E124" s="756" t="s">
        <v>2</v>
      </c>
      <c r="F124" s="733">
        <v>4</v>
      </c>
      <c r="G124" s="756">
        <v>8</v>
      </c>
      <c r="H124" s="711">
        <f t="shared" si="1"/>
        <v>32</v>
      </c>
      <c r="I124" s="705"/>
    </row>
    <row r="125" spans="2:10" ht="13.5" customHeight="1">
      <c r="B125" s="572"/>
      <c r="C125" s="970" t="s">
        <v>71</v>
      </c>
      <c r="D125" s="971"/>
      <c r="E125" s="756" t="s">
        <v>2</v>
      </c>
      <c r="F125" s="733">
        <v>0</v>
      </c>
      <c r="G125" s="756">
        <v>1</v>
      </c>
      <c r="H125" s="711">
        <f t="shared" si="1"/>
        <v>0</v>
      </c>
      <c r="I125" s="705"/>
    </row>
    <row r="126" spans="2:10" ht="13.5" customHeight="1">
      <c r="B126" s="572"/>
      <c r="C126" s="970" t="s">
        <v>69</v>
      </c>
      <c r="D126" s="971"/>
      <c r="E126" s="756" t="s">
        <v>2</v>
      </c>
      <c r="F126" s="733">
        <v>1</v>
      </c>
      <c r="G126" s="756">
        <v>1</v>
      </c>
      <c r="H126" s="711">
        <f t="shared" si="1"/>
        <v>1</v>
      </c>
      <c r="I126" s="705"/>
    </row>
    <row r="127" spans="2:10" ht="13.5" customHeight="1">
      <c r="B127" s="572"/>
      <c r="C127" s="970" t="s">
        <v>79</v>
      </c>
      <c r="D127" s="971"/>
      <c r="E127" s="756" t="s">
        <v>35</v>
      </c>
      <c r="F127" s="733">
        <v>1</v>
      </c>
      <c r="G127" s="756">
        <v>60</v>
      </c>
      <c r="H127" s="711">
        <f t="shared" si="1"/>
        <v>60</v>
      </c>
      <c r="I127" s="705"/>
      <c r="J127" s="571" t="e">
        <f t="shared" ref="J127:J147" si="2">+E120*3</f>
        <v>#VALUE!</v>
      </c>
    </row>
    <row r="128" spans="2:10" ht="13.5" customHeight="1">
      <c r="B128" s="572"/>
      <c r="C128" s="970" t="s">
        <v>59</v>
      </c>
      <c r="D128" s="971"/>
      <c r="E128" s="756" t="s">
        <v>2</v>
      </c>
      <c r="F128" s="733">
        <v>1</v>
      </c>
      <c r="G128" s="756">
        <v>5.5</v>
      </c>
      <c r="H128" s="711">
        <f t="shared" si="1"/>
        <v>5.5</v>
      </c>
      <c r="I128" s="705"/>
      <c r="J128" s="571" t="e">
        <f t="shared" si="2"/>
        <v>#VALUE!</v>
      </c>
    </row>
    <row r="129" spans="2:10" ht="13.5" customHeight="1">
      <c r="B129" s="572"/>
      <c r="C129" s="970" t="s">
        <v>67</v>
      </c>
      <c r="D129" s="971"/>
      <c r="E129" s="756" t="s">
        <v>2</v>
      </c>
      <c r="F129" s="733">
        <v>1</v>
      </c>
      <c r="G129" s="756">
        <v>5</v>
      </c>
      <c r="H129" s="711">
        <f t="shared" si="1"/>
        <v>5</v>
      </c>
      <c r="I129" s="705"/>
      <c r="J129" s="571" t="e">
        <f t="shared" si="2"/>
        <v>#VALUE!</v>
      </c>
    </row>
    <row r="130" spans="2:10" ht="13.5" customHeight="1">
      <c r="B130" s="572"/>
      <c r="C130" s="970" t="s">
        <v>80</v>
      </c>
      <c r="D130" s="971"/>
      <c r="E130" s="756" t="s">
        <v>2</v>
      </c>
      <c r="F130" s="733">
        <v>0</v>
      </c>
      <c r="G130" s="756">
        <v>8</v>
      </c>
      <c r="H130" s="711">
        <f t="shared" si="1"/>
        <v>0</v>
      </c>
      <c r="I130" s="705"/>
      <c r="J130" s="571" t="e">
        <f t="shared" si="2"/>
        <v>#VALUE!</v>
      </c>
    </row>
    <row r="131" spans="2:10" ht="13.5" customHeight="1">
      <c r="B131" s="572"/>
      <c r="C131" s="970" t="s">
        <v>81</v>
      </c>
      <c r="D131" s="971"/>
      <c r="E131" s="756" t="s">
        <v>2</v>
      </c>
      <c r="F131" s="733">
        <v>1</v>
      </c>
      <c r="G131" s="756">
        <v>25</v>
      </c>
      <c r="H131" s="711">
        <f t="shared" si="1"/>
        <v>25</v>
      </c>
      <c r="I131" s="705"/>
      <c r="J131" s="571" t="e">
        <f t="shared" si="2"/>
        <v>#VALUE!</v>
      </c>
    </row>
    <row r="132" spans="2:10" ht="13.5" customHeight="1">
      <c r="B132" s="572"/>
      <c r="C132" s="970" t="s">
        <v>58</v>
      </c>
      <c r="D132" s="971"/>
      <c r="E132" s="756" t="s">
        <v>35</v>
      </c>
      <c r="F132" s="733">
        <v>1</v>
      </c>
      <c r="G132" s="756">
        <v>6</v>
      </c>
      <c r="H132" s="711">
        <f t="shared" si="1"/>
        <v>6</v>
      </c>
      <c r="I132" s="705"/>
      <c r="J132" s="571" t="e">
        <f t="shared" si="2"/>
        <v>#VALUE!</v>
      </c>
    </row>
    <row r="133" spans="2:10" ht="13.5" customHeight="1">
      <c r="B133" s="572"/>
      <c r="C133" s="970" t="s">
        <v>57</v>
      </c>
      <c r="D133" s="971"/>
      <c r="E133" s="756" t="s">
        <v>2</v>
      </c>
      <c r="F133" s="733">
        <v>0</v>
      </c>
      <c r="G133" s="756">
        <v>0.8</v>
      </c>
      <c r="H133" s="711">
        <f t="shared" si="1"/>
        <v>0</v>
      </c>
      <c r="I133" s="705"/>
      <c r="J133" s="571" t="e">
        <f t="shared" si="2"/>
        <v>#VALUE!</v>
      </c>
    </row>
    <row r="134" spans="2:10" ht="13.5" customHeight="1">
      <c r="B134" s="572"/>
      <c r="C134" s="970" t="s">
        <v>72</v>
      </c>
      <c r="D134" s="971"/>
      <c r="E134" s="756" t="s">
        <v>35</v>
      </c>
      <c r="F134" s="733">
        <v>1</v>
      </c>
      <c r="G134" s="756">
        <v>20</v>
      </c>
      <c r="H134" s="711">
        <f t="shared" si="1"/>
        <v>20</v>
      </c>
      <c r="I134" s="705"/>
      <c r="J134" s="571" t="e">
        <f t="shared" si="2"/>
        <v>#VALUE!</v>
      </c>
    </row>
    <row r="135" spans="2:10" ht="13.5" customHeight="1">
      <c r="B135" s="572"/>
      <c r="C135" s="970" t="s">
        <v>43</v>
      </c>
      <c r="D135" s="971"/>
      <c r="E135" s="756" t="s">
        <v>37</v>
      </c>
      <c r="F135" s="733">
        <v>2</v>
      </c>
      <c r="G135" s="756">
        <v>30</v>
      </c>
      <c r="H135" s="711">
        <f t="shared" si="1"/>
        <v>60</v>
      </c>
      <c r="I135" s="705"/>
      <c r="J135" s="571" t="e">
        <f t="shared" si="2"/>
        <v>#VALUE!</v>
      </c>
    </row>
    <row r="136" spans="2:10" ht="13.5" customHeight="1">
      <c r="B136" s="572"/>
      <c r="C136" s="970" t="s">
        <v>65</v>
      </c>
      <c r="D136" s="971"/>
      <c r="E136" s="756" t="s">
        <v>2</v>
      </c>
      <c r="F136" s="733">
        <v>1</v>
      </c>
      <c r="G136" s="756">
        <v>4.5</v>
      </c>
      <c r="H136" s="711">
        <f t="shared" si="1"/>
        <v>4.5</v>
      </c>
      <c r="I136" s="705"/>
      <c r="J136" s="571" t="e">
        <f t="shared" si="2"/>
        <v>#VALUE!</v>
      </c>
    </row>
    <row r="137" spans="2:10" ht="13.5" customHeight="1">
      <c r="B137" s="572"/>
      <c r="C137" s="970" t="s">
        <v>82</v>
      </c>
      <c r="D137" s="971"/>
      <c r="E137" s="756" t="s">
        <v>2</v>
      </c>
      <c r="F137" s="733">
        <v>0</v>
      </c>
      <c r="G137" s="756">
        <v>0.5</v>
      </c>
      <c r="H137" s="711">
        <f t="shared" si="1"/>
        <v>0</v>
      </c>
      <c r="I137" s="705"/>
      <c r="J137" s="571" t="e">
        <f t="shared" si="2"/>
        <v>#VALUE!</v>
      </c>
    </row>
    <row r="138" spans="2:10" ht="13.5" customHeight="1">
      <c r="B138" s="572"/>
      <c r="C138" s="970" t="s">
        <v>61</v>
      </c>
      <c r="D138" s="971"/>
      <c r="E138" s="756" t="s">
        <v>35</v>
      </c>
      <c r="F138" s="733">
        <v>1</v>
      </c>
      <c r="G138" s="756">
        <v>5</v>
      </c>
      <c r="H138" s="711">
        <f t="shared" si="1"/>
        <v>5</v>
      </c>
      <c r="I138" s="705"/>
      <c r="J138" s="571" t="e">
        <f t="shared" si="2"/>
        <v>#VALUE!</v>
      </c>
    </row>
    <row r="139" spans="2:10" ht="13.5" customHeight="1">
      <c r="B139" s="572"/>
      <c r="C139" s="970" t="s">
        <v>63</v>
      </c>
      <c r="D139" s="971"/>
      <c r="E139" s="756" t="s">
        <v>2</v>
      </c>
      <c r="F139" s="733">
        <v>0</v>
      </c>
      <c r="G139" s="756">
        <v>3</v>
      </c>
      <c r="H139" s="711">
        <f t="shared" si="1"/>
        <v>0</v>
      </c>
      <c r="I139" s="705"/>
      <c r="J139" s="571" t="e">
        <f t="shared" si="2"/>
        <v>#VALUE!</v>
      </c>
    </row>
    <row r="140" spans="2:10" ht="13.5" customHeight="1">
      <c r="B140" s="572"/>
      <c r="C140" s="970" t="s">
        <v>66</v>
      </c>
      <c r="D140" s="971"/>
      <c r="E140" s="756" t="s">
        <v>2</v>
      </c>
      <c r="F140" s="733">
        <v>1</v>
      </c>
      <c r="G140" s="756">
        <v>4.5</v>
      </c>
      <c r="H140" s="711">
        <f t="shared" si="1"/>
        <v>4.5</v>
      </c>
      <c r="I140" s="705"/>
      <c r="J140" s="571" t="e">
        <f t="shared" si="2"/>
        <v>#VALUE!</v>
      </c>
    </row>
    <row r="141" spans="2:10" ht="13.5" customHeight="1">
      <c r="B141" s="704"/>
      <c r="C141" s="962" t="s">
        <v>3</v>
      </c>
      <c r="D141" s="962"/>
      <c r="E141" s="962"/>
      <c r="F141" s="962"/>
      <c r="G141" s="962"/>
      <c r="H141" s="714">
        <f>SUM(H120:H140)</f>
        <v>271.5</v>
      </c>
      <c r="I141" s="705"/>
      <c r="J141" s="571" t="e">
        <f t="shared" si="2"/>
        <v>#VALUE!</v>
      </c>
    </row>
    <row r="142" spans="2:10" ht="13.5" customHeight="1">
      <c r="B142" s="704"/>
      <c r="C142" s="578"/>
      <c r="D142" s="578"/>
      <c r="E142" s="578"/>
      <c r="F142" s="578"/>
      <c r="G142" s="578"/>
      <c r="H142" s="699"/>
      <c r="I142" s="705"/>
      <c r="J142" s="571" t="e">
        <f t="shared" si="2"/>
        <v>#VALUE!</v>
      </c>
    </row>
    <row r="143" spans="2:10" ht="13.5" customHeight="1">
      <c r="B143" s="704"/>
      <c r="C143" s="578"/>
      <c r="D143" s="578"/>
      <c r="E143" s="578"/>
      <c r="F143" s="578"/>
      <c r="G143" s="578"/>
      <c r="H143" s="699"/>
      <c r="I143" s="705"/>
      <c r="J143" s="571" t="e">
        <f t="shared" si="2"/>
        <v>#VALUE!</v>
      </c>
    </row>
    <row r="144" spans="2:10" ht="13.5" customHeight="1">
      <c r="B144" s="850" t="s">
        <v>315</v>
      </c>
      <c r="C144" s="851"/>
      <c r="D144" s="838"/>
      <c r="E144" s="838"/>
      <c r="F144" s="838"/>
      <c r="G144" s="840"/>
      <c r="H144" s="840" t="s">
        <v>0</v>
      </c>
      <c r="I144" s="841">
        <f>+ROUND((+I147+I154),2)</f>
        <v>300</v>
      </c>
      <c r="J144" s="571" t="e">
        <f t="shared" si="2"/>
        <v>#VALUE!</v>
      </c>
    </row>
    <row r="145" spans="2:14" ht="13.5" customHeight="1">
      <c r="B145" s="852"/>
      <c r="C145" s="853"/>
      <c r="D145" s="845"/>
      <c r="E145" s="845"/>
      <c r="F145" s="845"/>
      <c r="G145" s="847"/>
      <c r="H145" s="847"/>
      <c r="I145" s="848"/>
      <c r="J145" s="571" t="e">
        <f t="shared" si="2"/>
        <v>#VALUE!</v>
      </c>
    </row>
    <row r="146" spans="2:14" ht="13.5" customHeight="1">
      <c r="B146" s="715"/>
      <c r="C146" s="641"/>
      <c r="D146" s="699"/>
      <c r="E146" s="699"/>
      <c r="F146" s="700"/>
      <c r="G146" s="700"/>
      <c r="H146" s="699"/>
      <c r="I146" s="705"/>
      <c r="J146" s="571" t="e">
        <f t="shared" si="2"/>
        <v>#VALUE!</v>
      </c>
    </row>
    <row r="147" spans="2:14" ht="13.5" customHeight="1">
      <c r="B147" s="701">
        <v>1</v>
      </c>
      <c r="C147" s="641" t="s">
        <v>42</v>
      </c>
      <c r="D147" s="699"/>
      <c r="E147" s="699"/>
      <c r="F147" s="700"/>
      <c r="G147" s="700"/>
      <c r="H147" s="702" t="s">
        <v>0</v>
      </c>
      <c r="I147" s="703">
        <f>+H152</f>
        <v>300</v>
      </c>
      <c r="J147" s="571" t="e">
        <f t="shared" si="2"/>
        <v>#VALUE!</v>
      </c>
    </row>
    <row r="148" spans="2:14" ht="13.5" customHeight="1">
      <c r="B148" s="715"/>
      <c r="C148" s="641"/>
      <c r="D148" s="699"/>
      <c r="E148" s="699"/>
      <c r="F148" s="700"/>
      <c r="G148" s="700"/>
      <c r="H148" s="699"/>
      <c r="I148" s="705"/>
    </row>
    <row r="149" spans="2:14" ht="13.5" customHeight="1">
      <c r="B149" s="572"/>
      <c r="C149" s="708" t="s">
        <v>34</v>
      </c>
      <c r="D149" s="784" t="s">
        <v>44</v>
      </c>
      <c r="E149" s="784" t="s">
        <v>18</v>
      </c>
      <c r="F149" s="784" t="s">
        <v>32</v>
      </c>
      <c r="G149" s="784" t="s">
        <v>5</v>
      </c>
      <c r="H149" s="784" t="s">
        <v>4</v>
      </c>
      <c r="I149" s="705"/>
    </row>
    <row r="150" spans="2:14" ht="13.5" customHeight="1">
      <c r="B150" s="572"/>
      <c r="C150" s="777" t="s">
        <v>249</v>
      </c>
      <c r="D150" s="778" t="s">
        <v>238</v>
      </c>
      <c r="E150" s="778">
        <v>1</v>
      </c>
      <c r="F150" s="778">
        <v>3</v>
      </c>
      <c r="G150" s="778">
        <v>100</v>
      </c>
      <c r="H150" s="711">
        <f>PRODUCT(E150:G150)</f>
        <v>300</v>
      </c>
      <c r="I150" s="705"/>
    </row>
    <row r="151" spans="2:14" s="831" customFormat="1" ht="13.5" hidden="1" customHeight="1">
      <c r="B151" s="572"/>
      <c r="C151" s="777" t="s">
        <v>322</v>
      </c>
      <c r="D151" s="778" t="s">
        <v>238</v>
      </c>
      <c r="E151" s="778">
        <v>1</v>
      </c>
      <c r="F151" s="778">
        <v>0</v>
      </c>
      <c r="G151" s="778">
        <v>100</v>
      </c>
      <c r="H151" s="711">
        <f>PRODUCT(E151:G151)</f>
        <v>0</v>
      </c>
      <c r="I151" s="705"/>
      <c r="J151" s="842"/>
    </row>
    <row r="152" spans="2:14" s="844" customFormat="1" ht="13.5" customHeight="1">
      <c r="B152" s="572"/>
      <c r="C152" s="962" t="s">
        <v>3</v>
      </c>
      <c r="D152" s="962"/>
      <c r="E152" s="962"/>
      <c r="F152" s="962"/>
      <c r="G152" s="962"/>
      <c r="H152" s="714">
        <f>SUM(H150:H151)</f>
        <v>300</v>
      </c>
      <c r="I152" s="705"/>
      <c r="J152" s="849"/>
    </row>
    <row r="153" spans="2:14" ht="13.5" customHeight="1">
      <c r="B153" s="572"/>
      <c r="C153" s="578"/>
      <c r="D153" s="578"/>
      <c r="E153" s="578"/>
      <c r="F153" s="578"/>
      <c r="G153" s="578"/>
      <c r="H153" s="699"/>
      <c r="I153" s="705"/>
    </row>
    <row r="154" spans="2:14" ht="13.5" hidden="1" customHeight="1">
      <c r="B154" s="701">
        <v>3</v>
      </c>
      <c r="C154" s="641" t="s">
        <v>457</v>
      </c>
      <c r="D154" s="699"/>
      <c r="E154" s="699"/>
      <c r="F154" s="700"/>
      <c r="G154" s="700"/>
      <c r="H154" s="702" t="s">
        <v>0</v>
      </c>
      <c r="I154" s="703">
        <f>H158</f>
        <v>0</v>
      </c>
    </row>
    <row r="155" spans="2:14" ht="13.5" hidden="1" customHeight="1">
      <c r="B155" s="701"/>
      <c r="C155" s="641"/>
      <c r="D155" s="699"/>
      <c r="E155" s="699"/>
      <c r="F155" s="700"/>
      <c r="G155" s="700"/>
      <c r="H155" s="702"/>
      <c r="I155" s="703"/>
    </row>
    <row r="156" spans="2:14" ht="13.5" hidden="1" customHeight="1">
      <c r="B156" s="701"/>
      <c r="C156" s="708" t="s">
        <v>34</v>
      </c>
      <c r="D156" s="784" t="s">
        <v>44</v>
      </c>
      <c r="E156" s="784" t="s">
        <v>18</v>
      </c>
      <c r="F156" s="784" t="s">
        <v>458</v>
      </c>
      <c r="G156" s="784" t="s">
        <v>5</v>
      </c>
      <c r="H156" s="784" t="s">
        <v>4</v>
      </c>
      <c r="I156" s="703"/>
      <c r="K156" s="741" t="s">
        <v>464</v>
      </c>
      <c r="L156" s="741" t="s">
        <v>465</v>
      </c>
      <c r="M156" s="741" t="s">
        <v>466</v>
      </c>
      <c r="N156" s="741" t="s">
        <v>463</v>
      </c>
    </row>
    <row r="157" spans="2:14" ht="13.5" hidden="1" customHeight="1">
      <c r="B157" s="701"/>
      <c r="C157" s="777" t="s">
        <v>109</v>
      </c>
      <c r="D157" s="778" t="s">
        <v>122</v>
      </c>
      <c r="E157" s="778">
        <v>0</v>
      </c>
      <c r="F157" s="778">
        <v>30</v>
      </c>
      <c r="G157" s="778">
        <v>280</v>
      </c>
      <c r="H157" s="711">
        <f>PRODUCT(E157:G157)</f>
        <v>0</v>
      </c>
      <c r="I157" s="703"/>
      <c r="K157" s="581">
        <v>2</v>
      </c>
      <c r="L157" s="581">
        <v>2</v>
      </c>
      <c r="M157" s="743">
        <f>+O112</f>
        <v>3</v>
      </c>
      <c r="N157" s="581">
        <f>PRODUCT(K157:M157)</f>
        <v>12</v>
      </c>
    </row>
    <row r="158" spans="2:14" ht="13.5" hidden="1" customHeight="1">
      <c r="B158" s="701"/>
      <c r="C158" s="964" t="s">
        <v>3</v>
      </c>
      <c r="D158" s="965"/>
      <c r="E158" s="965"/>
      <c r="F158" s="965"/>
      <c r="G158" s="966"/>
      <c r="H158" s="714">
        <f>SUM(H157:H157)</f>
        <v>0</v>
      </c>
      <c r="I158" s="703"/>
    </row>
    <row r="159" spans="2:14" ht="13.5" customHeight="1">
      <c r="B159" s="701"/>
      <c r="C159" s="641"/>
      <c r="D159" s="699"/>
      <c r="E159" s="699"/>
      <c r="F159" s="700"/>
      <c r="G159" s="700"/>
      <c r="H159" s="702"/>
      <c r="I159" s="703"/>
    </row>
    <row r="160" spans="2:14" ht="13.5" customHeight="1">
      <c r="B160" s="572"/>
      <c r="C160" s="578"/>
      <c r="D160" s="578"/>
      <c r="E160" s="578"/>
      <c r="F160" s="578"/>
      <c r="G160" s="578"/>
      <c r="H160" s="699"/>
      <c r="I160" s="705"/>
    </row>
    <row r="161" spans="2:12" ht="13.5" customHeight="1">
      <c r="B161" s="704"/>
      <c r="C161" s="578"/>
      <c r="D161" s="578"/>
      <c r="E161" s="578"/>
      <c r="F161" s="578"/>
      <c r="G161" s="578"/>
      <c r="H161" s="699"/>
      <c r="I161" s="705"/>
    </row>
    <row r="162" spans="2:12" ht="13.5" customHeight="1">
      <c r="B162" s="967" t="s">
        <v>26</v>
      </c>
      <c r="C162" s="967"/>
      <c r="D162" s="967"/>
      <c r="E162" s="967"/>
      <c r="F162" s="967"/>
      <c r="G162" s="967"/>
      <c r="H162" s="702" t="s">
        <v>0</v>
      </c>
      <c r="I162" s="703">
        <f>+I21</f>
        <v>16176.5</v>
      </c>
    </row>
    <row r="163" spans="2:12" ht="13.5" customHeight="1"/>
    <row r="164" spans="2:12" ht="13.5" customHeight="1">
      <c r="I164" s="781"/>
    </row>
    <row r="165" spans="2:12" ht="13.5" customHeight="1">
      <c r="I165" s="703"/>
    </row>
    <row r="166" spans="2:12" ht="13.5" customHeight="1">
      <c r="I166" s="703"/>
    </row>
    <row r="167" spans="2:12" ht="13.5" customHeight="1">
      <c r="I167" s="703"/>
    </row>
    <row r="168" spans="2:12" ht="13.5" customHeight="1">
      <c r="I168" s="703"/>
      <c r="L168" s="668"/>
    </row>
    <row r="169" spans="2:12" ht="13.5" customHeight="1"/>
    <row r="170" spans="2:12" ht="13.5" customHeight="1"/>
    <row r="171" spans="2:12" ht="13.5" customHeight="1"/>
    <row r="172" spans="2:12" ht="13.5" customHeight="1"/>
    <row r="173" spans="2:12" ht="13.5" customHeight="1"/>
    <row r="174" spans="2:12" ht="13.5" customHeight="1"/>
    <row r="175" spans="2:12" ht="13.5" customHeight="1"/>
    <row r="176" spans="2:12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spans="2:9" ht="13.5" customHeight="1"/>
    <row r="194" spans="2:9" ht="12.75" customHeight="1"/>
    <row r="195" spans="2:9" ht="12.75" customHeight="1"/>
    <row r="196" spans="2:9" ht="12.75" customHeight="1"/>
    <row r="197" spans="2:9" ht="12.75" customHeight="1"/>
    <row r="198" spans="2:9" s="782" customFormat="1" ht="18" customHeight="1">
      <c r="B198" s="642"/>
      <c r="C198" s="569"/>
      <c r="D198" s="569"/>
      <c r="E198" s="569"/>
      <c r="F198" s="570"/>
      <c r="G198" s="570"/>
      <c r="H198" s="569"/>
      <c r="I198" s="569"/>
    </row>
  </sheetData>
  <mergeCells count="63">
    <mergeCell ref="D14:I15"/>
    <mergeCell ref="C3:I3"/>
    <mergeCell ref="C4:I4"/>
    <mergeCell ref="C5:I5"/>
    <mergeCell ref="C6:I6"/>
    <mergeCell ref="B8:I8"/>
    <mergeCell ref="D16:H16"/>
    <mergeCell ref="C21:H21"/>
    <mergeCell ref="B23:I23"/>
    <mergeCell ref="B25:I25"/>
    <mergeCell ref="C102:G102"/>
    <mergeCell ref="C38:G38"/>
    <mergeCell ref="C50:G50"/>
    <mergeCell ref="C59:G59"/>
    <mergeCell ref="C71:G71"/>
    <mergeCell ref="C80:G80"/>
    <mergeCell ref="C91:G91"/>
    <mergeCell ref="C126:D126"/>
    <mergeCell ref="C119:D119"/>
    <mergeCell ref="C120:D120"/>
    <mergeCell ref="C111:D111"/>
    <mergeCell ref="C112:D112"/>
    <mergeCell ref="C113:G113"/>
    <mergeCell ref="C122:D122"/>
    <mergeCell ref="C123:D123"/>
    <mergeCell ref="C124:D124"/>
    <mergeCell ref="C125:D125"/>
    <mergeCell ref="C158:G158"/>
    <mergeCell ref="B162:G162"/>
    <mergeCell ref="K30:K31"/>
    <mergeCell ref="K38:K39"/>
    <mergeCell ref="C140:D140"/>
    <mergeCell ref="C141:G141"/>
    <mergeCell ref="C136:D136"/>
    <mergeCell ref="C137:D137"/>
    <mergeCell ref="C138:D138"/>
    <mergeCell ref="C139:D139"/>
    <mergeCell ref="C130:D130"/>
    <mergeCell ref="C131:D131"/>
    <mergeCell ref="C127:D127"/>
    <mergeCell ref="C128:D128"/>
    <mergeCell ref="C129:D129"/>
    <mergeCell ref="C121:D121"/>
    <mergeCell ref="C152:G152"/>
    <mergeCell ref="C132:D132"/>
    <mergeCell ref="C133:D133"/>
    <mergeCell ref="C134:D134"/>
    <mergeCell ref="C135:D135"/>
    <mergeCell ref="M38:M39"/>
    <mergeCell ref="K40:K41"/>
    <mergeCell ref="M40:M41"/>
    <mergeCell ref="K42:K43"/>
    <mergeCell ref="D17:H17"/>
    <mergeCell ref="D18:H18"/>
    <mergeCell ref="D19:H19"/>
    <mergeCell ref="D20:H20"/>
    <mergeCell ref="M30:M31"/>
    <mergeCell ref="K32:K33"/>
    <mergeCell ref="M32:M33"/>
    <mergeCell ref="K34:K35"/>
    <mergeCell ref="M34:M35"/>
    <mergeCell ref="K36:K37"/>
    <mergeCell ref="M36:M37"/>
  </mergeCells>
  <conditionalFormatting sqref="D14:E14">
    <cfRule type="aboveAverage" dxfId="1" priority="1" stopIfTrue="1" aboveAverage="0"/>
  </conditionalFormatting>
  <printOptions horizontalCentered="1"/>
  <pageMargins left="0.94488188976377963" right="0.70866141732283472" top="0.69" bottom="1.17" header="0" footer="0"/>
  <pageSetup paperSize="9" scale="59" fitToHeight="5" orientation="portrait" horizontalDpi="4294967293" r:id="rId1"/>
  <headerFooter alignWithMargins="0">
    <oddFooter>&amp;C&amp;G</oddFooter>
  </headerFooter>
  <rowBreaks count="3" manualBreakCount="3">
    <brk id="61" min="1" max="8" man="1"/>
    <brk id="104" min="1" max="8" man="1"/>
    <brk id="143" min="1" max="8" man="1"/>
  </row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21</vt:i4>
      </vt:variant>
    </vt:vector>
  </HeadingPairs>
  <TitlesOfParts>
    <vt:vector size="36" baseType="lpstr">
      <vt:lpstr>VARIABLES</vt:lpstr>
      <vt:lpstr>RESÚMEN</vt:lpstr>
      <vt:lpstr>Exp.Téc. </vt:lpstr>
      <vt:lpstr>RESUMEN TOTAL</vt:lpstr>
      <vt:lpstr>G.General</vt:lpstr>
      <vt:lpstr>G. Supervision</vt:lpstr>
      <vt:lpstr>Supervision</vt:lpstr>
      <vt:lpstr>Capacitacion Social</vt:lpstr>
      <vt:lpstr>Gestion del proyecto</vt:lpstr>
      <vt:lpstr>G. Liquidacion</vt:lpstr>
      <vt:lpstr>G. Exp. Tecnico</vt:lpstr>
      <vt:lpstr>Hoja2</vt:lpstr>
      <vt:lpstr>Hoja1</vt:lpstr>
      <vt:lpstr>CONSOLIDADO</vt:lpstr>
      <vt:lpstr>Remuneraciones</vt:lpstr>
      <vt:lpstr>'Capacitacion Social'!Área_de_impresión</vt:lpstr>
      <vt:lpstr>CONSOLIDADO!Área_de_impresión</vt:lpstr>
      <vt:lpstr>'Exp.Téc. '!Área_de_impresión</vt:lpstr>
      <vt:lpstr>'G. Exp. Tecnico'!Área_de_impresión</vt:lpstr>
      <vt:lpstr>'G. Liquidacion'!Área_de_impresión</vt:lpstr>
      <vt:lpstr>'G. Supervision'!Área_de_impresión</vt:lpstr>
      <vt:lpstr>G.General!Área_de_impresión</vt:lpstr>
      <vt:lpstr>'Gestion del proyecto'!Área_de_impresión</vt:lpstr>
      <vt:lpstr>Remuneraciones!Área_de_impresión</vt:lpstr>
      <vt:lpstr>RESÚMEN!Área_de_impresión</vt:lpstr>
      <vt:lpstr>'RESUMEN TOTAL'!Área_de_impresión</vt:lpstr>
      <vt:lpstr>Supervision!Área_de_impresión</vt:lpstr>
      <vt:lpstr>VARIABLES!Área_de_impresión</vt:lpstr>
      <vt:lpstr>CABEZA</vt:lpstr>
      <vt:lpstr>SUSTENTO</vt:lpstr>
      <vt:lpstr>'G. Exp. Tecnico'!Títulos_a_imprimir</vt:lpstr>
      <vt:lpstr>'G. Liquidacion'!Títulos_a_imprimir</vt:lpstr>
      <vt:lpstr>'G. Supervision'!Títulos_a_imprimir</vt:lpstr>
      <vt:lpstr>G.General!Títulos_a_imprimir</vt:lpstr>
      <vt:lpstr>'Gestion del proyecto'!Títulos_a_imprimir</vt:lpstr>
      <vt:lpstr>VARIABLES!Títulos_a_imprimir</vt:lpstr>
    </vt:vector>
  </TitlesOfParts>
  <Company>CTAR CUSCO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GIS-02</dc:creator>
  <cp:lastModifiedBy>MEL</cp:lastModifiedBy>
  <cp:lastPrinted>2020-04-18T14:55:02Z</cp:lastPrinted>
  <dcterms:created xsi:type="dcterms:W3CDTF">2003-01-21T17:07:22Z</dcterms:created>
  <dcterms:modified xsi:type="dcterms:W3CDTF">2020-04-20T22:37:29Z</dcterms:modified>
</cp:coreProperties>
</file>